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Luiz Fernando\Downloads\"/>
    </mc:Choice>
  </mc:AlternateContent>
  <xr:revisionPtr revIDLastSave="0" documentId="13_ncr:20001_{077BCB82-D418-4163-9C85-51E1D44DCA4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BR_COD" sheetId="1" r:id="rId1"/>
    <sheet name="Produtos" sheetId="2" state="hidden" r:id="rId2"/>
    <sheet name="Matriz GUT (antigo)" sheetId="3" state="hidden" r:id="rId3"/>
    <sheet name="Página17" sheetId="4" state="hidden" r:id="rId4"/>
    <sheet name="(NH) Norma BIM - 3E-22" sheetId="5" r:id="rId5"/>
    <sheet name="exemplo_base" sheetId="6" r:id="rId6"/>
    <sheet name="Mapa de Cores" sheetId="7" r:id="rId7"/>
    <sheet name="PLAN4D-Padrao" sheetId="8" r:id="rId8"/>
    <sheet name="Disciplinas Detalhadas (rever u" sheetId="9" r:id="rId9"/>
    <sheet name="Softwares e Parâmetros" sheetId="10" r:id="rId10"/>
    <sheet name="Norma BIM - 3E-22" sheetId="11" r:id="rId11"/>
    <sheet name="Página31" sheetId="12" r:id="rId12"/>
    <sheet name="CÓDIGOS ENCONTRADOS" sheetId="13" r:id="rId13"/>
    <sheet name="Página28" sheetId="14" r:id="rId14"/>
    <sheet name="(BKP) Norma BIM - 3E-22" sheetId="15" state="hidden" r:id="rId15"/>
    <sheet name="Cores" sheetId="16" state="hidden" r:id="rId16"/>
    <sheet name="Página6" sheetId="17" state="hidden" r:id="rId17"/>
    <sheet name="Fluxos" sheetId="18" state="hidden" r:id="rId18"/>
    <sheet name="Página7" sheetId="19" state="hidden" r:id="rId19"/>
    <sheet name="Página11" sheetId="20" state="hidden" r:id="rId20"/>
    <sheet name="Matriz Disciplina x Disciplina" sheetId="21" r:id="rId21"/>
    <sheet name="Página22" sheetId="22" state="hidden" r:id="rId22"/>
    <sheet name="(BKP) Legal, Market, Maleabilit" sheetId="23" state="hidden" r:id="rId23"/>
    <sheet name="Planejamento Padrao" sheetId="24" r:id="rId24"/>
    <sheet name="Zonas" sheetId="25" r:id="rId25"/>
    <sheet name="Actions" sheetId="26" r:id="rId26"/>
    <sheet name="Página25" sheetId="27" r:id="rId27"/>
    <sheet name="Página26" sheetId="28" r:id="rId28"/>
    <sheet name="Pesos" sheetId="29" r:id="rId29"/>
    <sheet name="Roadmap" sheetId="30" r:id="rId30"/>
    <sheet name="tradicional-tech" sheetId="31" state="hidden" r:id="rId31"/>
    <sheet name="Página12" sheetId="32" state="hidden" r:id="rId32"/>
    <sheet name="3R-22" sheetId="33" state="hidden" r:id="rId33"/>
    <sheet name="Página10" sheetId="34" state="hidden" r:id="rId34"/>
  </sheets>
  <definedNames>
    <definedName name="_xlnm._FilterDatabase" localSheetId="14" hidden="1">'(BKP) Norma BIM - 3E-22'!$A$1:$AK$720</definedName>
    <definedName name="_xlnm._FilterDatabase" localSheetId="4" hidden="1">'(NH) Norma BIM - 3E-22'!$A$1:$U$726</definedName>
    <definedName name="_xlnm._FilterDatabase" localSheetId="32" hidden="1">'3R-22'!$A$1:$AD$300</definedName>
    <definedName name="_xlnm._FilterDatabase" localSheetId="8" hidden="1">'Disciplinas Detalhadas (rever u'!$A$1:$E$1000</definedName>
    <definedName name="_xlnm._FilterDatabase" localSheetId="10" hidden="1">'Norma BIM - 3E-22'!$A$1:$K$726</definedName>
    <definedName name="_xlnm._FilterDatabase" localSheetId="7" hidden="1">'PLAN4D-Padrao'!$A$10:$AP$57</definedName>
    <definedName name="FoundCodes">'CÓDIGOS ENCONTRADOS'!$A$2:$A$1001</definedName>
    <definedName name="Z_8E0F1DA6_72C8_4D92_9BFE_C114C9786330_.wvu.FilterData" localSheetId="4" hidden="1">'(NH) Norma BIM - 3E-22'!$A$1:$U$726</definedName>
    <definedName name="Z_B7E63FAC_1A78_4C86_BE63_9E22AB5990A5_.wvu.FilterData" localSheetId="4" hidden="1">'(NH) Norma BIM - 3E-22'!$A$1:$U$726</definedName>
  </definedNames>
  <calcPr calcId="191029"/>
  <customWorkbookViews>
    <customWorkbookView name="Geral" guid="{B7E63FAC-1A78-4C86-BE63-9E22AB5990A5}" maximized="1" windowWidth="0" windowHeight="0" activeSheetId="0"/>
    <customWorkbookView name="Apenas em Uso" guid="{8E0F1DA6-72C8-4D92-9BFE-C114C9786330}" maximized="1" windowWidth="0" windowHeight="0" activeSheetId="0"/>
  </customWorkbookView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3" i="29" l="1"/>
  <c r="G111" i="29"/>
  <c r="G109" i="29"/>
  <c r="G107" i="29"/>
  <c r="G105" i="29"/>
  <c r="G103" i="29"/>
  <c r="G101" i="29"/>
  <c r="G99" i="29"/>
  <c r="G97" i="29"/>
  <c r="G95" i="29"/>
  <c r="G93" i="29"/>
  <c r="G91" i="29"/>
  <c r="G89" i="29"/>
  <c r="G87" i="29"/>
  <c r="G85" i="29"/>
  <c r="G83" i="29"/>
  <c r="G81" i="29"/>
  <c r="G79" i="29"/>
  <c r="G77" i="29"/>
  <c r="G75" i="29"/>
  <c r="G73" i="29"/>
  <c r="G71" i="29"/>
  <c r="G69" i="29"/>
  <c r="G67" i="29"/>
  <c r="G65" i="29"/>
  <c r="G63" i="29"/>
  <c r="G61" i="29"/>
  <c r="G59" i="29"/>
  <c r="G57" i="29"/>
  <c r="G55" i="29"/>
  <c r="I53" i="29"/>
  <c r="I55" i="29" s="1"/>
  <c r="I57" i="29" s="1"/>
  <c r="I59" i="29" s="1"/>
  <c r="I61" i="29" s="1"/>
  <c r="I63" i="29" s="1"/>
  <c r="I65" i="29" s="1"/>
  <c r="I67" i="29" s="1"/>
  <c r="I69" i="29" s="1"/>
  <c r="I71" i="29" s="1"/>
  <c r="I73" i="29" s="1"/>
  <c r="I75" i="29" s="1"/>
  <c r="I77" i="29" s="1"/>
  <c r="I79" i="29" s="1"/>
  <c r="I81" i="29" s="1"/>
  <c r="I83" i="29" s="1"/>
  <c r="I85" i="29" s="1"/>
  <c r="I87" i="29" s="1"/>
  <c r="I89" i="29" s="1"/>
  <c r="I91" i="29" s="1"/>
  <c r="I93" i="29" s="1"/>
  <c r="I95" i="29" s="1"/>
  <c r="I97" i="29" s="1"/>
  <c r="I99" i="29" s="1"/>
  <c r="I101" i="29" s="1"/>
  <c r="I103" i="29" s="1"/>
  <c r="I105" i="29" s="1"/>
  <c r="I107" i="29" s="1"/>
  <c r="I109" i="29" s="1"/>
  <c r="I111" i="29" s="1"/>
  <c r="I113" i="29" s="1"/>
  <c r="G53" i="29"/>
  <c r="I52" i="29"/>
  <c r="I54" i="29" s="1"/>
  <c r="I56" i="29" s="1"/>
  <c r="I58" i="29" s="1"/>
  <c r="I60" i="29" s="1"/>
  <c r="I62" i="29" s="1"/>
  <c r="I64" i="29" s="1"/>
  <c r="I66" i="29" s="1"/>
  <c r="I68" i="29" s="1"/>
  <c r="I70" i="29" s="1"/>
  <c r="I72" i="29" s="1"/>
  <c r="I74" i="29" s="1"/>
  <c r="I76" i="29" s="1"/>
  <c r="I78" i="29" s="1"/>
  <c r="I80" i="29" s="1"/>
  <c r="I82" i="29" s="1"/>
  <c r="I84" i="29" s="1"/>
  <c r="I86" i="29" s="1"/>
  <c r="I88" i="29" s="1"/>
  <c r="I90" i="29" s="1"/>
  <c r="I92" i="29" s="1"/>
  <c r="I94" i="29" s="1"/>
  <c r="I96" i="29" s="1"/>
  <c r="I98" i="29" s="1"/>
  <c r="I100" i="29" s="1"/>
  <c r="I102" i="29" s="1"/>
  <c r="I104" i="29" s="1"/>
  <c r="I106" i="29" s="1"/>
  <c r="I108" i="29" s="1"/>
  <c r="I110" i="29" s="1"/>
  <c r="I112" i="29" s="1"/>
  <c r="I51" i="29"/>
  <c r="G51" i="29"/>
  <c r="G49" i="29"/>
  <c r="V3" i="27"/>
  <c r="C20" i="25"/>
  <c r="C19" i="25"/>
  <c r="C18" i="25"/>
  <c r="C17" i="25"/>
  <c r="C16" i="25"/>
  <c r="C15" i="25"/>
  <c r="C14" i="25"/>
  <c r="C13" i="25"/>
  <c r="C8" i="25"/>
  <c r="C7" i="25"/>
  <c r="C6" i="25"/>
  <c r="C5" i="25"/>
  <c r="C4" i="25"/>
  <c r="C3" i="25"/>
  <c r="C2" i="25"/>
  <c r="C1" i="25"/>
  <c r="I62" i="24"/>
  <c r="D7" i="19"/>
  <c r="D3" i="19"/>
  <c r="D2" i="19"/>
  <c r="G30" i="16"/>
  <c r="G32" i="16" s="1"/>
  <c r="H32" i="16" s="1"/>
  <c r="F22" i="16"/>
  <c r="F21" i="16"/>
  <c r="F20" i="16"/>
  <c r="F19" i="16"/>
  <c r="L10" i="16"/>
  <c r="L9" i="16"/>
  <c r="L8" i="16"/>
  <c r="L7" i="16"/>
  <c r="L6" i="16"/>
  <c r="L5" i="16"/>
  <c r="L4" i="16"/>
  <c r="L3" i="16"/>
  <c r="F720" i="15"/>
  <c r="F719" i="15"/>
  <c r="F718" i="15"/>
  <c r="F717" i="15"/>
  <c r="F716" i="15"/>
  <c r="U715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U692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U680" i="15"/>
  <c r="F680" i="15"/>
  <c r="F679" i="15"/>
  <c r="F678" i="15"/>
  <c r="U677" i="15"/>
  <c r="F677" i="15"/>
  <c r="F676" i="15"/>
  <c r="F675" i="15"/>
  <c r="F674" i="15"/>
  <c r="F673" i="15"/>
  <c r="U672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U627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U596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U511" i="15"/>
  <c r="F511" i="15"/>
  <c r="F510" i="15"/>
  <c r="F509" i="15"/>
  <c r="F508" i="15"/>
  <c r="F507" i="15"/>
  <c r="F506" i="15"/>
  <c r="F505" i="15"/>
  <c r="F504" i="15"/>
  <c r="F503" i="15"/>
  <c r="U502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U485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U442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U430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U399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U385" i="15"/>
  <c r="F385" i="15"/>
  <c r="F384" i="15"/>
  <c r="F383" i="15"/>
  <c r="F382" i="15"/>
  <c r="F381" i="15"/>
  <c r="F380" i="15"/>
  <c r="F379" i="15"/>
  <c r="F378" i="15"/>
  <c r="U377" i="15"/>
  <c r="F377" i="15"/>
  <c r="F376" i="15"/>
  <c r="F375" i="15"/>
  <c r="F374" i="15"/>
  <c r="F373" i="15"/>
  <c r="F372" i="15"/>
  <c r="F371" i="15"/>
  <c r="U370" i="15"/>
  <c r="F370" i="15"/>
  <c r="F369" i="15"/>
  <c r="F368" i="15"/>
  <c r="F367" i="15"/>
  <c r="F366" i="15"/>
  <c r="F365" i="15"/>
  <c r="F364" i="15"/>
  <c r="F363" i="15"/>
  <c r="F362" i="15"/>
  <c r="U361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U347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U274" i="15"/>
  <c r="F274" i="15"/>
  <c r="F273" i="15"/>
  <c r="F272" i="15"/>
  <c r="F271" i="15"/>
  <c r="F270" i="15"/>
  <c r="U269" i="15"/>
  <c r="F269" i="15"/>
  <c r="F268" i="15"/>
  <c r="F267" i="15"/>
  <c r="F266" i="15"/>
  <c r="F265" i="15"/>
  <c r="U264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U241" i="15"/>
  <c r="F241" i="15"/>
  <c r="F240" i="15"/>
  <c r="F239" i="15"/>
  <c r="F238" i="15"/>
  <c r="F237" i="15"/>
  <c r="U236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U219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U206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U155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U136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U94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U53" i="15"/>
  <c r="F53" i="15"/>
  <c r="F52" i="15"/>
  <c r="F51" i="15"/>
  <c r="F50" i="15"/>
  <c r="F49" i="15"/>
  <c r="F48" i="15"/>
  <c r="F47" i="15"/>
  <c r="U46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U3" i="15"/>
  <c r="F3" i="15"/>
  <c r="F2" i="15"/>
  <c r="U1" i="15"/>
  <c r="J721" i="11"/>
  <c r="J720" i="11"/>
  <c r="J719" i="11"/>
  <c r="J718" i="11"/>
  <c r="J717" i="11"/>
  <c r="J716" i="11"/>
  <c r="J715" i="11"/>
  <c r="J714" i="11"/>
  <c r="J713" i="11"/>
  <c r="J712" i="11"/>
  <c r="J711" i="11"/>
  <c r="J710" i="11"/>
  <c r="J709" i="11"/>
  <c r="J708" i="11"/>
  <c r="J707" i="11"/>
  <c r="J706" i="11"/>
  <c r="J705" i="11"/>
  <c r="J704" i="11"/>
  <c r="J703" i="11"/>
  <c r="J702" i="11"/>
  <c r="J701" i="11"/>
  <c r="J700" i="11"/>
  <c r="J699" i="11"/>
  <c r="J698" i="11"/>
  <c r="J697" i="11"/>
  <c r="J696" i="11"/>
  <c r="J695" i="11"/>
  <c r="J694" i="11"/>
  <c r="J693" i="11"/>
  <c r="J692" i="11"/>
  <c r="J691" i="11"/>
  <c r="J690" i="11"/>
  <c r="J689" i="11"/>
  <c r="J688" i="11"/>
  <c r="J687" i="11"/>
  <c r="J686" i="11"/>
  <c r="J685" i="11"/>
  <c r="J684" i="11"/>
  <c r="J683" i="11"/>
  <c r="J682" i="11"/>
  <c r="J681" i="11"/>
  <c r="J680" i="11"/>
  <c r="J679" i="11"/>
  <c r="J678" i="11"/>
  <c r="J677" i="11"/>
  <c r="J676" i="11"/>
  <c r="J675" i="11"/>
  <c r="J674" i="11"/>
  <c r="J673" i="11"/>
  <c r="J672" i="11"/>
  <c r="J671" i="11"/>
  <c r="J670" i="11"/>
  <c r="J669" i="11"/>
  <c r="J668" i="11"/>
  <c r="J667" i="11"/>
  <c r="J666" i="11"/>
  <c r="J665" i="11"/>
  <c r="J664" i="11"/>
  <c r="J663" i="11"/>
  <c r="J662" i="11"/>
  <c r="J661" i="11"/>
  <c r="J660" i="11"/>
  <c r="J659" i="11"/>
  <c r="J658" i="11"/>
  <c r="J657" i="11"/>
  <c r="J656" i="11"/>
  <c r="J655" i="11"/>
  <c r="J654" i="11"/>
  <c r="J653" i="11"/>
  <c r="J652" i="11"/>
  <c r="J651" i="11"/>
  <c r="J650" i="11"/>
  <c r="J649" i="11"/>
  <c r="J648" i="11"/>
  <c r="J647" i="11"/>
  <c r="J646" i="11"/>
  <c r="J645" i="11"/>
  <c r="J644" i="11"/>
  <c r="J643" i="11"/>
  <c r="J642" i="11"/>
  <c r="J641" i="11"/>
  <c r="J640" i="11"/>
  <c r="J639" i="11"/>
  <c r="J638" i="11"/>
  <c r="J637" i="11"/>
  <c r="J636" i="11"/>
  <c r="J635" i="11"/>
  <c r="J634" i="11"/>
  <c r="J633" i="11"/>
  <c r="J632" i="11"/>
  <c r="J631" i="11"/>
  <c r="J630" i="11"/>
  <c r="J629" i="11"/>
  <c r="J628" i="11"/>
  <c r="J627" i="11"/>
  <c r="J626" i="11"/>
  <c r="J625" i="11"/>
  <c r="J624" i="11"/>
  <c r="J623" i="11"/>
  <c r="J622" i="11"/>
  <c r="J621" i="11"/>
  <c r="J620" i="11"/>
  <c r="J619" i="11"/>
  <c r="J618" i="11"/>
  <c r="J617" i="11"/>
  <c r="J616" i="11"/>
  <c r="J615" i="11"/>
  <c r="J614" i="11"/>
  <c r="J613" i="11"/>
  <c r="J612" i="11"/>
  <c r="J611" i="11"/>
  <c r="J610" i="11"/>
  <c r="J609" i="11"/>
  <c r="J608" i="11"/>
  <c r="J607" i="11"/>
  <c r="J606" i="11"/>
  <c r="J605" i="11"/>
  <c r="J604" i="11"/>
  <c r="J603" i="11"/>
  <c r="J602" i="11"/>
  <c r="J601" i="11"/>
  <c r="J600" i="11"/>
  <c r="J599" i="11"/>
  <c r="J598" i="11"/>
  <c r="J597" i="11"/>
  <c r="J596" i="11"/>
  <c r="J595" i="11"/>
  <c r="J594" i="11"/>
  <c r="J593" i="11"/>
  <c r="J592" i="11"/>
  <c r="J591" i="11"/>
  <c r="J590" i="11"/>
  <c r="J589" i="11"/>
  <c r="J588" i="11"/>
  <c r="J587" i="11"/>
  <c r="J586" i="11"/>
  <c r="J585" i="11"/>
  <c r="J584" i="11"/>
  <c r="J583" i="11"/>
  <c r="J582" i="11"/>
  <c r="J581" i="11"/>
  <c r="J580" i="11"/>
  <c r="J579" i="11"/>
  <c r="J578" i="11"/>
  <c r="J577" i="11"/>
  <c r="J576" i="11"/>
  <c r="J575" i="11"/>
  <c r="J574" i="11"/>
  <c r="J573" i="11"/>
  <c r="J572" i="11"/>
  <c r="J571" i="11"/>
  <c r="J570" i="11"/>
  <c r="J569" i="11"/>
  <c r="J568" i="11"/>
  <c r="J567" i="11"/>
  <c r="J566" i="11"/>
  <c r="J565" i="11"/>
  <c r="J564" i="11"/>
  <c r="J563" i="11"/>
  <c r="J562" i="11"/>
  <c r="J561" i="11"/>
  <c r="J560" i="11"/>
  <c r="J559" i="11"/>
  <c r="J558" i="11"/>
  <c r="J557" i="11"/>
  <c r="J556" i="11"/>
  <c r="J555" i="11"/>
  <c r="J554" i="11"/>
  <c r="J553" i="11"/>
  <c r="J552" i="11"/>
  <c r="J551" i="11"/>
  <c r="J550" i="11"/>
  <c r="J549" i="11"/>
  <c r="J548" i="11"/>
  <c r="J547" i="11"/>
  <c r="J546" i="11"/>
  <c r="J545" i="11"/>
  <c r="J544" i="11"/>
  <c r="J543" i="11"/>
  <c r="J542" i="11"/>
  <c r="J541" i="11"/>
  <c r="J540" i="11"/>
  <c r="J539" i="11"/>
  <c r="J538" i="11"/>
  <c r="J537" i="11"/>
  <c r="J536" i="11"/>
  <c r="J535" i="11"/>
  <c r="J534" i="11"/>
  <c r="J533" i="11"/>
  <c r="J532" i="11"/>
  <c r="J531" i="11"/>
  <c r="J530" i="11"/>
  <c r="J529" i="11"/>
  <c r="J528" i="11"/>
  <c r="J527" i="11"/>
  <c r="J526" i="11"/>
  <c r="J525" i="11"/>
  <c r="J524" i="11"/>
  <c r="J523" i="11"/>
  <c r="J522" i="11"/>
  <c r="J521" i="11"/>
  <c r="J520" i="11"/>
  <c r="J519" i="11"/>
  <c r="J518" i="11"/>
  <c r="J517" i="11"/>
  <c r="J516" i="11"/>
  <c r="J515" i="11"/>
  <c r="J514" i="11"/>
  <c r="J513" i="11"/>
  <c r="J512" i="11"/>
  <c r="J511" i="11"/>
  <c r="J510" i="11"/>
  <c r="J509" i="11"/>
  <c r="J508" i="11"/>
  <c r="J507" i="11"/>
  <c r="J506" i="11"/>
  <c r="J505" i="11"/>
  <c r="J504" i="11"/>
  <c r="J503" i="11"/>
  <c r="J501" i="11"/>
  <c r="J500" i="11"/>
  <c r="J499" i="11"/>
  <c r="J498" i="11"/>
  <c r="J497" i="11"/>
  <c r="J496" i="11"/>
  <c r="J495" i="11"/>
  <c r="J494" i="11"/>
  <c r="J493" i="11"/>
  <c r="J492" i="11"/>
  <c r="J491" i="11"/>
  <c r="J490" i="11"/>
  <c r="J489" i="11"/>
  <c r="J488" i="11"/>
  <c r="J487" i="11"/>
  <c r="J486" i="11"/>
  <c r="J485" i="11"/>
  <c r="J484" i="11"/>
  <c r="J483" i="11"/>
  <c r="J482" i="11"/>
  <c r="J481" i="11"/>
  <c r="J480" i="11"/>
  <c r="J479" i="11"/>
  <c r="J478" i="11"/>
  <c r="J477" i="11"/>
  <c r="J476" i="11"/>
  <c r="J475" i="11"/>
  <c r="J474" i="11"/>
  <c r="J473" i="11"/>
  <c r="J472" i="11"/>
  <c r="J471" i="11"/>
  <c r="J470" i="11"/>
  <c r="J469" i="11"/>
  <c r="J468" i="11"/>
  <c r="J467" i="11"/>
  <c r="J466" i="11"/>
  <c r="J465" i="11"/>
  <c r="J464" i="11"/>
  <c r="J463" i="11"/>
  <c r="J462" i="11"/>
  <c r="J461" i="11"/>
  <c r="J460" i="11"/>
  <c r="J459" i="11"/>
  <c r="J458" i="11"/>
  <c r="J457" i="11"/>
  <c r="J456" i="11"/>
  <c r="J455" i="11"/>
  <c r="J454" i="11"/>
  <c r="J453" i="11"/>
  <c r="J452" i="11"/>
  <c r="J451" i="11"/>
  <c r="J450" i="11"/>
  <c r="J449" i="11"/>
  <c r="J448" i="11"/>
  <c r="J447" i="11"/>
  <c r="J446" i="11"/>
  <c r="J445" i="11"/>
  <c r="J444" i="11"/>
  <c r="J443" i="11"/>
  <c r="J442" i="11"/>
  <c r="J441" i="11"/>
  <c r="J440" i="11"/>
  <c r="J439" i="11"/>
  <c r="J438" i="11"/>
  <c r="J437" i="11"/>
  <c r="J436" i="11"/>
  <c r="J435" i="11"/>
  <c r="J434" i="11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S339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G51" i="11"/>
  <c r="F51" i="11"/>
  <c r="E51" i="11"/>
  <c r="D51" i="11"/>
  <c r="C51" i="11"/>
  <c r="B51" i="11"/>
  <c r="J50" i="11"/>
  <c r="G50" i="11"/>
  <c r="F50" i="11"/>
  <c r="E50" i="11"/>
  <c r="D50" i="11"/>
  <c r="C50" i="11"/>
  <c r="B50" i="11"/>
  <c r="J49" i="11"/>
  <c r="G49" i="11"/>
  <c r="F49" i="11"/>
  <c r="E49" i="11"/>
  <c r="D49" i="11"/>
  <c r="C49" i="11"/>
  <c r="B49" i="11"/>
  <c r="J48" i="11"/>
  <c r="G48" i="11"/>
  <c r="F48" i="11"/>
  <c r="E48" i="11"/>
  <c r="D48" i="11"/>
  <c r="C48" i="11"/>
  <c r="B48" i="11"/>
  <c r="J47" i="11"/>
  <c r="G47" i="11"/>
  <c r="F47" i="11"/>
  <c r="E47" i="11"/>
  <c r="D47" i="11"/>
  <c r="C47" i="11"/>
  <c r="B47" i="11"/>
  <c r="J46" i="11"/>
  <c r="G46" i="11"/>
  <c r="F46" i="11"/>
  <c r="E46" i="11"/>
  <c r="D46" i="11"/>
  <c r="C46" i="11"/>
  <c r="B46" i="11"/>
  <c r="J45" i="11"/>
  <c r="G45" i="11"/>
  <c r="F45" i="11"/>
  <c r="E45" i="11"/>
  <c r="D45" i="11"/>
  <c r="C45" i="11"/>
  <c r="B45" i="11"/>
  <c r="J44" i="11"/>
  <c r="G44" i="11"/>
  <c r="F44" i="11"/>
  <c r="E44" i="11"/>
  <c r="D44" i="11"/>
  <c r="C44" i="11"/>
  <c r="B44" i="11"/>
  <c r="J43" i="11"/>
  <c r="G43" i="11"/>
  <c r="F43" i="11"/>
  <c r="E43" i="11"/>
  <c r="D43" i="11"/>
  <c r="C43" i="11"/>
  <c r="B43" i="11"/>
  <c r="J42" i="11"/>
  <c r="G42" i="11"/>
  <c r="F42" i="11"/>
  <c r="E42" i="11"/>
  <c r="D42" i="11"/>
  <c r="C42" i="11"/>
  <c r="B42" i="11"/>
  <c r="J41" i="11"/>
  <c r="G41" i="11"/>
  <c r="F41" i="11"/>
  <c r="E41" i="11"/>
  <c r="D41" i="11"/>
  <c r="C41" i="11"/>
  <c r="B41" i="11"/>
  <c r="J40" i="11"/>
  <c r="G40" i="11"/>
  <c r="F40" i="11"/>
  <c r="E40" i="11"/>
  <c r="D40" i="11"/>
  <c r="C40" i="11"/>
  <c r="B40" i="11"/>
  <c r="J39" i="11"/>
  <c r="G39" i="11"/>
  <c r="F39" i="11"/>
  <c r="E39" i="11"/>
  <c r="D39" i="11"/>
  <c r="C39" i="11"/>
  <c r="B39" i="11"/>
  <c r="J38" i="11"/>
  <c r="G38" i="11"/>
  <c r="F38" i="11"/>
  <c r="E38" i="11"/>
  <c r="D38" i="11"/>
  <c r="C38" i="11"/>
  <c r="B38" i="11"/>
  <c r="J37" i="11"/>
  <c r="G37" i="11"/>
  <c r="F37" i="11"/>
  <c r="E37" i="11"/>
  <c r="D37" i="11"/>
  <c r="C37" i="11"/>
  <c r="B37" i="11"/>
  <c r="J36" i="11"/>
  <c r="G36" i="11"/>
  <c r="F36" i="11"/>
  <c r="E36" i="11"/>
  <c r="D36" i="11"/>
  <c r="C36" i="11"/>
  <c r="B36" i="11"/>
  <c r="J35" i="11"/>
  <c r="G35" i="11"/>
  <c r="F35" i="11"/>
  <c r="E35" i="11"/>
  <c r="D35" i="11"/>
  <c r="C35" i="11"/>
  <c r="B35" i="11"/>
  <c r="J34" i="11"/>
  <c r="G34" i="11"/>
  <c r="F34" i="11"/>
  <c r="E34" i="11"/>
  <c r="D34" i="11"/>
  <c r="C34" i="11"/>
  <c r="B34" i="11"/>
  <c r="J33" i="11"/>
  <c r="G33" i="11"/>
  <c r="F33" i="11"/>
  <c r="E33" i="11"/>
  <c r="D33" i="11"/>
  <c r="C33" i="11"/>
  <c r="B33" i="11"/>
  <c r="J32" i="11"/>
  <c r="G32" i="11"/>
  <c r="F32" i="11"/>
  <c r="E32" i="11"/>
  <c r="D32" i="11"/>
  <c r="C32" i="11"/>
  <c r="B32" i="11"/>
  <c r="J31" i="11"/>
  <c r="G31" i="11"/>
  <c r="F31" i="11"/>
  <c r="E31" i="11"/>
  <c r="D31" i="11"/>
  <c r="C31" i="11"/>
  <c r="B31" i="11"/>
  <c r="J30" i="11"/>
  <c r="G30" i="11"/>
  <c r="F30" i="11"/>
  <c r="E30" i="11"/>
  <c r="D30" i="11"/>
  <c r="C30" i="11"/>
  <c r="B30" i="11"/>
  <c r="J29" i="11"/>
  <c r="G29" i="11"/>
  <c r="F29" i="11"/>
  <c r="E29" i="11"/>
  <c r="D29" i="11"/>
  <c r="C29" i="11"/>
  <c r="B29" i="11"/>
  <c r="J28" i="11"/>
  <c r="G28" i="11"/>
  <c r="F28" i="11"/>
  <c r="E28" i="11"/>
  <c r="D28" i="11"/>
  <c r="C28" i="11"/>
  <c r="B28" i="11"/>
  <c r="J27" i="11"/>
  <c r="G27" i="11"/>
  <c r="F27" i="11"/>
  <c r="E27" i="11"/>
  <c r="D27" i="11"/>
  <c r="C27" i="11"/>
  <c r="B27" i="11"/>
  <c r="S26" i="11"/>
  <c r="J26" i="11"/>
  <c r="G26" i="11"/>
  <c r="F26" i="11"/>
  <c r="E26" i="11"/>
  <c r="D26" i="11"/>
  <c r="C26" i="11"/>
  <c r="B26" i="11"/>
  <c r="S25" i="11"/>
  <c r="J25" i="11"/>
  <c r="G25" i="11"/>
  <c r="F25" i="11"/>
  <c r="E25" i="11"/>
  <c r="D25" i="11"/>
  <c r="C25" i="11"/>
  <c r="B25" i="11"/>
  <c r="S24" i="11"/>
  <c r="J24" i="11"/>
  <c r="G24" i="11"/>
  <c r="F24" i="11"/>
  <c r="E24" i="11"/>
  <c r="D24" i="11"/>
  <c r="C24" i="11"/>
  <c r="B24" i="11"/>
  <c r="J23" i="11"/>
  <c r="G23" i="11"/>
  <c r="F23" i="11"/>
  <c r="E23" i="11"/>
  <c r="D23" i="11"/>
  <c r="C23" i="11"/>
  <c r="B23" i="11"/>
  <c r="J22" i="11"/>
  <c r="G22" i="11"/>
  <c r="F22" i="11"/>
  <c r="E22" i="11"/>
  <c r="D22" i="11"/>
  <c r="C22" i="11"/>
  <c r="B22" i="11"/>
  <c r="J21" i="11"/>
  <c r="G21" i="11"/>
  <c r="F21" i="11"/>
  <c r="E21" i="11"/>
  <c r="D21" i="11"/>
  <c r="C21" i="11"/>
  <c r="B21" i="11"/>
  <c r="J20" i="11"/>
  <c r="G20" i="11"/>
  <c r="F20" i="11"/>
  <c r="E20" i="11"/>
  <c r="D20" i="11"/>
  <c r="C20" i="11"/>
  <c r="B20" i="11"/>
  <c r="J19" i="11"/>
  <c r="G19" i="11"/>
  <c r="F19" i="11"/>
  <c r="E19" i="11"/>
  <c r="D19" i="11"/>
  <c r="C19" i="11"/>
  <c r="B19" i="11"/>
  <c r="J18" i="11"/>
  <c r="G18" i="11"/>
  <c r="F18" i="11"/>
  <c r="E18" i="11"/>
  <c r="D18" i="11"/>
  <c r="C18" i="11"/>
  <c r="B18" i="11"/>
  <c r="J17" i="11"/>
  <c r="G17" i="11"/>
  <c r="F17" i="11"/>
  <c r="E17" i="11"/>
  <c r="D17" i="11"/>
  <c r="C17" i="11"/>
  <c r="B17" i="11"/>
  <c r="S16" i="11"/>
  <c r="J16" i="11"/>
  <c r="G16" i="11"/>
  <c r="F16" i="11"/>
  <c r="E16" i="11"/>
  <c r="D16" i="11"/>
  <c r="C16" i="11"/>
  <c r="B16" i="11"/>
  <c r="S15" i="11"/>
  <c r="J15" i="11"/>
  <c r="G15" i="11"/>
  <c r="F15" i="11"/>
  <c r="E15" i="11"/>
  <c r="D15" i="11"/>
  <c r="C15" i="11"/>
  <c r="B15" i="11"/>
  <c r="J14" i="11"/>
  <c r="G14" i="11"/>
  <c r="F14" i="11"/>
  <c r="E14" i="11"/>
  <c r="D14" i="11"/>
  <c r="C14" i="11"/>
  <c r="B14" i="11"/>
  <c r="J13" i="11"/>
  <c r="G13" i="11"/>
  <c r="F13" i="11"/>
  <c r="E13" i="11"/>
  <c r="D13" i="11"/>
  <c r="C13" i="11"/>
  <c r="B13" i="11"/>
  <c r="J12" i="11"/>
  <c r="G12" i="11"/>
  <c r="F12" i="11"/>
  <c r="E12" i="11"/>
  <c r="D12" i="11"/>
  <c r="C12" i="11"/>
  <c r="B12" i="11"/>
  <c r="J11" i="11"/>
  <c r="G11" i="11"/>
  <c r="F11" i="11"/>
  <c r="E11" i="11"/>
  <c r="D11" i="11"/>
  <c r="C11" i="11"/>
  <c r="B11" i="11"/>
  <c r="S10" i="11"/>
  <c r="J10" i="11"/>
  <c r="G10" i="11"/>
  <c r="F10" i="11"/>
  <c r="E10" i="11"/>
  <c r="D10" i="11"/>
  <c r="C10" i="11"/>
  <c r="B10" i="11"/>
  <c r="J9" i="11"/>
  <c r="G9" i="11"/>
  <c r="F9" i="11"/>
  <c r="E9" i="11"/>
  <c r="D9" i="11"/>
  <c r="C9" i="11"/>
  <c r="B9" i="11"/>
  <c r="S8" i="11"/>
  <c r="J8" i="11"/>
  <c r="G8" i="11"/>
  <c r="F8" i="11"/>
  <c r="E8" i="11"/>
  <c r="D8" i="11"/>
  <c r="C8" i="11"/>
  <c r="B8" i="11"/>
  <c r="S7" i="11"/>
  <c r="J7" i="11"/>
  <c r="G7" i="11"/>
  <c r="F7" i="11"/>
  <c r="E7" i="11"/>
  <c r="D7" i="11"/>
  <c r="C7" i="11"/>
  <c r="B7" i="11"/>
  <c r="S6" i="11"/>
  <c r="J6" i="11"/>
  <c r="G6" i="11"/>
  <c r="F6" i="11"/>
  <c r="E6" i="11"/>
  <c r="D6" i="11"/>
  <c r="C6" i="11"/>
  <c r="B6" i="11"/>
  <c r="S5" i="11"/>
  <c r="J5" i="11"/>
  <c r="G5" i="11"/>
  <c r="F5" i="11"/>
  <c r="E5" i="11"/>
  <c r="D5" i="11"/>
  <c r="C5" i="11"/>
  <c r="B5" i="11"/>
  <c r="J4" i="11"/>
  <c r="G4" i="11"/>
  <c r="F4" i="11"/>
  <c r="E4" i="11"/>
  <c r="D4" i="11"/>
  <c r="C4" i="11"/>
  <c r="B4" i="11"/>
  <c r="J3" i="11"/>
  <c r="G3" i="11"/>
  <c r="F3" i="11"/>
  <c r="E3" i="11"/>
  <c r="D3" i="11"/>
  <c r="C3" i="11"/>
  <c r="B3" i="11"/>
  <c r="J2" i="11"/>
  <c r="G2" i="11"/>
  <c r="F2" i="11"/>
  <c r="E2" i="11"/>
  <c r="D2" i="11"/>
  <c r="C2" i="11"/>
  <c r="B2" i="11"/>
  <c r="J18" i="9"/>
  <c r="AU57" i="8"/>
  <c r="AS57" i="8"/>
  <c r="C56" i="8"/>
  <c r="C54" i="8"/>
  <c r="AP52" i="8"/>
  <c r="C52" i="8"/>
  <c r="AP50" i="8"/>
  <c r="C50" i="8"/>
  <c r="AP48" i="8"/>
  <c r="C48" i="8"/>
  <c r="AP46" i="8"/>
  <c r="C46" i="8"/>
  <c r="AP44" i="8"/>
  <c r="C44" i="8"/>
  <c r="AP42" i="8"/>
  <c r="C42" i="8"/>
  <c r="AP40" i="8"/>
  <c r="C40" i="8"/>
  <c r="AP38" i="8"/>
  <c r="C38" i="8"/>
  <c r="AP36" i="8"/>
  <c r="C36" i="8"/>
  <c r="AP34" i="8"/>
  <c r="C34" i="8"/>
  <c r="AP32" i="8"/>
  <c r="C32" i="8"/>
  <c r="AP30" i="8"/>
  <c r="C30" i="8"/>
  <c r="AP28" i="8"/>
  <c r="C28" i="8"/>
  <c r="AP26" i="8"/>
  <c r="C26" i="8"/>
  <c r="AP24" i="8"/>
  <c r="C24" i="8"/>
  <c r="AP22" i="8"/>
  <c r="C22" i="8"/>
  <c r="AP20" i="8"/>
  <c r="C20" i="8"/>
  <c r="AP18" i="8"/>
  <c r="C18" i="8"/>
  <c r="AP16" i="8"/>
  <c r="C16" i="8"/>
  <c r="A16" i="8"/>
  <c r="A18" i="8" s="1"/>
  <c r="A20" i="8" s="1"/>
  <c r="A22" i="8" s="1"/>
  <c r="A24" i="8" s="1"/>
  <c r="A26" i="8" s="1"/>
  <c r="A28" i="8" s="1"/>
  <c r="A30" i="8" s="1"/>
  <c r="A32" i="8" s="1"/>
  <c r="A34" i="8" s="1"/>
  <c r="A36" i="8" s="1"/>
  <c r="A38" i="8" s="1"/>
  <c r="A40" i="8" s="1"/>
  <c r="A42" i="8" s="1"/>
  <c r="A44" i="8" s="1"/>
  <c r="A46" i="8" s="1"/>
  <c r="A48" i="8" s="1"/>
  <c r="A50" i="8" s="1"/>
  <c r="A52" i="8" s="1"/>
  <c r="A54" i="8" s="1"/>
  <c r="AP14" i="8"/>
  <c r="C14" i="8"/>
  <c r="A14" i="8"/>
  <c r="AP12" i="8"/>
  <c r="C12" i="8"/>
  <c r="AJ10" i="8"/>
  <c r="AC10" i="8"/>
  <c r="Q10" i="8"/>
  <c r="F7" i="8"/>
  <c r="D17" i="6"/>
  <c r="D16" i="6"/>
  <c r="D3" i="6"/>
  <c r="D2" i="6"/>
  <c r="D1" i="6"/>
  <c r="J726" i="5"/>
  <c r="J725" i="5"/>
  <c r="J724" i="5"/>
  <c r="J723" i="5"/>
  <c r="J722" i="5"/>
  <c r="J721" i="5"/>
  <c r="Z720" i="5"/>
  <c r="W720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Z697" i="5"/>
  <c r="W697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Z685" i="5"/>
  <c r="W685" i="5"/>
  <c r="J685" i="5"/>
  <c r="J684" i="5"/>
  <c r="J683" i="5"/>
  <c r="Z682" i="5"/>
  <c r="W682" i="5"/>
  <c r="J682" i="5"/>
  <c r="J681" i="5"/>
  <c r="J680" i="5"/>
  <c r="J679" i="5"/>
  <c r="J678" i="5"/>
  <c r="Z677" i="5"/>
  <c r="W677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Z632" i="5"/>
  <c r="W632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Z601" i="5"/>
  <c r="W601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Z516" i="5"/>
  <c r="W516" i="5"/>
  <c r="J516" i="5"/>
  <c r="J515" i="5"/>
  <c r="J514" i="5"/>
  <c r="J513" i="5"/>
  <c r="J512" i="5"/>
  <c r="J511" i="5"/>
  <c r="J510" i="5"/>
  <c r="J509" i="5"/>
  <c r="J508" i="5"/>
  <c r="Z507" i="5"/>
  <c r="W507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Z490" i="5"/>
  <c r="W490" i="5"/>
  <c r="J490" i="5"/>
  <c r="Z489" i="5"/>
  <c r="W489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Z446" i="5"/>
  <c r="W446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Z434" i="5"/>
  <c r="W434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Z403" i="5"/>
  <c r="W403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Z389" i="5"/>
  <c r="W389" i="5"/>
  <c r="J389" i="5"/>
  <c r="J388" i="5"/>
  <c r="J387" i="5"/>
  <c r="J386" i="5"/>
  <c r="J385" i="5"/>
  <c r="J384" i="5"/>
  <c r="J383" i="5"/>
  <c r="J382" i="5"/>
  <c r="Z381" i="5"/>
  <c r="W381" i="5"/>
  <c r="J381" i="5"/>
  <c r="J380" i="5"/>
  <c r="J379" i="5"/>
  <c r="J378" i="5"/>
  <c r="J377" i="5"/>
  <c r="J376" i="5"/>
  <c r="J375" i="5"/>
  <c r="Z374" i="5"/>
  <c r="W374" i="5"/>
  <c r="J374" i="5"/>
  <c r="J373" i="5"/>
  <c r="J372" i="5"/>
  <c r="J371" i="5"/>
  <c r="J370" i="5"/>
  <c r="J369" i="5"/>
  <c r="J368" i="5"/>
  <c r="J367" i="5"/>
  <c r="J366" i="5"/>
  <c r="Z365" i="5"/>
  <c r="W365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Z351" i="5"/>
  <c r="W351" i="5"/>
  <c r="J351" i="5"/>
  <c r="J350" i="5"/>
  <c r="J349" i="5"/>
  <c r="J348" i="5"/>
  <c r="J347" i="5"/>
  <c r="J346" i="5"/>
  <c r="J345" i="5"/>
  <c r="J344" i="5"/>
  <c r="S343" i="5"/>
  <c r="J343" i="5"/>
  <c r="S342" i="5"/>
  <c r="J342" i="5"/>
  <c r="S341" i="5"/>
  <c r="J341" i="5"/>
  <c r="S340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Z274" i="5"/>
  <c r="W274" i="5"/>
  <c r="J274" i="5"/>
  <c r="J273" i="5"/>
  <c r="J272" i="5"/>
  <c r="J271" i="5"/>
  <c r="J270" i="5"/>
  <c r="Z269" i="5"/>
  <c r="W269" i="5"/>
  <c r="J269" i="5"/>
  <c r="J268" i="5"/>
  <c r="J267" i="5"/>
  <c r="J266" i="5"/>
  <c r="J265" i="5"/>
  <c r="Z264" i="5"/>
  <c r="W264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Z241" i="5"/>
  <c r="W241" i="5"/>
  <c r="J241" i="5"/>
  <c r="J240" i="5"/>
  <c r="J239" i="5"/>
  <c r="J238" i="5"/>
  <c r="J237" i="5"/>
  <c r="Z236" i="5"/>
  <c r="W236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Z219" i="5"/>
  <c r="W219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Z206" i="5"/>
  <c r="W206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Z155" i="5"/>
  <c r="W155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Z136" i="5"/>
  <c r="W136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Z94" i="5"/>
  <c r="W94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Z53" i="5"/>
  <c r="W53" i="5"/>
  <c r="J53" i="5"/>
  <c r="J52" i="5"/>
  <c r="J51" i="5"/>
  <c r="G51" i="5"/>
  <c r="F51" i="5"/>
  <c r="E51" i="5"/>
  <c r="D51" i="5"/>
  <c r="C51" i="5"/>
  <c r="B51" i="5"/>
  <c r="J50" i="5"/>
  <c r="G50" i="5"/>
  <c r="F50" i="5"/>
  <c r="E50" i="5"/>
  <c r="D50" i="5"/>
  <c r="C50" i="5"/>
  <c r="B50" i="5"/>
  <c r="J49" i="5"/>
  <c r="G49" i="5"/>
  <c r="F49" i="5"/>
  <c r="E49" i="5"/>
  <c r="D49" i="5"/>
  <c r="C49" i="5"/>
  <c r="B49" i="5"/>
  <c r="J48" i="5"/>
  <c r="G48" i="5"/>
  <c r="F48" i="5"/>
  <c r="E48" i="5"/>
  <c r="D48" i="5"/>
  <c r="C48" i="5"/>
  <c r="B48" i="5"/>
  <c r="J47" i="5"/>
  <c r="G47" i="5"/>
  <c r="F47" i="5"/>
  <c r="E47" i="5"/>
  <c r="D47" i="5"/>
  <c r="C47" i="5"/>
  <c r="B47" i="5"/>
  <c r="Z46" i="5"/>
  <c r="W46" i="5"/>
  <c r="J46" i="5"/>
  <c r="G46" i="5"/>
  <c r="F46" i="5"/>
  <c r="E46" i="5"/>
  <c r="D46" i="5"/>
  <c r="C46" i="5"/>
  <c r="B46" i="5"/>
  <c r="J45" i="5"/>
  <c r="G45" i="5"/>
  <c r="F45" i="5"/>
  <c r="E45" i="5"/>
  <c r="D45" i="5"/>
  <c r="C45" i="5"/>
  <c r="B45" i="5"/>
  <c r="J44" i="5"/>
  <c r="G44" i="5"/>
  <c r="F44" i="5"/>
  <c r="E44" i="5"/>
  <c r="D44" i="5"/>
  <c r="C44" i="5"/>
  <c r="B44" i="5"/>
  <c r="J43" i="5"/>
  <c r="G43" i="5"/>
  <c r="F43" i="5"/>
  <c r="E43" i="5"/>
  <c r="D43" i="5"/>
  <c r="C43" i="5"/>
  <c r="B43" i="5"/>
  <c r="J42" i="5"/>
  <c r="G42" i="5"/>
  <c r="F42" i="5"/>
  <c r="E42" i="5"/>
  <c r="D42" i="5"/>
  <c r="C42" i="5"/>
  <c r="B42" i="5"/>
  <c r="J41" i="5"/>
  <c r="G41" i="5"/>
  <c r="F41" i="5"/>
  <c r="E41" i="5"/>
  <c r="D41" i="5"/>
  <c r="C41" i="5"/>
  <c r="B41" i="5"/>
  <c r="J40" i="5"/>
  <c r="G40" i="5"/>
  <c r="F40" i="5"/>
  <c r="E40" i="5"/>
  <c r="D40" i="5"/>
  <c r="C40" i="5"/>
  <c r="B40" i="5"/>
  <c r="J39" i="5"/>
  <c r="G39" i="5"/>
  <c r="F39" i="5"/>
  <c r="E39" i="5"/>
  <c r="D39" i="5"/>
  <c r="C39" i="5"/>
  <c r="B39" i="5"/>
  <c r="J38" i="5"/>
  <c r="G38" i="5"/>
  <c r="F38" i="5"/>
  <c r="E38" i="5"/>
  <c r="D38" i="5"/>
  <c r="C38" i="5"/>
  <c r="B38" i="5"/>
  <c r="J37" i="5"/>
  <c r="G37" i="5"/>
  <c r="F37" i="5"/>
  <c r="E37" i="5"/>
  <c r="D37" i="5"/>
  <c r="C37" i="5"/>
  <c r="B37" i="5"/>
  <c r="J36" i="5"/>
  <c r="G36" i="5"/>
  <c r="F36" i="5"/>
  <c r="E36" i="5"/>
  <c r="D36" i="5"/>
  <c r="C36" i="5"/>
  <c r="B36" i="5"/>
  <c r="J35" i="5"/>
  <c r="G35" i="5"/>
  <c r="F35" i="5"/>
  <c r="E35" i="5"/>
  <c r="D35" i="5"/>
  <c r="C35" i="5"/>
  <c r="B35" i="5"/>
  <c r="J34" i="5"/>
  <c r="G34" i="5"/>
  <c r="F34" i="5"/>
  <c r="E34" i="5"/>
  <c r="D34" i="5"/>
  <c r="C34" i="5"/>
  <c r="B34" i="5"/>
  <c r="J33" i="5"/>
  <c r="G33" i="5"/>
  <c r="F33" i="5"/>
  <c r="E33" i="5"/>
  <c r="D33" i="5"/>
  <c r="C33" i="5"/>
  <c r="B33" i="5"/>
  <c r="J32" i="5"/>
  <c r="G32" i="5"/>
  <c r="F32" i="5"/>
  <c r="E32" i="5"/>
  <c r="D32" i="5"/>
  <c r="C32" i="5"/>
  <c r="B32" i="5"/>
  <c r="J31" i="5"/>
  <c r="G31" i="5"/>
  <c r="F31" i="5"/>
  <c r="E31" i="5"/>
  <c r="D31" i="5"/>
  <c r="C31" i="5"/>
  <c r="B31" i="5"/>
  <c r="J30" i="5"/>
  <c r="G30" i="5"/>
  <c r="F30" i="5"/>
  <c r="E30" i="5"/>
  <c r="D30" i="5"/>
  <c r="C30" i="5"/>
  <c r="B30" i="5"/>
  <c r="J29" i="5"/>
  <c r="G29" i="5"/>
  <c r="F29" i="5"/>
  <c r="E29" i="5"/>
  <c r="D29" i="5"/>
  <c r="C29" i="5"/>
  <c r="B29" i="5"/>
  <c r="J28" i="5"/>
  <c r="G28" i="5"/>
  <c r="F28" i="5"/>
  <c r="E28" i="5"/>
  <c r="D28" i="5"/>
  <c r="C28" i="5"/>
  <c r="B28" i="5"/>
  <c r="J27" i="5"/>
  <c r="G27" i="5"/>
  <c r="F27" i="5"/>
  <c r="E27" i="5"/>
  <c r="D27" i="5"/>
  <c r="C27" i="5"/>
  <c r="B27" i="5"/>
  <c r="J26" i="5"/>
  <c r="G26" i="5"/>
  <c r="F26" i="5"/>
  <c r="E26" i="5"/>
  <c r="D26" i="5"/>
  <c r="C26" i="5"/>
  <c r="B26" i="5"/>
  <c r="J25" i="5"/>
  <c r="G25" i="5"/>
  <c r="F25" i="5"/>
  <c r="E25" i="5"/>
  <c r="D25" i="5"/>
  <c r="C25" i="5"/>
  <c r="B25" i="5"/>
  <c r="J24" i="5"/>
  <c r="G24" i="5"/>
  <c r="F24" i="5"/>
  <c r="E24" i="5"/>
  <c r="D24" i="5"/>
  <c r="C24" i="5"/>
  <c r="B24" i="5"/>
  <c r="J23" i="5"/>
  <c r="G23" i="5"/>
  <c r="F23" i="5"/>
  <c r="E23" i="5"/>
  <c r="D23" i="5"/>
  <c r="C23" i="5"/>
  <c r="B23" i="5"/>
  <c r="J22" i="5"/>
  <c r="G22" i="5"/>
  <c r="F22" i="5"/>
  <c r="E22" i="5"/>
  <c r="D22" i="5"/>
  <c r="C22" i="5"/>
  <c r="B22" i="5"/>
  <c r="J21" i="5"/>
  <c r="G21" i="5"/>
  <c r="F21" i="5"/>
  <c r="E21" i="5"/>
  <c r="D21" i="5"/>
  <c r="C21" i="5"/>
  <c r="B21" i="5"/>
  <c r="J20" i="5"/>
  <c r="G20" i="5"/>
  <c r="F20" i="5"/>
  <c r="E20" i="5"/>
  <c r="D20" i="5"/>
  <c r="C20" i="5"/>
  <c r="B20" i="5"/>
  <c r="J19" i="5"/>
  <c r="G19" i="5"/>
  <c r="F19" i="5"/>
  <c r="E19" i="5"/>
  <c r="D19" i="5"/>
  <c r="C19" i="5"/>
  <c r="B19" i="5"/>
  <c r="J18" i="5"/>
  <c r="G18" i="5"/>
  <c r="F18" i="5"/>
  <c r="E18" i="5"/>
  <c r="D18" i="5"/>
  <c r="C18" i="5"/>
  <c r="B18" i="5"/>
  <c r="J17" i="5"/>
  <c r="G17" i="5"/>
  <c r="F17" i="5"/>
  <c r="E17" i="5"/>
  <c r="D17" i="5"/>
  <c r="C17" i="5"/>
  <c r="B17" i="5"/>
  <c r="J16" i="5"/>
  <c r="G16" i="5"/>
  <c r="F16" i="5"/>
  <c r="E16" i="5"/>
  <c r="D16" i="5"/>
  <c r="C16" i="5"/>
  <c r="B16" i="5"/>
  <c r="J15" i="5"/>
  <c r="G15" i="5"/>
  <c r="F15" i="5"/>
  <c r="E15" i="5"/>
  <c r="D15" i="5"/>
  <c r="C15" i="5"/>
  <c r="B15" i="5"/>
  <c r="J14" i="5"/>
  <c r="G14" i="5"/>
  <c r="F14" i="5"/>
  <c r="E14" i="5"/>
  <c r="D14" i="5"/>
  <c r="C14" i="5"/>
  <c r="B14" i="5"/>
  <c r="J13" i="5"/>
  <c r="G13" i="5"/>
  <c r="F13" i="5"/>
  <c r="E13" i="5"/>
  <c r="D13" i="5"/>
  <c r="C13" i="5"/>
  <c r="B13" i="5"/>
  <c r="J12" i="5"/>
  <c r="G12" i="5"/>
  <c r="F12" i="5"/>
  <c r="E12" i="5"/>
  <c r="D12" i="5"/>
  <c r="C12" i="5"/>
  <c r="B12" i="5"/>
  <c r="J11" i="5"/>
  <c r="G11" i="5"/>
  <c r="F11" i="5"/>
  <c r="E11" i="5"/>
  <c r="D11" i="5"/>
  <c r="C11" i="5"/>
  <c r="B11" i="5"/>
  <c r="J10" i="5"/>
  <c r="G10" i="5"/>
  <c r="F10" i="5"/>
  <c r="E10" i="5"/>
  <c r="D10" i="5"/>
  <c r="C10" i="5"/>
  <c r="B10" i="5"/>
  <c r="J9" i="5"/>
  <c r="G9" i="5"/>
  <c r="F9" i="5"/>
  <c r="E9" i="5"/>
  <c r="D9" i="5"/>
  <c r="C9" i="5"/>
  <c r="B9" i="5"/>
  <c r="J8" i="5"/>
  <c r="G8" i="5"/>
  <c r="F8" i="5"/>
  <c r="E8" i="5"/>
  <c r="D8" i="5"/>
  <c r="C8" i="5"/>
  <c r="B8" i="5"/>
  <c r="J7" i="5"/>
  <c r="G7" i="5"/>
  <c r="F7" i="5"/>
  <c r="E7" i="5"/>
  <c r="D7" i="5"/>
  <c r="C7" i="5"/>
  <c r="B7" i="5"/>
  <c r="J6" i="5"/>
  <c r="G6" i="5"/>
  <c r="F6" i="5"/>
  <c r="E6" i="5"/>
  <c r="D6" i="5"/>
  <c r="C6" i="5"/>
  <c r="B6" i="5"/>
  <c r="J5" i="5"/>
  <c r="G5" i="5"/>
  <c r="F5" i="5"/>
  <c r="E5" i="5"/>
  <c r="D5" i="5"/>
  <c r="C5" i="5"/>
  <c r="B5" i="5"/>
  <c r="J4" i="5"/>
  <c r="G4" i="5"/>
  <c r="F4" i="5"/>
  <c r="E4" i="5"/>
  <c r="D4" i="5"/>
  <c r="C4" i="5"/>
  <c r="B4" i="5"/>
  <c r="Z3" i="5"/>
  <c r="W3" i="5"/>
  <c r="J3" i="5"/>
  <c r="G3" i="5"/>
  <c r="F3" i="5"/>
  <c r="E3" i="5"/>
  <c r="D3" i="5"/>
  <c r="C3" i="5"/>
  <c r="B3" i="5"/>
  <c r="Z2" i="5"/>
  <c r="W2" i="5"/>
  <c r="U2" i="5" a="1"/>
  <c r="U244" i="5" s="1"/>
  <c r="J2" i="5"/>
  <c r="G2" i="5"/>
  <c r="F2" i="5"/>
  <c r="E2" i="5"/>
  <c r="D2" i="5"/>
  <c r="C2" i="5"/>
  <c r="B2" i="5"/>
  <c r="D17" i="4"/>
  <c r="D16" i="4"/>
  <c r="D15" i="4"/>
  <c r="D14" i="4"/>
  <c r="U74" i="5" l="1"/>
  <c r="U182" i="5"/>
  <c r="U721" i="5"/>
  <c r="U715" i="5"/>
  <c r="U709" i="5"/>
  <c r="U703" i="5"/>
  <c r="U697" i="5"/>
  <c r="U691" i="5"/>
  <c r="U685" i="5"/>
  <c r="U679" i="5"/>
  <c r="U673" i="5"/>
  <c r="U667" i="5"/>
  <c r="U661" i="5"/>
  <c r="U655" i="5"/>
  <c r="U649" i="5"/>
  <c r="U643" i="5"/>
  <c r="U637" i="5"/>
  <c r="U631" i="5"/>
  <c r="U625" i="5"/>
  <c r="U619" i="5"/>
  <c r="U613" i="5"/>
  <c r="U607" i="5"/>
  <c r="U601" i="5"/>
  <c r="U595" i="5"/>
  <c r="U589" i="5"/>
  <c r="U583" i="5"/>
  <c r="U577" i="5"/>
  <c r="U571" i="5"/>
  <c r="U565" i="5"/>
  <c r="U559" i="5"/>
  <c r="U553" i="5"/>
  <c r="U547" i="5"/>
  <c r="U541" i="5"/>
  <c r="U535" i="5"/>
  <c r="U529" i="5"/>
  <c r="U523" i="5"/>
  <c r="U517" i="5"/>
  <c r="U511" i="5"/>
  <c r="U505" i="5"/>
  <c r="U499" i="5"/>
  <c r="U493" i="5"/>
  <c r="U487" i="5"/>
  <c r="U481" i="5"/>
  <c r="U475" i="5"/>
  <c r="U469" i="5"/>
  <c r="U463" i="5"/>
  <c r="U457" i="5"/>
  <c r="U451" i="5"/>
  <c r="U445" i="5"/>
  <c r="U439" i="5"/>
  <c r="U433" i="5"/>
  <c r="U427" i="5"/>
  <c r="U421" i="5"/>
  <c r="U415" i="5"/>
  <c r="U409" i="5"/>
  <c r="U403" i="5"/>
  <c r="U397" i="5"/>
  <c r="U391" i="5"/>
  <c r="U385" i="5"/>
  <c r="U379" i="5"/>
  <c r="U373" i="5"/>
  <c r="U367" i="5"/>
  <c r="U361" i="5"/>
  <c r="U355" i="5"/>
  <c r="U349" i="5"/>
  <c r="U343" i="5"/>
  <c r="U337" i="5"/>
  <c r="U331" i="5"/>
  <c r="U325" i="5"/>
  <c r="U319" i="5"/>
  <c r="U313" i="5"/>
  <c r="U307" i="5"/>
  <c r="U726" i="5"/>
  <c r="U720" i="5"/>
  <c r="U714" i="5"/>
  <c r="U708" i="5"/>
  <c r="U702" i="5"/>
  <c r="U696" i="5"/>
  <c r="U690" i="5"/>
  <c r="U684" i="5"/>
  <c r="U678" i="5"/>
  <c r="U672" i="5"/>
  <c r="U666" i="5"/>
  <c r="U660" i="5"/>
  <c r="U654" i="5"/>
  <c r="U648" i="5"/>
  <c r="U642" i="5"/>
  <c r="U636" i="5"/>
  <c r="U630" i="5"/>
  <c r="U624" i="5"/>
  <c r="U618" i="5"/>
  <c r="U612" i="5"/>
  <c r="U606" i="5"/>
  <c r="U600" i="5"/>
  <c r="U594" i="5"/>
  <c r="U588" i="5"/>
  <c r="U582" i="5"/>
  <c r="U576" i="5"/>
  <c r="U570" i="5"/>
  <c r="U564" i="5"/>
  <c r="U558" i="5"/>
  <c r="U552" i="5"/>
  <c r="U546" i="5"/>
  <c r="U540" i="5"/>
  <c r="U534" i="5"/>
  <c r="U528" i="5"/>
  <c r="U522" i="5"/>
  <c r="U516" i="5"/>
  <c r="U510" i="5"/>
  <c r="U504" i="5"/>
  <c r="U498" i="5"/>
  <c r="U492" i="5"/>
  <c r="U486" i="5"/>
  <c r="U480" i="5"/>
  <c r="U474" i="5"/>
  <c r="U468" i="5"/>
  <c r="U462" i="5"/>
  <c r="U456" i="5"/>
  <c r="U450" i="5"/>
  <c r="U444" i="5"/>
  <c r="U438" i="5"/>
  <c r="U432" i="5"/>
  <c r="U426" i="5"/>
  <c r="U420" i="5"/>
  <c r="U414" i="5"/>
  <c r="U408" i="5"/>
  <c r="U402" i="5"/>
  <c r="U396" i="5"/>
  <c r="U390" i="5"/>
  <c r="U384" i="5"/>
  <c r="U378" i="5"/>
  <c r="U372" i="5"/>
  <c r="U366" i="5"/>
  <c r="U360" i="5"/>
  <c r="U354" i="5"/>
  <c r="U348" i="5"/>
  <c r="U342" i="5"/>
  <c r="U336" i="5"/>
  <c r="U330" i="5"/>
  <c r="U324" i="5"/>
  <c r="U318" i="5"/>
  <c r="U312" i="5"/>
  <c r="U306" i="5"/>
  <c r="U300" i="5"/>
  <c r="U294" i="5"/>
  <c r="U288" i="5"/>
  <c r="U282" i="5"/>
  <c r="U276" i="5"/>
  <c r="U270" i="5"/>
  <c r="U264" i="5"/>
  <c r="U258" i="5"/>
  <c r="U252" i="5"/>
  <c r="U246" i="5"/>
  <c r="U240" i="5"/>
  <c r="U234" i="5"/>
  <c r="U228" i="5"/>
  <c r="U222" i="5"/>
  <c r="U725" i="5"/>
  <c r="U719" i="5"/>
  <c r="U713" i="5"/>
  <c r="U707" i="5"/>
  <c r="U701" i="5"/>
  <c r="U695" i="5"/>
  <c r="U689" i="5"/>
  <c r="U683" i="5"/>
  <c r="U677" i="5"/>
  <c r="U671" i="5"/>
  <c r="U665" i="5"/>
  <c r="U659" i="5"/>
  <c r="U653" i="5"/>
  <c r="U647" i="5"/>
  <c r="U641" i="5"/>
  <c r="U635" i="5"/>
  <c r="U629" i="5"/>
  <c r="U623" i="5"/>
  <c r="U617" i="5"/>
  <c r="U611" i="5"/>
  <c r="U605" i="5"/>
  <c r="U599" i="5"/>
  <c r="U593" i="5"/>
  <c r="U587" i="5"/>
  <c r="U581" i="5"/>
  <c r="U575" i="5"/>
  <c r="U569" i="5"/>
  <c r="U563" i="5"/>
  <c r="U557" i="5"/>
  <c r="U551" i="5"/>
  <c r="U545" i="5"/>
  <c r="U539" i="5"/>
  <c r="U533" i="5"/>
  <c r="U527" i="5"/>
  <c r="U521" i="5"/>
  <c r="U515" i="5"/>
  <c r="U509" i="5"/>
  <c r="U503" i="5"/>
  <c r="U497" i="5"/>
  <c r="U491" i="5"/>
  <c r="U485" i="5"/>
  <c r="U479" i="5"/>
  <c r="U473" i="5"/>
  <c r="U467" i="5"/>
  <c r="U461" i="5"/>
  <c r="U455" i="5"/>
  <c r="U449" i="5"/>
  <c r="U443" i="5"/>
  <c r="U437" i="5"/>
  <c r="U431" i="5"/>
  <c r="U425" i="5"/>
  <c r="U419" i="5"/>
  <c r="U413" i="5"/>
  <c r="U407" i="5"/>
  <c r="U401" i="5"/>
  <c r="U395" i="5"/>
  <c r="U389" i="5"/>
  <c r="U383" i="5"/>
  <c r="U377" i="5"/>
  <c r="U371" i="5"/>
  <c r="U365" i="5"/>
  <c r="U724" i="5"/>
  <c r="U718" i="5"/>
  <c r="U712" i="5"/>
  <c r="U706" i="5"/>
  <c r="U700" i="5"/>
  <c r="U694" i="5"/>
  <c r="U688" i="5"/>
  <c r="U682" i="5"/>
  <c r="U676" i="5"/>
  <c r="U670" i="5"/>
  <c r="U664" i="5"/>
  <c r="U658" i="5"/>
  <c r="U652" i="5"/>
  <c r="U646" i="5"/>
  <c r="U640" i="5"/>
  <c r="U634" i="5"/>
  <c r="U628" i="5"/>
  <c r="U622" i="5"/>
  <c r="U616" i="5"/>
  <c r="U610" i="5"/>
  <c r="U604" i="5"/>
  <c r="U598" i="5"/>
  <c r="U592" i="5"/>
  <c r="U586" i="5"/>
  <c r="U580" i="5"/>
  <c r="U574" i="5"/>
  <c r="U568" i="5"/>
  <c r="U562" i="5"/>
  <c r="U556" i="5"/>
  <c r="U550" i="5"/>
  <c r="U544" i="5"/>
  <c r="U538" i="5"/>
  <c r="U532" i="5"/>
  <c r="U526" i="5"/>
  <c r="U520" i="5"/>
  <c r="U514" i="5"/>
  <c r="U508" i="5"/>
  <c r="U502" i="5"/>
  <c r="U496" i="5"/>
  <c r="U490" i="5"/>
  <c r="U484" i="5"/>
  <c r="U478" i="5"/>
  <c r="U472" i="5"/>
  <c r="U466" i="5"/>
  <c r="U460" i="5"/>
  <c r="U454" i="5"/>
  <c r="U448" i="5"/>
  <c r="U442" i="5"/>
  <c r="U436" i="5"/>
  <c r="U430" i="5"/>
  <c r="U424" i="5"/>
  <c r="U418" i="5"/>
  <c r="U412" i="5"/>
  <c r="U406" i="5"/>
  <c r="U400" i="5"/>
  <c r="U394" i="5"/>
  <c r="U388" i="5"/>
  <c r="U382" i="5"/>
  <c r="U376" i="5"/>
  <c r="U370" i="5"/>
  <c r="U364" i="5"/>
  <c r="U358" i="5"/>
  <c r="U352" i="5"/>
  <c r="U346" i="5"/>
  <c r="U340" i="5"/>
  <c r="U334" i="5"/>
  <c r="U328" i="5"/>
  <c r="U322" i="5"/>
  <c r="U316" i="5"/>
  <c r="U723" i="5"/>
  <c r="U717" i="5"/>
  <c r="U711" i="5"/>
  <c r="U705" i="5"/>
  <c r="U699" i="5"/>
  <c r="U693" i="5"/>
  <c r="U687" i="5"/>
  <c r="U681" i="5"/>
  <c r="U675" i="5"/>
  <c r="U669" i="5"/>
  <c r="U663" i="5"/>
  <c r="U657" i="5"/>
  <c r="U651" i="5"/>
  <c r="U645" i="5"/>
  <c r="U639" i="5"/>
  <c r="U633" i="5"/>
  <c r="U627" i="5"/>
  <c r="U621" i="5"/>
  <c r="U615" i="5"/>
  <c r="U609" i="5"/>
  <c r="U603" i="5"/>
  <c r="U597" i="5"/>
  <c r="U591" i="5"/>
  <c r="U585" i="5"/>
  <c r="U579" i="5"/>
  <c r="U573" i="5"/>
  <c r="U567" i="5"/>
  <c r="U561" i="5"/>
  <c r="U555" i="5"/>
  <c r="U549" i="5"/>
  <c r="U543" i="5"/>
  <c r="U537" i="5"/>
  <c r="U531" i="5"/>
  <c r="U525" i="5"/>
  <c r="U519" i="5"/>
  <c r="U513" i="5"/>
  <c r="U507" i="5"/>
  <c r="U501" i="5"/>
  <c r="U495" i="5"/>
  <c r="U489" i="5"/>
  <c r="U483" i="5"/>
  <c r="U477" i="5"/>
  <c r="U471" i="5"/>
  <c r="U465" i="5"/>
  <c r="U459" i="5"/>
  <c r="U453" i="5"/>
  <c r="U447" i="5"/>
  <c r="U441" i="5"/>
  <c r="U435" i="5"/>
  <c r="U429" i="5"/>
  <c r="U423" i="5"/>
  <c r="U417" i="5"/>
  <c r="U411" i="5"/>
  <c r="U405" i="5"/>
  <c r="U399" i="5"/>
  <c r="U393" i="5"/>
  <c r="U387" i="5"/>
  <c r="U381" i="5"/>
  <c r="U375" i="5"/>
  <c r="U369" i="5"/>
  <c r="U363" i="5"/>
  <c r="U357" i="5"/>
  <c r="U351" i="5"/>
  <c r="U345" i="5"/>
  <c r="U339" i="5"/>
  <c r="U333" i="5"/>
  <c r="U327" i="5"/>
  <c r="U321" i="5"/>
  <c r="U315" i="5"/>
  <c r="U309" i="5"/>
  <c r="U303" i="5"/>
  <c r="U297" i="5"/>
  <c r="U291" i="5"/>
  <c r="U285" i="5"/>
  <c r="U279" i="5"/>
  <c r="U273" i="5"/>
  <c r="U267" i="5"/>
  <c r="U261" i="5"/>
  <c r="U255" i="5"/>
  <c r="U249" i="5"/>
  <c r="U243" i="5"/>
  <c r="U237" i="5"/>
  <c r="U231" i="5"/>
  <c r="U225" i="5"/>
  <c r="U722" i="5"/>
  <c r="U716" i="5"/>
  <c r="U710" i="5"/>
  <c r="U704" i="5"/>
  <c r="U698" i="5"/>
  <c r="U692" i="5"/>
  <c r="U686" i="5"/>
  <c r="U680" i="5"/>
  <c r="U674" i="5"/>
  <c r="U668" i="5"/>
  <c r="U662" i="5"/>
  <c r="U656" i="5"/>
  <c r="U650" i="5"/>
  <c r="U644" i="5"/>
  <c r="U638" i="5"/>
  <c r="U632" i="5"/>
  <c r="U626" i="5"/>
  <c r="U620" i="5"/>
  <c r="U614" i="5"/>
  <c r="U608" i="5"/>
  <c r="U602" i="5"/>
  <c r="U596" i="5"/>
  <c r="U590" i="5"/>
  <c r="U584" i="5"/>
  <c r="U578" i="5"/>
  <c r="U572" i="5"/>
  <c r="U566" i="5"/>
  <c r="U560" i="5"/>
  <c r="U554" i="5"/>
  <c r="U548" i="5"/>
  <c r="U542" i="5"/>
  <c r="U536" i="5"/>
  <c r="U530" i="5"/>
  <c r="U524" i="5"/>
  <c r="U518" i="5"/>
  <c r="U512" i="5"/>
  <c r="U506" i="5"/>
  <c r="U500" i="5"/>
  <c r="U494" i="5"/>
  <c r="U488" i="5"/>
  <c r="U482" i="5"/>
  <c r="U476" i="5"/>
  <c r="U470" i="5"/>
  <c r="U464" i="5"/>
  <c r="U458" i="5"/>
  <c r="U452" i="5"/>
  <c r="U446" i="5"/>
  <c r="U440" i="5"/>
  <c r="U434" i="5"/>
  <c r="U428" i="5"/>
  <c r="U422" i="5"/>
  <c r="U416" i="5"/>
  <c r="U410" i="5"/>
  <c r="U404" i="5"/>
  <c r="U398" i="5"/>
  <c r="U392" i="5"/>
  <c r="U386" i="5"/>
  <c r="U380" i="5"/>
  <c r="U374" i="5"/>
  <c r="U356" i="5"/>
  <c r="U338" i="5"/>
  <c r="U320" i="5"/>
  <c r="U305" i="5"/>
  <c r="U296" i="5"/>
  <c r="U287" i="5"/>
  <c r="U278" i="5"/>
  <c r="U269" i="5"/>
  <c r="U260" i="5"/>
  <c r="U251" i="5"/>
  <c r="U242" i="5"/>
  <c r="U233" i="5"/>
  <c r="U224" i="5"/>
  <c r="U217" i="5"/>
  <c r="U211" i="5"/>
  <c r="U205" i="5"/>
  <c r="U199" i="5"/>
  <c r="U193" i="5"/>
  <c r="U187" i="5"/>
  <c r="U181" i="5"/>
  <c r="U175" i="5"/>
  <c r="U169" i="5"/>
  <c r="U163" i="5"/>
  <c r="U157" i="5"/>
  <c r="U151" i="5"/>
  <c r="U145" i="5"/>
  <c r="U139" i="5"/>
  <c r="U133" i="5"/>
  <c r="U127" i="5"/>
  <c r="U121" i="5"/>
  <c r="U115" i="5"/>
  <c r="U109" i="5"/>
  <c r="U103" i="5"/>
  <c r="U97" i="5"/>
  <c r="U91" i="5"/>
  <c r="U85" i="5"/>
  <c r="U79" i="5"/>
  <c r="U73" i="5"/>
  <c r="U67" i="5"/>
  <c r="U61" i="5"/>
  <c r="U55" i="5"/>
  <c r="U49" i="5"/>
  <c r="U43" i="5"/>
  <c r="U37" i="5"/>
  <c r="U31" i="5"/>
  <c r="U353" i="5"/>
  <c r="U335" i="5"/>
  <c r="U317" i="5"/>
  <c r="U304" i="5"/>
  <c r="U295" i="5"/>
  <c r="U286" i="5"/>
  <c r="U277" i="5"/>
  <c r="U268" i="5"/>
  <c r="U259" i="5"/>
  <c r="U250" i="5"/>
  <c r="U241" i="5"/>
  <c r="U232" i="5"/>
  <c r="U223" i="5"/>
  <c r="U216" i="5"/>
  <c r="U210" i="5"/>
  <c r="U204" i="5"/>
  <c r="U198" i="5"/>
  <c r="U192" i="5"/>
  <c r="U186" i="5"/>
  <c r="U180" i="5"/>
  <c r="U174" i="5"/>
  <c r="U168" i="5"/>
  <c r="U162" i="5"/>
  <c r="U156" i="5"/>
  <c r="U150" i="5"/>
  <c r="U144" i="5"/>
  <c r="U138" i="5"/>
  <c r="U132" i="5"/>
  <c r="U126" i="5"/>
  <c r="U120" i="5"/>
  <c r="U114" i="5"/>
  <c r="U108" i="5"/>
  <c r="U102" i="5"/>
  <c r="U96" i="5"/>
  <c r="U90" i="5"/>
  <c r="U84" i="5"/>
  <c r="U78" i="5"/>
  <c r="U72" i="5"/>
  <c r="U66" i="5"/>
  <c r="U60" i="5"/>
  <c r="U54" i="5"/>
  <c r="U48" i="5"/>
  <c r="U42" i="5"/>
  <c r="U36" i="5"/>
  <c r="U30" i="5"/>
  <c r="U24" i="5"/>
  <c r="U18" i="5"/>
  <c r="U12" i="5"/>
  <c r="U6" i="5"/>
  <c r="U368" i="5"/>
  <c r="U347" i="5"/>
  <c r="U329" i="5"/>
  <c r="U311" i="5"/>
  <c r="U301" i="5"/>
  <c r="U292" i="5"/>
  <c r="U283" i="5"/>
  <c r="U274" i="5"/>
  <c r="U265" i="5"/>
  <c r="U256" i="5"/>
  <c r="U247" i="5"/>
  <c r="U238" i="5"/>
  <c r="U229" i="5"/>
  <c r="U220" i="5"/>
  <c r="U214" i="5"/>
  <c r="U208" i="5"/>
  <c r="U202" i="5"/>
  <c r="U196" i="5"/>
  <c r="U190" i="5"/>
  <c r="U184" i="5"/>
  <c r="U178" i="5"/>
  <c r="U172" i="5"/>
  <c r="U166" i="5"/>
  <c r="U160" i="5"/>
  <c r="U154" i="5"/>
  <c r="U148" i="5"/>
  <c r="U142" i="5"/>
  <c r="U136" i="5"/>
  <c r="U130" i="5"/>
  <c r="U124" i="5"/>
  <c r="U118" i="5"/>
  <c r="U112" i="5"/>
  <c r="U106" i="5"/>
  <c r="U100" i="5"/>
  <c r="U94" i="5"/>
  <c r="U88" i="5"/>
  <c r="U82" i="5"/>
  <c r="U76" i="5"/>
  <c r="U70" i="5"/>
  <c r="U64" i="5"/>
  <c r="U58" i="5"/>
  <c r="U52" i="5"/>
  <c r="U46" i="5"/>
  <c r="U40" i="5"/>
  <c r="U34" i="5"/>
  <c r="U28" i="5"/>
  <c r="U22" i="5"/>
  <c r="U16" i="5"/>
  <c r="U10" i="5"/>
  <c r="U4" i="5"/>
  <c r="U362" i="5"/>
  <c r="U344" i="5"/>
  <c r="U326" i="5"/>
  <c r="U310" i="5"/>
  <c r="U299" i="5"/>
  <c r="U290" i="5"/>
  <c r="U281" i="5"/>
  <c r="U272" i="5"/>
  <c r="U263" i="5"/>
  <c r="U254" i="5"/>
  <c r="U245" i="5"/>
  <c r="U236" i="5"/>
  <c r="U227" i="5"/>
  <c r="U219" i="5"/>
  <c r="U213" i="5"/>
  <c r="U207" i="5"/>
  <c r="U201" i="5"/>
  <c r="U195" i="5"/>
  <c r="U189" i="5"/>
  <c r="U183" i="5"/>
  <c r="U177" i="5"/>
  <c r="U171" i="5"/>
  <c r="U165" i="5"/>
  <c r="U159" i="5"/>
  <c r="U153" i="5"/>
  <c r="U147" i="5"/>
  <c r="U141" i="5"/>
  <c r="U135" i="5"/>
  <c r="U129" i="5"/>
  <c r="U123" i="5"/>
  <c r="U117" i="5"/>
  <c r="U111" i="5"/>
  <c r="U105" i="5"/>
  <c r="U99" i="5"/>
  <c r="U93" i="5"/>
  <c r="U87" i="5"/>
  <c r="U81" i="5"/>
  <c r="U75" i="5"/>
  <c r="U69" i="5"/>
  <c r="U63" i="5"/>
  <c r="U57" i="5"/>
  <c r="U51" i="5"/>
  <c r="U45" i="5"/>
  <c r="U39" i="5"/>
  <c r="U33" i="5"/>
  <c r="U27" i="5"/>
  <c r="U21" i="5"/>
  <c r="U15" i="5"/>
  <c r="U9" i="5"/>
  <c r="U3" i="5"/>
  <c r="U332" i="5"/>
  <c r="U293" i="5"/>
  <c r="U266" i="5"/>
  <c r="U239" i="5"/>
  <c r="U215" i="5"/>
  <c r="U197" i="5"/>
  <c r="U179" i="5"/>
  <c r="U161" i="5"/>
  <c r="U143" i="5"/>
  <c r="U125" i="5"/>
  <c r="U107" i="5"/>
  <c r="U89" i="5"/>
  <c r="U71" i="5"/>
  <c r="U53" i="5"/>
  <c r="U35" i="5"/>
  <c r="U20" i="5"/>
  <c r="U8" i="5"/>
  <c r="U323" i="5"/>
  <c r="U289" i="5"/>
  <c r="U262" i="5"/>
  <c r="U235" i="5"/>
  <c r="U212" i="5"/>
  <c r="U194" i="5"/>
  <c r="U176" i="5"/>
  <c r="U158" i="5"/>
  <c r="U140" i="5"/>
  <c r="U122" i="5"/>
  <c r="U104" i="5"/>
  <c r="U86" i="5"/>
  <c r="U68" i="5"/>
  <c r="U50" i="5"/>
  <c r="U32" i="5"/>
  <c r="U19" i="5"/>
  <c r="U7" i="5"/>
  <c r="U314" i="5"/>
  <c r="U275" i="5"/>
  <c r="U230" i="5"/>
  <c r="U203" i="5"/>
  <c r="U173" i="5"/>
  <c r="U149" i="5"/>
  <c r="U119" i="5"/>
  <c r="U95" i="5"/>
  <c r="U65" i="5"/>
  <c r="U41" i="5"/>
  <c r="U17" i="5"/>
  <c r="U2" i="5"/>
  <c r="U308" i="5"/>
  <c r="U271" i="5"/>
  <c r="U226" i="5"/>
  <c r="U200" i="5"/>
  <c r="U170" i="5"/>
  <c r="U146" i="5"/>
  <c r="U116" i="5"/>
  <c r="U92" i="5"/>
  <c r="U62" i="5"/>
  <c r="U38" i="5"/>
  <c r="U14" i="5"/>
  <c r="U302" i="5"/>
  <c r="U257" i="5"/>
  <c r="U221" i="5"/>
  <c r="U191" i="5"/>
  <c r="U167" i="5"/>
  <c r="U137" i="5"/>
  <c r="U113" i="5"/>
  <c r="U83" i="5"/>
  <c r="U59" i="5"/>
  <c r="U29" i="5"/>
  <c r="U13" i="5"/>
  <c r="U359" i="5"/>
  <c r="U298" i="5"/>
  <c r="U253" i="5"/>
  <c r="U218" i="5"/>
  <c r="U188" i="5"/>
  <c r="U164" i="5"/>
  <c r="U134" i="5"/>
  <c r="U110" i="5"/>
  <c r="U80" i="5"/>
  <c r="U56" i="5"/>
  <c r="U26" i="5"/>
  <c r="U11" i="5"/>
  <c r="U350" i="5"/>
  <c r="U284" i="5"/>
  <c r="U248" i="5"/>
  <c r="U209" i="5"/>
  <c r="U185" i="5"/>
  <c r="U155" i="5"/>
  <c r="U131" i="5"/>
  <c r="U101" i="5"/>
  <c r="U77" i="5"/>
  <c r="U47" i="5"/>
  <c r="U25" i="5"/>
  <c r="U5" i="5"/>
  <c r="U206" i="5"/>
  <c r="U44" i="5"/>
  <c r="U341" i="5"/>
  <c r="U128" i="5"/>
  <c r="U152" i="5"/>
  <c r="U98" i="5"/>
  <c r="U280" i="5"/>
  <c r="U23" i="5"/>
  <c r="H30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" authorId="0" shapeId="0" xr:uid="{00000000-0006-0000-0800-000001000000}">
      <text>
        <r>
          <rPr>
            <sz val="10"/>
            <color rgb="FF000000"/>
            <rFont val="Arial"/>
            <scheme val="minor"/>
          </rPr>
          <t>@maria.fernanda@gvcaeco.com , com sequencias logicas de agrupamentos, conseguimos otimizar a visao da construcao conectada
_Atribuído a maria.fernanda@gvcaeco.com_
	-Guilherme Valente</t>
        </r>
      </text>
    </comment>
    <comment ref="H6" authorId="0" shapeId="0" xr:uid="{00000000-0006-0000-0800-000002000000}">
      <text>
        <r>
          <rPr>
            <sz val="10"/>
            <color rgb="FF000000"/>
            <rFont val="Arial"/>
            <scheme val="minor"/>
          </rPr>
          <t>Rever se ainda vamos utilizar isso 👇🏻
	-Nelson Henrique Paranhos Coelho</t>
        </r>
      </text>
    </comment>
  </commentList>
</comments>
</file>

<file path=xl/sharedStrings.xml><?xml version="1.0" encoding="utf-8"?>
<sst xmlns="http://schemas.openxmlformats.org/spreadsheetml/2006/main" count="21548" uniqueCount="6369">
  <si>
    <t>Código</t>
  </si>
  <si>
    <t>Termo</t>
  </si>
  <si>
    <t>Código - Termo</t>
  </si>
  <si>
    <t>3E 02 00 00 00 00 00</t>
  </si>
  <si>
    <t>Elementos de manejo do terreno</t>
  </si>
  <si>
    <t>3E 02 02 00 00 00 00</t>
  </si>
  <si>
    <t>3E-02-02-00-00-00-00</t>
  </si>
  <si>
    <t>Elementos de terrapleno</t>
  </si>
  <si>
    <t>3E-02-02-00-00-00-00 - Elementos de terrapleno</t>
  </si>
  <si>
    <t>3E 02 02 02 00 00 00</t>
  </si>
  <si>
    <t>3E-02-02-02-00-00-00</t>
  </si>
  <si>
    <t>Solo</t>
  </si>
  <si>
    <t>3E-02-02-02-00-00-00 - Solo</t>
  </si>
  <si>
    <t>3E 02 02 04 00 00 00</t>
  </si>
  <si>
    <t>3E-02-02-04-00-00-00</t>
  </si>
  <si>
    <t>Camada de solo orgânico</t>
  </si>
  <si>
    <t>3E-02-02-04-00-00-00 - Camada de solo orgânico</t>
  </si>
  <si>
    <t>3E 02 02 06 00 00 00</t>
  </si>
  <si>
    <t>3E-02-02-06-00-00-00</t>
  </si>
  <si>
    <t>Platô</t>
  </si>
  <si>
    <t>3E-02-02-06-00-00-00 - Platô</t>
  </si>
  <si>
    <t>3E 02 02 08 00 00 00</t>
  </si>
  <si>
    <t>3E-02-02-08-00-00-00</t>
  </si>
  <si>
    <t>Faixa terraplanada</t>
  </si>
  <si>
    <t>3E-02-02-08-00-00-00 - Faixa terraplanada</t>
  </si>
  <si>
    <t>3E 02 04 00 00 00 00</t>
  </si>
  <si>
    <t>3E-02-04-00-00-00-00</t>
  </si>
  <si>
    <t>Elementos de contenção</t>
  </si>
  <si>
    <t>3E-02-04-00-00-00-00 - Elementos de contenção</t>
  </si>
  <si>
    <t>3E 02 04 02 00 00 00</t>
  </si>
  <si>
    <t>3E-02-04-02-00-00-00</t>
  </si>
  <si>
    <t>Muro de arrimo</t>
  </si>
  <si>
    <t>3E-02-04-02-00-00-00 - Muro de arrimo</t>
  </si>
  <si>
    <t>3E 02 04 02 02 00 00</t>
  </si>
  <si>
    <t>3E-02-04-02-02-00-00</t>
  </si>
  <si>
    <t>Muro de arrimo por gravidade</t>
  </si>
  <si>
    <t>3E-02-04-02-02-00-00 - Muro de arrimo por gravidade</t>
  </si>
  <si>
    <t>3E 02 04 02 04 00 00</t>
  </si>
  <si>
    <t>3E-02-04-02-04-00-00</t>
  </si>
  <si>
    <t>Muro de arrimo por flexão</t>
  </si>
  <si>
    <t>3E-02-04-02-04-00-00 - Muro de arrimo por flexão</t>
  </si>
  <si>
    <t>3E 02 04 02 06 00 00</t>
  </si>
  <si>
    <t>3E-02-04-02-06-00-00</t>
  </si>
  <si>
    <t>Muro de gabião</t>
  </si>
  <si>
    <t>3E-02-04-02-06-00-00 - Muro de gabião</t>
  </si>
  <si>
    <t>3E 02 04 02 08 00 00</t>
  </si>
  <si>
    <t>3E-02-04-02-08-00-00</t>
  </si>
  <si>
    <t>Muro de flexão</t>
  </si>
  <si>
    <t>3E-02-04-02-08-00-00 - Muro de flexão</t>
  </si>
  <si>
    <t>3E 02 04 04 00 00 00</t>
  </si>
  <si>
    <t>3E-02-04-04-00-00-00</t>
  </si>
  <si>
    <t>Solo grampeado</t>
  </si>
  <si>
    <t>3E-02-04-04-00-00-00 - Solo grampeado</t>
  </si>
  <si>
    <t>3E 02 04 06 00 00 00</t>
  </si>
  <si>
    <t>3E-02-04-06-00-00-00</t>
  </si>
  <si>
    <t>Cortina de contenção</t>
  </si>
  <si>
    <t>3E-02-04-06-00-00-00 - Cortina de contenção</t>
  </si>
  <si>
    <t>3E 02 04 06 02 00 00</t>
  </si>
  <si>
    <t>3E-02-04-06-02-00-00</t>
  </si>
  <si>
    <t>Contenção escorada</t>
  </si>
  <si>
    <t>3E-02-04-06-02-00-00 - Contenção escorada</t>
  </si>
  <si>
    <t>3E 02 04 06 04 00 00</t>
  </si>
  <si>
    <t>3E-02-04-06-04-00-00</t>
  </si>
  <si>
    <t>Contenção não escorada</t>
  </si>
  <si>
    <t>3E-02-04-06-04-00-00 - Contenção não escorada</t>
  </si>
  <si>
    <t>3E 02 04 06 06 00 00</t>
  </si>
  <si>
    <t>3E-02-04-06-06-00-00</t>
  </si>
  <si>
    <t>Berma</t>
  </si>
  <si>
    <t>3E-02-04-06-06-00-00 - Berma</t>
  </si>
  <si>
    <t>3E 02 04 06 08 00 00</t>
  </si>
  <si>
    <t>3E-02-04-06-08-00-00</t>
  </si>
  <si>
    <t>Cortina de contenção com pranchão</t>
  </si>
  <si>
    <t>3E-02-04-06-08-00-00 - Cortina de contenção com pranchão</t>
  </si>
  <si>
    <t>3E 02 04 06 10 00 00</t>
  </si>
  <si>
    <t>3E-02-04-06-10-00-00</t>
  </si>
  <si>
    <t>Cortina de contenção com estacas justapostas</t>
  </si>
  <si>
    <t>3E-02-04-06-10-00-00 - Cortina de contenção com estacas justapostas</t>
  </si>
  <si>
    <t>3E 02 04 06 12 00 00</t>
  </si>
  <si>
    <t>3E-02-04-06-12-00-00</t>
  </si>
  <si>
    <t>Cortina de contenção com parede diafragma</t>
  </si>
  <si>
    <t>3E-02-04-06-12-00-00 - Cortina de contenção com parede diafragma</t>
  </si>
  <si>
    <t>3E 02 06 00 00 00 00</t>
  </si>
  <si>
    <t>3E-02-06-00-00-00-00</t>
  </si>
  <si>
    <t>Elementos de talude</t>
  </si>
  <si>
    <t>3E-02-06-00-00-00-00 - Elementos de talude</t>
  </si>
  <si>
    <t>3E 02 06 02 00 00 00</t>
  </si>
  <si>
    <t>3E-02-06-02-00-00-00</t>
  </si>
  <si>
    <t>Talude escalonado</t>
  </si>
  <si>
    <t>3E-02-06-02-00-00-00 - Talude escalonado</t>
  </si>
  <si>
    <t>3E 02 06 04 00 00 00</t>
  </si>
  <si>
    <t>3E-02-06-04-00-00-00</t>
  </si>
  <si>
    <t>Coroamento do talude</t>
  </si>
  <si>
    <t>3E-02-06-04-00-00-00 - Coroamento do talude</t>
  </si>
  <si>
    <t>3E 02 06 06 00 00 00</t>
  </si>
  <si>
    <t>3E-02-06-06-00-00-00</t>
  </si>
  <si>
    <t>Pé do talude</t>
  </si>
  <si>
    <t>3E-02-06-06-00-00-00 - Pé do talude</t>
  </si>
  <si>
    <t>3E 02 08 00 00 00 00</t>
  </si>
  <si>
    <t>3E-02-08-00-00-00-00</t>
  </si>
  <si>
    <t>Elementos de aterro</t>
  </si>
  <si>
    <t>3E-02-08-00-00-00-00 - Elementos de aterro</t>
  </si>
  <si>
    <t>3E 02 08 02 00 00 00</t>
  </si>
  <si>
    <t>3E-02-08-02-00-00-00</t>
  </si>
  <si>
    <t>Corte do aterro</t>
  </si>
  <si>
    <t>3E-02-08-02-00-00-00 - Corte do aterro</t>
  </si>
  <si>
    <t>3E 02 08 02 02 00 00</t>
  </si>
  <si>
    <t>3E-02-08-02-02-00-00</t>
  </si>
  <si>
    <t>Pé do corte</t>
  </si>
  <si>
    <t>3E-02-08-02-02-00-00 - Pé do corte</t>
  </si>
  <si>
    <t>3E 02 08 04 00 00 00</t>
  </si>
  <si>
    <t>3E-02-08-04-00-00-00</t>
  </si>
  <si>
    <t>Aterro</t>
  </si>
  <si>
    <t>3E-02-08-04-00-00-00 - Aterro</t>
  </si>
  <si>
    <t>3E 02 08 04 02 00 00</t>
  </si>
  <si>
    <t>3E-02-08-04-02-00-00</t>
  </si>
  <si>
    <t>Aterro sobre solo inconsistente</t>
  </si>
  <si>
    <t>3E-02-08-04-02-00-00 - Aterro sobre solo inconsistente</t>
  </si>
  <si>
    <t>3E 02 08 04 04 00 00</t>
  </si>
  <si>
    <t>3E-02-08-04-04-00-00</t>
  </si>
  <si>
    <t>Berma de equilíbrio do aterro</t>
  </si>
  <si>
    <t>3E-02-08-04-04-00-00 - Berma de equilíbrio do aterro</t>
  </si>
  <si>
    <t>3E 02 08 04 06 00 00</t>
  </si>
  <si>
    <t>3E-02-08-04-06-00-00</t>
  </si>
  <si>
    <t>Crista do aterro</t>
  </si>
  <si>
    <t>3E-02-08-04-06-00-00 - Crista do aterro</t>
  </si>
  <si>
    <t>3E 02 08 04 08 00 00</t>
  </si>
  <si>
    <t>3E-02-08-04-08-00-00</t>
  </si>
  <si>
    <t>Pé do aterro</t>
  </si>
  <si>
    <t>3E-02-08-04-08-00-00 - Pé do aterro</t>
  </si>
  <si>
    <t>3E 02 08 04 10 00 00</t>
  </si>
  <si>
    <t>3E-02-08-04-10-00-00</t>
  </si>
  <si>
    <t>Corpo do aterro</t>
  </si>
  <si>
    <t>3E-02-08-04-10-00-00 - Corpo do aterro</t>
  </si>
  <si>
    <t>3E 02 10 00 00 00 00</t>
  </si>
  <si>
    <t>3E-02-10-00-00-00-00</t>
  </si>
  <si>
    <t>Elementos para delimitação de implantação</t>
  </si>
  <si>
    <t>3E-02-10-00-00-00-00 - Elementos para delimitação de implantação</t>
  </si>
  <si>
    <t>3E 02 10 02 00 00 00</t>
  </si>
  <si>
    <t>3E-02-10-02-00-00-00</t>
  </si>
  <si>
    <t>Cerca para delimitação de implantação</t>
  </si>
  <si>
    <t>3E-02-10-02-00-00-00 - Cerca para delimitação de implantação</t>
  </si>
  <si>
    <t>3E 02 10 04 00 00 00</t>
  </si>
  <si>
    <t>3E-02-10-04-00-00-00</t>
  </si>
  <si>
    <t>Muro para delimitação de implantação</t>
  </si>
  <si>
    <t>3E-02-10-04-00-00-00 - Muro para delimitação de implantação</t>
  </si>
  <si>
    <t>3E 02 10 06 00 00 00</t>
  </si>
  <si>
    <t>3E-02-10-06-00-00-00</t>
  </si>
  <si>
    <t>Mureta para delimitação de implantação</t>
  </si>
  <si>
    <t>3E-02-10-06-00-00-00 - Mureta para delimitação de implantação</t>
  </si>
  <si>
    <t>3E 02 12 00 00 00 00</t>
  </si>
  <si>
    <t>3E-02-12-00-00-00-00</t>
  </si>
  <si>
    <t>Elementos de plantio</t>
  </si>
  <si>
    <t>3E-02-12-00-00-00-00 - Elementos de plantio</t>
  </si>
  <si>
    <t>3E 02 12 02 00 00 00</t>
  </si>
  <si>
    <t>3E-02-12-02-00-00-00</t>
  </si>
  <si>
    <t>Gramas</t>
  </si>
  <si>
    <t>3E-02-12-02-00-00-00 - Gramas</t>
  </si>
  <si>
    <t>3E 02 12 04 00 00 00</t>
  </si>
  <si>
    <t>3E-02-12-04-00-00-00</t>
  </si>
  <si>
    <t>Mudas</t>
  </si>
  <si>
    <t>3E-02-12-04-00-00-00 - Mudas</t>
  </si>
  <si>
    <t>3E 02 12 06 00 00 00</t>
  </si>
  <si>
    <t>3E-02-12-06-00-00-00</t>
  </si>
  <si>
    <t>Vegetação de pequeno porte</t>
  </si>
  <si>
    <t>3E-02-12-06-00-00-00 - Vegetação de pequeno porte</t>
  </si>
  <si>
    <t>3E 02 12 08 00 00 00</t>
  </si>
  <si>
    <t>3E-02-12-08-00-00-00</t>
  </si>
  <si>
    <t>Vegetação de médio porte</t>
  </si>
  <si>
    <t>3E-02-12-08-00-00-00 - Vegetação de médio porte</t>
  </si>
  <si>
    <t>3E 02 12 10 00 00 00</t>
  </si>
  <si>
    <t>3E-02-12-10-00-00-00</t>
  </si>
  <si>
    <t>Vegetação de grande porte</t>
  </si>
  <si>
    <t>3E-02-12-10-00-00-00 - Vegetação de grande porte</t>
  </si>
  <si>
    <t>3E 04 00 00 00 00 00</t>
  </si>
  <si>
    <t>3E-04-00-00-00-00-00</t>
  </si>
  <si>
    <t>Elementos de canteiro de obra</t>
  </si>
  <si>
    <t>3E-04-00-00-00-00-00 - Elementos de canteiro de obra</t>
  </si>
  <si>
    <t>3E 04 02 00 00 00 00</t>
  </si>
  <si>
    <t>3E-04-02-00-00-00-00</t>
  </si>
  <si>
    <t>Elementos de ancoragem temporária</t>
  </si>
  <si>
    <t>3E-04-02-00-00-00-00 - Elementos de ancoragem temporária</t>
  </si>
  <si>
    <t>3E 04 04 00 00 00 00</t>
  </si>
  <si>
    <t>3E-04-04-00-00-00-00</t>
  </si>
  <si>
    <t>Elementos de cimbramento</t>
  </si>
  <si>
    <t>3E-04-04-00-00-00-00 - Elementos de cimbramento</t>
  </si>
  <si>
    <t>3E 04 06 00 00 00 00</t>
  </si>
  <si>
    <t>3E-04-06-00-00-00-00</t>
  </si>
  <si>
    <t>Elementos de escoramento</t>
  </si>
  <si>
    <t>3E-04-06-00-00-00-00 - Elementos de escoramento</t>
  </si>
  <si>
    <t>3E 04 08 00 00 00 00</t>
  </si>
  <si>
    <t>3E-04-08-00-00-00-00</t>
  </si>
  <si>
    <t>Elementos de marcação</t>
  </si>
  <si>
    <t>3E-04-08-00-00-00-00 - Elementos de marcação</t>
  </si>
  <si>
    <t>3E 04 10 00 00 00 00</t>
  </si>
  <si>
    <t>3E-04-10-00-00-00-00</t>
  </si>
  <si>
    <t>Elementos de manejo de resíduos</t>
  </si>
  <si>
    <t>3E-04-10-00-00-00-00 - Elementos de manejo de resíduos</t>
  </si>
  <si>
    <t>3E 04 10 02 00 00 00</t>
  </si>
  <si>
    <t>3E-04-10-02-00-00-00</t>
  </si>
  <si>
    <t>Elementos de acondicionamento de resíduos</t>
  </si>
  <si>
    <t>3E-04-10-02-00-00-00 - Elementos de acondicionamento de resíduos</t>
  </si>
  <si>
    <t>3E 06 00 00 00 00 00</t>
  </si>
  <si>
    <t>3E-06-00-00-00-00-00</t>
  </si>
  <si>
    <t>Elementos de drenagem</t>
  </si>
  <si>
    <t>3E-06-00-00-00-00-00 - Elementos de drenagem</t>
  </si>
  <si>
    <t>3E 06 02 00 00 00 00</t>
  </si>
  <si>
    <t>3E-06-02-00-00-00-00</t>
  </si>
  <si>
    <t>Elementos de drenagem de transposição de talvegues</t>
  </si>
  <si>
    <t>3E-06-02-00-00-00-00 - Elementos de drenagem de transposição de talvegues</t>
  </si>
  <si>
    <t>3E 06 02 02 00 00 00</t>
  </si>
  <si>
    <t>3E-06-02-02-00-00-00</t>
  </si>
  <si>
    <t>Bueiro para transposição de talvegues</t>
  </si>
  <si>
    <t>3E-06-02-02-00-00-00 - Bueiro para transposição de talvegues</t>
  </si>
  <si>
    <t>3E 06 02 04 00 00 00</t>
  </si>
  <si>
    <t>3E-06-02-04-00-00-00</t>
  </si>
  <si>
    <t>Pontilhão para transposição de talvegues</t>
  </si>
  <si>
    <t>3E-06-02-04-00-00-00 - Pontilhão para transposição de talvegues</t>
  </si>
  <si>
    <t>3E 06 02 06 00 00 00</t>
  </si>
  <si>
    <t>3E-06-02-06-00-00-00</t>
  </si>
  <si>
    <t>Ponte para transposição de talvegues</t>
  </si>
  <si>
    <t>3E-06-02-06-00-00-00 - Ponte para transposição de talvegues</t>
  </si>
  <si>
    <t>3E 06 04 00 00 00 00</t>
  </si>
  <si>
    <t>3E-06-04-00-00-00-00</t>
  </si>
  <si>
    <t>Elementos de drenagem superficial</t>
  </si>
  <si>
    <t>3E-06-04-00-00-00-00 - Elementos de drenagem superficial</t>
  </si>
  <si>
    <t>3E 06 04 02 00 00 00</t>
  </si>
  <si>
    <t>3E-06-04-02-00-00-00</t>
  </si>
  <si>
    <t>Valeta de proteção de corte</t>
  </si>
  <si>
    <t>3E-06-04-02-00-00-00 - Valeta de proteção de corte</t>
  </si>
  <si>
    <t>3E 06 04 04 00 00 00</t>
  </si>
  <si>
    <t>3E-06-04-04-00-00-00</t>
  </si>
  <si>
    <t>Valeta de proteção de aterro</t>
  </si>
  <si>
    <t>3E-06-04-04-00-00-00 - Valeta de proteção de aterro</t>
  </si>
  <si>
    <t>3E 06 04 06 00 00 00</t>
  </si>
  <si>
    <t>3E-06-04-06-00-00-00</t>
  </si>
  <si>
    <t>Valeta de canteiro central</t>
  </si>
  <si>
    <t>3E-06-04-06-00-00-00 - Valeta de canteiro central</t>
  </si>
  <si>
    <t>3E 06 04 08 00 00 00</t>
  </si>
  <si>
    <t>3E-06-04-08-00-00-00</t>
  </si>
  <si>
    <t>Sarjeta de corte</t>
  </si>
  <si>
    <t>3E-06-04-08-00-00-00 - Sarjeta de corte</t>
  </si>
  <si>
    <t>3E 06 04 10 00 00 00</t>
  </si>
  <si>
    <t>3E-06-04-10-00-00-00</t>
  </si>
  <si>
    <t>Sarjeta de aterro</t>
  </si>
  <si>
    <t>3E-06-04-10-00-00-00 - Sarjeta de aterro</t>
  </si>
  <si>
    <t>3E 06 04 12 00 00 00</t>
  </si>
  <si>
    <t>3E-06-04-12-00-00-00</t>
  </si>
  <si>
    <t>Descida d'água</t>
  </si>
  <si>
    <t>3E-06-04-12-00-00-00 - Descida d'água</t>
  </si>
  <si>
    <t>3E 06 04 14 00 00 00</t>
  </si>
  <si>
    <t>3E-06-04-14-00-00-00</t>
  </si>
  <si>
    <t>Saída d'água</t>
  </si>
  <si>
    <t>3E-06-04-14-00-00-00 - Saída d'água</t>
  </si>
  <si>
    <t>3E 06 04 16 00 00 00</t>
  </si>
  <si>
    <t>3E-06-04-16-00-00-00</t>
  </si>
  <si>
    <t>Caixa coletora de drenagem superficial</t>
  </si>
  <si>
    <t>3E-06-04-16-00-00-00 - Caixa coletora de drenagem superficial</t>
  </si>
  <si>
    <t>3E 06 04 18 00 00 00</t>
  </si>
  <si>
    <t>3E-06-04-18-00-00-00</t>
  </si>
  <si>
    <t>Bueiro de greide</t>
  </si>
  <si>
    <t>3E-06-04-18-00-00-00 - Bueiro de greide</t>
  </si>
  <si>
    <t>3E 06 04 20 00 00 00</t>
  </si>
  <si>
    <t>3E-06-04-20-00-00-00</t>
  </si>
  <si>
    <t>Dissipador de energia de drenagem superficial</t>
  </si>
  <si>
    <t>3E-06-04-20-00-00-00 - Dissipador de energia de drenagem superficial</t>
  </si>
  <si>
    <t>3E 06 04 20 02 00 00</t>
  </si>
  <si>
    <t>3E-06-04-20-02-00-00</t>
  </si>
  <si>
    <t>Bacia de amortecimento</t>
  </si>
  <si>
    <t>3E-06-04-20-02-00-00 - Bacia de amortecimento</t>
  </si>
  <si>
    <t>3E 06 04 20 04 00 00</t>
  </si>
  <si>
    <t>3E-06-04-20-04-00-00</t>
  </si>
  <si>
    <t>Dissipador contínuo</t>
  </si>
  <si>
    <t>3E-06-04-20-04-00-00 - Dissipador contínuo</t>
  </si>
  <si>
    <t>3E 06 04 22 00 00 00</t>
  </si>
  <si>
    <t>3E-06-04-22-00-00-00</t>
  </si>
  <si>
    <t>Corta-rios</t>
  </si>
  <si>
    <t>3E-06-04-22-00-00-00 - Corta-rios</t>
  </si>
  <si>
    <t>3E 06 04 24 00 00 00</t>
  </si>
  <si>
    <t>3E-06-04-24-00-00-00</t>
  </si>
  <si>
    <t>Dreno de alívio de muros de arrimo</t>
  </si>
  <si>
    <t>3E-06-04-24-00-00-00 - Dreno de alívio de muros de arrimo</t>
  </si>
  <si>
    <t>3E 06 06 00 00 00 00</t>
  </si>
  <si>
    <t>3E-06-06-00-00-00-00</t>
  </si>
  <si>
    <t>Elementos de drenagem do pavimento</t>
  </si>
  <si>
    <t>3E-06-06-00-00-00-00 - Elementos de drenagem do pavimento</t>
  </si>
  <si>
    <t>3E 06 06 02 00 00 00</t>
  </si>
  <si>
    <t>3E-06-06-02-00-00-00</t>
  </si>
  <si>
    <t>Camada drenante</t>
  </si>
  <si>
    <t>3E-06-06-02-00-00-00 - Camada drenante</t>
  </si>
  <si>
    <t>3E 06 06 04 00 00 00</t>
  </si>
  <si>
    <t>3E-06-06-04-00-00-00</t>
  </si>
  <si>
    <t>Dreno raso longitudinal</t>
  </si>
  <si>
    <t>3E-06-06-04-00-00-00 - Dreno raso longitudinal</t>
  </si>
  <si>
    <t>3E 06 06 06 00 00 00</t>
  </si>
  <si>
    <t>3E-06-06-06-00-00-00</t>
  </si>
  <si>
    <t>Dreno lateral de base</t>
  </si>
  <si>
    <t>3E-06-06-06-00-00-00 - Dreno lateral de base</t>
  </si>
  <si>
    <t>3E 06 06 08 00 00 00</t>
  </si>
  <si>
    <t>3E-06-06-08-00-00-00</t>
  </si>
  <si>
    <t>Dreno transversal</t>
  </si>
  <si>
    <t>3E-06-06-08-00-00-00 - Dreno transversal</t>
  </si>
  <si>
    <t>3E 06 08 00 00 00 00</t>
  </si>
  <si>
    <t>3E-06-08-00-00-00-00</t>
  </si>
  <si>
    <t>Elementos de drenagem subterrânea ou profunda</t>
  </si>
  <si>
    <t>3E-06-08-00-00-00-00 - Elementos de drenagem subterrânea ou profunda</t>
  </si>
  <si>
    <t>3E 06 08 02 00 00 00</t>
  </si>
  <si>
    <t>3E-06-08-02-00-00-00</t>
  </si>
  <si>
    <t>Dreno profundo</t>
  </si>
  <si>
    <t>3E-06-08-02-00-00-00 - Dreno profundo</t>
  </si>
  <si>
    <t>3E 06 08 02 02 00 00</t>
  </si>
  <si>
    <t>3E-06-08-02-02-00-00</t>
  </si>
  <si>
    <t>Dreno profundo contínuo</t>
  </si>
  <si>
    <t>3E-06-08-02-02-00-00 - Dreno profundo contínuo</t>
  </si>
  <si>
    <t>3E 06 08 02 04 00 00</t>
  </si>
  <si>
    <t>3E-06-08-02-04-00-00</t>
  </si>
  <si>
    <t>Dreno profundo descontínuo</t>
  </si>
  <si>
    <t>3E-06-08-02-04-00-00 - Dreno profundo descontínuo</t>
  </si>
  <si>
    <t>3E 06 08 04 00 00 00</t>
  </si>
  <si>
    <t>3E-06-08-04-00-00-00</t>
  </si>
  <si>
    <t>Dreno espinha de peixe</t>
  </si>
  <si>
    <t>3E-06-08-04-00-00-00 - Dreno espinha de peixe</t>
  </si>
  <si>
    <t>3E 06 08 06 00 00 00</t>
  </si>
  <si>
    <t>3E-06-08-06-00-00-00</t>
  </si>
  <si>
    <t>Colchão drenante</t>
  </si>
  <si>
    <t>3E-06-08-06-00-00-00 - Colchão drenante</t>
  </si>
  <si>
    <t>3E 06 08 08 00 00 00</t>
  </si>
  <si>
    <t>3E-06-08-08-00-00-00</t>
  </si>
  <si>
    <t>Dreno sub-horizontal</t>
  </si>
  <si>
    <t>3E-06-08-08-00-00-00 - Dreno sub-horizontal</t>
  </si>
  <si>
    <t>3E 06 08 10 00 00 00</t>
  </si>
  <si>
    <t>3E-06-08-10-00-00-00</t>
  </si>
  <si>
    <t>Valetão lateral</t>
  </si>
  <si>
    <t>3E-06-08-10-00-00-00 - Valetão lateral</t>
  </si>
  <si>
    <t>3E 06 08 12 00 00 00</t>
  </si>
  <si>
    <t>3E-06-08-12-00-00-00</t>
  </si>
  <si>
    <t>Dreno vertical</t>
  </si>
  <si>
    <t>3E-06-08-12-00-00-00 - Dreno vertical</t>
  </si>
  <si>
    <t>3E 06 10 00 00 00 00</t>
  </si>
  <si>
    <t>3E-06-10-00-00-00-00</t>
  </si>
  <si>
    <t>Elementos de drenagem de travessia urbana</t>
  </si>
  <si>
    <t>3E-06-10-00-00-00-00 - Elementos de drenagem de travessia urbana</t>
  </si>
  <si>
    <t>3E 06 10 02 00 00 00</t>
  </si>
  <si>
    <t>3E-06-10-02-00-00-00</t>
  </si>
  <si>
    <t>Sarjeta de drenagem de travessia urbana</t>
  </si>
  <si>
    <t>3E-06-10-02-00-00-00 - Sarjeta de drenagem de travessia urbana</t>
  </si>
  <si>
    <t>3E 06 10 04 00 00 00</t>
  </si>
  <si>
    <t>3E-06-10-04-00-00-00</t>
  </si>
  <si>
    <t>Boca-de-lobo de drenagem de travessia urbana</t>
  </si>
  <si>
    <t>3E-06-10-04-00-00-00 - Boca-de-lobo de drenagem de travessia urbana</t>
  </si>
  <si>
    <t>3E 06 10 06 00 00 00</t>
  </si>
  <si>
    <t>3E-06-10-06-00-00-00</t>
  </si>
  <si>
    <t>Poço-de-visita de drenagem de travessia urbana</t>
  </si>
  <si>
    <t>3E-06-10-06-00-00-00 - Poço-de-visita de drenagem de travessia urbana</t>
  </si>
  <si>
    <t>3E 06 12 00 00 00 00</t>
  </si>
  <si>
    <t>3E-06-12-00-00-00-00</t>
  </si>
  <si>
    <t>Elementos geotêxteis</t>
  </si>
  <si>
    <t>3E-06-12-00-00-00-00 - Elementos geotêxteis</t>
  </si>
  <si>
    <t>3E 06 12 02 00 00 00</t>
  </si>
  <si>
    <t>3E-06-12-02-00-00-00</t>
  </si>
  <si>
    <t>Geotêxtil do tipo tecido</t>
  </si>
  <si>
    <t>3E-06-12-02-00-00-00 - Geotêxtil do tipo tecido</t>
  </si>
  <si>
    <t>3E 06 12 04 00 00 00</t>
  </si>
  <si>
    <t>3E-06-12-04-00-00-00</t>
  </si>
  <si>
    <t>Geotêxtil do tipo não tecido</t>
  </si>
  <si>
    <t>3E-06-12-04-00-00-00 - Geotêxtil do tipo não tecido</t>
  </si>
  <si>
    <t>3E 08 00 00 00 00 00</t>
  </si>
  <si>
    <t>3E-08-00-00-00-00-00</t>
  </si>
  <si>
    <t>Elementos de tráfego</t>
  </si>
  <si>
    <t>3E-08-00-00-00-00-00 - Elementos de tráfego</t>
  </si>
  <si>
    <t>3E 08 02 00 00 00 00</t>
  </si>
  <si>
    <t>3E-08-02-00-00-00-00</t>
  </si>
  <si>
    <t>Elementos de pavimentação</t>
  </si>
  <si>
    <t>3E-08-02-00-00-00-00 - Elementos de pavimentação</t>
  </si>
  <si>
    <t>3E 08 02 02 00 00 00</t>
  </si>
  <si>
    <t>3E-08-02-02-00-00-00</t>
  </si>
  <si>
    <t>Subleito de pavimento</t>
  </si>
  <si>
    <t>3E-08-02-02-00-00-00 - Subleito de pavimento</t>
  </si>
  <si>
    <t>3E 08 02 04 00 00 00</t>
  </si>
  <si>
    <t>3E-08-02-04-00-00-00</t>
  </si>
  <si>
    <t>Sub-base de pavimento</t>
  </si>
  <si>
    <t>3E-08-02-04-00-00-00 - Sub-base de pavimento</t>
  </si>
  <si>
    <t>3E 08 02 06 00 00 00</t>
  </si>
  <si>
    <t>3E-08-02-06-00-00-00</t>
  </si>
  <si>
    <t>Base de pavimento</t>
  </si>
  <si>
    <t>3E-08-02-06-00-00-00 - Base de pavimento</t>
  </si>
  <si>
    <t>3E 08 02 08 00 00 00</t>
  </si>
  <si>
    <t>3E-08-02-08-00-00-00</t>
  </si>
  <si>
    <t>Rolamento do pavimento</t>
  </si>
  <si>
    <t>3E-08-02-08-00-00-00 - Rolamento do pavimento</t>
  </si>
  <si>
    <t>3E 08 04 00 00 00 00</t>
  </si>
  <si>
    <t>3E-08-04-00-00-00-00</t>
  </si>
  <si>
    <t>Elementos de balizamento de tráfego</t>
  </si>
  <si>
    <t>3E-08-04-00-00-00-00 - Elementos de balizamento de tráfego</t>
  </si>
  <si>
    <t>3E 08 04 02 00 00 00</t>
  </si>
  <si>
    <t>3E-08-04-02-00-00-00</t>
  </si>
  <si>
    <t>Meio-fio</t>
  </si>
  <si>
    <t>3E-08-04-02-00-00-00 - Meio-fio</t>
  </si>
  <si>
    <t>3E 08 04 04 00 00 00</t>
  </si>
  <si>
    <t>3E-08-04-04-00-00-00</t>
  </si>
  <si>
    <t>Defensa</t>
  </si>
  <si>
    <t>3E-08-04-04-00-00-00 - Defensa</t>
  </si>
  <si>
    <t>3E 08 04 06 00 00 00</t>
  </si>
  <si>
    <t>3E-08-04-06-00-00-00</t>
  </si>
  <si>
    <t>Separador</t>
  </si>
  <si>
    <t>3E-08-04-06-00-00-00 - Separador</t>
  </si>
  <si>
    <t>3E 08 04 08 00 00 00</t>
  </si>
  <si>
    <t>3E-08-04-08-00-00-00</t>
  </si>
  <si>
    <t>Corrimão</t>
  </si>
  <si>
    <t>3E-08-04-08-00-00-00 - Corrimão</t>
  </si>
  <si>
    <t>3E 08 04 10 00 00 00</t>
  </si>
  <si>
    <t>3E-08-04-10-00-00-00</t>
  </si>
  <si>
    <t>Guarda-corpo</t>
  </si>
  <si>
    <t>3E-08-04-10-00-00-00 - Guarda-corpo</t>
  </si>
  <si>
    <t>3E 08 04 12 00 00 00</t>
  </si>
  <si>
    <t>3E-08-04-12-00-00-00</t>
  </si>
  <si>
    <t>Guarda-rodas</t>
  </si>
  <si>
    <t>3E-08-04-12-00-00-00 - Guarda-rodas</t>
  </si>
  <si>
    <t>3E 08 04 14 00 00 00</t>
  </si>
  <si>
    <t>3E-08-04-14-00-00-00</t>
  </si>
  <si>
    <t>Faixas sonorizadoras</t>
  </si>
  <si>
    <t>3E-08-04-14-00-00-00 - Faixas sonorizadoras</t>
  </si>
  <si>
    <t>3E 08 04 16 00 00 00</t>
  </si>
  <si>
    <t>3E-08-04-16-00-00-00</t>
  </si>
  <si>
    <t>Barras de trepidação</t>
  </si>
  <si>
    <t>3E-08-04-16-00-00-00 - Barras de trepidação</t>
  </si>
  <si>
    <t>3E 08 04 18 00 00 00</t>
  </si>
  <si>
    <t>3E-08-04-18-00-00-00</t>
  </si>
  <si>
    <t>Quebra-molas</t>
  </si>
  <si>
    <t>3E-08-04-18-00-00-00 - Quebra-molas</t>
  </si>
  <si>
    <t>3E 08 04 20 00 00 00</t>
  </si>
  <si>
    <t>3E-08-04-20-00-00-00</t>
  </si>
  <si>
    <t>Plataforma de tráfego</t>
  </si>
  <si>
    <t>3E-08-04-20-00-00-00 - Plataforma de tráfego</t>
  </si>
  <si>
    <t>3E 08 04 22 00 00 00</t>
  </si>
  <si>
    <t>3E-08-04-22-00-00-00</t>
  </si>
  <si>
    <t>Barreira de tráfego</t>
  </si>
  <si>
    <t>3E-08-04-22-00-00-00 - Barreira de tráfego</t>
  </si>
  <si>
    <t>3E 08 04 24 00 00 00</t>
  </si>
  <si>
    <t>3E-08-04-24-00-00-00</t>
  </si>
  <si>
    <t>Piso tátil direcional</t>
  </si>
  <si>
    <t>3E-08-04-24-00-00-00 - Piso tátil direcional</t>
  </si>
  <si>
    <t>3E 08 04 26 00 00 00</t>
  </si>
  <si>
    <t>3E-08-04-26-00-00-00</t>
  </si>
  <si>
    <t>Piso tátil alerta</t>
  </si>
  <si>
    <t>3E-08-04-26-00-00-00 - Piso tátil alerta</t>
  </si>
  <si>
    <t>3E 08 06 00 00 00 00</t>
  </si>
  <si>
    <t>3E-08-06-00-00-00-00</t>
  </si>
  <si>
    <t>Elementos de conexão de tráfego</t>
  </si>
  <si>
    <t>3E-08-06-00-00-00-00 - Elementos de conexão de tráfego</t>
  </si>
  <si>
    <t>3E 08 06 02 00 00 00</t>
  </si>
  <si>
    <t>3E-08-06-02-00-00-00</t>
  </si>
  <si>
    <t>Rampa</t>
  </si>
  <si>
    <t>3E-08-06-02-00-00-00 - Rampa</t>
  </si>
  <si>
    <t>3E 08 06 02 02 00 00</t>
  </si>
  <si>
    <t>3E-08-06-02-02-00-00</t>
  </si>
  <si>
    <t>Lance de rampa</t>
  </si>
  <si>
    <t>3E-08-06-02-02-00-00 - Lance de rampa</t>
  </si>
  <si>
    <t>3E 08 06 02 04 00 00</t>
  </si>
  <si>
    <t>3E-08-06-02-04-00-00</t>
  </si>
  <si>
    <t>Patamar de rampa</t>
  </si>
  <si>
    <t>3E-08-06-02-04-00-00 - Patamar de rampa</t>
  </si>
  <si>
    <t>3E 08 06 04 00 00 00</t>
  </si>
  <si>
    <t>3E-08-06-04-00-00-00</t>
  </si>
  <si>
    <t>Escada</t>
  </si>
  <si>
    <t>3E-08-06-04-00-00-00 - Escada</t>
  </si>
  <si>
    <t>3E 08 06 04 02 00 00</t>
  </si>
  <si>
    <t>3E-08-06-04-02-00-00</t>
  </si>
  <si>
    <t>Pisada de escada</t>
  </si>
  <si>
    <t>3E-08-06-04-02-00-00 - Pisada de escada</t>
  </si>
  <si>
    <t>3E 08 06 04 04 00 00</t>
  </si>
  <si>
    <t>3E-08-06-04-04-00-00</t>
  </si>
  <si>
    <t>Espelho de escada</t>
  </si>
  <si>
    <t>3E-08-06-04-04-00-00 - Espelho de escada</t>
  </si>
  <si>
    <t>3E 08 06 04 06 00 00</t>
  </si>
  <si>
    <t>3E-08-06-04-06-00-00</t>
  </si>
  <si>
    <t>Patamar de escada</t>
  </si>
  <si>
    <t>3E-08-06-04-06-00-00 - Patamar de escada</t>
  </si>
  <si>
    <t>3E 08 06 06 00 00 00</t>
  </si>
  <si>
    <t>3E-08-06-06-00-00-00</t>
  </si>
  <si>
    <t>Elevador</t>
  </si>
  <si>
    <t>3E-08-06-06-00-00-00 - Elevador</t>
  </si>
  <si>
    <t>3E 08 06 08 00 00 00</t>
  </si>
  <si>
    <t>3E-08-06-08-00-00-00</t>
  </si>
  <si>
    <t>Monta-carga</t>
  </si>
  <si>
    <t>3E-08-06-08-00-00-00 - Monta-carga</t>
  </si>
  <si>
    <t>3E 08 06 10 00 00 00</t>
  </si>
  <si>
    <t>3E-08-06-10-00-00-00</t>
  </si>
  <si>
    <t>Plataforma</t>
  </si>
  <si>
    <t>3E-08-06-10-00-00-00 - Plataforma</t>
  </si>
  <si>
    <t>3E 08 06 10 02 00 00</t>
  </si>
  <si>
    <t>3E-08-06-10-02-00-00</t>
  </si>
  <si>
    <t>Plataforma elevatória</t>
  </si>
  <si>
    <t>3E-08-06-10-02-00-00 - Plataforma elevatória</t>
  </si>
  <si>
    <t>3E 08 06 10 04 00 00</t>
  </si>
  <si>
    <t>3E-08-06-10-04-00-00</t>
  </si>
  <si>
    <t>Plataforma giratória</t>
  </si>
  <si>
    <t>3E-08-06-10-04-00-00 - Plataforma giratória</t>
  </si>
  <si>
    <t>3E 08 08 00 00 00 00</t>
  </si>
  <si>
    <t>3E-08-08-00-00-00-00</t>
  </si>
  <si>
    <t>Elementos de sinalização</t>
  </si>
  <si>
    <t>3E-08-08-00-00-00-00 - Elementos de sinalização</t>
  </si>
  <si>
    <t>3E 08 08 02 00 00 00</t>
  </si>
  <si>
    <t>3E-08-08-02-00-00-00</t>
  </si>
  <si>
    <t>Sinalização em letra dimensional</t>
  </si>
  <si>
    <t>3E-08-08-02-00-00-00 - Sinalização em letra dimensional</t>
  </si>
  <si>
    <t>3E 08 08 04 00 00 00</t>
  </si>
  <si>
    <t>3E-08-08-04-00-00-00</t>
  </si>
  <si>
    <t>Sinalização em painel</t>
  </si>
  <si>
    <t>3E-08-08-04-00-00-00 - Sinalização em painel</t>
  </si>
  <si>
    <t>3E 08 08 06 00 00 00</t>
  </si>
  <si>
    <t>3E-08-08-06-00-00-00</t>
  </si>
  <si>
    <t>Sinalização em poste e painel/coluna</t>
  </si>
  <si>
    <t>3E-08-08-06-00-00-00 - Sinalização em poste e painel/coluna</t>
  </si>
  <si>
    <t>3E 08 08 08 00 00 00</t>
  </si>
  <si>
    <t>3E-08-08-08-00-00-00</t>
  </si>
  <si>
    <t>Sinalização com painel iluminado</t>
  </si>
  <si>
    <t>3E-08-08-08-00-00-00 - Sinalização com painel iluminado</t>
  </si>
  <si>
    <t>3E 08 08 10 00 00 00</t>
  </si>
  <si>
    <t>3E-08-08-10-00-00-00</t>
  </si>
  <si>
    <t>Sinalização com painel não iluminado</t>
  </si>
  <si>
    <t>3E-08-08-10-00-00-00 - Sinalização com painel não iluminado</t>
  </si>
  <si>
    <t>3E 08 08 12 00 00 00</t>
  </si>
  <si>
    <t>3E-08-08-12-00-00-00</t>
  </si>
  <si>
    <t>Sinalização fotoluminescente</t>
  </si>
  <si>
    <t>3E-08-08-12-00-00-00 - Sinalização fotoluminescente</t>
  </si>
  <si>
    <t>3E 08 08 14 00 00 00</t>
  </si>
  <si>
    <t>3E-08-08-14-00-00-00</t>
  </si>
  <si>
    <t>Sinalização de mensagem eletrônica</t>
  </si>
  <si>
    <t>3E-08-08-14-00-00-00 - Sinalização de mensagem eletrônica</t>
  </si>
  <si>
    <t>3E 08 08 16 00 00 00</t>
  </si>
  <si>
    <t>3E-08-08-16-00-00-00</t>
  </si>
  <si>
    <t>Sinalização flutuante</t>
  </si>
  <si>
    <t>3E-08-08-16-00-00-00 - Sinalização flutuante</t>
  </si>
  <si>
    <t>3E 10 00 00 00 00 00</t>
  </si>
  <si>
    <t>3E-10-00-00-00-00-00</t>
  </si>
  <si>
    <t>Elementos de fundações</t>
  </si>
  <si>
    <t>3E-10-00-00-00-00-00 - Elementos de fundações</t>
  </si>
  <si>
    <t>3E 10 02 00 00 00 00</t>
  </si>
  <si>
    <t>3E-10-02-00-00-00-00</t>
  </si>
  <si>
    <t>Elementos de fundações diretas</t>
  </si>
  <si>
    <t>3E-10-02-00-00-00-00 - Elementos de fundações diretas</t>
  </si>
  <si>
    <t>3E 10 02 02 00 00 00</t>
  </si>
  <si>
    <t>3E-10-02-02-00-00-00</t>
  </si>
  <si>
    <t>Bloco de fundação</t>
  </si>
  <si>
    <t>3E-10-02-02-00-00-00 - Bloco de fundação</t>
  </si>
  <si>
    <t>3E 10 02 04 00 00 00</t>
  </si>
  <si>
    <t>3E-10-02-04-00-00-00</t>
  </si>
  <si>
    <t>Sapata</t>
  </si>
  <si>
    <t>3E-10-02-04-00-00-00 - Sapata</t>
  </si>
  <si>
    <t>3E 10 02 06 00 00 00</t>
  </si>
  <si>
    <t>3E-10-02-06-00-00-00</t>
  </si>
  <si>
    <t>Fundação em grelha</t>
  </si>
  <si>
    <t>3E-10-02-06-00-00-00 - Fundação em grelha</t>
  </si>
  <si>
    <t>3E 10 02 08 00 00 00</t>
  </si>
  <si>
    <t>3E-10-02-08-00-00-00</t>
  </si>
  <si>
    <t>Radier</t>
  </si>
  <si>
    <t>3E-10-02-08-00-00-00 - Radier</t>
  </si>
  <si>
    <t>3E 10 04 00 00 00 00</t>
  </si>
  <si>
    <t>3E-10-04-00-00-00-00</t>
  </si>
  <si>
    <t>Elementos de fundações profundas</t>
  </si>
  <si>
    <t>3E-10-04-00-00-00-00 - Elementos de fundações profundas</t>
  </si>
  <si>
    <t>3E 10 04 02 00 00 00</t>
  </si>
  <si>
    <t>3E-10-04-02-00-00-00</t>
  </si>
  <si>
    <t>Estaca</t>
  </si>
  <si>
    <t>3E-10-04-02-00-00-00 - Estaca</t>
  </si>
  <si>
    <t>3E 10 04 02 02 00 00</t>
  </si>
  <si>
    <t>3E-10-04-02-02-00-00</t>
  </si>
  <si>
    <t>Estaca cravada a percussão</t>
  </si>
  <si>
    <t>3E-10-04-02-02-00-00 - Estaca cravada a percussão</t>
  </si>
  <si>
    <t>3E 10 04 02 04 00 00</t>
  </si>
  <si>
    <t>3E-10-04-02-04-00-00</t>
  </si>
  <si>
    <t>Estaca cravada por prensagem</t>
  </si>
  <si>
    <t>3E-10-04-02-04-00-00 - Estaca cravada por prensagem</t>
  </si>
  <si>
    <t>3E 10 04 02 06 00 00</t>
  </si>
  <si>
    <t>3E-10-04-02-06-00-00</t>
  </si>
  <si>
    <t>Estaca franki</t>
  </si>
  <si>
    <t>3E-10-04-02-06-00-00 - Estaca franki</t>
  </si>
  <si>
    <t>3E 10 04 02 08 00 00</t>
  </si>
  <si>
    <t>3E-10-04-02-08-00-00</t>
  </si>
  <si>
    <t>Estaca de tubo de ponta fechada</t>
  </si>
  <si>
    <t>3E-10-04-02-08-00-00 - Estaca de tubo de ponta fechada</t>
  </si>
  <si>
    <t>3E 10 04 02 10 00 00</t>
  </si>
  <si>
    <t>3E-10-04-02-10-00-00</t>
  </si>
  <si>
    <t>Estaca escavada rotativa</t>
  </si>
  <si>
    <t>3E-10-04-02-10-00-00 - Estaca escavada rotativa</t>
  </si>
  <si>
    <t>3E 10 04 02 12 00 00</t>
  </si>
  <si>
    <t>3E-10-04-02-12-00-00</t>
  </si>
  <si>
    <t>Estaca escavada diafragma</t>
  </si>
  <si>
    <t>3E-10-04-02-12-00-00 - Estaca escavada diafragma</t>
  </si>
  <si>
    <t>3E 10 04 02 14 00 00</t>
  </si>
  <si>
    <t>3E-10-04-02-14-00-00</t>
  </si>
  <si>
    <t>Estaca moldada strauss</t>
  </si>
  <si>
    <t>3E-10-04-02-14-00-00 - Estaca moldada strauss</t>
  </si>
  <si>
    <t>3E 10 04 02 16 00 00</t>
  </si>
  <si>
    <t>3E-10-04-02-16-00-00</t>
  </si>
  <si>
    <t>Estaca moldada raiz</t>
  </si>
  <si>
    <t>3E-10-04-02-16-00-00 - Estaca moldada raiz</t>
  </si>
  <si>
    <t>3E 10 04 02 18 00 00</t>
  </si>
  <si>
    <t>3E-10-04-02-18-00-00</t>
  </si>
  <si>
    <t>Estaca pré-moldada</t>
  </si>
  <si>
    <t>3E-10-04-02-18-00-00 - Estaca pré-moldada</t>
  </si>
  <si>
    <t>3E 10 04 04 00 00 00</t>
  </si>
  <si>
    <t>3E-10-04-04-00-00-00</t>
  </si>
  <si>
    <t>Tubulão</t>
  </si>
  <si>
    <t>3E-10-04-04-00-00-00 - Tubulão</t>
  </si>
  <si>
    <t>3E 10 04 06 00 00 00</t>
  </si>
  <si>
    <t>3E-10-04-06-00-00-00</t>
  </si>
  <si>
    <t>Caixão de fundação</t>
  </si>
  <si>
    <t>3E-10-04-06-00-00-00 - Caixão de fundação</t>
  </si>
  <si>
    <t>3E 12 00 00 00 00 00</t>
  </si>
  <si>
    <t>3E-12-00-00-00-00-00</t>
  </si>
  <si>
    <t>Elementos de estruturas</t>
  </si>
  <si>
    <t>3E-12-00-00-00-00-00 - Elementos de estruturas</t>
  </si>
  <si>
    <t>3E 12 02 00 00 00 00</t>
  </si>
  <si>
    <t>3E-12-02-00-00-00-00</t>
  </si>
  <si>
    <t>Elementos estruturais de forma ativa</t>
  </si>
  <si>
    <t>3E-12-02-00-00-00-00 - Elementos estruturais de forma ativa</t>
  </si>
  <si>
    <t>3E 12 02 02 00 00 00</t>
  </si>
  <si>
    <t>3E-12-02-02-00-00-00</t>
  </si>
  <si>
    <t>Estrutura de cabo</t>
  </si>
  <si>
    <t>3E-12-02-02-00-00-00 - Estrutura de cabo</t>
  </si>
  <si>
    <t>3E 12 02 04 00 00 00</t>
  </si>
  <si>
    <t>3E-12-02-04-00-00-00</t>
  </si>
  <si>
    <t>Estrutura de tenda</t>
  </si>
  <si>
    <t>3E-12-02-04-00-00-00 - Estrutura de tenda</t>
  </si>
  <si>
    <t>3E 12 02 06 00 00 00</t>
  </si>
  <si>
    <t>3E-12-02-06-00-00-00</t>
  </si>
  <si>
    <t>Estrutura de pneumático</t>
  </si>
  <si>
    <t>3E-12-02-06-00-00-00 - Estrutura de pneumático</t>
  </si>
  <si>
    <t>3E 12 02 08 00 00 00</t>
  </si>
  <si>
    <t>3E-12-02-08-00-00-00</t>
  </si>
  <si>
    <t>Estrutura de arco</t>
  </si>
  <si>
    <t>3E-12-02-08-00-00-00 - Estrutura de arco</t>
  </si>
  <si>
    <t>3E 12 02 08 02 00 00</t>
  </si>
  <si>
    <t>3E-12-02-08-02-00-00</t>
  </si>
  <si>
    <t>Arco funicular</t>
  </si>
  <si>
    <t>3E-12-02-08-02-00-00 - Arco funicular</t>
  </si>
  <si>
    <t>3E 12 02 08 02 02 00</t>
  </si>
  <si>
    <t>3E-12-02-08-02-02-00</t>
  </si>
  <si>
    <t>Arco achete</t>
  </si>
  <si>
    <t>3E-12-02-08-02-02-00 - Arco achete</t>
  </si>
  <si>
    <t>3E 12 02 08 02 04 00</t>
  </si>
  <si>
    <t>3E-12-02-08-02-04-00</t>
  </si>
  <si>
    <t>Arcobotante</t>
  </si>
  <si>
    <t>3E-12-02-08-02-04-00 - Arcobotante</t>
  </si>
  <si>
    <t>3E 12 02 08 02 06 00</t>
  </si>
  <si>
    <t>3E-12-02-08-02-06-00</t>
  </si>
  <si>
    <t>Arco cego</t>
  </si>
  <si>
    <t>3E-12-02-08-02-06-00 - Arco cego</t>
  </si>
  <si>
    <t>3E 12 02 08 02 08 00</t>
  </si>
  <si>
    <t>3E-12-02-08-02-08-00</t>
  </si>
  <si>
    <t>Arco cruzeiro</t>
  </si>
  <si>
    <t>3E-12-02-08-02-08-00 - Arco cruzeiro</t>
  </si>
  <si>
    <t>3E 12 02 08 02 10 00</t>
  </si>
  <si>
    <t>3E-12-02-08-02-10-00</t>
  </si>
  <si>
    <t>Arco de ogiva</t>
  </si>
  <si>
    <t>3E-12-02-08-02-10-00 - Arco de ogiva</t>
  </si>
  <si>
    <t>3E 12 02 08 02 12 00</t>
  </si>
  <si>
    <t>3E-12-02-08-02-12-00</t>
  </si>
  <si>
    <t>Arco toral</t>
  </si>
  <si>
    <t>3E-12-02-08-02-12-00 - Arco toral</t>
  </si>
  <si>
    <t>3E 12 02 08 02 14 00</t>
  </si>
  <si>
    <t>3E-12-02-08-02-14-00</t>
  </si>
  <si>
    <t>Formalete</t>
  </si>
  <si>
    <t>3E-12-02-08-02-14-00 - Formalete</t>
  </si>
  <si>
    <t>3E 12 02 08 02 16 00</t>
  </si>
  <si>
    <t>3E-12-02-08-02-16-00</t>
  </si>
  <si>
    <t>Arco abatido</t>
  </si>
  <si>
    <t>3E-12-02-08-02-16-00 - Arco abatido</t>
  </si>
  <si>
    <t>3E 12 02 08 02 18 00</t>
  </si>
  <si>
    <t>3E-12-02-08-02-18-00</t>
  </si>
  <si>
    <t>Arco ferradura</t>
  </si>
  <si>
    <t>3E-12-02-08-02-18-00 - Arco ferradura</t>
  </si>
  <si>
    <t>3E 12 02 08 02 20 00</t>
  </si>
  <si>
    <t>3E-12-02-08-02-20-00</t>
  </si>
  <si>
    <t>Arco geminado</t>
  </si>
  <si>
    <t>3E-12-02-08-02-20-00 - Arco geminado</t>
  </si>
  <si>
    <t>3E 12 02 08 02 22 00</t>
  </si>
  <si>
    <t>3E-12-02-08-02-22-00</t>
  </si>
  <si>
    <t>Arco gótico</t>
  </si>
  <si>
    <t>3E-12-02-08-02-22-00 - Arco gótico</t>
  </si>
  <si>
    <t>3E 12 02 08 02 24 00</t>
  </si>
  <si>
    <t>3E-12-02-08-02-24-00</t>
  </si>
  <si>
    <t>Arco mourisco</t>
  </si>
  <si>
    <t>3E-12-02-08-02-24-00 - Arco mourisco</t>
  </si>
  <si>
    <t>3E 12 02 08 02 26 00</t>
  </si>
  <si>
    <t>3E-12-02-08-02-26-00</t>
  </si>
  <si>
    <t>Arco pleno</t>
  </si>
  <si>
    <t>3E-12-02-08-02-26-00 - Arco pleno</t>
  </si>
  <si>
    <t>3E 12 02 08 02 28 00</t>
  </si>
  <si>
    <t>3E-12-02-08-02-28-00</t>
  </si>
  <si>
    <t>Arco tribolado</t>
  </si>
  <si>
    <t>3E-12-02-08-02-28-00 - Arco tribolado</t>
  </si>
  <si>
    <t>3E 12 02 08 02 30 00</t>
  </si>
  <si>
    <t>3E-12-02-08-02-30-00</t>
  </si>
  <si>
    <t>Arco tudor</t>
  </si>
  <si>
    <t>3E-12-02-08-02-30-00 - Arco tudor</t>
  </si>
  <si>
    <t>3E 12 02 08 04 00 00</t>
  </si>
  <si>
    <t>3E-12-02-08-04-00-00</t>
  </si>
  <si>
    <t>Estrutura de retículas abobadadas</t>
  </si>
  <si>
    <t>3E-12-02-08-04-00-00 - Estrutura de retículas abobadadas</t>
  </si>
  <si>
    <t>3E 12 04 00 00 00 00</t>
  </si>
  <si>
    <t>3E-12-04-00-00-00-00</t>
  </si>
  <si>
    <t>Elementos estruturais de vetor ativo</t>
  </si>
  <si>
    <t>3E-12-04-00-00-00-00 - Elementos estruturais de vetor ativo</t>
  </si>
  <si>
    <t>3E 12 04 02 00 00 00</t>
  </si>
  <si>
    <t>3E-12-04-02-00-00-00</t>
  </si>
  <si>
    <t>Treliça plana</t>
  </si>
  <si>
    <t>3E-12-04-02-00-00-00 - Treliça plana</t>
  </si>
  <si>
    <t>3E 12 04 04 00 00 00</t>
  </si>
  <si>
    <t>3E-12-04-04-00-00-00</t>
  </si>
  <si>
    <t>Treliça combinada</t>
  </si>
  <si>
    <t>3E-12-04-04-00-00-00 - Treliça combinada</t>
  </si>
  <si>
    <t>3E 12 04 06 00 00 00</t>
  </si>
  <si>
    <t>3E-12-04-06-00-00-00</t>
  </si>
  <si>
    <t>Treliça curva</t>
  </si>
  <si>
    <t>3E-12-04-06-00-00-00 - Treliça curva</t>
  </si>
  <si>
    <t>3E 12 04 08 00 00 00</t>
  </si>
  <si>
    <t>3E-12-04-08-00-00-00</t>
  </si>
  <si>
    <t>Treliça espacial</t>
  </si>
  <si>
    <t>3E-12-04-08-00-00-00 - Treliça espacial</t>
  </si>
  <si>
    <t>3E 12 06 00 00 00 00</t>
  </si>
  <si>
    <t>3E-12-06-00-00-00-00</t>
  </si>
  <si>
    <t>Elementos estruturais de seção ativa</t>
  </si>
  <si>
    <t>3E-12-06-00-00-00-00 - Elementos estruturais de seção ativa</t>
  </si>
  <si>
    <t>3E 12 06 02 00 00 00</t>
  </si>
  <si>
    <t>3E-12-06-02-00-00-00</t>
  </si>
  <si>
    <t>Viga</t>
  </si>
  <si>
    <t>3E-12-06-02-00-00-00 - Viga</t>
  </si>
  <si>
    <t>3E 12 06 02 02 00 00</t>
  </si>
  <si>
    <t>3E-12-06-02-02-00-00</t>
  </si>
  <si>
    <t>Verga</t>
  </si>
  <si>
    <t>3E-12-06-02-02-00-00 - Verga</t>
  </si>
  <si>
    <t>3E 12 06 02 04 00 00</t>
  </si>
  <si>
    <t>3E-12-06-02-04-00-00</t>
  </si>
  <si>
    <t>Contraverga</t>
  </si>
  <si>
    <t>3E-12-06-02-04-00-00 - Contraverga</t>
  </si>
  <si>
    <t>3E 12 06 04 00 00 00</t>
  </si>
  <si>
    <t>3E-12-06-04-00-00-00</t>
  </si>
  <si>
    <t>Pórtico</t>
  </si>
  <si>
    <t>3E-12-06-04-00-00-00 - Pórtico</t>
  </si>
  <si>
    <t>3E 12 06 06 00 00 00</t>
  </si>
  <si>
    <t>3E-12-06-06-00-00-00</t>
  </si>
  <si>
    <t>Malha de viga</t>
  </si>
  <si>
    <t>3E-12-06-06-00-00-00 - Malha de viga</t>
  </si>
  <si>
    <t>3E 12 06 08 00 00 00</t>
  </si>
  <si>
    <t>3E-12-06-08-00-00-00</t>
  </si>
  <si>
    <t>Laje</t>
  </si>
  <si>
    <t>3E-12-06-08-00-00-00 - Laje</t>
  </si>
  <si>
    <t>3E 12 08 00 00 00 00</t>
  </si>
  <si>
    <t>3E-12-08-00-00-00-00</t>
  </si>
  <si>
    <t>Elementos estruturais de superfície ativa</t>
  </si>
  <si>
    <t>3E-12-08-00-00-00-00 - Elementos estruturais de superfície ativa</t>
  </si>
  <si>
    <t>3E 12 08 02 00 00 00</t>
  </si>
  <si>
    <t>3E-12-08-02-00-00-00</t>
  </si>
  <si>
    <t>Estrutura de placas</t>
  </si>
  <si>
    <t>3E-12-08-02-00-00-00 - Estrutura de placas</t>
  </si>
  <si>
    <t>3E 12 08 04 00 00 00</t>
  </si>
  <si>
    <t>3E-12-08-04-00-00-00</t>
  </si>
  <si>
    <t>Estrutura de placas dobradas</t>
  </si>
  <si>
    <t>3E-12-08-04-00-00-00 - Estrutura de placas dobradas</t>
  </si>
  <si>
    <t>3E 12 08 06 00 00 00</t>
  </si>
  <si>
    <t>3E-12-08-06-00-00-00</t>
  </si>
  <si>
    <t>Estrutura de casca</t>
  </si>
  <si>
    <t>3E-12-08-06-00-00-00 - Estrutura de casca</t>
  </si>
  <si>
    <t>3E 12 08 06 02 00 00</t>
  </si>
  <si>
    <t>3E-12-08-06-02-00-00</t>
  </si>
  <si>
    <t>Casca de curvas simples</t>
  </si>
  <si>
    <t>3E-12-08-06-02-00-00 - Casca de curvas simples</t>
  </si>
  <si>
    <t>3E 12 08 06 04 00 00</t>
  </si>
  <si>
    <t>3E-12-08-06-04-00-00</t>
  </si>
  <si>
    <t>Casca em cúpula</t>
  </si>
  <si>
    <t>3E-12-08-06-04-00-00 - Casca em cúpula</t>
  </si>
  <si>
    <t>3E 12 08 06 06 00 00</t>
  </si>
  <si>
    <t>3E-12-08-06-06-00-00</t>
  </si>
  <si>
    <t>Casca em sela</t>
  </si>
  <si>
    <t>3E-12-08-06-06-00-00 - Casca em sela</t>
  </si>
  <si>
    <t>3E 12 10 00 00 00 00</t>
  </si>
  <si>
    <t>3E-12-10-00-00-00-00</t>
  </si>
  <si>
    <t>Elementos estruturais de altura ativa</t>
  </si>
  <si>
    <t>3E-12-10-00-00-00-00 - Elementos estruturais de altura ativa</t>
  </si>
  <si>
    <t>3E 12 10 02 00 00 00</t>
  </si>
  <si>
    <t>3E-12-10-02-00-00-00</t>
  </si>
  <si>
    <t>Estrutura de transmissão vertical de cargas</t>
  </si>
  <si>
    <t>3E-12-10-02-00-00-00 - Estrutura de transmissão vertical de cargas</t>
  </si>
  <si>
    <t>3E 12 10 02 02 00 00</t>
  </si>
  <si>
    <t>3E-12-10-02-02-00-00</t>
  </si>
  <si>
    <t>Pilar</t>
  </si>
  <si>
    <t>3E-12-10-02-02-00-00 - Pilar</t>
  </si>
  <si>
    <t>3E 12 12 00 00 00 00</t>
  </si>
  <si>
    <t>3E-12-12-00-00-00-00</t>
  </si>
  <si>
    <t>Elementos de acoplamento estrutural</t>
  </si>
  <si>
    <t>3E-12-12-00-00-00-00 - Elementos de acoplamento estrutural</t>
  </si>
  <si>
    <t>3E 12 12 02 00 00 00</t>
  </si>
  <si>
    <t>3E-12-12-02-00-00-00</t>
  </si>
  <si>
    <t>Acoplamento elástico</t>
  </si>
  <si>
    <t>3E-12-12-02-00-00-00 - Acoplamento elástico</t>
  </si>
  <si>
    <t>3E 12 12 04 00 00 00</t>
  </si>
  <si>
    <t>3E-12-12-04-00-00-00</t>
  </si>
  <si>
    <t>Acoplamento flexível</t>
  </si>
  <si>
    <t>3E-12-12-04-00-00-00 - Acoplamento flexível</t>
  </si>
  <si>
    <t>3E 12 12 06 00 00 00</t>
  </si>
  <si>
    <t>3E-12-12-06-00-00-00</t>
  </si>
  <si>
    <t>Acoplamento seco</t>
  </si>
  <si>
    <t>3E-12-12-06-00-00-00 - Acoplamento seco</t>
  </si>
  <si>
    <t>3E 12 12 08 00 00 00</t>
  </si>
  <si>
    <t>3E-12-12-08-00-00-00</t>
  </si>
  <si>
    <t>Acoplamento úmido</t>
  </si>
  <si>
    <t>3E-12-12-08-00-00-00 - Acoplamento úmido</t>
  </si>
  <si>
    <t>3E 12 12 10 00 00 00</t>
  </si>
  <si>
    <t>3E-12-12-10-00-00-00</t>
  </si>
  <si>
    <t>Ancoragem</t>
  </si>
  <si>
    <t>3E-12-12-10-00-00-00 - Ancoragem</t>
  </si>
  <si>
    <t>3E 14 00 00 00 00 00</t>
  </si>
  <si>
    <t>3E-14-00-00-00-00-00</t>
  </si>
  <si>
    <t>Elementos de vedações</t>
  </si>
  <si>
    <t>3E-14-00-00-00-00-00 - Elementos de vedações</t>
  </si>
  <si>
    <t>3E 14 02 00 00 00 00</t>
  </si>
  <si>
    <t>3E-14-02-00-00-00-00</t>
  </si>
  <si>
    <t>Parede</t>
  </si>
  <si>
    <t>3E-14-02-00-00-00-00 - Parede</t>
  </si>
  <si>
    <t>3E 14 02 02 00 00 00</t>
  </si>
  <si>
    <t>3E-14-02-02-00-00-00</t>
  </si>
  <si>
    <t>Núcleo de parede</t>
  </si>
  <si>
    <t>3E-14-02-02-00-00-00 - Núcleo de parede</t>
  </si>
  <si>
    <t>3E 14 02 04 00 00 00</t>
  </si>
  <si>
    <t>3E-14-02-04-00-00-00</t>
  </si>
  <si>
    <t>Acabamento de parede</t>
  </si>
  <si>
    <t>3E-14-02-04-00-00-00 - Acabamento de parede</t>
  </si>
  <si>
    <t>3E 14 04 00 00 00 00</t>
  </si>
  <si>
    <t>3E-14-04-00-00-00-00</t>
  </si>
  <si>
    <t>Cobertura</t>
  </si>
  <si>
    <t>3E-14-04-00-00-00-00 - Cobertura</t>
  </si>
  <si>
    <t>3E 14 04 02 00 00 00</t>
  </si>
  <si>
    <t>3E-14-04-02-00-00-00</t>
  </si>
  <si>
    <t>Telhado</t>
  </si>
  <si>
    <t>3E-14-04-02-00-00-00 - Telhado</t>
  </si>
  <si>
    <t>3E 14 04 02 02 00 00</t>
  </si>
  <si>
    <t>3E-14-04-02-02-00-00</t>
  </si>
  <si>
    <t>Cumeeira</t>
  </si>
  <si>
    <t>3E-14-04-02-02-00-00 - Cumeeira</t>
  </si>
  <si>
    <t>3E 14 04 02 04 00 00</t>
  </si>
  <si>
    <t>3E-14-04-02-04-00-00</t>
  </si>
  <si>
    <t>Espigão</t>
  </si>
  <si>
    <t>3E-14-04-02-04-00-00 - Espigão</t>
  </si>
  <si>
    <t>3E 14 04 02 06 00 00</t>
  </si>
  <si>
    <t>3E-14-04-02-06-00-00</t>
  </si>
  <si>
    <t>Rincão</t>
  </si>
  <si>
    <t>3E-14-04-02-06-00-00 - Rincão</t>
  </si>
  <si>
    <t>3E 14 04 02 08 00 00</t>
  </si>
  <si>
    <t>3E-14-04-02-08-00-00</t>
  </si>
  <si>
    <t>Beiral</t>
  </si>
  <si>
    <t>3E-14-04-02-08-00-00 - Beiral</t>
  </si>
  <si>
    <t>3E 14 04 02 10 00 00</t>
  </si>
  <si>
    <t>3E-14-04-02-10-00-00</t>
  </si>
  <si>
    <t>Telhamento</t>
  </si>
  <si>
    <t>3E-14-04-02-10-00-00 - Telhamento</t>
  </si>
  <si>
    <t>3E 14 04 02 12 00 00</t>
  </si>
  <si>
    <t>3E-14-04-02-12-00-00</t>
  </si>
  <si>
    <t>Tesoura</t>
  </si>
  <si>
    <t>3E-14-04-02-12-00-00 - Tesoura</t>
  </si>
  <si>
    <t>3E 14 04 02 14 00 00</t>
  </si>
  <si>
    <t>3E-14-04-02-14-00-00</t>
  </si>
  <si>
    <t>Pontalete</t>
  </si>
  <si>
    <t>3E-14-04-02-14-00-00 - Pontalete</t>
  </si>
  <si>
    <t>3E 16 00 00 00 00 00</t>
  </si>
  <si>
    <t>3E-16-00-00-00-00-00</t>
  </si>
  <si>
    <t>Elementos de acabamentos</t>
  </si>
  <si>
    <t>3E-16-00-00-00-00-00 - Elementos de acabamentos</t>
  </si>
  <si>
    <t>3E 16 02 00 00 00 00</t>
  </si>
  <si>
    <t>3E-16-02-00-00-00-00</t>
  </si>
  <si>
    <t>Pisos</t>
  </si>
  <si>
    <t>3E-16-02-00-00-00-00 - Pisos</t>
  </si>
  <si>
    <t>3E 16 02 02 00 00 00</t>
  </si>
  <si>
    <t>3E-16-02-02-00-00-00</t>
  </si>
  <si>
    <t>Contrapiso</t>
  </si>
  <si>
    <t>3E-16-02-02-00-00-00 - Contrapiso</t>
  </si>
  <si>
    <t>3E 16 02 04 00 00 00</t>
  </si>
  <si>
    <t>3E-16-02-04-00-00-00</t>
  </si>
  <si>
    <t>Revestimento de piso</t>
  </si>
  <si>
    <t>3E-16-02-04-00-00-00 - Revestimento de piso</t>
  </si>
  <si>
    <t>3E 16 02 06 00 00 00</t>
  </si>
  <si>
    <t>3E-16-02-06-00-00-00</t>
  </si>
  <si>
    <t>Soleira</t>
  </si>
  <si>
    <t>3E-16-02-06-00-00-00 - Soleira</t>
  </si>
  <si>
    <t>3E 16 02 08 00 00 00</t>
  </si>
  <si>
    <t>3E-16-02-08-00-00-00</t>
  </si>
  <si>
    <t>Pingadeira</t>
  </si>
  <si>
    <t>3E-16-02-08-00-00-00 - Pingadeira</t>
  </si>
  <si>
    <t>3E 16 02 10 00 00 00</t>
  </si>
  <si>
    <t>3E-16-02-10-00-00-00</t>
  </si>
  <si>
    <t>Tropicão</t>
  </si>
  <si>
    <t>3E-16-02-10-00-00-00 - Tropicão</t>
  </si>
  <si>
    <t>3E 16 04 00 00 00 00</t>
  </si>
  <si>
    <t>3E-16-04-00-00-00-00</t>
  </si>
  <si>
    <t>Forros</t>
  </si>
  <si>
    <t>3E-16-04-00-00-00-00 - Forros</t>
  </si>
  <si>
    <t>3E 16 04 02 00 00 00</t>
  </si>
  <si>
    <t>3E-16-04-02-00-00-00</t>
  </si>
  <si>
    <t>Painel de forro</t>
  </si>
  <si>
    <t>3E-16-04-02-00-00-00 - Painel de forro</t>
  </si>
  <si>
    <t>3E 16 04 04 00 00 00</t>
  </si>
  <si>
    <t>3E-16-04-04-00-00-00</t>
  </si>
  <si>
    <t>Pendural</t>
  </si>
  <si>
    <t>3E-16-04-04-00-00-00 - Pendural</t>
  </si>
  <si>
    <t>3E 16 04 06 00 00 00</t>
  </si>
  <si>
    <t>3E-16-04-06-00-00-00</t>
  </si>
  <si>
    <t>Junta de dilatação de forro</t>
  </si>
  <si>
    <t>3E-16-04-06-00-00-00 - Junta de dilatação de forro</t>
  </si>
  <si>
    <t>3E 16 04 08 00 00 00</t>
  </si>
  <si>
    <t>3E-16-04-08-00-00-00</t>
  </si>
  <si>
    <t>Tabica</t>
  </si>
  <si>
    <t>3E-16-04-08-00-00-00 - Tabica</t>
  </si>
  <si>
    <t>3E 16 06 00 00 00 00</t>
  </si>
  <si>
    <t>3E-16-06-00-00-00-00</t>
  </si>
  <si>
    <t>Acabamentos de paredes</t>
  </si>
  <si>
    <t>3E-16-06-00-00-00-00 - Acabamentos de paredes</t>
  </si>
  <si>
    <t>3E 16 06 02 00 00 00</t>
  </si>
  <si>
    <t>3E-16-06-02-00-00-00</t>
  </si>
  <si>
    <t>Cantoneira para paredes</t>
  </si>
  <si>
    <t>3E-16-06-02-00-00-00 - Cantoneira para paredes</t>
  </si>
  <si>
    <t>3E 16 06 04 00 00 00</t>
  </si>
  <si>
    <t>3E-16-06-04-00-00-00</t>
  </si>
  <si>
    <t>Rodapé</t>
  </si>
  <si>
    <t>3E-16-06-04-00-00-00 - Rodapé</t>
  </si>
  <si>
    <t>3E 16 06 06 00 00 00</t>
  </si>
  <si>
    <t>3E-16-06-06-00-00-00</t>
  </si>
  <si>
    <t>Rodameio</t>
  </si>
  <si>
    <t>3E-16-06-06-00-00-00 - Rodameio</t>
  </si>
  <si>
    <t>3E 16 06 08 00 00 00</t>
  </si>
  <si>
    <t>3E-16-06-08-00-00-00</t>
  </si>
  <si>
    <t>Sanca</t>
  </si>
  <si>
    <t>3E-16-06-08-00-00-00 - Sanca</t>
  </si>
  <si>
    <t>3E 18 00 00 00 00 00</t>
  </si>
  <si>
    <t>3E-18-00-00-00-00-00</t>
  </si>
  <si>
    <t>Elementos de impermeabilização</t>
  </si>
  <si>
    <t>3E-18-00-00-00-00-00 - Elementos de impermeabilização</t>
  </si>
  <si>
    <t>3E 18 02 00 00 00 00</t>
  </si>
  <si>
    <t>3E-18-02-00-00-00-00</t>
  </si>
  <si>
    <t>Elementos de regularização da impermeabilização</t>
  </si>
  <si>
    <t>3E-18-02-00-00-00-00 - Elementos de regularização da impermeabilização</t>
  </si>
  <si>
    <t>3E 18 04 00 00 00 00</t>
  </si>
  <si>
    <t>3E-18-04-00-00-00-00</t>
  </si>
  <si>
    <t>Elementos impermeabilizante</t>
  </si>
  <si>
    <t>3E-18-04-00-00-00-00 - Elementos impermeabilizante</t>
  </si>
  <si>
    <t>3E 18 06 00 00 00 00</t>
  </si>
  <si>
    <t>3E-18-06-00-00-00-00</t>
  </si>
  <si>
    <t>Elementos de isolamento térmico da impermeabilização</t>
  </si>
  <si>
    <t>3E-18-06-00-00-00-00 - Elementos de isolamento térmico da impermeabilização</t>
  </si>
  <si>
    <t>3E 18 08 00 00 00 00</t>
  </si>
  <si>
    <t>3E-18-08-00-00-00-00</t>
  </si>
  <si>
    <t>Elementos de proteção mecânica da impermeabilização</t>
  </si>
  <si>
    <t>3E-18-08-00-00-00-00 - Elementos de proteção mecânica da impermeabilização</t>
  </si>
  <si>
    <t>3E 20 00 00 00 00 00</t>
  </si>
  <si>
    <t>3E-20-00-00-00-00-00</t>
  </si>
  <si>
    <t>Elementos de aberturas</t>
  </si>
  <si>
    <t>3E-20-00-00-00-00-00 - Elementos de aberturas</t>
  </si>
  <si>
    <t>3E 20 02 00 00 00 00</t>
  </si>
  <si>
    <t>3E-20-02-00-00-00-00</t>
  </si>
  <si>
    <t>Elementos de aberturas para circulação</t>
  </si>
  <si>
    <t>3E-20-02-00-00-00-00 - Elementos de aberturas para circulação</t>
  </si>
  <si>
    <t>3E 20 02 02 00 00 00</t>
  </si>
  <si>
    <t>3E-20-02-02-00-00-00</t>
  </si>
  <si>
    <t>Portas</t>
  </si>
  <si>
    <t>3E-20-02-02-00-00-00 - Portas</t>
  </si>
  <si>
    <t>3E 20 02 02 02 00 00</t>
  </si>
  <si>
    <t>3E-20-02-02-02-00-00</t>
  </si>
  <si>
    <t>Porta de correr</t>
  </si>
  <si>
    <t>3E-20-02-02-02-00-00 - Porta de correr</t>
  </si>
  <si>
    <t>3E 20 02 02 04 00 00</t>
  </si>
  <si>
    <t>3E-20-02-02-04-00-00</t>
  </si>
  <si>
    <t>Porta de girar</t>
  </si>
  <si>
    <t>3E-20-02-02-04-00-00 - Porta de girar</t>
  </si>
  <si>
    <t>3E 20 02 02 06 00 00</t>
  </si>
  <si>
    <t>3E-20-02-02-06-00-00</t>
  </si>
  <si>
    <t>Porta camarão</t>
  </si>
  <si>
    <t>3E-20-02-02-06-00-00 - Porta camarão</t>
  </si>
  <si>
    <t>3E 20 02 02 08 00 00</t>
  </si>
  <si>
    <t>3E-20-02-02-08-00-00</t>
  </si>
  <si>
    <t>Porta de enrolar</t>
  </si>
  <si>
    <t>3E-20-02-02-08-00-00 - Porta de enrolar</t>
  </si>
  <si>
    <t>3E 20 02 02 10 00 00</t>
  </si>
  <si>
    <t>3E-20-02-02-10-00-00</t>
  </si>
  <si>
    <t>Porta pivotante</t>
  </si>
  <si>
    <t>3E-20-02-02-10-00-00 - Porta pivotante</t>
  </si>
  <si>
    <t>3E 20 02 02 12 00 00</t>
  </si>
  <si>
    <t>3E-20-02-02-12-00-00</t>
  </si>
  <si>
    <t>Porta giratória</t>
  </si>
  <si>
    <t>3E-20-02-02-12-00-00 - Porta giratória</t>
  </si>
  <si>
    <t>3E 20 02 04 00 00 00</t>
  </si>
  <si>
    <t>3E-20-02-04-00-00-00</t>
  </si>
  <si>
    <t>Alçapões</t>
  </si>
  <si>
    <t>3E-20-02-04-00-00-00 - Alçapões</t>
  </si>
  <si>
    <t>3E 20 04 00 00 00 00</t>
  </si>
  <si>
    <t>3E-20-04-00-00-00-00</t>
  </si>
  <si>
    <t>Elementos de aberturas para ventilação e iluminação natural</t>
  </si>
  <si>
    <t>3E-20-04-00-00-00-00 - Elementos de aberturas para ventilação e iluminação natural</t>
  </si>
  <si>
    <t>3E 20 04 02 00 00 00</t>
  </si>
  <si>
    <t>3E-20-04-02-00-00-00</t>
  </si>
  <si>
    <t>Janelas</t>
  </si>
  <si>
    <t>3E-20-04-02-00-00-00 - Janelas</t>
  </si>
  <si>
    <t>3E 20 04 02 02 00 00</t>
  </si>
  <si>
    <t>3E-20-04-02-02-00-00</t>
  </si>
  <si>
    <t>Janela de correr</t>
  </si>
  <si>
    <t>3E-20-04-02-02-00-00 - Janela de correr</t>
  </si>
  <si>
    <t>3E 20 04 02 04 00 00</t>
  </si>
  <si>
    <t>3E-20-04-02-04-00-00</t>
  </si>
  <si>
    <t>Janela pivotante</t>
  </si>
  <si>
    <t>3E-20-04-02-04-00-00 - Janela pivotante</t>
  </si>
  <si>
    <t>3E 20 04 02 06 00 00</t>
  </si>
  <si>
    <t>3E-20-04-02-06-00-00</t>
  </si>
  <si>
    <t>Janela basculante</t>
  </si>
  <si>
    <t>3E-20-04-02-06-00-00 - Janela basculante</t>
  </si>
  <si>
    <t>3E 20 04 02 08 00 00</t>
  </si>
  <si>
    <t>3E-20-04-02-08-00-00</t>
  </si>
  <si>
    <t>Janela projetante</t>
  </si>
  <si>
    <t>3E-20-04-02-08-00-00 - Janela projetante</t>
  </si>
  <si>
    <t>3E 20 04 02 10 00 00</t>
  </si>
  <si>
    <t>3E-20-04-02-10-00-00</t>
  </si>
  <si>
    <t>Janela guilhotina</t>
  </si>
  <si>
    <t>3E-20-04-02-10-00-00 - Janela guilhotina</t>
  </si>
  <si>
    <t>3E 20 04 04 00 00 00</t>
  </si>
  <si>
    <t>3E-20-04-04-00-00-00</t>
  </si>
  <si>
    <t>Domus</t>
  </si>
  <si>
    <t>3E-20-04-04-00-00-00 - Domus</t>
  </si>
  <si>
    <t>3E 20 04 06 00 00 00</t>
  </si>
  <si>
    <t>3E-20-04-06-00-00-00</t>
  </si>
  <si>
    <t>Cúpula</t>
  </si>
  <si>
    <t>3E-20-04-06-00-00-00 - Cúpula</t>
  </si>
  <si>
    <t>3E 20 04 08 00 00 00</t>
  </si>
  <si>
    <t>3E-20-04-08-00-00-00</t>
  </si>
  <si>
    <t>Claraboia</t>
  </si>
  <si>
    <t>3E-20-04-08-00-00-00 - Claraboia</t>
  </si>
  <si>
    <t>3E 20 04 10 00 00 00</t>
  </si>
  <si>
    <t>3E-20-04-10-00-00-00</t>
  </si>
  <si>
    <t>Átrio para iluminação e ventilação</t>
  </si>
  <si>
    <t>3E-20-04-10-00-00-00 - Átrio para iluminação e ventilação</t>
  </si>
  <si>
    <t>3E 20 04 12 00 00 00</t>
  </si>
  <si>
    <t>3E-20-04-12-00-00-00</t>
  </si>
  <si>
    <t>Lantemim</t>
  </si>
  <si>
    <t>3E-20-04-12-00-00-00 - Lantemim</t>
  </si>
  <si>
    <t>3E 20 04 14 00 00 00</t>
  </si>
  <si>
    <t>3E-20-04-14-00-00-00</t>
  </si>
  <si>
    <t>Shed</t>
  </si>
  <si>
    <t>3E-20-04-14-00-00-00 - Shed</t>
  </si>
  <si>
    <t>3E 22 00 00 00 00 00</t>
  </si>
  <si>
    <t>3E-22-00-00-00-00-00</t>
  </si>
  <si>
    <t>Elementos acústicos</t>
  </si>
  <si>
    <t>3E-22-00-00-00-00-00 - Elementos acústicos</t>
  </si>
  <si>
    <t>3E 22 02 00 00 00 00</t>
  </si>
  <si>
    <t>3E-22-02-00-00-00-00</t>
  </si>
  <si>
    <t>Elementos absorvedores</t>
  </si>
  <si>
    <t>3E-22-02-00-00-00-00 - Elementos absorvedores</t>
  </si>
  <si>
    <t>3E 22 04 00 00 00 00</t>
  </si>
  <si>
    <t>3E-22-04-00-00-00-00</t>
  </si>
  <si>
    <t>Elementos de barreira</t>
  </si>
  <si>
    <t>3E-22-04-00-00-00-00 - Elementos de barreira</t>
  </si>
  <si>
    <t>3E 22 06 00 00 00 00</t>
  </si>
  <si>
    <t>3E-22-06-00-00-00-00</t>
  </si>
  <si>
    <t>Elementos atenuadores</t>
  </si>
  <si>
    <t>3E-22-06-00-00-00-00 - Elementos atenuadores</t>
  </si>
  <si>
    <t>3E 22 08 00 00 00 00</t>
  </si>
  <si>
    <t>3E-22-08-00-00-00-00</t>
  </si>
  <si>
    <t>Elementos de enclausuramento</t>
  </si>
  <si>
    <t>3E-22-08-00-00-00-00 - Elementos de enclausuramento</t>
  </si>
  <si>
    <t>3E 24 00 00 00 00 00</t>
  </si>
  <si>
    <t>3E-24-00-00-00-00-00</t>
  </si>
  <si>
    <t>Elementos de redes de transmissão de eletricidade</t>
  </si>
  <si>
    <t>3E-24-00-00-00-00-00 - Elementos de redes de transmissão de eletricidade</t>
  </si>
  <si>
    <t>3E 24 02 00 00 00 00</t>
  </si>
  <si>
    <t>3E-24-02-00-00-00-00</t>
  </si>
  <si>
    <t>Linhas de transmissão</t>
  </si>
  <si>
    <t>3E-24-02-00-00-00-00 - Linhas de transmissão</t>
  </si>
  <si>
    <t>3E 24 04 00 00 00 00</t>
  </si>
  <si>
    <t>3E-24-04-00-00-00-00</t>
  </si>
  <si>
    <t>Rede de distribuição</t>
  </si>
  <si>
    <t>3E-24-04-00-00-00-00 - Rede de distribuição</t>
  </si>
  <si>
    <t>3E 24 06 00 00 00 00</t>
  </si>
  <si>
    <t>3E-24-06-00-00-00-00</t>
  </si>
  <si>
    <t>Subestação de distribuição</t>
  </si>
  <si>
    <t>3E-24-06-00-00-00-00 - Subestação de distribuição</t>
  </si>
  <si>
    <t>3E 24 08 00 00 00 00</t>
  </si>
  <si>
    <t>3E-24-08-00-00-00-00</t>
  </si>
  <si>
    <t>Transformador de distribuição</t>
  </si>
  <si>
    <t>3E-24-08-00-00-00-00 - Transformador de distribuição</t>
  </si>
  <si>
    <t>3E 26 00 00 00 00 00</t>
  </si>
  <si>
    <t>3E-26-00-00-00-00-00</t>
  </si>
  <si>
    <t>Elementos de instalações prediais de eletricidade</t>
  </si>
  <si>
    <t>3E-26-00-00-00-00-00 - Elementos de instalações prediais de eletricidade</t>
  </si>
  <si>
    <t>3E 26 02 00 00 00 00</t>
  </si>
  <si>
    <t>3E-26-02-00-00-00-00</t>
  </si>
  <si>
    <t>Ramais de fornecimento de corrente</t>
  </si>
  <si>
    <t>3E-26-02-00-00-00-00 - Ramais de fornecimento de corrente</t>
  </si>
  <si>
    <t>3E 26 02 02 00 00 00</t>
  </si>
  <si>
    <t>3E-26-02-02-00-00-00</t>
  </si>
  <si>
    <t>Ramal de ligação</t>
  </si>
  <si>
    <t>3E-26-02-02-00-00-00 - Ramal de ligação</t>
  </si>
  <si>
    <t>3E 26 02 04 00 00 00</t>
  </si>
  <si>
    <t>3E-26-02-04-00-00-00</t>
  </si>
  <si>
    <t>Ramal de entrada</t>
  </si>
  <si>
    <t>3E-26-02-04-00-00-00 - Ramal de entrada</t>
  </si>
  <si>
    <t>3E 26 02 06 00 00 00</t>
  </si>
  <si>
    <t>3E-26-02-06-00-00-00</t>
  </si>
  <si>
    <t>Ramal alimentador</t>
  </si>
  <si>
    <t>3E-26-02-06-00-00-00 - Ramal alimentador</t>
  </si>
  <si>
    <t>3E 26 04 00 00 00 00</t>
  </si>
  <si>
    <t>3E-26-04-00-00-00-00</t>
  </si>
  <si>
    <t>Elementos para a interrupção de corrente</t>
  </si>
  <si>
    <t>3E-26-04-00-00-00-00 - Elementos para a interrupção de corrente</t>
  </si>
  <si>
    <t>3E 26 04 02 00 00 00</t>
  </si>
  <si>
    <t>3E-26-04-02-00-00-00</t>
  </si>
  <si>
    <t>Fusíveis</t>
  </si>
  <si>
    <t>3E-26-04-02-00-00-00 - Fusíveis</t>
  </si>
  <si>
    <t>3E 26 04 02 02 00 00</t>
  </si>
  <si>
    <t>3E-26-04-02-02-00-00</t>
  </si>
  <si>
    <t>Fusível para proteção de uso geral</t>
  </si>
  <si>
    <t>3E-26-04-02-02-00-00 - Fusível para proteção de uso geral</t>
  </si>
  <si>
    <t>3E 26 04 02 04 00 00</t>
  </si>
  <si>
    <t>3E-26-04-02-04-00-00</t>
  </si>
  <si>
    <t>Fusível de circuitos motores</t>
  </si>
  <si>
    <t>3E-26-04-02-04-00-00 - Fusível de circuitos motores</t>
  </si>
  <si>
    <t>3E 26 04 02 06 00 00</t>
  </si>
  <si>
    <t>3E-26-04-02-06-00-00</t>
  </si>
  <si>
    <t>Fusível para proteção de semicondutores</t>
  </si>
  <si>
    <t>3E-26-04-02-06-00-00 - Fusível para proteção de semicondutores</t>
  </si>
  <si>
    <t>3E 26 04 04 00 00 00</t>
  </si>
  <si>
    <t>3E-26-04-04-00-00-00</t>
  </si>
  <si>
    <t>Disjuntores</t>
  </si>
  <si>
    <t>3E-26-04-04-00-00-00 - Disjuntores</t>
  </si>
  <si>
    <t>3E 26 04 06 00 00 00</t>
  </si>
  <si>
    <t>3E-26-04-06-00-00-00</t>
  </si>
  <si>
    <t>Dispositivo diferencial-residual (DR)</t>
  </si>
  <si>
    <t>3E-26-04-06-00-00-00 - Dispositivo diferencial-residual (DR)</t>
  </si>
  <si>
    <t>3E 26 06 00 00 00 00</t>
  </si>
  <si>
    <t>3E-26-06-00-00-00-00</t>
  </si>
  <si>
    <t>Elementos para o isolamento de corrente</t>
  </si>
  <si>
    <t>3E-26-06-00-00-00-00 - Elementos para o isolamento de corrente</t>
  </si>
  <si>
    <t>3E 26 06 02 00 00 00</t>
  </si>
  <si>
    <t>3E-26-06-02-00-00-00</t>
  </si>
  <si>
    <t>Seccionador</t>
  </si>
  <si>
    <t>3E-26-06-02-00-00-00 - Seccionador</t>
  </si>
  <si>
    <t>3E 26 06 04 00 00 00</t>
  </si>
  <si>
    <t>3E-26-06-04-00-00-00</t>
  </si>
  <si>
    <t>Isolador</t>
  </si>
  <si>
    <t>3E-26-06-04-00-00-00 - Isolador</t>
  </si>
  <si>
    <t>3E 26 06 06 00 00 00</t>
  </si>
  <si>
    <t>3E-26-06-06-00-00-00</t>
  </si>
  <si>
    <t>Resistor de aterramento</t>
  </si>
  <si>
    <t>3E-26-06-06-00-00-00 - Resistor de aterramento</t>
  </si>
  <si>
    <t>3E 26 06 08 00 00 00</t>
  </si>
  <si>
    <t>3E-26-06-08-00-00-00</t>
  </si>
  <si>
    <t>Disparador diferencial</t>
  </si>
  <si>
    <t>3E-26-06-08-00-00-00 - Disparador diferencial</t>
  </si>
  <si>
    <t>3E 26 06 10 00 00 00</t>
  </si>
  <si>
    <t>3E-26-06-10-00-00-00</t>
  </si>
  <si>
    <t>Limitador de sobretensões</t>
  </si>
  <si>
    <t>3E-26-06-10-00-00-00 - Limitador de sobretensões</t>
  </si>
  <si>
    <t>3E 26 08 00 00 00 00</t>
  </si>
  <si>
    <t>3E-26-08-00-00-00-00</t>
  </si>
  <si>
    <t>Elementos para a estabilização de corrente</t>
  </si>
  <si>
    <t>3E-26-08-00-00-00-00 - Elementos para a estabilização de corrente</t>
  </si>
  <si>
    <t>3E 26 08 02 00 00 00</t>
  </si>
  <si>
    <t>3E-26-08-02-00-00-00</t>
  </si>
  <si>
    <t>Dispositivo de proteção contra sobretensões elétricas (DPS-e)</t>
  </si>
  <si>
    <t>3E-26-08-02-00-00-00 - Dispositivo de proteção contra sobretensões elétricas (DPS-e)</t>
  </si>
  <si>
    <t>3E 26 08 04 00 00 00</t>
  </si>
  <si>
    <t>3E-26-08-04-00-00-00</t>
  </si>
  <si>
    <t>Dispositivo de proteção contra surtos</t>
  </si>
  <si>
    <t>3E-26-08-04-00-00-00 - Dispositivo de proteção contra surtos</t>
  </si>
  <si>
    <t>3E 26 08 06 00 00 00</t>
  </si>
  <si>
    <t>3E-26-08-06-00-00-00</t>
  </si>
  <si>
    <t>Barramento de equipotencialização principal (BEP)</t>
  </si>
  <si>
    <t>3E-26-08-06-00-00-00 - Barramento de equipotencialização principal (BEP)</t>
  </si>
  <si>
    <t>3E 26 10 00 00 00 00</t>
  </si>
  <si>
    <t>3E-26-10-00-00-00-00</t>
  </si>
  <si>
    <t>Elementos para dispersão de descargas elétricas</t>
  </si>
  <si>
    <t>3E-26-10-00-00-00-00 - Elementos para dispersão de descargas elétricas</t>
  </si>
  <si>
    <t>3E 26 10 02 00 00 00</t>
  </si>
  <si>
    <t>3E-26-10-02-00-00-00</t>
  </si>
  <si>
    <t>Aterramento funcional</t>
  </si>
  <si>
    <t>3E-26-10-02-00-00-00 - Aterramento funcional</t>
  </si>
  <si>
    <t>3E 26 10 04 00 00 00</t>
  </si>
  <si>
    <t>3E-26-10-04-00-00-00</t>
  </si>
  <si>
    <t>Aterramento de proteção</t>
  </si>
  <si>
    <t>3E-26-10-04-00-00-00 - Aterramento de proteção</t>
  </si>
  <si>
    <t>3E 26 10 06 00 00 00</t>
  </si>
  <si>
    <t>3E-26-10-06-00-00-00</t>
  </si>
  <si>
    <t>Aterramento de trabalho</t>
  </si>
  <si>
    <t>3E-26-10-06-00-00-00 - Aterramento de trabalho</t>
  </si>
  <si>
    <t>3E 26 10 08 00 00 00</t>
  </si>
  <si>
    <t>3E-26-10-08-00-00-00</t>
  </si>
  <si>
    <t>Aterramento para entrada de energia/entrada de serviço</t>
  </si>
  <si>
    <t>3E-26-10-08-00-00-00 - Aterramento para entrada de energia/entrada de serviço</t>
  </si>
  <si>
    <t>3E 26 10 10 00 00 00</t>
  </si>
  <si>
    <t>3E-26-10-10-00-00-00</t>
  </si>
  <si>
    <t>Rede captora de descargas</t>
  </si>
  <si>
    <t>3E-26-10-10-00-00-00 - Rede captora de descargas</t>
  </si>
  <si>
    <t>3E 26 10 12 00 00 00</t>
  </si>
  <si>
    <t>3E-26-10-12-00-00-00</t>
  </si>
  <si>
    <t>Eletrodo para a dispersão de descargas elétricas</t>
  </si>
  <si>
    <t>3E-26-10-12-00-00-00 - Eletrodo para a dispersão de descargas elétricas</t>
  </si>
  <si>
    <t>3E 26 10 14 00 00 00</t>
  </si>
  <si>
    <t>3E-26-10-14-00-00-00</t>
  </si>
  <si>
    <t>Descida de descarga</t>
  </si>
  <si>
    <t>3E-26-10-14-00-00-00 - Descida de descarga</t>
  </si>
  <si>
    <t>3E 26 10 16 00 00 00</t>
  </si>
  <si>
    <t>3E-26-10-16-00-00-00</t>
  </si>
  <si>
    <t>Condutor de descida</t>
  </si>
  <si>
    <t>3E-26-10-16-00-00-00 - Condutor de descida</t>
  </si>
  <si>
    <t>3E 26 10 18 00 00 00</t>
  </si>
  <si>
    <t>3E-26-10-18-00-00-00</t>
  </si>
  <si>
    <t>Condutor de equipotencialização</t>
  </si>
  <si>
    <t>3E-26-10-18-00-00-00 - Condutor de equipotencialização</t>
  </si>
  <si>
    <t>3E 26 10 20 00 00 00</t>
  </si>
  <si>
    <t>3E-26-10-20-00-00-00</t>
  </si>
  <si>
    <t>Barramento de equipotencialização funcional</t>
  </si>
  <si>
    <t>3E-26-10-20-00-00-00 - Barramento de equipotencialização funcional</t>
  </si>
  <si>
    <t>3E 26 10 22 00 00 00</t>
  </si>
  <si>
    <t>3E-26-10-22-00-00-00</t>
  </si>
  <si>
    <t>Conector de medição</t>
  </si>
  <si>
    <t>3E-26-10-22-00-00-00 - Conector de medição</t>
  </si>
  <si>
    <t>3E 26 10 24 00 00 00</t>
  </si>
  <si>
    <t>3E-26-10-24-00-00-00</t>
  </si>
  <si>
    <t>Anel de cintamento</t>
  </si>
  <si>
    <t>3E-26-10-24-00-00-00 - Anel de cintamento</t>
  </si>
  <si>
    <t>3E 26 10 26 00 00 00</t>
  </si>
  <si>
    <t>3E-26-10-26-00-00-00</t>
  </si>
  <si>
    <t>Caixa de equalização</t>
  </si>
  <si>
    <t>3E-26-10-26-00-00-00 - Caixa de equalização</t>
  </si>
  <si>
    <t>3E 26 12 00 00 00 00</t>
  </si>
  <si>
    <t>3E-26-12-00-00-00-00</t>
  </si>
  <si>
    <t>Elementos para a distribuição de corrente</t>
  </si>
  <si>
    <t>3E-26-12-00-00-00-00 - Elementos para a distribuição de corrente</t>
  </si>
  <si>
    <t>3E 26 12 02 00 00 00</t>
  </si>
  <si>
    <t>3E-26-12-02-00-00-00</t>
  </si>
  <si>
    <t>Circuitos</t>
  </si>
  <si>
    <t>3E-26-12-02-00-00-00 - Circuitos</t>
  </si>
  <si>
    <t>3E 26 12 02 02 00 00</t>
  </si>
  <si>
    <t>3E-26-12-02-02-00-00</t>
  </si>
  <si>
    <t>Circuito de alta-tensão</t>
  </si>
  <si>
    <t>3E-26-12-02-02-00-00 - Circuito de alta-tensão</t>
  </si>
  <si>
    <t>3E 26 12 02 04 00 00</t>
  </si>
  <si>
    <t>3E-26-12-02-04-00-00</t>
  </si>
  <si>
    <t>Circuito de baixa tensão</t>
  </si>
  <si>
    <t>3E-26-12-02-04-00-00 - Circuito de baixa tensão</t>
  </si>
  <si>
    <t>3E 26 12 02 06 00 00</t>
  </si>
  <si>
    <t>3E-26-12-02-06-00-00</t>
  </si>
  <si>
    <t>Circuito de corrente altemada</t>
  </si>
  <si>
    <t>3E-26-12-02-06-00-00 - Circuito de corrente altemada</t>
  </si>
  <si>
    <t>3E 26 12 02 08 00 00</t>
  </si>
  <si>
    <t>3E-26-12-02-08-00-00</t>
  </si>
  <si>
    <t>Circuito de corrente contínua</t>
  </si>
  <si>
    <t>3E-26-12-02-08-00-00 - Circuito de corrente contínua</t>
  </si>
  <si>
    <t>3E 26 12 02 10 00 00</t>
  </si>
  <si>
    <t>3E-26-12-02-10-00-00</t>
  </si>
  <si>
    <t>Circuito monofásico</t>
  </si>
  <si>
    <t>3E-26-12-02-10-00-00 - Circuito monofásico</t>
  </si>
  <si>
    <t>3E 26 12 02 12 00 00</t>
  </si>
  <si>
    <t>3E-26-12-02-12-00-00</t>
  </si>
  <si>
    <t>Circuito bifásico</t>
  </si>
  <si>
    <t>3E-26-12-02-12-00-00 - Circuito bifásico</t>
  </si>
  <si>
    <t>3E 26 12 02 14 00 00</t>
  </si>
  <si>
    <t>3E-26-12-02-14-00-00</t>
  </si>
  <si>
    <t>Circuito trifásico</t>
  </si>
  <si>
    <t>3E-26-12-02-14-00-00 - Circuito trifásico</t>
  </si>
  <si>
    <t>3E 26 12 04 00 00 00</t>
  </si>
  <si>
    <t>3E-26-12-04-00-00-00</t>
  </si>
  <si>
    <t>Quadro de distribuição residencial</t>
  </si>
  <si>
    <t>3E-26-12-04-00-00-00 - Quadro de distribuição residencial</t>
  </si>
  <si>
    <t>3E 26 12 06 00 00 00</t>
  </si>
  <si>
    <t>3E-26-12-06-00-00-00</t>
  </si>
  <si>
    <t>Painel geral de baixa tensão</t>
  </si>
  <si>
    <t>3E-26-12-06-00-00-00 - Painel geral de baixa tensão</t>
  </si>
  <si>
    <t>3E 26 14 00 00 00 00</t>
  </si>
  <si>
    <t>3E-26-14-00-00-00-00</t>
  </si>
  <si>
    <t>Elementos para a transformação de corrente</t>
  </si>
  <si>
    <t>3E-26-14-00-00-00-00 - Elementos para a transformação de corrente</t>
  </si>
  <si>
    <t>3E 26 14 02 00 00 00</t>
  </si>
  <si>
    <t>3E-26-14-02-00-00-00</t>
  </si>
  <si>
    <t>Transformador diferencial</t>
  </si>
  <si>
    <t>3E-26-14-02-00-00-00 - Transformador diferencial</t>
  </si>
  <si>
    <t>3E 26 14 04 00 00 00</t>
  </si>
  <si>
    <t>3E-26-14-04-00-00-00</t>
  </si>
  <si>
    <t>Transformador de corrente</t>
  </si>
  <si>
    <t>3E-26-14-04-00-00-00 - Transformador de corrente</t>
  </si>
  <si>
    <t>3E 26 14 06 00 00 00</t>
  </si>
  <si>
    <t>3E-26-14-06-00-00-00</t>
  </si>
  <si>
    <t>Transformador de potência</t>
  </si>
  <si>
    <t>3E-26-14-06-00-00-00 - Transformador de potência</t>
  </si>
  <si>
    <t>3E 26 16 00 00 00 00</t>
  </si>
  <si>
    <t>3E-26-16-00-00-00-00</t>
  </si>
  <si>
    <t>Elementos para o acionamento de corrente</t>
  </si>
  <si>
    <t>3E-26-16-00-00-00-00 - Elementos para o acionamento de corrente</t>
  </si>
  <si>
    <t>3E 26 16 02 00 00 00</t>
  </si>
  <si>
    <t>3E-26-16-02-00-00-00</t>
  </si>
  <si>
    <t>Interruptores</t>
  </si>
  <si>
    <t>3E-26-16-02-00-00-00 - Interruptores</t>
  </si>
  <si>
    <t>3E 26 16 04 00 00 00</t>
  </si>
  <si>
    <t>3E-26-16-04-00-00-00</t>
  </si>
  <si>
    <t>Controladores de intensidade - dimmer</t>
  </si>
  <si>
    <t>3E-26-16-04-00-00-00 - Controladores de intensidade - dimmer</t>
  </si>
  <si>
    <t>3E 26 18 00 00 00 00</t>
  </si>
  <si>
    <t>3E-26-18-00-00-00-00</t>
  </si>
  <si>
    <t>Elementos para o fornecimento de corrente</t>
  </si>
  <si>
    <t>3E-26-18-00-00-00-00 - Elementos para o fornecimento de corrente</t>
  </si>
  <si>
    <t>3E 26 20 00 00 00 00</t>
  </si>
  <si>
    <t>3E-26-20-00-00-00-00</t>
  </si>
  <si>
    <t>Elementos condutores de corrente</t>
  </si>
  <si>
    <t>3E-26-20-00-00-00-00 - Elementos condutores de corrente</t>
  </si>
  <si>
    <t>3E 26 20 02 00 00 00</t>
  </si>
  <si>
    <t>3E-26-20-02-00-00-00</t>
  </si>
  <si>
    <t>Condutor para baixa tensão</t>
  </si>
  <si>
    <t>3E-26-20-02-00-00-00 - Condutor para baixa tensão</t>
  </si>
  <si>
    <t>3E 26 20 04 00 00 00</t>
  </si>
  <si>
    <t>3E-26-20-04-00-00-00</t>
  </si>
  <si>
    <t>Condutor para uso geral</t>
  </si>
  <si>
    <t>3E-26-20-04-00-00-00 - Condutor para uso geral</t>
  </si>
  <si>
    <t>3E 26 20 06 00 00 00</t>
  </si>
  <si>
    <t>3E-26-20-06-00-00-00</t>
  </si>
  <si>
    <t>Condutor para uso específico</t>
  </si>
  <si>
    <t>3E-26-20-06-00-00-00 - Condutor para uso específico</t>
  </si>
  <si>
    <t>3E 26 20 08 00 00 00</t>
  </si>
  <si>
    <t>3E-26-20-08-00-00-00</t>
  </si>
  <si>
    <t>Condutor de fase</t>
  </si>
  <si>
    <t>3E-26-20-08-00-00-00 - Condutor de fase</t>
  </si>
  <si>
    <t>3E 26 20 10 00 00 00</t>
  </si>
  <si>
    <t>3E-26-20-10-00-00-00</t>
  </si>
  <si>
    <t>Condutor neutro</t>
  </si>
  <si>
    <t>3E-26-20-10-00-00-00 - Condutor neutro</t>
  </si>
  <si>
    <t>3E 26 20 12 00 00 00</t>
  </si>
  <si>
    <t>3E-26-20-12-00-00-00</t>
  </si>
  <si>
    <t>Condutor-terra</t>
  </si>
  <si>
    <t>3E-26-20-12-00-00-00 - Condutor-terra</t>
  </si>
  <si>
    <t>3E 26 20 14 00 00 00</t>
  </si>
  <si>
    <t>3E-26-20-14-00-00-00</t>
  </si>
  <si>
    <t>Condutor de retorno</t>
  </si>
  <si>
    <t>3E-26-20-14-00-00-00 - Condutor de retorno</t>
  </si>
  <si>
    <t>3E 26 20 16 00 00 00</t>
  </si>
  <si>
    <t>3E-26-20-16-00-00-00</t>
  </si>
  <si>
    <t>Condutor pen</t>
  </si>
  <si>
    <t>3E-26-20-16-00-00-00 - Condutor pen</t>
  </si>
  <si>
    <t>3E 26 22 00 00 00 00</t>
  </si>
  <si>
    <t>3E-26-22-00-00-00-00</t>
  </si>
  <si>
    <t>Elementos para a proteção de condutores</t>
  </si>
  <si>
    <t>3E-26-22-00-00-00-00 - Elementos para a proteção de condutores</t>
  </si>
  <si>
    <t>3E 26 22 02 00 00 00</t>
  </si>
  <si>
    <t>3E-26-22-02-00-00-00</t>
  </si>
  <si>
    <t>Condutos</t>
  </si>
  <si>
    <t>3E-26-22-02-00-00-00 - Condutos</t>
  </si>
  <si>
    <t>3E 26 22 04 00 00 00</t>
  </si>
  <si>
    <t>3E-26-22-04-00-00-00</t>
  </si>
  <si>
    <t>Fixadores</t>
  </si>
  <si>
    <t>3E-26-22-04-00-00-00 - Fixadores</t>
  </si>
  <si>
    <t>3E 26 22 06 00 00 00</t>
  </si>
  <si>
    <t>3E-26-22-06-00-00-00</t>
  </si>
  <si>
    <t>Grampos</t>
  </si>
  <si>
    <t>3E-26-22-06-00-00-00 - Grampos</t>
  </si>
  <si>
    <t>3E 26 22 08 00 00 00</t>
  </si>
  <si>
    <t>3E-26-22-08-00-00-00</t>
  </si>
  <si>
    <t>Suportes</t>
  </si>
  <si>
    <t>3E-26-22-08-00-00-00 - Suportes</t>
  </si>
  <si>
    <t>3E 26 22 10 00 00 00</t>
  </si>
  <si>
    <t>3E-26-22-10-00-00-00</t>
  </si>
  <si>
    <t>Conectores</t>
  </si>
  <si>
    <t>3E-26-22-10-00-00-00 - Conectores</t>
  </si>
  <si>
    <t>3E 26 22 10 02 00 00</t>
  </si>
  <si>
    <t>3E-26-22-10-02-00-00</t>
  </si>
  <si>
    <t>Derivadores</t>
  </si>
  <si>
    <t>3E-26-22-10-02-00-00 - Derivadores</t>
  </si>
  <si>
    <t>3E 26 22 10 04 00 00</t>
  </si>
  <si>
    <t>3E-26-22-10-04-00-00</t>
  </si>
  <si>
    <t>Emendas</t>
  </si>
  <si>
    <t>3E-26-22-10-04-00-00 - Emendas</t>
  </si>
  <si>
    <t>3E 26 22 10 06 00 00</t>
  </si>
  <si>
    <t>3E-26-22-10-06-00-00</t>
  </si>
  <si>
    <t>Terminais</t>
  </si>
  <si>
    <t>3E-26-22-10-06-00-00 - Terminais</t>
  </si>
  <si>
    <t>3E 28 00 00 00 00 00</t>
  </si>
  <si>
    <t>3E-28-00-00-00-00-00</t>
  </si>
  <si>
    <t>Elementos de iluminação</t>
  </si>
  <si>
    <t>3E-28-00-00-00-00-00 - Elementos de iluminação</t>
  </si>
  <si>
    <t>3E 28 02 00 00 00 00</t>
  </si>
  <si>
    <t>3E-28-02-00-00-00-00</t>
  </si>
  <si>
    <t>Elementos de iluminação de uso geral</t>
  </si>
  <si>
    <t>3E-28-02-00-00-00-00 - Elementos de iluminação de uso geral</t>
  </si>
  <si>
    <t>3E 28 02 02 00 00 00</t>
  </si>
  <si>
    <t>3E-28-02-02-00-00-00</t>
  </si>
  <si>
    <t>Fluxo luminoso direto</t>
  </si>
  <si>
    <t>3E-28-02-02-00-00-00 - Fluxo luminoso direto</t>
  </si>
  <si>
    <t>3E 28 02 04 00 00 00</t>
  </si>
  <si>
    <t>3E-28-02-04-00-00-00</t>
  </si>
  <si>
    <t>Fluxo luminoso indireto</t>
  </si>
  <si>
    <t>3E-28-02-04-00-00-00 - Fluxo luminoso indireto</t>
  </si>
  <si>
    <t>3E 28 02 06 00 00 00</t>
  </si>
  <si>
    <t>3E-28-02-06-00-00-00</t>
  </si>
  <si>
    <t>Fluxo luminoso semidireto</t>
  </si>
  <si>
    <t>3E-28-02-06-00-00-00 - Fluxo luminoso semidireto</t>
  </si>
  <si>
    <t>3E 28 02 08 00 00 00</t>
  </si>
  <si>
    <t>3E-28-02-08-00-00-00</t>
  </si>
  <si>
    <t>Fluxo luminoso semi-indireto</t>
  </si>
  <si>
    <t>3E-28-02-08-00-00-00 - Fluxo luminoso semi-indireto</t>
  </si>
  <si>
    <t>3E 28 02 10 00 00 00</t>
  </si>
  <si>
    <t>3E-28-02-10-00-00-00</t>
  </si>
  <si>
    <t>Fluxo luminoso geral-difuso</t>
  </si>
  <si>
    <t>3E-28-02-10-00-00-00 - Fluxo luminoso geral-difuso</t>
  </si>
  <si>
    <t>3E 28 04 00 00 00 00</t>
  </si>
  <si>
    <t>3E-28-04-00-00-00-00</t>
  </si>
  <si>
    <t>Elementos para modificar fluxos luminosos</t>
  </si>
  <si>
    <t>3E-28-04-00-00-00-00 - Elementos para modificar fluxos luminosos</t>
  </si>
  <si>
    <t>3E 28 04 02 00 00 00</t>
  </si>
  <si>
    <t>3E-28-04-02-00-00-00</t>
  </si>
  <si>
    <t>Superfície de absorção</t>
  </si>
  <si>
    <t>3E-28-04-02-00-00-00 - Superfície de absorção</t>
  </si>
  <si>
    <t>3E 28 04 04 00 00 00</t>
  </si>
  <si>
    <t>3E-28-04-04-00-00-00</t>
  </si>
  <si>
    <t>Superfície de refração</t>
  </si>
  <si>
    <t>3E-28-04-04-00-00-00 - Superfície de refração</t>
  </si>
  <si>
    <t>3E 28 04 06 00 00 00</t>
  </si>
  <si>
    <t>3E-28-04-06-00-00-00</t>
  </si>
  <si>
    <t>Superficie de reflexão</t>
  </si>
  <si>
    <t>3E-28-04-06-00-00-00 - Superficie de reflexão</t>
  </si>
  <si>
    <t>3E 28 04 08 00 00 00</t>
  </si>
  <si>
    <t>3E-28-04-08-00-00-00</t>
  </si>
  <si>
    <t>Superfície de difusão</t>
  </si>
  <si>
    <t>3E-28-04-08-00-00-00 - Superfície de difusão</t>
  </si>
  <si>
    <t>3E 28 04 10 00 00 00</t>
  </si>
  <si>
    <t>3E-28-04-10-00-00-00</t>
  </si>
  <si>
    <t>Superfície louver</t>
  </si>
  <si>
    <t>3E-28-04-10-00-00-00 - Superfície louver</t>
  </si>
  <si>
    <t>3E 28 06 00 00 00 00</t>
  </si>
  <si>
    <t>3E-28-06-00-00-00-00</t>
  </si>
  <si>
    <t>Elementos de iluminação de emergência</t>
  </si>
  <si>
    <t>3E-28-06-00-00-00-00 - Elementos de iluminação de emergência</t>
  </si>
  <si>
    <t>3E 30 00 00 00 00 00</t>
  </si>
  <si>
    <t>3E-30-00-00-00-00-00</t>
  </si>
  <si>
    <t>Elementos de ventilação e exaustão</t>
  </si>
  <si>
    <t>3E-30-00-00-00-00-00 - Elementos de ventilação e exaustão</t>
  </si>
  <si>
    <t>3E 30 02 00 00 00 00</t>
  </si>
  <si>
    <t>3E-30-02-00-00-00-00</t>
  </si>
  <si>
    <t>Elementos de ventilação</t>
  </si>
  <si>
    <t>3E-30-02-00-00-00-00 - Elementos de ventilação</t>
  </si>
  <si>
    <t>3E 30 02 02 00 00 00</t>
  </si>
  <si>
    <t>3E-30-02-02-00-00-00</t>
  </si>
  <si>
    <t>Ventilador centrífugo</t>
  </si>
  <si>
    <t>3E-30-02-02-00-00-00 - Ventilador centrífugo</t>
  </si>
  <si>
    <t>3E 30 02 04 00 00 00</t>
  </si>
  <si>
    <t>3E-30-02-04-00-00-00</t>
  </si>
  <si>
    <t>Ventilador axial ou tipo hélice</t>
  </si>
  <si>
    <t>3E-30-02-04-00-00-00 - Ventilador axial ou tipo hélice</t>
  </si>
  <si>
    <t>3E 30 04 00 00 00 00</t>
  </si>
  <si>
    <t>3E-30-04-00-00-00-00</t>
  </si>
  <si>
    <t>Elementos de exaustão</t>
  </si>
  <si>
    <t>3E-30-04-00-00-00-00 - Elementos de exaustão</t>
  </si>
  <si>
    <t>3E 30 04 02 00 00 00</t>
  </si>
  <si>
    <t>3E-30-04-02-00-00-00</t>
  </si>
  <si>
    <t>Captor de exaustão</t>
  </si>
  <si>
    <t>3E-30-04-02-00-00-00 - Captor de exaustão</t>
  </si>
  <si>
    <t>3E 30 04 04 00 00 00</t>
  </si>
  <si>
    <t>3E-30-04-04-00-00-00</t>
  </si>
  <si>
    <t>Duto de ar de exaustão</t>
  </si>
  <si>
    <t>3E-30-04-04-00-00-00 - Duto de ar de exaustão</t>
  </si>
  <si>
    <t>3E 30 04 06 00 00 00</t>
  </si>
  <si>
    <t>3E-30-04-06-00-00-00</t>
  </si>
  <si>
    <t>Ventilador de exaustão</t>
  </si>
  <si>
    <t>3E-30-04-06-00-00-00 - Ventilador de exaustão</t>
  </si>
  <si>
    <t>3E 30 04 08 00 00 00</t>
  </si>
  <si>
    <t>3E-30-04-08-00-00-00</t>
  </si>
  <si>
    <t>Chaminé de exaustão</t>
  </si>
  <si>
    <t>3E-30-04-08-00-00-00 - Chaminé de exaustão</t>
  </si>
  <si>
    <t>3E 32 00 00 00 00 00</t>
  </si>
  <si>
    <t>3E-32-00-00-00-00-00</t>
  </si>
  <si>
    <t>Elementos de rede de distribuição de telecomunicações</t>
  </si>
  <si>
    <t>3E-32-00-00-00-00-00 - Elementos de rede de distribuição de telecomunicações</t>
  </si>
  <si>
    <t>3E 32 02 00 00 00 00</t>
  </si>
  <si>
    <t>3E-32-02-00-00-00-00</t>
  </si>
  <si>
    <t>Elementos de rede de distribuição de telefonia</t>
  </si>
  <si>
    <t>3E-32-02-00-00-00-00 - Elementos de rede de distribuição de telefonia</t>
  </si>
  <si>
    <t>3E 32 02 02 00 00 00</t>
  </si>
  <si>
    <t>3E-32-02-02-00-00-00</t>
  </si>
  <si>
    <t>Elementos da rede primária de distribuição de telefonia</t>
  </si>
  <si>
    <t>3E-32-02-02-00-00-00 - Elementos da rede primária de distribuição de telefonia</t>
  </si>
  <si>
    <t>3E 32 02 04 00 00 00</t>
  </si>
  <si>
    <t>3E-32-02-04-00-00-00</t>
  </si>
  <si>
    <t>Elementos da rede secundária de distribuição de telefonia</t>
  </si>
  <si>
    <t>3E-32-02-04-00-00-00 - Elementos da rede secundária de distribuição de telefonia</t>
  </si>
  <si>
    <t>3E 32 04 00 00 00 00</t>
  </si>
  <si>
    <t>3E-32-04-00-00-00-00</t>
  </si>
  <si>
    <t>Elementos para redes de rádio</t>
  </si>
  <si>
    <t>3E-32-04-00-00-00-00 - Elementos para redes de rádio</t>
  </si>
  <si>
    <t>3E 32 06 00 00 00 00</t>
  </si>
  <si>
    <t>3E-32-06-00-00-00-00</t>
  </si>
  <si>
    <t>Elementos para redes de tv</t>
  </si>
  <si>
    <t>3E-32-06-00-00-00-00 - Elementos para redes de tv</t>
  </si>
  <si>
    <t>3E 32 08 00 00 00 00</t>
  </si>
  <si>
    <t>3E-32-08-00-00-00-00</t>
  </si>
  <si>
    <t>Elementos para distribuição de internet</t>
  </si>
  <si>
    <t>3E-32-08-00-00-00-00 - Elementos para distribuição de internet</t>
  </si>
  <si>
    <t>3E 34 00 00 00 00 00</t>
  </si>
  <si>
    <t>3E-34-00-00-00-00-00</t>
  </si>
  <si>
    <t>Elementos de instalações prediais de telecomunicações</t>
  </si>
  <si>
    <t>3E-34-00-00-00-00-00 - Elementos de instalações prediais de telecomunicações</t>
  </si>
  <si>
    <t>3E 34 02 00 00 00 00</t>
  </si>
  <si>
    <t>3E-34-02-00-00-00-00</t>
  </si>
  <si>
    <t>Elementos de instalações de telefonia</t>
  </si>
  <si>
    <t>3E-34-02-00-00-00-00 - Elementos de instalações de telefonia</t>
  </si>
  <si>
    <t>3E 34 02 02 00 00 00</t>
  </si>
  <si>
    <t>3E-34-02-02-00-00-00</t>
  </si>
  <si>
    <t>Elementos de entrada telefônica</t>
  </si>
  <si>
    <t>3E-34-02-02-00-00-00 - Elementos de entrada telefônica</t>
  </si>
  <si>
    <t>3E 34 02 04 00 00 00</t>
  </si>
  <si>
    <t>3E-34-02-04-00-00-00</t>
  </si>
  <si>
    <t>Elementos de ramais de entrada telefônica</t>
  </si>
  <si>
    <t>3E-34-02-04-00-00-00 - Elementos de ramais de entrada telefônica</t>
  </si>
  <si>
    <t>3E 34 02 06 00 00 00</t>
  </si>
  <si>
    <t>3E-34-02-06-00-00-00</t>
  </si>
  <si>
    <t>Elementos para distribuição interna de telefonia</t>
  </si>
  <si>
    <t>3E-34-02-06-00-00-00 - Elementos para distribuição interna de telefonia</t>
  </si>
  <si>
    <t>3E 34 04 00 00 00 00</t>
  </si>
  <si>
    <t>3E-34-04-00-00-00-00</t>
  </si>
  <si>
    <t>Elementos para instalações de internet</t>
  </si>
  <si>
    <t>3E-34-04-00-00-00-00 - Elementos para instalações de internet</t>
  </si>
  <si>
    <t>3E 34 06 00 00 00 00</t>
  </si>
  <si>
    <t>3E-34-06-00-00-00-00</t>
  </si>
  <si>
    <t>Elementos para instalações de recepção de sinal de rádio</t>
  </si>
  <si>
    <t>3E-34-06-00-00-00-00 - Elementos para instalações de recepção de sinal de rádio</t>
  </si>
  <si>
    <t>3E 34 08 00 00 00 00</t>
  </si>
  <si>
    <t>3E-34-08-00-00-00-00</t>
  </si>
  <si>
    <t>Elementos para instalações de recepção de sinal de tv</t>
  </si>
  <si>
    <t>3E-34-08-00-00-00-00 - Elementos para instalações de recepção de sinal de tv</t>
  </si>
  <si>
    <t>3E 36 00 00 00 00 00</t>
  </si>
  <si>
    <t>3E-36-00-00-00-00-00</t>
  </si>
  <si>
    <t>Elementos para sistemas de abastecimento de água</t>
  </si>
  <si>
    <t>3E-36-00-00-00-00-00 - Elementos para sistemas de abastecimento de água</t>
  </si>
  <si>
    <t>3E 36 02 00 00 00 00</t>
  </si>
  <si>
    <t>3E-36-02-00-00-00-00</t>
  </si>
  <si>
    <t>Elementos para captação de água bruta</t>
  </si>
  <si>
    <t>3E-36-02-00-00-00-00 - Elementos para captação de água bruta</t>
  </si>
  <si>
    <t>3E 36 04 00 00 00 00</t>
  </si>
  <si>
    <t>3E-36-04-00-00-00-00</t>
  </si>
  <si>
    <t>Elementos para adução de água bruta</t>
  </si>
  <si>
    <t>3E-36-04-00-00-00-00 - Elementos para adução de água bruta</t>
  </si>
  <si>
    <t>3E 36 06 00 00 00 00</t>
  </si>
  <si>
    <t>3E-36-06-00-00-00-00</t>
  </si>
  <si>
    <t>Elementos para reservação de água bruta</t>
  </si>
  <si>
    <t>3E-36-06-00-00-00-00 - Elementos para reservação de água bruta</t>
  </si>
  <si>
    <t>3E 36 08 00 00 00 00</t>
  </si>
  <si>
    <t>3E-36-08-00-00-00-00</t>
  </si>
  <si>
    <t>Elementos para tratamento de água bruta</t>
  </si>
  <si>
    <t>3E-36-08-00-00-00-00 - Elementos para tratamento de água bruta</t>
  </si>
  <si>
    <t>3E 36 10 00 00 00 00</t>
  </si>
  <si>
    <t>3E-36-10-00-00-00-00</t>
  </si>
  <si>
    <t>Elementos para adução de água potável</t>
  </si>
  <si>
    <t>3E-36-10-00-00-00-00 - Elementos para adução de água potável</t>
  </si>
  <si>
    <t>3E 36 12 00 00 00 00</t>
  </si>
  <si>
    <t>3E-36-12-00-00-00-00</t>
  </si>
  <si>
    <t>Elementos para reservação de água potável</t>
  </si>
  <si>
    <t>3E-36-12-00-00-00-00 - Elementos para reservação de água potável</t>
  </si>
  <si>
    <t>3E 36 14 00 00 00 00</t>
  </si>
  <si>
    <t>3E-36-14-00-00-00-00</t>
  </si>
  <si>
    <t>Elementos para distribuição de água potável</t>
  </si>
  <si>
    <t>3E-36-14-00-00-00-00 - Elementos para distribuição de água potável</t>
  </si>
  <si>
    <t>3E 36 14 02 00 00 00</t>
  </si>
  <si>
    <t>3E-36-14-02-00-00-00</t>
  </si>
  <si>
    <t>Elementos para distribuição direta de água potável</t>
  </si>
  <si>
    <t>3E-36-14-02-00-00-00 - Elementos para distribuição direta de água potável</t>
  </si>
  <si>
    <t>3E 36 14 04 00 00 00</t>
  </si>
  <si>
    <t>3E-36-14-04-00-00-00</t>
  </si>
  <si>
    <t>Elementos para distribuição indireta de água potável</t>
  </si>
  <si>
    <t>3E-36-14-04-00-00-00 - Elementos para distribuição indireta de água potável</t>
  </si>
  <si>
    <t>3E 36 14 04 02 00 00</t>
  </si>
  <si>
    <t>3E-36-14-04-02-00-00</t>
  </si>
  <si>
    <t>Elementos para distribuição indireta de água potável sem bombeamento</t>
  </si>
  <si>
    <t>3E-36-14-04-02-00-00 - Elementos para distribuição indireta de água potável sem bombeamento</t>
  </si>
  <si>
    <t>3E 36 14 04 04 00 00</t>
  </si>
  <si>
    <t>3E-36-14-04-04-00-00</t>
  </si>
  <si>
    <t>Elementos para distribuição indireta de água potável com bombeamento</t>
  </si>
  <si>
    <t>3E-36-14-04-04-00-00 - Elementos para distribuição indireta de água potável com bombeamento</t>
  </si>
  <si>
    <t>3E 36 14 06 00 00 00</t>
  </si>
  <si>
    <t>3E-36-14-06-00-00-00</t>
  </si>
  <si>
    <t>Elementos para distribuição mista de água potável</t>
  </si>
  <si>
    <t>3E-36-14-06-00-00-00 - Elementos para distribuição mista de água potável</t>
  </si>
  <si>
    <t>3E 36 14 08 00 00 00</t>
  </si>
  <si>
    <t>3E-36-14-08-00-00-00</t>
  </si>
  <si>
    <t>Elementos para distribuição hidropneumática de água potável</t>
  </si>
  <si>
    <t>3E-36-14-08-00-00-00 - Elementos para distribuição hidropneumática de água potável</t>
  </si>
  <si>
    <t>3E 38 00 00 00 00 00</t>
  </si>
  <si>
    <t>3E-38-00-00-00-00-00</t>
  </si>
  <si>
    <t>Elementos de instalações hidráulicas</t>
  </si>
  <si>
    <t>3E-38-00-00-00-00-00 - Elementos de instalações hidráulicas</t>
  </si>
  <si>
    <t>3E 38 02 00 00 00 00</t>
  </si>
  <si>
    <t>3E-38-02-00-00-00-00</t>
  </si>
  <si>
    <t>Elementos alimentadores em instalações hidráulicas</t>
  </si>
  <si>
    <t>3E-38-02-00-00-00-00 - Elementos alimentadores em instalações hidráulicas</t>
  </si>
  <si>
    <t>3E 38 02 02 00 00 00</t>
  </si>
  <si>
    <t>3E-38-02-02-00-00-00</t>
  </si>
  <si>
    <t>Ramal de alimentação de água</t>
  </si>
  <si>
    <t>3E-38-02-02-00-00-00 - Ramal de alimentação de água</t>
  </si>
  <si>
    <t>3E 38 02 04 00 00 00</t>
  </si>
  <si>
    <t>3E-38-02-04-00-00-00</t>
  </si>
  <si>
    <t>Alimentador de água</t>
  </si>
  <si>
    <t>3E-38-02-04-00-00-00 - Alimentador de água</t>
  </si>
  <si>
    <t>3E 38 02 06 00 00 00</t>
  </si>
  <si>
    <t>3E-38-02-06-00-00-00</t>
  </si>
  <si>
    <t>Cavalete de água</t>
  </si>
  <si>
    <t>3E-38-02-06-00-00-00 - Cavalete de água</t>
  </si>
  <si>
    <t>3E 38 02 08 00 00 00</t>
  </si>
  <si>
    <t>3E-38-02-08-00-00-00</t>
  </si>
  <si>
    <t>Reservatório de água</t>
  </si>
  <si>
    <t>3E-38-02-08-00-00-00 - Reservatório de água</t>
  </si>
  <si>
    <t>3E 38 02 10 00 00 00</t>
  </si>
  <si>
    <t>3E-38-02-10-00-00-00</t>
  </si>
  <si>
    <t>Condutor de recalque de água</t>
  </si>
  <si>
    <t>3E-38-02-10-00-00-00 - Condutor de recalque de água</t>
  </si>
  <si>
    <t>3E 38 02 12 00 00 00</t>
  </si>
  <si>
    <t>3E-38-02-12-00-00-00</t>
  </si>
  <si>
    <t>Dispositivo para sucção de água</t>
  </si>
  <si>
    <t>3E-38-02-12-00-00-00 - Dispositivo para sucção de água</t>
  </si>
  <si>
    <t>3E 38 02 14 00 00 00</t>
  </si>
  <si>
    <t>3E-38-02-14-00-00-00</t>
  </si>
  <si>
    <t>Dispositivo para ventilação de água</t>
  </si>
  <si>
    <t>3E-38-02-14-00-00-00 - Dispositivo para ventilação de água</t>
  </si>
  <si>
    <t>3E 38 04 00 00 00 00</t>
  </si>
  <si>
    <t>3E-38-04-00-00-00-00</t>
  </si>
  <si>
    <t>Elementos extravasores em instalações hidráulicas</t>
  </si>
  <si>
    <t>3E-38-04-00-00-00-00 - Elementos extravasores em instalações hidráulicas</t>
  </si>
  <si>
    <t>3E 38 04 02 00 00 00</t>
  </si>
  <si>
    <t>3E-38-04-02-00-00-00</t>
  </si>
  <si>
    <t>Tubulação para extravasão de água</t>
  </si>
  <si>
    <t>3E-38-04-02-00-00-00 - Tubulação para extravasão de água</t>
  </si>
  <si>
    <t>3E 38 04 04 00 00 00</t>
  </si>
  <si>
    <t>3E-38-04-04-00-00-00</t>
  </si>
  <si>
    <t>Tubulação para limpeza de água</t>
  </si>
  <si>
    <t>3E-38-04-04-00-00-00 - Tubulação para limpeza de água</t>
  </si>
  <si>
    <t>3E 38 06 00 00 00 00</t>
  </si>
  <si>
    <t>3E-38-06-00-00-00-00</t>
  </si>
  <si>
    <t>Elementos distribuidores em instalações hidráulicas</t>
  </si>
  <si>
    <t>3E-38-06-00-00-00-00 - Elementos distribuidores em instalações hidráulicas</t>
  </si>
  <si>
    <t>3E 38 06 02 00 00 00</t>
  </si>
  <si>
    <t>3E-38-06-02-00-00-00</t>
  </si>
  <si>
    <t>Barrilete de água</t>
  </si>
  <si>
    <t>3E-38-06-02-00-00-00 - Barrilete de água</t>
  </si>
  <si>
    <t>3E 38 06 02 02 00 00</t>
  </si>
  <si>
    <t>3E-38-06-02-02-00-00</t>
  </si>
  <si>
    <t>Barrilete de água unificado</t>
  </si>
  <si>
    <t>3E-38-06-02-02-00-00 - Barrilete de água unificado</t>
  </si>
  <si>
    <t>3E 38 06 02 04 00 00</t>
  </si>
  <si>
    <t>3E-38-06-02-04-00-00</t>
  </si>
  <si>
    <t>Barrilete de água ramificado</t>
  </si>
  <si>
    <t>3E-38-06-02-04-00-00 - Barrilete de água ramificado</t>
  </si>
  <si>
    <t>3E 38 06 04 00 00 00</t>
  </si>
  <si>
    <t>3E-38-06-04-00-00-00</t>
  </si>
  <si>
    <t>Prumada de água</t>
  </si>
  <si>
    <t>3E-38-06-04-00-00-00 - Prumada de água</t>
  </si>
  <si>
    <t>3E 38 06 06 00 00 00</t>
  </si>
  <si>
    <t>3E-38-06-06-00-00-00</t>
  </si>
  <si>
    <t>Coluna de água</t>
  </si>
  <si>
    <t>3E-38-06-06-00-00-00 - Coluna de água</t>
  </si>
  <si>
    <t>3E 38 06 08 00 00 00</t>
  </si>
  <si>
    <t>3E-38-06-08-00-00-00</t>
  </si>
  <si>
    <t>Ramal de distribuição de água</t>
  </si>
  <si>
    <t>3E-38-06-08-00-00-00 - Ramal de distribuição de água</t>
  </si>
  <si>
    <t>3E 38 06 10 00 00 00</t>
  </si>
  <si>
    <t>3E-38-06-10-00-00-00</t>
  </si>
  <si>
    <t>Sub-ramal de distribuição de água</t>
  </si>
  <si>
    <t>3E-38-06-10-00-00-00 - Sub-ramal de distribuição de água</t>
  </si>
  <si>
    <t>3E 38 08 00 00 00 00</t>
  </si>
  <si>
    <t>3E-38-08-00-00-00-00</t>
  </si>
  <si>
    <t>Elementos conectores em instalações hidráulicas</t>
  </si>
  <si>
    <t>3E-38-08-00-00-00-00 - Elementos conectores em instalações hidráulicas</t>
  </si>
  <si>
    <t>3E 38 10 00 00 00 00</t>
  </si>
  <si>
    <t>3E-38-10-00-00-00-00</t>
  </si>
  <si>
    <t>Elementos aquecedores para instalações hidráulicas</t>
  </si>
  <si>
    <t>3E-38-10-00-00-00-00 - Elementos aquecedores para instalações hidráulicas</t>
  </si>
  <si>
    <t>3E 38 10 02 00 00 00</t>
  </si>
  <si>
    <t>3E-38-10-02-00-00-00</t>
  </si>
  <si>
    <t>Aquecedor elétrico para instalações hidráulicas</t>
  </si>
  <si>
    <t>3E-38-10-02-00-00-00 - Aquecedor elétrico para instalações hidráulicas</t>
  </si>
  <si>
    <t>3E 38 10 02 02 00 00</t>
  </si>
  <si>
    <t>3E-38-10-02-02-00-00</t>
  </si>
  <si>
    <t>Aquecedor elétrico de passagem para instalações hidráulicas</t>
  </si>
  <si>
    <t>3E-38-10-02-02-00-00 - Aquecedor elétrico de passagem para instalações hidráulicas</t>
  </si>
  <si>
    <t>3E 38 10 02 04 00 00</t>
  </si>
  <si>
    <t>3E-38-10-02-04-00-00</t>
  </si>
  <si>
    <t>Aquecedor elétrico por acumulação para instalações hidráulicas</t>
  </si>
  <si>
    <t>3E-38-10-02-04-00-00 - Aquecedor elétrico por acumulação para instalações hidráulicas</t>
  </si>
  <si>
    <t>3E 38 10 04 00 00 00</t>
  </si>
  <si>
    <t>3E-38-10-04-00-00-00</t>
  </si>
  <si>
    <t>Aquecedor a gás para instalações hidráulicas</t>
  </si>
  <si>
    <t>3E-38-10-04-00-00-00 - Aquecedor a gás para instalações hidráulicas</t>
  </si>
  <si>
    <t>3E 38 10 04 02 00 00</t>
  </si>
  <si>
    <t>3E-38-10-04-02-00-00</t>
  </si>
  <si>
    <t>Aquecedor a gás de passagem para instalações hidráulicas</t>
  </si>
  <si>
    <t>3E-38-10-04-02-00-00 - Aquecedor a gás de passagem para instalações hidráulicas</t>
  </si>
  <si>
    <t>3E 38 10 04 04 00 00</t>
  </si>
  <si>
    <t>3E-38-10-04-04-00-00</t>
  </si>
  <si>
    <t>Aquecedor a gás por acumulação para instalações hidráulicas</t>
  </si>
  <si>
    <t>3E-38-10-04-04-00-00 - Aquecedor a gás por acumulação para instalações hidráulicas</t>
  </si>
  <si>
    <t>3E 38 12 00 00 00 00</t>
  </si>
  <si>
    <t>3E-38-12-00-00-00-00</t>
  </si>
  <si>
    <t>Elementos de isolamento térmico para instalações hidráulicas</t>
  </si>
  <si>
    <t>3E-38-12-00-00-00-00 - Elementos de isolamento térmico para instalações hidráulicas</t>
  </si>
  <si>
    <t>3E 38 14 00 00 00 00</t>
  </si>
  <si>
    <t>3E-38-14-00-00-00-00</t>
  </si>
  <si>
    <t>Elementos controladores de fluxo em instalações hidráulicas</t>
  </si>
  <si>
    <t>3E-38-14-00-00-00-00 - Elementos controladores de fluxo em instalações hidráulicas</t>
  </si>
  <si>
    <t>3E 38 16 00 00 00 00</t>
  </si>
  <si>
    <t>3E-38-16-00-00-00-00</t>
  </si>
  <si>
    <t>Elementos terminais em instalações hidráulicas</t>
  </si>
  <si>
    <t>3E-38-16-00-00-00-00 - Elementos terminais em instalações hidráulicas</t>
  </si>
  <si>
    <t>3E 40 00 00 00 00 00</t>
  </si>
  <si>
    <t>3E-40-00-00-00-00-00</t>
  </si>
  <si>
    <t>Elementos de instalações de água pluvial</t>
  </si>
  <si>
    <t>3E-40-00-00-00-00-00 - Elementos de instalações de água pluvial</t>
  </si>
  <si>
    <t>3E 40 02 00 00 00 00</t>
  </si>
  <si>
    <t>3E-40-02-00-00-00-00</t>
  </si>
  <si>
    <t>Elementos para captação de águas pluviais</t>
  </si>
  <si>
    <t>3E-40-02-00-00-00-00 - Elementos para captação de águas pluviais</t>
  </si>
  <si>
    <t>3E 40 04 00 00 00 00</t>
  </si>
  <si>
    <t>3E-40-04-00-00-00-00</t>
  </si>
  <si>
    <t>Elementos para inspeção de instalações de água pluvial</t>
  </si>
  <si>
    <t>3E-40-04-00-00-00-00 - Elementos para inspeção de instalações de água pluvial</t>
  </si>
  <si>
    <t>3E 40 06 00 00 00 00</t>
  </si>
  <si>
    <t>3E-40-06-00-00-00-00</t>
  </si>
  <si>
    <t>Elementos para tratamento de águas pluviais</t>
  </si>
  <si>
    <t>3E-40-06-00-00-00-00 - Elementos para tratamento de águas pluviais</t>
  </si>
  <si>
    <t>3E 40 06 02 00 00 00</t>
  </si>
  <si>
    <t>3E-40-06-02-00-00-00</t>
  </si>
  <si>
    <t>Dispositivo de descarte das primeiras águas</t>
  </si>
  <si>
    <t>3E-40-06-02-00-00-00 - Dispositivo de descarte das primeiras águas</t>
  </si>
  <si>
    <t>3E 40 06 04 00 00 00</t>
  </si>
  <si>
    <t>3E-40-06-04-00-00-00</t>
  </si>
  <si>
    <t>Separador de materiais grosseiros para aproveitamento de águas pluviais</t>
  </si>
  <si>
    <t>3E-40-06-04-00-00-00 - Separador de materiais grosseiros para aproveitamento de águas pluviais</t>
  </si>
  <si>
    <t>3E 40 06 06 00 00 00</t>
  </si>
  <si>
    <t>3E-40-06-06-00-00-00</t>
  </si>
  <si>
    <t>Sistema de tratamento e desinfecção para aproveitamento de águas pluviais</t>
  </si>
  <si>
    <t>3E-40-06-06-00-00-00 - Sistema de tratamento e desinfecção para aproveitamento de águas pluviais</t>
  </si>
  <si>
    <t>3E 40 06 08 00 00 00</t>
  </si>
  <si>
    <t>3E-40-06-08-00-00-00</t>
  </si>
  <si>
    <t>Reservatório para aproveitamento de águas pluviais</t>
  </si>
  <si>
    <t>3E-40-06-08-00-00-00 - Reservatório para aproveitamento de águas pluviais</t>
  </si>
  <si>
    <t>3E 40 06 10 00 00 00</t>
  </si>
  <si>
    <t>3E-40-06-10-00-00-00</t>
  </si>
  <si>
    <t>Bomba de recalque para aproveitamento de águas pluviais</t>
  </si>
  <si>
    <t>3E-40-06-10-00-00-00 - Bomba de recalque para aproveitamento de águas pluviais</t>
  </si>
  <si>
    <t>3E 40 06 12 00 00 00</t>
  </si>
  <si>
    <t>3E-40-06-12-00-00-00</t>
  </si>
  <si>
    <t>Poço de infiltração para aproveitamento de águas pluviais</t>
  </si>
  <si>
    <t>3E-40-06-12-00-00-00 - Poço de infiltração para aproveitamento de águas pluviais</t>
  </si>
  <si>
    <t>3E 40 06 14 00 00 00</t>
  </si>
  <si>
    <t>3E-40-06-14-00-00-00</t>
  </si>
  <si>
    <t>Extravasor para aproveitamento de águas pluviais</t>
  </si>
  <si>
    <t>3E-40-06-14-00-00-00 - Extravasor para aproveitamento de águas pluviais</t>
  </si>
  <si>
    <t>3E 40 08 00 00 00 00</t>
  </si>
  <si>
    <t>3E-40-08-00-00-00-00</t>
  </si>
  <si>
    <t>Elementos para esgotamento de águas pluviais</t>
  </si>
  <si>
    <t>3E-40-08-00-00-00-00 - Elementos para esgotamento de águas pluviais</t>
  </si>
  <si>
    <t>3E 42 00 00 00 00 00</t>
  </si>
  <si>
    <t>3E-42-00-00-00-00-00</t>
  </si>
  <si>
    <t>Elementos de instalações sanitárias</t>
  </si>
  <si>
    <t>3E-42-00-00-00-00-00 - Elementos de instalações sanitárias</t>
  </si>
  <si>
    <t>3E 42 02 00 00 00 00</t>
  </si>
  <si>
    <t>3E-42-02-00-00-00-00</t>
  </si>
  <si>
    <t>Elementos controladores de fluxo em instalações sanitárias</t>
  </si>
  <si>
    <t>3E-42-02-00-00-00-00 - Elementos controladores de fluxo em instalações sanitárias</t>
  </si>
  <si>
    <t>3E 42 02 02 00 00 00</t>
  </si>
  <si>
    <t>3E-42-02-02-00-00-00</t>
  </si>
  <si>
    <t>Válvula de retenção de instalação sanitária</t>
  </si>
  <si>
    <t>3E-42-02-02-00-00-00 - Válvula de retenção de instalação sanitária</t>
  </si>
  <si>
    <t>3E 42 02 02 02 00 00</t>
  </si>
  <si>
    <t>3E-42-02-02-02-00-00</t>
  </si>
  <si>
    <t>Tipo leve</t>
  </si>
  <si>
    <t>3E-42-02-02-02-00-00 - Tipo leve</t>
  </si>
  <si>
    <t>3E 42 02 02 04 00 00</t>
  </si>
  <si>
    <t>3E-42-02-02-04-00-00</t>
  </si>
  <si>
    <t>Tipo pesado</t>
  </si>
  <si>
    <t>3E-42-02-02-04-00-00 - Tipo pesado</t>
  </si>
  <si>
    <t>3E 42 02 04 00 00 00</t>
  </si>
  <si>
    <t>3E-42-02-04-00-00-00</t>
  </si>
  <si>
    <t>Registro de instalação sanitária</t>
  </si>
  <si>
    <t>3E-42-02-04-00-00-00 - Registro de instalação sanitária</t>
  </si>
  <si>
    <t>3E 42 02 04 02 00 00</t>
  </si>
  <si>
    <t>3E-42-02-04-02-00-00</t>
  </si>
  <si>
    <t>Registro globo aberto</t>
  </si>
  <si>
    <t>3E-42-02-04-02-00-00 - Registro globo aberto</t>
  </si>
  <si>
    <t>3E 42 02 04 04 00 00</t>
  </si>
  <si>
    <t>3E-42-02-04-04-00-00</t>
  </si>
  <si>
    <t>Registro gaveta aberto</t>
  </si>
  <si>
    <t>3E-42-02-04-04-00-00 - Registro gaveta aberto</t>
  </si>
  <si>
    <t>3E 42 02 04 06 00 00</t>
  </si>
  <si>
    <t>3E-42-02-04-06-00-00</t>
  </si>
  <si>
    <t>Registro ângulo aberto</t>
  </si>
  <si>
    <t>3E-42-02-04-06-00-00 - Registro ângulo aberto</t>
  </si>
  <si>
    <t>3E 42 04 00 00 00 00</t>
  </si>
  <si>
    <t>3E-42-04-00-00-00-00</t>
  </si>
  <si>
    <t>Elementos coletores em instalações sanitárias</t>
  </si>
  <si>
    <t>3E-42-04-00-00-00-00 - Elementos coletores em instalações sanitárias</t>
  </si>
  <si>
    <t>3E 42 04 02 00 00 00</t>
  </si>
  <si>
    <t>3E-42-04-02-00-00-00</t>
  </si>
  <si>
    <t>Coletor de instalação sanitária</t>
  </si>
  <si>
    <t>3E-42-04-02-00-00-00 - Coletor de instalação sanitária</t>
  </si>
  <si>
    <t>3E 42 04 04 00 00 00</t>
  </si>
  <si>
    <t>3E-42-04-04-00-00-00</t>
  </si>
  <si>
    <t>Sub-coletor de instalação sanitária</t>
  </si>
  <si>
    <t>3E-42-04-04-00-00-00 - Sub-coletor de instalação sanitária</t>
  </si>
  <si>
    <t>3E 42 06 00 00 00 00</t>
  </si>
  <si>
    <t>3E-42-06-00-00-00-00</t>
  </si>
  <si>
    <t>Elementos distribuidores em instalações sanitárias</t>
  </si>
  <si>
    <t>3E-42-06-00-00-00-00 - Elementos distribuidores em instalações sanitárias</t>
  </si>
  <si>
    <t>3E 42 06 02 00 00 00</t>
  </si>
  <si>
    <t>3E-42-06-02-00-00-00</t>
  </si>
  <si>
    <t>Distribuição primária de instalação sanitária</t>
  </si>
  <si>
    <t>3E-42-06-02-00-00-00 - Distribuição primária de instalação sanitária</t>
  </si>
  <si>
    <t>3E 42 06 04 00 00 00</t>
  </si>
  <si>
    <t>3E-42-06-04-00-00-00</t>
  </si>
  <si>
    <t>Distribuição secundária de instalação sanitária</t>
  </si>
  <si>
    <t>3E-42-06-04-00-00-00 - Distribuição secundária de instalação sanitária</t>
  </si>
  <si>
    <t>3E 42 06 06 00 00 00</t>
  </si>
  <si>
    <t>3E-42-06-06-00-00-00</t>
  </si>
  <si>
    <t>Ramal de esgoto de instalação sanitária</t>
  </si>
  <si>
    <t>3E-42-06-06-00-00-00 - Ramal de esgoto de instalação sanitária</t>
  </si>
  <si>
    <t>3E 42 06 08 00 00 00</t>
  </si>
  <si>
    <t>3E-42-06-08-00-00-00</t>
  </si>
  <si>
    <t>Ramal de descarga de instalação sanitária</t>
  </si>
  <si>
    <t>3E-42-06-08-00-00-00 - Ramal de descarga de instalação sanitária</t>
  </si>
  <si>
    <t>3E 42 06 10 00 00 00</t>
  </si>
  <si>
    <t>3E-42-06-10-00-00-00</t>
  </si>
  <si>
    <t>Prumada de queda de instalação sanitária</t>
  </si>
  <si>
    <t>3E-42-06-10-00-00-00 - Prumada de queda de instalação sanitária</t>
  </si>
  <si>
    <t>3E 42 06 12 00 00 00</t>
  </si>
  <si>
    <t>3E-42-06-12-00-00-00</t>
  </si>
  <si>
    <t>Coluna de queda de instalação sanitária</t>
  </si>
  <si>
    <t>3E-42-06-12-00-00-00 - Coluna de queda de instalação sanitária</t>
  </si>
  <si>
    <t>3E 42 08 00 00 00 00</t>
  </si>
  <si>
    <t>3E-42-08-00-00-00-00</t>
  </si>
  <si>
    <t>Elementos conectores em instalações sanitárias</t>
  </si>
  <si>
    <t>3E-42-08-00-00-00-00 - Elementos conectores em instalações sanitárias</t>
  </si>
  <si>
    <t>3E 42 10 00 00 00 00</t>
  </si>
  <si>
    <t>3E-42-10-00-00-00-00</t>
  </si>
  <si>
    <t>Elementos para ventilação em instalações sanitárias</t>
  </si>
  <si>
    <t>3E-42-10-00-00-00-00 - Elementos para ventilação em instalações sanitárias</t>
  </si>
  <si>
    <t>3E 42 10 02 00 00 00</t>
  </si>
  <si>
    <t>3E-42-10-02-00-00-00</t>
  </si>
  <si>
    <t>Ramal de ventilação de instalação sanitária</t>
  </si>
  <si>
    <t>3E-42-10-02-00-00-00 - Ramal de ventilação de instalação sanitária</t>
  </si>
  <si>
    <t>3E 42 10 04 00 00 00</t>
  </si>
  <si>
    <t>3E-42-10-04-00-00-00</t>
  </si>
  <si>
    <t>Coluna de ventilação de instalação sanitária</t>
  </si>
  <si>
    <t>3E-42-10-04-00-00-00 - Coluna de ventilação de instalação sanitária</t>
  </si>
  <si>
    <t>3E 42 10 06 00 00 00</t>
  </si>
  <si>
    <t>3E-42-10-06-00-00-00</t>
  </si>
  <si>
    <t>Ventilador primário de instalação sanitária</t>
  </si>
  <si>
    <t>3E-42-10-06-00-00-00 - Ventilador primário de instalação sanitária</t>
  </si>
  <si>
    <t>3E 42 10 08 00 00 00</t>
  </si>
  <si>
    <t>3E-42-10-08-00-00-00</t>
  </si>
  <si>
    <t>Ventilador secundário de instalação sanitária</t>
  </si>
  <si>
    <t>3E-42-10-08-00-00-00 - Ventilador secundário de instalação sanitária</t>
  </si>
  <si>
    <t>3E 42 12 00 00 00 00</t>
  </si>
  <si>
    <t>3E-42-12-00-00-00-00</t>
  </si>
  <si>
    <t>Elementos de inspeção de instalações sanitárias</t>
  </si>
  <si>
    <t>3E-42-12-00-00-00-00 - Elementos de inspeção de instalações sanitárias</t>
  </si>
  <si>
    <t>3E 42 14 00 00 00 00</t>
  </si>
  <si>
    <t>3E-42-14-00-00-00-00</t>
  </si>
  <si>
    <t>Elementos de reúso de águas cinzas</t>
  </si>
  <si>
    <t>3E-42-14-00-00-00-00 - Elementos de reúso de águas cinzas</t>
  </si>
  <si>
    <t>3E 42 14 02 00 00 00</t>
  </si>
  <si>
    <t>3E-42-14-02-00-00-00</t>
  </si>
  <si>
    <t>Coleta de reúso de águas cinzas</t>
  </si>
  <si>
    <t>3E-42-14-02-00-00-00 - Coleta de reúso de águas cinzas</t>
  </si>
  <si>
    <t>3E 42 14 04 00 00 00</t>
  </si>
  <si>
    <t>3E-42-14-04-00-00-00</t>
  </si>
  <si>
    <t>Estação de tratamento de reúso de águas cinzas</t>
  </si>
  <si>
    <t>3E-42-14-04-00-00-00 - Estação de tratamento de reúso de águas cinzas</t>
  </si>
  <si>
    <t>3E 42 14 06 00 00 00</t>
  </si>
  <si>
    <t>3E-42-14-06-00-00-00</t>
  </si>
  <si>
    <t>Reservatório de reúso de águas cinzas</t>
  </si>
  <si>
    <t>3E-42-14-06-00-00-00 - Reservatório de reúso de águas cinzas</t>
  </si>
  <si>
    <t>3E 42 14 08 00 00 00</t>
  </si>
  <si>
    <t>3E-42-14-08-00-00-00</t>
  </si>
  <si>
    <t>Terminal de reúso de águas cinzas</t>
  </si>
  <si>
    <t>3E-42-14-08-00-00-00 - Terminal de reúso de águas cinzas</t>
  </si>
  <si>
    <t>3E 42 16 00 00 00 00</t>
  </si>
  <si>
    <t>3E-42-16-00-00-00-00</t>
  </si>
  <si>
    <t>Elementos para esgotamento sanitário local</t>
  </si>
  <si>
    <t>3E-42-16-00-00-00-00 - Elementos para esgotamento sanitário local</t>
  </si>
  <si>
    <t>3E 42 16 02 00 00 00</t>
  </si>
  <si>
    <t>3E-42-16-02-00-00-00</t>
  </si>
  <si>
    <t>Fossa séptica</t>
  </si>
  <si>
    <t>3E-42-16-02-00-00-00 - Fossa séptica</t>
  </si>
  <si>
    <t>3E 42 16 02 02 00 00</t>
  </si>
  <si>
    <t>3E-42-16-02-02-00-00</t>
  </si>
  <si>
    <t>Sumidouro</t>
  </si>
  <si>
    <t>3E-42-16-02-02-00-00 - Sumidouro</t>
  </si>
  <si>
    <t>3E 42 16 02 04 00 00</t>
  </si>
  <si>
    <t>3E-42-16-02-04-00-00</t>
  </si>
  <si>
    <t>Caixa de distribuição</t>
  </si>
  <si>
    <t>3E-42-16-02-04-00-00 - Caixa de distribuição</t>
  </si>
  <si>
    <t>3E 42 16 02 06 00 00</t>
  </si>
  <si>
    <t>3E-42-16-02-06-00-00</t>
  </si>
  <si>
    <t>Vala de infiltração</t>
  </si>
  <si>
    <t>3E-42-16-02-06-00-00 - Vala de infiltração</t>
  </si>
  <si>
    <t>3E 42 16 02 08 00 00</t>
  </si>
  <si>
    <t>3E-42-16-02-08-00-00</t>
  </si>
  <si>
    <t>Galeria filtrante</t>
  </si>
  <si>
    <t>3E-42-16-02-08-00-00 - Galeria filtrante</t>
  </si>
  <si>
    <t>Fossa seca</t>
  </si>
  <si>
    <t>3E-42-16-02-00-00-00 - Fossa seca</t>
  </si>
  <si>
    <t>Fossa negra</t>
  </si>
  <si>
    <t>3E-42-16-02-00-00-00 - Fossa negra</t>
  </si>
  <si>
    <t>3E 42 18 00 00 00 00</t>
  </si>
  <si>
    <t>3E-42-18-00-00-00-00</t>
  </si>
  <si>
    <t>Elementos para esgotamento sanitário via rede coletora</t>
  </si>
  <si>
    <t>3E-42-18-00-00-00-00 - Elementos para esgotamento sanitário via rede coletora</t>
  </si>
  <si>
    <t>3E 42 18 02 00 00 00</t>
  </si>
  <si>
    <t>3E-42-18-02-00-00-00</t>
  </si>
  <si>
    <t>Bacia de drenagem para a rede coletora de esgoto</t>
  </si>
  <si>
    <t>3E-42-18-02-00-00-00 - Bacia de drenagem para a rede coletora de esgoto</t>
  </si>
  <si>
    <t>3E 42 18 04 00 00 00</t>
  </si>
  <si>
    <t>3E-42-18-04-00-00-00</t>
  </si>
  <si>
    <t>Caixa de passagem para a rede coletora de esgoto</t>
  </si>
  <si>
    <t>3E-42-18-04-00-00-00 - Caixa de passagem para a rede coletora de esgoto</t>
  </si>
  <si>
    <t>3E 42 18 06 00 00 00</t>
  </si>
  <si>
    <t>3E-42-18-06-00-00-00</t>
  </si>
  <si>
    <t>Ligação predial para a rede coletora de esgoto</t>
  </si>
  <si>
    <t>3E-42-18-06-00-00-00 - Ligação predial para a rede coletora de esgoto</t>
  </si>
  <si>
    <t>3E 44 00 00 00 00 00</t>
  </si>
  <si>
    <t>3E-44-00-00-00-00-00</t>
  </si>
  <si>
    <t>Elementos da rede de esgotamento sanitário</t>
  </si>
  <si>
    <t>3E-44-00-00-00-00-00 - Elementos da rede de esgotamento sanitário</t>
  </si>
  <si>
    <t>3E 44 02 00 00 00 00</t>
  </si>
  <si>
    <t>3E-44-02-00-00-00-00</t>
  </si>
  <si>
    <t>Elementos coletores de esgoto</t>
  </si>
  <si>
    <t>3E-44-02-00-00-00-00 - Elementos coletores de esgoto</t>
  </si>
  <si>
    <t>3E 44 02 02 00 00 00</t>
  </si>
  <si>
    <t>3E-44-02-02-00-00-00</t>
  </si>
  <si>
    <t>Tubulação da rede coletora de esgoto</t>
  </si>
  <si>
    <t>3E-44-02-02-00-00-00 - Tubulação da rede coletora de esgoto</t>
  </si>
  <si>
    <t>3E 44 02 04 00 00 00</t>
  </si>
  <si>
    <t>3E-44-02-04-00-00-00</t>
  </si>
  <si>
    <t>Estação elevatória de rede coletora de esgoto</t>
  </si>
  <si>
    <t>3E-44-02-04-00-00-00 - Estação elevatória de rede coletora de esgoto</t>
  </si>
  <si>
    <t>3E 44 02 04 02 00 00</t>
  </si>
  <si>
    <t>3E-44-02-04-02-00-00</t>
  </si>
  <si>
    <t>Bomba de rede coletora de esgoto</t>
  </si>
  <si>
    <t>3E-44-02-04-02-00-00 - Bomba de rede coletora de esgoto</t>
  </si>
  <si>
    <t>3E 44 02 04 04 00 00</t>
  </si>
  <si>
    <t>3E-44-02-04-04-00-00</t>
  </si>
  <si>
    <t>Poço de sucção de rede coletora de esgoto</t>
  </si>
  <si>
    <t>3E-44-02-04-04-00-00 - Poço de sucção de rede coletora de esgoto</t>
  </si>
  <si>
    <t>3E 44 02 04 06 00 00</t>
  </si>
  <si>
    <t>3E-44-02-04-06-00-00</t>
  </si>
  <si>
    <t>Canalização de sucção de rede coletora de esgoto</t>
  </si>
  <si>
    <t>3E-44-02-04-06-00-00 - Canalização de sucção de rede coletora de esgoto</t>
  </si>
  <si>
    <t>3E 44 02 04 08 00 00</t>
  </si>
  <si>
    <t>3E-44-02-04-08-00-00</t>
  </si>
  <si>
    <t>Recalque de rede coletora de esgoto</t>
  </si>
  <si>
    <t>3E-44-02-04-08-00-00 - Recalque de rede coletora de esgoto</t>
  </si>
  <si>
    <t>3E 44 02 04 1000 00</t>
  </si>
  <si>
    <t>3E-44-02-04-1000-00</t>
  </si>
  <si>
    <t>Dispositivo acessório de rede coletora de esgoto</t>
  </si>
  <si>
    <t>3E-44-02-04-1000-00 - Dispositivo acessório de rede coletora de esgoto</t>
  </si>
  <si>
    <t>3E 44 04 00 00 00 00</t>
  </si>
  <si>
    <t>3E-44-04-00-00-00-00</t>
  </si>
  <si>
    <t>Elementos para tratamento de esgoto</t>
  </si>
  <si>
    <t>3E-44-04-00-00-00-00 - Elementos para tratamento de esgoto</t>
  </si>
  <si>
    <t>3E 44 04 02 00 00 00</t>
  </si>
  <si>
    <t>3E-44-04-02-00-00-00</t>
  </si>
  <si>
    <t>Grade para tratamento de esgoto</t>
  </si>
  <si>
    <t>3E-44-04-02-00-00-00 - Grade para tratamento de esgoto</t>
  </si>
  <si>
    <t>3E 44 04 04 00 00 00</t>
  </si>
  <si>
    <t>3E-44-04-04-00-00-00</t>
  </si>
  <si>
    <t>Tanque de areia para tratamento de esgoto</t>
  </si>
  <si>
    <t>3E-44-04-04-00-00-00 - Tanque de areia para tratamento de esgoto</t>
  </si>
  <si>
    <t>3E 44 04 06 00 00 00</t>
  </si>
  <si>
    <t>3E-44-04-06-00-00-00</t>
  </si>
  <si>
    <t>Decantador primário para tratamento de esgoto</t>
  </si>
  <si>
    <t>3E-44-04-06-00-00-00 - Decantador primário para tratamento de esgoto</t>
  </si>
  <si>
    <t>3E 44 04 08 00 00 00</t>
  </si>
  <si>
    <t>3E-44-04-08-00-00-00</t>
  </si>
  <si>
    <t>Câmara de aeração para tratamento de esgoto</t>
  </si>
  <si>
    <t>3E-44-04-08-00-00-00 - Câmara de aeração para tratamento de esgoto</t>
  </si>
  <si>
    <t>3E 44 04 10 00 00 00</t>
  </si>
  <si>
    <t>3E-44-04-10-00-00-00</t>
  </si>
  <si>
    <t>Decantador secundário para tratamento de esgoto</t>
  </si>
  <si>
    <t>3E-44-04-10-00-00-00 - Decantador secundário para tratamento de esgoto</t>
  </si>
  <si>
    <t>3E 44 04 12 00 00 00</t>
  </si>
  <si>
    <t>3E-44-04-12-00-00-00</t>
  </si>
  <si>
    <t>Digestor anaeróbio de para tratamento de esgoto</t>
  </si>
  <si>
    <t>3E-44-04-12-00-00-00 - Digestor anaeróbio de para tratamento de esgoto</t>
  </si>
  <si>
    <t>3E 44 04 14 00 00 00</t>
  </si>
  <si>
    <t>3E-44-04-14-00-00-00</t>
  </si>
  <si>
    <t>Emissário de estação de tratamento de esgoto</t>
  </si>
  <si>
    <t>3E-44-04-14-00-00-00 - Emissário de estação de tratamento de esgoto</t>
  </si>
  <si>
    <t>3E 48 00 00 00 00 00</t>
  </si>
  <si>
    <t>3E-48-00-00-00-00-00</t>
  </si>
  <si>
    <t>Elementos de tratamento de resíduos sólidos</t>
  </si>
  <si>
    <t>3E-48-00-00-00-00-00 - Elementos de tratamento de resíduos sólidos</t>
  </si>
  <si>
    <t>3E 48 02 00 00 00 00</t>
  </si>
  <si>
    <t>3E-48-02-00-00-00-00</t>
  </si>
  <si>
    <t>Elementos para sistemas de coleta de resíduos sólidos</t>
  </si>
  <si>
    <t>3E-48-02-00-00-00-00 - Elementos para sistemas de coleta de resíduos sólidos</t>
  </si>
  <si>
    <t>3E 48 04 00 00 00 00</t>
  </si>
  <si>
    <t>3E-48-04-00-00-00-00</t>
  </si>
  <si>
    <t>Elementos para tratamento mecânico de resíduos sólidos</t>
  </si>
  <si>
    <t>3E-48-04-00-00-00-00 - Elementos para tratamento mecânico de resíduos sólidos</t>
  </si>
  <si>
    <t>3E 48 04 02 00 00 00</t>
  </si>
  <si>
    <t>3E-48-04-02-00-00-00</t>
  </si>
  <si>
    <t>Compactador de resíduos sólidos</t>
  </si>
  <si>
    <t>3E-48-04-02-00-00-00 - Compactador de resíduos sólidos</t>
  </si>
  <si>
    <t>3E 48 06 00 00 00 00</t>
  </si>
  <si>
    <t>3E-48-06-00-00-00-00</t>
  </si>
  <si>
    <t>Elementos para tratamento bioquímico de resíduos sólidos</t>
  </si>
  <si>
    <t>3E-48-06-00-00-00-00 - Elementos para tratamento bioquímico de resíduos sólidos</t>
  </si>
  <si>
    <t>3E 48 06 02 00 00 00</t>
  </si>
  <si>
    <t>3E-48-06-02-00-00-00</t>
  </si>
  <si>
    <t>Composteira de resíduos sólidos</t>
  </si>
  <si>
    <t>3E-48-06-02-00-00-00 - Composteira de resíduos sólidos</t>
  </si>
  <si>
    <t>3E 48 08 00 00 00 00</t>
  </si>
  <si>
    <t>3E-48-08-00-00-00-00</t>
  </si>
  <si>
    <t>Elementos para tratamento térmico de resíduos sólidos</t>
  </si>
  <si>
    <t>3E-48-08-00-00-00-00 - Elementos para tratamento térmico de resíduos sólidos</t>
  </si>
  <si>
    <t>3E 48 08 02 00 00 00</t>
  </si>
  <si>
    <t>3E-48-08-02-00-00-00</t>
  </si>
  <si>
    <t>Fomo de incineração de resíduos sólidos</t>
  </si>
  <si>
    <t>3E-48-08-02-00-00-00 - Fomo de incineração de resíduos sólidos</t>
  </si>
  <si>
    <t>3E 48 10 00 00 00 00</t>
  </si>
  <si>
    <t>3E-48-10-00-00-00-00</t>
  </si>
  <si>
    <t>Elementos para a destinação de resíduos sólidos</t>
  </si>
  <si>
    <t>3E-48-10-00-00-00-00 - Elementos para a destinação de resíduos sólidos</t>
  </si>
  <si>
    <t>3E 50 00 00 00 00 00</t>
  </si>
  <si>
    <t>3E-50-00-00-00-00-00</t>
  </si>
  <si>
    <t>Elementos de sistemas de refrigeração</t>
  </si>
  <si>
    <t>3E-50-00-00-00-00-00 - Elementos de sistemas de refrigeração</t>
  </si>
  <si>
    <t>3E 50 02 00 00 00 00</t>
  </si>
  <si>
    <t>3E-50-02-00-00-00-00</t>
  </si>
  <si>
    <t>Elementos de distribuição em sistemas de refrigeração</t>
  </si>
  <si>
    <t>3E-50-02-00-00-00-00 - Elementos de distribuição em sistemas de refrigeração</t>
  </si>
  <si>
    <t>3E 50 02 02 00 00 00</t>
  </si>
  <si>
    <t>3E-50-02-02-00-00-00</t>
  </si>
  <si>
    <t>Isolamento térmico de rede de dutos</t>
  </si>
  <si>
    <t>3E-50-02-02-00-00-00 - Isolamento térmico de rede de dutos</t>
  </si>
  <si>
    <t>3E 50 02 04 00 00 00</t>
  </si>
  <si>
    <t>3E-50-02-04-00-00-00</t>
  </si>
  <si>
    <t>Duto flexível para distribuição de ar refrigerado</t>
  </si>
  <si>
    <t>3E-50-02-04-00-00-00 - Duto flexível para distribuição de ar refrigerado</t>
  </si>
  <si>
    <t>3E 50 02 06 00 00 00</t>
  </si>
  <si>
    <t>3E-50-02-06-00-00-00</t>
  </si>
  <si>
    <t>Duto rígido para distribuição de ar refrigerado</t>
  </si>
  <si>
    <t>3E-50-02-06-00-00-00 - Duto rígido para distribuição de ar refrigerado</t>
  </si>
  <si>
    <t>3E 50 02 08 00 00 00</t>
  </si>
  <si>
    <t>3E-50-02-08-00-00-00</t>
  </si>
  <si>
    <t>Duto convencional retangular aparente</t>
  </si>
  <si>
    <t>3E-50-02-08-00-00-00 - Duto convencional retangular aparente</t>
  </si>
  <si>
    <t>3E 50 04 00 00 00 00</t>
  </si>
  <si>
    <t>3E-50-04-00-00-00-00</t>
  </si>
  <si>
    <t>Elementos para difusão de ar</t>
  </si>
  <si>
    <t>3E-50-04-00-00-00-00 - Elementos para difusão de ar</t>
  </si>
  <si>
    <t>3E 50 04 02 00 00 00</t>
  </si>
  <si>
    <t>3E-50-04-02-00-00-00</t>
  </si>
  <si>
    <t>Boca de ar</t>
  </si>
  <si>
    <t>3E-50-04-02-00-00-00 - Boca de ar</t>
  </si>
  <si>
    <t>3E 50 04 04 00 00 00</t>
  </si>
  <si>
    <t>3E-50-04-04-00-00-00</t>
  </si>
  <si>
    <t>Difusor de insuflamento</t>
  </si>
  <si>
    <t>3E-50-04-04-00-00-00 - Difusor de insuflamento</t>
  </si>
  <si>
    <t>3E 50 04 06 00 00 00</t>
  </si>
  <si>
    <t>3E-50-04-06-00-00-00</t>
  </si>
  <si>
    <t>Difusor de retomo</t>
  </si>
  <si>
    <t>3E-50-04-06-00-00-00 - Difusor de retomo</t>
  </si>
  <si>
    <t>3E 50 04 08 00 00 00</t>
  </si>
  <si>
    <t>3E-50-04-08-00-00-00</t>
  </si>
  <si>
    <t>Grelha de insuflamento</t>
  </si>
  <si>
    <t>3E-50-04-08-00-00-00 - Grelha de insuflamento</t>
  </si>
  <si>
    <t>3E 50 04 10 00 00 00</t>
  </si>
  <si>
    <t>3E-50-04-10-00-00-00</t>
  </si>
  <si>
    <t>Grelha de retomo</t>
  </si>
  <si>
    <t>3E-50-04-10-00-00-00 - Grelha de retomo</t>
  </si>
  <si>
    <t>3E 50 04 12 00 00 00</t>
  </si>
  <si>
    <t>3E-50-04-12-00-00-00</t>
  </si>
  <si>
    <t>Tomada de ar extemo</t>
  </si>
  <si>
    <t>3E-50-04-12-00-00-00 - Tomada de ar extemo</t>
  </si>
  <si>
    <t>3E 50 04 14 00 00 00</t>
  </si>
  <si>
    <t>3E-50-04-14-00-00-00</t>
  </si>
  <si>
    <t>Ventilador para distribuição de ar</t>
  </si>
  <si>
    <t>3E-50-04-14-00-00-00 - Ventilador para distribuição de ar</t>
  </si>
  <si>
    <t>3E 50 06 00 00 00 00</t>
  </si>
  <si>
    <t>3E-50-06-00-00-00-00</t>
  </si>
  <si>
    <t>Elementos para troca de calor de sistemas de refrigeração</t>
  </si>
  <si>
    <t>3E-50-06-00-00-00-00 - Elementos para troca de calor de sistemas de refrigeração</t>
  </si>
  <si>
    <t>3E 50 06 02 00 00 00</t>
  </si>
  <si>
    <t>3E-50-06-02-00-00-00</t>
  </si>
  <si>
    <t>Evaporador para troca de calor de sistemas de refrigeração</t>
  </si>
  <si>
    <t>3E-50-06-02-00-00-00 - Evaporador para troca de calor de sistemas de refrigeração</t>
  </si>
  <si>
    <t>3E 50 06 04 00 00 00</t>
  </si>
  <si>
    <t>3E-50-06-04-00-00-00</t>
  </si>
  <si>
    <t>Condensador para troca de calor de sistemas de refrigeração</t>
  </si>
  <si>
    <t>3E-50-06-04-00-00-00 - Condensador para troca de calor de sistemas de refrigeração</t>
  </si>
  <si>
    <t>3E 50 08 00 00 00 00</t>
  </si>
  <si>
    <t>3E-50-08-00-00-00-00</t>
  </si>
  <si>
    <t>Elementos de compressão de sistemas de refrigeração</t>
  </si>
  <si>
    <t>3E-50-08-00-00-00-00 - Elementos de compressão de sistemas de refrigeração</t>
  </si>
  <si>
    <t>3E 50 08 02 00 00 00</t>
  </si>
  <si>
    <t>3E-50-08-02-00-00-00</t>
  </si>
  <si>
    <t>Compressor de êmbolo</t>
  </si>
  <si>
    <t>3E-50-08-02-00-00-00 - Compressor de êmbolo</t>
  </si>
  <si>
    <t>3E 50 08 04 00 00 00</t>
  </si>
  <si>
    <t>3E-50-08-04-00-00-00</t>
  </si>
  <si>
    <t>Compressor de parafuso</t>
  </si>
  <si>
    <t>3E-50-08-04-00-00-00 - Compressor de parafuso</t>
  </si>
  <si>
    <t>3E 50 08 06 00 00 00</t>
  </si>
  <si>
    <t>3E-50-08-06-00-00-00</t>
  </si>
  <si>
    <t>Compressor de palheta</t>
  </si>
  <si>
    <t>3E-50-08-06-00-00-00 - Compressor de palheta</t>
  </si>
  <si>
    <t>3E 50 08 08 00 00 00</t>
  </si>
  <si>
    <t>3E-50-08-08-00-00-00</t>
  </si>
  <si>
    <t>Compressor centrífugo</t>
  </si>
  <si>
    <t>3E-50-08-08-00-00-00 - Compressor centrífugo</t>
  </si>
  <si>
    <t>3E 50 08 10 00 00 00</t>
  </si>
  <si>
    <t>3E-50-08-10-00-00-00</t>
  </si>
  <si>
    <t>Compressor scroll</t>
  </si>
  <si>
    <t>3E-50-08-10-00-00-00 - Compressor scroll</t>
  </si>
  <si>
    <t>3E 50 10 00 00 00 00</t>
  </si>
  <si>
    <t>3E-50-10-00-00-00-00</t>
  </si>
  <si>
    <t>Elementos de expansão de sistemas de refrigeração</t>
  </si>
  <si>
    <t>3E-50-10-00-00-00-00 - Elementos de expansão de sistemas de refrigeração</t>
  </si>
  <si>
    <t>3E 50 10 02 00 00 00</t>
  </si>
  <si>
    <t>3E-50-10-02-00-00-00</t>
  </si>
  <si>
    <t>Ramal de expansão de sistemas de refrigeração</t>
  </si>
  <si>
    <t>3E-50-10-02-00-00-00 - Ramal de expansão de sistemas de refrigeração</t>
  </si>
  <si>
    <t>3E 50 10 04 00 00 00</t>
  </si>
  <si>
    <t>3E-50-10-04-00-00-00</t>
  </si>
  <si>
    <t>Válvula de expansão de sistemas de refrigeração</t>
  </si>
  <si>
    <t>3E-50-10-04-00-00-00 - Válvula de expansão de sistemas de refrigeração</t>
  </si>
  <si>
    <t>3E 50 10 06 00 00 00</t>
  </si>
  <si>
    <t>3E-50-10-06-00-00-00</t>
  </si>
  <si>
    <t>Depósito de água de expansão de sistemas de refrigeração</t>
  </si>
  <si>
    <t>3E-50-10-06-00-00-00 - Depósito de água de expansão de sistemas de refrigeração</t>
  </si>
  <si>
    <t>3E 50 10 08 00 00 00</t>
  </si>
  <si>
    <t>3E-50-10-08-00-00-00</t>
  </si>
  <si>
    <t>Secador de expansão de sistemas de refrigeração</t>
  </si>
  <si>
    <t>3E-50-10-08-00-00-00 - Secador de expansão de sistemas de refrigeração</t>
  </si>
  <si>
    <t>3E 50 10 10 00 00 00</t>
  </si>
  <si>
    <t>3E-50-10-10-00-00-00</t>
  </si>
  <si>
    <t>Filtro de expansão de sistemas de refrigeração</t>
  </si>
  <si>
    <t>3E-50-10-10-00-00-00 - Filtro de expansão de sistemas de refrigeração</t>
  </si>
  <si>
    <t>3E 50 10 12 00 00 00</t>
  </si>
  <si>
    <t>3E-50-10-12-00-00-00</t>
  </si>
  <si>
    <t>Termostato de expansão de sistemas de refrigeração</t>
  </si>
  <si>
    <t>3E-50-10-12-00-00-00 - Termostato de expansão de sistemas de refrigeração</t>
  </si>
  <si>
    <t>3E 50 10 14 00 00 00</t>
  </si>
  <si>
    <t>3E-50-10-14-00-00-00</t>
  </si>
  <si>
    <t>Fréon de expansão de sistemas de refrigeração</t>
  </si>
  <si>
    <t>3E-50-10-14-00-00-00 - Fréon de expansão de sistemas de refrigeração</t>
  </si>
  <si>
    <t>3E 50 10 14 02 00 00</t>
  </si>
  <si>
    <t>3E-50-10-14-02-00-00</t>
  </si>
  <si>
    <t>Fréon gasoso</t>
  </si>
  <si>
    <t>3E-50-10-14-02-00-00 - Fréon gasoso</t>
  </si>
  <si>
    <t>3E 50 10 14 04 00 00</t>
  </si>
  <si>
    <t>3E-50-10-14-04-00-00</t>
  </si>
  <si>
    <t>Fréon líquido</t>
  </si>
  <si>
    <t>3E-50-10-14-04-00-00 - Fréon líquido</t>
  </si>
  <si>
    <t>3E 50 10 16 00 00 00</t>
  </si>
  <si>
    <t>3E-50-10-16-00-00-00</t>
  </si>
  <si>
    <t>Dreno de expansão de sistemas de refrigeração</t>
  </si>
  <si>
    <t>3E-50-10-16-00-00-00 - Dreno de expansão de sistemas de refrigeração</t>
  </si>
  <si>
    <t>3E 50 12 00 00 00 00</t>
  </si>
  <si>
    <t>3E-50-12-00-00-00-00</t>
  </si>
  <si>
    <t>Elementos de sistemas de água gelada em sistemas de refrigeração</t>
  </si>
  <si>
    <t>3E-50-12-00-00-00-00 - Elementos de sistemas de água gelada em sistemas de refrigeração</t>
  </si>
  <si>
    <t>3E 50 12 02 00 00 00</t>
  </si>
  <si>
    <t>3E-50-12-02-00-00-00</t>
  </si>
  <si>
    <t>Resfriador a água</t>
  </si>
  <si>
    <t>3E-50-12-02-00-00-00 - Resfriador a água</t>
  </si>
  <si>
    <t>3E 50 12 04 00 00 00</t>
  </si>
  <si>
    <t>3E-50-12-04-00-00-00</t>
  </si>
  <si>
    <t>Resfriador a ar</t>
  </si>
  <si>
    <t>3E-50-12-04-00-00-00 - Resfriador a ar</t>
  </si>
  <si>
    <t>3E 50 12 06 00 00 00</t>
  </si>
  <si>
    <t>3E-50-12-06-00-00-00</t>
  </si>
  <si>
    <t>Fan coil</t>
  </si>
  <si>
    <t>3E-50-12-06-00-00-00 - Fan coil</t>
  </si>
  <si>
    <t>3E 50 12 08 00 00 00</t>
  </si>
  <si>
    <t>3E-50-12-08-00-00-00</t>
  </si>
  <si>
    <t>Torre de resfriamento</t>
  </si>
  <si>
    <t>3E-50-12-08-00-00-00 - Torre de resfriamento</t>
  </si>
  <si>
    <t>3E 50 12 10 02 00 00</t>
  </si>
  <si>
    <t>3E-50-12-10-02-00-00</t>
  </si>
  <si>
    <t>Torre atmosférica</t>
  </si>
  <si>
    <t>3E-50-12-10-02-00-00 - Torre atmosférica</t>
  </si>
  <si>
    <t>3E 50 12 10 04 00 00</t>
  </si>
  <si>
    <t>3E-50-12-10-04-00-00</t>
  </si>
  <si>
    <t>Torre de corrente de ar forçado</t>
  </si>
  <si>
    <t>3E-50-12-10-04-00-00 - Torre de corrente de ar forçado</t>
  </si>
  <si>
    <t>3E 50 12 10 06 00 00</t>
  </si>
  <si>
    <t>3E-50-12-10-06-00-00</t>
  </si>
  <si>
    <t>Torre de corrente de ar induzido</t>
  </si>
  <si>
    <t>3E-50-12-10-06-00-00 - Torre de corrente de ar induzido</t>
  </si>
  <si>
    <t>3E 50 12 12 00 00 00</t>
  </si>
  <si>
    <t>3E-50-12-12-00-00-00</t>
  </si>
  <si>
    <t>Bomba de água gelada</t>
  </si>
  <si>
    <t>3E-50-12-12-00-00-00 - Bomba de água gelada</t>
  </si>
  <si>
    <t>3E 50 12 14 00 00 00</t>
  </si>
  <si>
    <t>3E-50-12-14-00-00-00</t>
  </si>
  <si>
    <t>Tanque de expansão</t>
  </si>
  <si>
    <t>3E-50-12-14-00-00-00 - Tanque de expansão</t>
  </si>
  <si>
    <t>3E 50 12 16 00 00 00</t>
  </si>
  <si>
    <t>3E-50-12-16-00-00-00</t>
  </si>
  <si>
    <t>Termoacumulação de gelo</t>
  </si>
  <si>
    <t>3E-50-12-16-00-00-00 - Termoacumulação de gelo</t>
  </si>
  <si>
    <t>3E 50 14 00 00 00 00</t>
  </si>
  <si>
    <t>3E-50-14-00-00-00-00</t>
  </si>
  <si>
    <t>Elementos de expansão direta - condensação a água</t>
  </si>
  <si>
    <t>3E-50-14-00-00-00-00 - Elementos de expansão direta - condensação a água</t>
  </si>
  <si>
    <t>3E 50 14 02 00 00 00</t>
  </si>
  <si>
    <t>3E-50-14-02-00-00-00</t>
  </si>
  <si>
    <t>Bomba de água de condensação</t>
  </si>
  <si>
    <t>3E-50-14-02-00-00-00 - Bomba de água de condensação</t>
  </si>
  <si>
    <t>3E 50 14 04 00 00 00</t>
  </si>
  <si>
    <t>3E-50-14-04-00-00-00</t>
  </si>
  <si>
    <t>Caixa d'água de condensação a água</t>
  </si>
  <si>
    <t>3E-50-14-04-00-00-00 - Caixa d'água de condensação a água</t>
  </si>
  <si>
    <t>3E 50 16 00 00 00 00</t>
  </si>
  <si>
    <t>3E-50-16-00-00-00-00</t>
  </si>
  <si>
    <t>Elementos de expansão direta - unidades compactas</t>
  </si>
  <si>
    <t>3E-50-16-00-00-00-00 - Elementos de expansão direta - unidades compactas</t>
  </si>
  <si>
    <t>3E 50 16 02 00 00 00</t>
  </si>
  <si>
    <t>3E-50-16-02-00-00-00</t>
  </si>
  <si>
    <t>Unidade compacta de condensação a água</t>
  </si>
  <si>
    <t>3E-50-16-02-00-00-00 - Unidade compacta de condensação a água</t>
  </si>
  <si>
    <t>3E 50 16 04 00 00 00</t>
  </si>
  <si>
    <t>3E-50-16-04-00-00-00</t>
  </si>
  <si>
    <t>Torre de resfriamento para unidades compactas</t>
  </si>
  <si>
    <t>3E-50-16-04-00-00-00 - Torre de resfriamento para unidades compactas</t>
  </si>
  <si>
    <t>3E 50 16 06 00 00 00</t>
  </si>
  <si>
    <t>3E-50-16-06-00-00-00</t>
  </si>
  <si>
    <t>Bomba para unidades compactas</t>
  </si>
  <si>
    <t>3E-50-16-06-00-00-00 - Bomba para unidades compactas</t>
  </si>
  <si>
    <t>3E 50 16 08 00 00 00</t>
  </si>
  <si>
    <t>3E-50-16-08-00-00-00</t>
  </si>
  <si>
    <t>Ramal de recalque para unidades compactas</t>
  </si>
  <si>
    <t>3E-50-16-08-00-00-00 - Ramal de recalque para unidades compactas</t>
  </si>
  <si>
    <t>3E 50 16 10 00 00 00</t>
  </si>
  <si>
    <t>3E-50-16-10-00-00-00</t>
  </si>
  <si>
    <t>Ramal de retomo para unidades compactas</t>
  </si>
  <si>
    <t>3E-50-16-10-00-00-00 - Ramal de retomo para unidades compactas</t>
  </si>
  <si>
    <t>3E 50 16 12 00 00 00</t>
  </si>
  <si>
    <t>3E-50-16-12-00-00-00</t>
  </si>
  <si>
    <t>Registro de gaveta para unidades compactas</t>
  </si>
  <si>
    <t>3E-50-16-12-00-00-00 - Registro de gaveta para unidades compactas</t>
  </si>
  <si>
    <t>3E 50 16 14 00 00 00</t>
  </si>
  <si>
    <t>3E-50-16-14-00-00-00</t>
  </si>
  <si>
    <t>Registro de globo para unidades compactas</t>
  </si>
  <si>
    <t>3E-50-16-14-00-00-00 - Registro de globo para unidades compactas</t>
  </si>
  <si>
    <t>3E 50 16 16 00 00 00</t>
  </si>
  <si>
    <t>3E-50-16-16-00-00-00</t>
  </si>
  <si>
    <t>Válvula de retenção para unidades compactas</t>
  </si>
  <si>
    <t>3E-50-16-16-00-00-00 - Válvula de retenção para unidades compactas</t>
  </si>
  <si>
    <t>3E 50 18 00 00 00 00</t>
  </si>
  <si>
    <t>3E-50-18-00-00-00-00</t>
  </si>
  <si>
    <t>Elementos para sistemas de expansão indireta de água gelada</t>
  </si>
  <si>
    <t>3E-50-18-00-00-00-00 - Elementos para sistemas de expansão indireta de água gelada</t>
  </si>
  <si>
    <t>3E 50 18 02 00 00 00</t>
  </si>
  <si>
    <t>3E-50-18-02-00-00-00</t>
  </si>
  <si>
    <t>Entrada de água para sistemas de expansão indireta de água gelada</t>
  </si>
  <si>
    <t>3E-50-18-02-00-00-00 - Entrada de água para sistemas de expansão indireta de água gelada</t>
  </si>
  <si>
    <t>3E 50 18 04 00 00 00</t>
  </si>
  <si>
    <t>3E-50-18-04-00-00-00</t>
  </si>
  <si>
    <t>Ladrão para sistemas de expansão indireta de água gelada</t>
  </si>
  <si>
    <t>3E-50-18-04-00-00-00 - Ladrão para sistemas de expansão indireta de água gelada</t>
  </si>
  <si>
    <t>3E 50 18 06 00 00 00</t>
  </si>
  <si>
    <t>3E-50-18-06-00-00-00</t>
  </si>
  <si>
    <t>Caixa de expansão para sistemas de expansão indireta de água gelada</t>
  </si>
  <si>
    <t>3E-50-18-06-00-00-00 - Caixa de expansão para sistemas de expansão indireta de água gelada</t>
  </si>
  <si>
    <t>3E 50 18 08 00 00 00</t>
  </si>
  <si>
    <t>3E-50-18-08-00-00-00</t>
  </si>
  <si>
    <t>Bomba para sistemas de expansão indireta de água gelada</t>
  </si>
  <si>
    <t>3E-50-18-08-00-00-00 - Bomba para sistemas de expansão indireta de água gelada</t>
  </si>
  <si>
    <t>3E 50 18 10 00 00 00</t>
  </si>
  <si>
    <t>3E-50-18-10-00-00-00</t>
  </si>
  <si>
    <t>Bomba de circulação para sistemas de expansão indireta de água gelada</t>
  </si>
  <si>
    <t>3E-50-18-10-00-00-00 - Bomba de circulação para sistemas de expansão indireta de água gelada</t>
  </si>
  <si>
    <t>3E 5018 12 00 00 00</t>
  </si>
  <si>
    <t>Bomba de condensação para sistemas de expansão indireta de água gelada</t>
  </si>
  <si>
    <t>3E-5018-12-00-00-00 - Bomba de condensação para sistemas de expansão indireta de água gelada</t>
  </si>
  <si>
    <t>3E 50 18 14 00 00 00</t>
  </si>
  <si>
    <t>3E-50-18-14-00-00-00</t>
  </si>
  <si>
    <t>Resfriador para sistemas de expansão indireta de água gelada</t>
  </si>
  <si>
    <t>3E-50-18-14-00-00-00 - Resfriador para sistemas de expansão indireta de água gelada</t>
  </si>
  <si>
    <t>3E 50 18 16 00 00 00</t>
  </si>
  <si>
    <t>3E-50-18-16-00-00-00</t>
  </si>
  <si>
    <t>Depósito para sistemas de expansão indireta de água gelada</t>
  </si>
  <si>
    <t>3E-50-18-16-00-00-00 - Depósito para sistemas de expansão indireta de água gelada</t>
  </si>
  <si>
    <t>3E 50 18 18 00 00 00</t>
  </si>
  <si>
    <t>3E-50-18-18-00-00-00</t>
  </si>
  <si>
    <t>Alimentador principal para sistemas de expansão indireta de água gelada</t>
  </si>
  <si>
    <t>3E-50-18-18-00-00-00 - Alimentador principal para sistemas de expansão indireta de água gelada</t>
  </si>
  <si>
    <t>3E 50 18 20 00 00 00</t>
  </si>
  <si>
    <t>3E-50-18-20-00-00-00</t>
  </si>
  <si>
    <t>Válvula de alívio de pressão para sistemas de expansão indireta de água gelada</t>
  </si>
  <si>
    <t>3E-50-18-20-00-00-00 - Válvula de alívio de pressão para sistemas de expansão indireta de água gelada</t>
  </si>
  <si>
    <t>3E 50 18 22 00 00 00</t>
  </si>
  <si>
    <t>3E-50-18-22-00-00-00</t>
  </si>
  <si>
    <t>Válvula de três vias para sistemas de expansão indireta de água gelada</t>
  </si>
  <si>
    <t>3E-50-18-22-00-00-00 - Válvula de três vias para sistemas de expansão indireta de água gelada</t>
  </si>
  <si>
    <t>3E 50 20 00 00 00 00</t>
  </si>
  <si>
    <t>3E-50-20-00-00-00-00</t>
  </si>
  <si>
    <t>Elementos para instalação central de água gelada</t>
  </si>
  <si>
    <t>3E-50-20-00-00-00-00 - Elementos para instalação central de água gelada</t>
  </si>
  <si>
    <t>3E 50 20 02 00 00 00</t>
  </si>
  <si>
    <t>3E-50-20-02-00-00-00</t>
  </si>
  <si>
    <t>Alimentação de água gelada</t>
  </si>
  <si>
    <t>3E-50-20-02-00-00-00 - Alimentação de água gelada</t>
  </si>
  <si>
    <t>3E 50 20 04 00 00 00</t>
  </si>
  <si>
    <t>3E-50-20-04-00-00-00</t>
  </si>
  <si>
    <t>Retorno de água gelada</t>
  </si>
  <si>
    <t>3E-50-20-04-00-00-00 - Retorno de água gelada</t>
  </si>
  <si>
    <t>3E 50 20 06 00 00 00</t>
  </si>
  <si>
    <t>3E-50-20-06-00-00-00</t>
  </si>
  <si>
    <t>Alimentação de água de condensação</t>
  </si>
  <si>
    <t>3E-50-20-06-00-00-00 - Alimentação de água de condensação</t>
  </si>
  <si>
    <t>3E 50 20 08 00 00 00</t>
  </si>
  <si>
    <t>3E-50-20-08-00-00-00</t>
  </si>
  <si>
    <t>Retorno de água de condensação</t>
  </si>
  <si>
    <t>3E-50-20-08-00-00-00 - Retorno de água de condensação</t>
  </si>
  <si>
    <t>3E 50 20 10 00 00 00</t>
  </si>
  <si>
    <t>3E-50-20-10-00-00-00</t>
  </si>
  <si>
    <t>Bomba para o sistema de condensação</t>
  </si>
  <si>
    <t>3E-50-20-10-00-00-00 - Bomba para o sistema de condensação</t>
  </si>
  <si>
    <t>3E 50 20 12 00 00 00</t>
  </si>
  <si>
    <t>3E-50-20-12-00-00-00</t>
  </si>
  <si>
    <t>Bomba para o sistema de água gelada</t>
  </si>
  <si>
    <t>3E-50-20-12-00-00-00 - Bomba para o sistema de água gelada</t>
  </si>
  <si>
    <t>3E 50 20 14 00 00 00</t>
  </si>
  <si>
    <t>3E-50-20-14-00-00-00</t>
  </si>
  <si>
    <t>Resfriador para instalação central de água gelada</t>
  </si>
  <si>
    <t>3E-50-20-14-00-00-00 - Resfriador para instalação central de água gelada</t>
  </si>
  <si>
    <t>3E 50 20 16 00 00 00</t>
  </si>
  <si>
    <t>3E-50-20-16-00-00-00</t>
  </si>
  <si>
    <t>Manômetro para instalação central de água gelada</t>
  </si>
  <si>
    <t>3E-50-20-16-00-00-00 - Manômetro para instalação central de água gelada</t>
  </si>
  <si>
    <t>3E 50 20 18 00 00 00</t>
  </si>
  <si>
    <t>3E-50-20-18-00-00-00</t>
  </si>
  <si>
    <t>Termômetro para instalação central de água gelada</t>
  </si>
  <si>
    <t>3E-50-20-18-00-00-00 - Termômetro para instalação central de água gelada</t>
  </si>
  <si>
    <t>3E 50 20 20 00 00 00</t>
  </si>
  <si>
    <t>3E-50-20-20-00-00-00</t>
  </si>
  <si>
    <t>Flow switch</t>
  </si>
  <si>
    <t>3E-50-20-20-00-00-00 - Flow switch</t>
  </si>
  <si>
    <t>3E 50 20 22 00 00 00</t>
  </si>
  <si>
    <t>3E-50-20-22-00-00-00</t>
  </si>
  <si>
    <t>Flow meter</t>
  </si>
  <si>
    <t>3E-50-20-22-00-00-00 - Flow meter</t>
  </si>
  <si>
    <t>3E 50 20 24 00 00 00</t>
  </si>
  <si>
    <t>3E-50-20-24-00-00-00</t>
  </si>
  <si>
    <t>Redução concêntrica para instalação central de água gelada</t>
  </si>
  <si>
    <t>3E-50-20-24-00-00-00 - Redução concêntrica para instalação central de água gelada</t>
  </si>
  <si>
    <t>3E 50 20 26 00 00 00</t>
  </si>
  <si>
    <t>3E-50-20-26-00-00-00</t>
  </si>
  <si>
    <t>Redução excêntrica para instalação central de água gelada</t>
  </si>
  <si>
    <t>3E-50-20-26-00-00-00 - Redução excêntrica para instalação central de água gelada</t>
  </si>
  <si>
    <t>3E 50 20 28 00 00 00</t>
  </si>
  <si>
    <t>3E-50-20-28-00-00-00</t>
  </si>
  <si>
    <t>Filtro de linha para instalação central de água gelada</t>
  </si>
  <si>
    <t>3E-50-20-28-00-00-00 - Filtro de linha para instalação central de água gelada</t>
  </si>
  <si>
    <t>3E 50 20 30 00 00 00</t>
  </si>
  <si>
    <t>3E-50-20-30-00-00-00</t>
  </si>
  <si>
    <t>ortecedor de vibração para instalação central de água gelada</t>
  </si>
  <si>
    <t>3E-50-20-30-00-00-00 - ortecedor de vibração para instalação central de água gelada</t>
  </si>
  <si>
    <t>3E 52 00 00 00 00 00</t>
  </si>
  <si>
    <t>3E-52-00-00-00-00-00</t>
  </si>
  <si>
    <t>Elementos de sistemas de aquecimento</t>
  </si>
  <si>
    <t>3E-52-00-00-00-00-00 - Elementos de sistemas de aquecimento</t>
  </si>
  <si>
    <t>3E 52 02 00 00 00 00</t>
  </si>
  <si>
    <t>3E-52-02-00-00-00-00</t>
  </si>
  <si>
    <t>Elementos para sistemas de aquecimento solar ativo</t>
  </si>
  <si>
    <t>3E-52-02-00-00-00-00 - Elementos para sistemas de aquecimento solar ativo</t>
  </si>
  <si>
    <t>3E 52 02 02 00 00 00</t>
  </si>
  <si>
    <t>3E-52-02-02-00-00-00</t>
  </si>
  <si>
    <t>Coletor de placa plana</t>
  </si>
  <si>
    <t>3E-52-02-02-00-00-00 - Coletor de placa plana</t>
  </si>
  <si>
    <t>3E 52 02 04 00 00 00</t>
  </si>
  <si>
    <t>3E-52-02-04-00-00-00</t>
  </si>
  <si>
    <t>Tanque de armazenamento para líquido quente</t>
  </si>
  <si>
    <t>3E-52-02-04-00-00-00 - Tanque de armazenamento para líquido quente</t>
  </si>
  <si>
    <t>3E 52 02 06 00 00 00</t>
  </si>
  <si>
    <t>3E-52-02-06-00-00-00</t>
  </si>
  <si>
    <t>Bomba para sistemas de aquecimento solar ativo</t>
  </si>
  <si>
    <t>3E-52-02-06-00-00-00 - Bomba para sistemas de aquecimento solar ativo</t>
  </si>
  <si>
    <t>3E 52 02 08 00 00 00</t>
  </si>
  <si>
    <t>3E-52-02-08-00-00-00</t>
  </si>
  <si>
    <t>Ventilador para sistemas de aquecimento solar ativo</t>
  </si>
  <si>
    <t>3E-52-02-08-00-00-00 - Ventilador para sistemas de aquecimento solar ativo</t>
  </si>
  <si>
    <t>3E 52 02 10 00 00 00</t>
  </si>
  <si>
    <t>3E-52-02-10-00-00-00</t>
  </si>
  <si>
    <t>Serpentina para sistemas de aquecimento solar ativo</t>
  </si>
  <si>
    <t>3E-52-02-10-00-00-00 - Serpentina para sistemas de aquecimento solar ativo</t>
  </si>
  <si>
    <t>3E 52 02 12 00 00 00</t>
  </si>
  <si>
    <t>3E-52-02-12-00-00-00</t>
  </si>
  <si>
    <t>Duto para sistemas de aquecimento solar ativo</t>
  </si>
  <si>
    <t>3E-52-02-12-00-00-00 - Duto para sistemas de aquecimento solar ativo</t>
  </si>
  <si>
    <t>3E 52 02 14 00 00 00</t>
  </si>
  <si>
    <t>3E-52-02-14-00-00-00</t>
  </si>
  <si>
    <t>Difusor para sistemas de aquecimento solar ativo</t>
  </si>
  <si>
    <t>3E-52-02-14-00-00-00 - Difusor para sistemas de aquecimento solar ativo</t>
  </si>
  <si>
    <t>3E 52 04 00 00 00 00</t>
  </si>
  <si>
    <t>3E-52-04-00-00-00-00</t>
  </si>
  <si>
    <t>Elementos para sistemas de aquecimento hidrônico por água quente</t>
  </si>
  <si>
    <t>3E-52-04-00-00-00-00 - Elementos para sistemas de aquecimento hidrônico por água quente</t>
  </si>
  <si>
    <t>3E 52 04 02 00 00 00</t>
  </si>
  <si>
    <t>3E-52-04-02-00-00-00</t>
  </si>
  <si>
    <t>Caldeira para sistemas de aquecimento hidrônico por água quente</t>
  </si>
  <si>
    <t>3E-52-04-02-00-00-00 - Caldeira para sistemas de aquecimento hidrônico por água quente</t>
  </si>
  <si>
    <t>3E 52 04 04 00 00 00</t>
  </si>
  <si>
    <t>3E-52-04-04-00-00-00</t>
  </si>
  <si>
    <t>Tanque de compressão para sistemas de aquecimento hidrônico por água quente</t>
  </si>
  <si>
    <t>3E-52-04-04-00-00-00 - Tanque de compressão para sistemas de aquecimento hidrônico por água quente</t>
  </si>
  <si>
    <t>3E 52 04 06 00 00 00</t>
  </si>
  <si>
    <t>3E-52-04-06-00-00-00</t>
  </si>
  <si>
    <t>Bomba para sistemas de aquecimento hidrônico por água quente</t>
  </si>
  <si>
    <t>3E-52-04-06-00-00-00 - Bomba para sistemas de aquecimento hidrônico por água quente</t>
  </si>
  <si>
    <t>3E 52 04 08 00 00 00</t>
  </si>
  <si>
    <t>3E-52-04-08-00-00-00</t>
  </si>
  <si>
    <t>Ramal de distribuição para sistemas de aquecimento hidrônico por água quente</t>
  </si>
  <si>
    <t>3E-52-04-08-00-00-00 - Ramal de distribuição para sistemas de aquecimento hidrônico por água quente</t>
  </si>
  <si>
    <t>3E 52 04 10 00 00 00</t>
  </si>
  <si>
    <t>3E-52-04-10-00-00-00</t>
  </si>
  <si>
    <t>Válvula de pressão para sistemas de aquecimento hidrônico por água quente</t>
  </si>
  <si>
    <t>3E-52-04-10-00-00-00 - Válvula de pressão para sistemas de aquecimento hidrônico por água quente</t>
  </si>
  <si>
    <t>3E 52 04 12 00 00 00</t>
  </si>
  <si>
    <t>3E-52-04-12-00-00-00</t>
  </si>
  <si>
    <t>Válvula de controle para sistemas de aquecimento hidrônico por água quente</t>
  </si>
  <si>
    <t>3E-52-04-12-00-00-00 - Válvula de controle para sistemas de aquecimento hidrônico por água quente</t>
  </si>
  <si>
    <t>3E 52 04 14 00 00 00</t>
  </si>
  <si>
    <t>3E-52-04-14-00-00-00</t>
  </si>
  <si>
    <t>Radiador de calor para sistemas de aquecimento hidrônico por água quente</t>
  </si>
  <si>
    <t>3E-52-04-14-00-00-00 - Radiador de calor para sistemas de aquecimento hidrônico por água quente</t>
  </si>
  <si>
    <t>3E 52 06 00 00 00 00</t>
  </si>
  <si>
    <t>3E-52-06-00-00-00-00</t>
  </si>
  <si>
    <t>Elementos para sistemas de aquecimento a vapor</t>
  </si>
  <si>
    <t>3E-52-06-00-00-00-00 - Elementos para sistemas de aquecimento a vapor</t>
  </si>
  <si>
    <t>3E 52 06 02 00 00 00</t>
  </si>
  <si>
    <t>3E-52-06-02-00-00-00</t>
  </si>
  <si>
    <t>Caldeira para sistemas de aquecimento a vapor</t>
  </si>
  <si>
    <t>3E-52-06-02-00-00-00 - Caldeira para sistemas de aquecimento a vapor</t>
  </si>
  <si>
    <t>3E 52 06 04 00 00 00</t>
  </si>
  <si>
    <t>3E-52-06-04-00-00-00</t>
  </si>
  <si>
    <t>Bomba de Vácuo para sistemas de aquecimento a vapor</t>
  </si>
  <si>
    <t>3E-52-06-04-00-00-00 - Bomba de Vácuo para sistemas de aquecimento a vapor</t>
  </si>
  <si>
    <t>3E 52 06 06 00 00 00</t>
  </si>
  <si>
    <t>3E-52-06-06-00-00-00</t>
  </si>
  <si>
    <t>Ramal de alimentação para sistemas de aquecimento a vapor</t>
  </si>
  <si>
    <t>3E-52-06-06-00-00-00 - Ramal de alimentação para sistemas de aquecimento a vapor</t>
  </si>
  <si>
    <t>3E 52 06 08 00 00 00</t>
  </si>
  <si>
    <t>3E-52-06-08-00-00-00</t>
  </si>
  <si>
    <t>Ramal de retorno da água para sistemas de aquecimento a vapor</t>
  </si>
  <si>
    <t>3E-52-06-08-00-00-00 - Ramal de retorno da água para sistemas de aquecimento a vapor</t>
  </si>
  <si>
    <t>3E 52 06 10 00 00 00</t>
  </si>
  <si>
    <t>3E-52-06-10-00-00-00</t>
  </si>
  <si>
    <t>Válvula de controle para sistemas de aquecimento a vapor</t>
  </si>
  <si>
    <t>3E-52-06-10-00-00-00 - Válvula de controle para sistemas de aquecimento a vapor</t>
  </si>
  <si>
    <t>3E 52 06 12 00 00 00</t>
  </si>
  <si>
    <t>3E-52-06-12-00-00-00</t>
  </si>
  <si>
    <t>Radiador para sistemas de aquecimento a vapor</t>
  </si>
  <si>
    <t>3E-52-06-12-00-00-00 - Radiador para sistemas de aquecimento a vapor</t>
  </si>
  <si>
    <t>3E 52 08 00 00 00 00</t>
  </si>
  <si>
    <t>3E-52-08-00-00-00-00</t>
  </si>
  <si>
    <t>Elementos para sistemas de aquecimento por ar quente</t>
  </si>
  <si>
    <t>3E-52-08-00-00-00-00 - Elementos para sistemas de aquecimento por ar quente</t>
  </si>
  <si>
    <t>3E 52 08 02 00 00 00</t>
  </si>
  <si>
    <t>3E-52-08-02-00-00-00</t>
  </si>
  <si>
    <t>Combustor para sistemas de aquecimento por ar quente</t>
  </si>
  <si>
    <t>3E-52-08-02-00-00-00 - Combustor para sistemas de aquecimento por ar quente</t>
  </si>
  <si>
    <t>3E 52 08 04 00 00 00</t>
  </si>
  <si>
    <t>3E-52-08-04-00-00-00</t>
  </si>
  <si>
    <t>Ventilador para sistemas de aquecimento por ar quente</t>
  </si>
  <si>
    <t>3E-52-08-04-00-00-00 - Ventilador para sistemas de aquecimento por ar quente</t>
  </si>
  <si>
    <t>3E 52 08 06 00 00 00</t>
  </si>
  <si>
    <t>3E-52-08-06-00-00-00</t>
  </si>
  <si>
    <t>Filtro de poeira para sistemas de aquecimento por ar quente</t>
  </si>
  <si>
    <t>3E-52-08-06-00-00-00 - Filtro de poeira para sistemas de aquecimento por ar quente</t>
  </si>
  <si>
    <t>3E 52 08 08 00 00 00</t>
  </si>
  <si>
    <t>3E-52-08-08-00-00-00</t>
  </si>
  <si>
    <t>Tanque de óleo para sistemas de aquecimento por ar quente</t>
  </si>
  <si>
    <t>3E-52-08-08-00-00-00 - Tanque de óleo para sistemas de aquecimento por ar quente</t>
  </si>
  <si>
    <t>3E 52 08 10 00 00 00</t>
  </si>
  <si>
    <t>3E-52-08-10-00-00-00</t>
  </si>
  <si>
    <t>Duto de insuflamento para sistemas de aquecimento por ar quente</t>
  </si>
  <si>
    <t>3E-52-08-10-00-00-00 - Duto de insuflamento para sistemas de aquecimento por ar quente</t>
  </si>
  <si>
    <t>3E 52 08 12 00 00 00</t>
  </si>
  <si>
    <t>3E-52-08-12-00-00-00</t>
  </si>
  <si>
    <t>Duto de retorno para sistemas de aquecimento por ar quente</t>
  </si>
  <si>
    <t>3E-52-08-12-00-00-00 - Duto de retorno para sistemas de aquecimento por ar quente</t>
  </si>
  <si>
    <t>3E 54 00 00 00 00 00</t>
  </si>
  <si>
    <t>3E-54-00-00-00-00-00</t>
  </si>
  <si>
    <t>Elementos de instalações de gases</t>
  </si>
  <si>
    <t>3E-54-00-00-00-00-00 - Elementos de instalações de gases</t>
  </si>
  <si>
    <t>3E 54 02 00 00 00 00</t>
  </si>
  <si>
    <t>3E-54-02-00-00-00-00</t>
  </si>
  <si>
    <t>Elementos para instalações de gases combustíveis</t>
  </si>
  <si>
    <t>3E-54-02-00-00-00-00 - Elementos para instalações de gases combustíveis</t>
  </si>
  <si>
    <t>3E 54 02 02 00 00 00</t>
  </si>
  <si>
    <t>3E-54-02-02-00-00-00</t>
  </si>
  <si>
    <t>Elementos alimentadores em instalações de gases oombustíveis</t>
  </si>
  <si>
    <t>3E-54-02-02-00-00-00 - Elementos alimentadores em instalações de gases oombustíveis</t>
  </si>
  <si>
    <t>3E 54 02 04 00 00 00</t>
  </si>
  <si>
    <t>3E-54-02-04-00-00-00</t>
  </si>
  <si>
    <t>Elementos distribuidores em instalações de gases combustíveis</t>
  </si>
  <si>
    <t>3E-54-02-04-00-00-00 - Elementos distribuidores em instalações de gases combustíveis</t>
  </si>
  <si>
    <t>3E 54 02 04 02 00 00</t>
  </si>
  <si>
    <t>3E-54-02-04-02-00-00</t>
  </si>
  <si>
    <t>Prumada de gases combustíveis</t>
  </si>
  <si>
    <t>3E-54-02-04-02-00-00 - Prumada de gases combustíveis</t>
  </si>
  <si>
    <t>3E 54 02 04 04 00 00</t>
  </si>
  <si>
    <t>3E-54-02-04-04-00-00</t>
  </si>
  <si>
    <t>Ramal de distribuição de gases combustíveis</t>
  </si>
  <si>
    <t>3E-54-02-04-04-00-00 - Ramal de distribuição de gases combustíveis</t>
  </si>
  <si>
    <t>3E 54 02 04 06 00 00</t>
  </si>
  <si>
    <t>3E-54-02-04-06-00-00</t>
  </si>
  <si>
    <t>Sub-ramal de distribuição de gases combustíveis</t>
  </si>
  <si>
    <t>3E-54-02-04-06-00-00 - Sub-ramal de distribuição de gases combustíveis</t>
  </si>
  <si>
    <t>3E 54 02 06 00 00 00</t>
  </si>
  <si>
    <t>3E-54-02-06-00-00-00</t>
  </si>
  <si>
    <t>Elementos conectores em instalações de gases combustíveis</t>
  </si>
  <si>
    <t>3E-54-02-06-00-00-00 - Elementos conectores em instalações de gases combustíveis</t>
  </si>
  <si>
    <t>3E 54 02 08 00 00 00</t>
  </si>
  <si>
    <t>3E-54-02-08-00-00-00</t>
  </si>
  <si>
    <t>Elementos controladores de fuxo em instalações de gases combustíveis</t>
  </si>
  <si>
    <t>3E-54-02-08-00-00-00 - Elementos controladores de fuxo em instalações de gases combustíveis</t>
  </si>
  <si>
    <t>3E 54 02 08 02 00 00</t>
  </si>
  <si>
    <t>3E-54-02-08-02-00-00</t>
  </si>
  <si>
    <t>Regulador individual para instalação de gases combustíveis</t>
  </si>
  <si>
    <t>3E-54-02-08-02-00-00 - Regulador individual para instalação de gases combustíveis</t>
  </si>
  <si>
    <t>3E 54 02 08 04 00 00</t>
  </si>
  <si>
    <t>3E-54-02-08-04-00-00</t>
  </si>
  <si>
    <t>Regulador coletivo para instalação de gases combustíveis</t>
  </si>
  <si>
    <t>3E-54-02-08-04-00-00 - Regulador coletivo para instalação de gases combustíveis</t>
  </si>
  <si>
    <t>3E 54 02 10 00 00 00</t>
  </si>
  <si>
    <t>3E-54-02-10-00-00-00</t>
  </si>
  <si>
    <t>Elementos medidores de consumo em instalações de gases combustíveis</t>
  </si>
  <si>
    <t>3E-54-02-10-00-00-00 - Elementos medidores de consumo em instalações de gases combustíveis</t>
  </si>
  <si>
    <t>3E 54 02 10 02 00 00</t>
  </si>
  <si>
    <t>3E-54-02-10-02-00-00</t>
  </si>
  <si>
    <t>Medidor individual para instalação de gases combustíveis</t>
  </si>
  <si>
    <t>3E-54-02-10-02-00-00 - Medidor individual para instalação de gases combustíveis</t>
  </si>
  <si>
    <t>3E 54 02 10 04 00 00</t>
  </si>
  <si>
    <t>3E-54-02-10-04-00-00</t>
  </si>
  <si>
    <t>Medidor coletivo para instalação de gases combustíveis</t>
  </si>
  <si>
    <t>3E-54-02-10-04-00-00 - Medidor coletivo para instalação de gases combustíveis</t>
  </si>
  <si>
    <t>3E 54 02 12 00 00 00</t>
  </si>
  <si>
    <t>3E-54-02-12-00-00-00</t>
  </si>
  <si>
    <t>Elementos terminais em instalações de gases combustíveis</t>
  </si>
  <si>
    <t>3E-54-02-12-00-00-00 - Elementos terminais em instalações de gases combustíveis</t>
  </si>
  <si>
    <t>3E 54 04 00 00 00 00</t>
  </si>
  <si>
    <t>3E-54-04-00-00-00-00</t>
  </si>
  <si>
    <t>Elementos para instalações de gases medicinais</t>
  </si>
  <si>
    <t>3E-54-04-00-00-00-00 - Elementos para instalações de gases medicinais</t>
  </si>
  <si>
    <t>3E 54 04 02 00 00 00</t>
  </si>
  <si>
    <t>3E-54-04-02-00-00-00</t>
  </si>
  <si>
    <t>Elementos alimentadores em instalações de gases medicinais</t>
  </si>
  <si>
    <t>3E-54-04-02-00-00-00 - Elementos alimentadores em instalações de gases medicinais</t>
  </si>
  <si>
    <t>3E 54 04 04 00 00 00</t>
  </si>
  <si>
    <t>3E-54-04-04-00-00-00</t>
  </si>
  <si>
    <t>Elementos para tratamento em instalações de gases medicinais</t>
  </si>
  <si>
    <t>3E-54-04-04-00-00-00 - Elementos para tratamento em instalações de gases medicinais</t>
  </si>
  <si>
    <t>3E 54 04 06 00 00 00</t>
  </si>
  <si>
    <t>3E-54-04-06-00-00-00</t>
  </si>
  <si>
    <t>Elementos distribuidores em instalações de gases medicinais</t>
  </si>
  <si>
    <t>3E-54-04-06-00-00-00 - Elementos distribuidores em instalações de gases medicinais</t>
  </si>
  <si>
    <t>3E 54 04 08 00 00 00</t>
  </si>
  <si>
    <t>3E-54-04-08-00-00-00</t>
  </si>
  <si>
    <t>Elementos conectores em instalações de gases medicinais</t>
  </si>
  <si>
    <t>3E-54-04-08-00-00-00 - Elementos conectores em instalações de gases medicinais</t>
  </si>
  <si>
    <t>3E 54 04 10 00 00 00</t>
  </si>
  <si>
    <t>3E-54-04-10-00-00-00</t>
  </si>
  <si>
    <t>Elementos controladores de fluxo em instalações de gases medicinais</t>
  </si>
  <si>
    <t>3E-54-04-10-00-00-00 - Elementos controladores de fluxo em instalações de gases medicinais</t>
  </si>
  <si>
    <t>3E 54 04 12 00 00 00</t>
  </si>
  <si>
    <t>3E-54-04-12-00-00-00</t>
  </si>
  <si>
    <t>Elementos para monitoramento de instalações de gases medicinais</t>
  </si>
  <si>
    <t>3E-54-04-12-00-00-00 - Elementos para monitoramento de instalações de gases medicinais</t>
  </si>
  <si>
    <t>3E 54 04 12 02 00 00</t>
  </si>
  <si>
    <t>3E-54-04-12-02-00-00</t>
  </si>
  <si>
    <t>Painel de alarme de gases medicinais</t>
  </si>
  <si>
    <t>3E-54-04-12-02-00-00 - Painel de alarme de gases medicinais</t>
  </si>
  <si>
    <t>3E 54 04 12 04 00 00</t>
  </si>
  <si>
    <t>3E-54-04-12-04-00-00</t>
  </si>
  <si>
    <t>Painel repetidor de alarme para instalações prediais de gases medicinais</t>
  </si>
  <si>
    <t>3E-54-04-12-04-00-00 - Painel repetidor de alarme para instalações prediais de gases medicinais</t>
  </si>
  <si>
    <t>3E 540 4 14 00 00 00</t>
  </si>
  <si>
    <t>3E-540-4-14-00-00-00</t>
  </si>
  <si>
    <t>Elementos terminais em instalações de gases medicinais</t>
  </si>
  <si>
    <t>3E-540-4-14-00-00-00 - Elementos terminais em instalações de gases medicinais</t>
  </si>
  <si>
    <t>3E 54 06 00 00 00 00</t>
  </si>
  <si>
    <t>3E-54-06-00-00-00-00</t>
  </si>
  <si>
    <t>Elementos para instalações de gases industriais</t>
  </si>
  <si>
    <t>3E-54-06-00-00-00-00 - Elementos para instalações de gases industriais</t>
  </si>
  <si>
    <t>3E 54 06 02 00 00 00</t>
  </si>
  <si>
    <t>3E-54-06-02-00-00-00</t>
  </si>
  <si>
    <t>Elementos alimentadores em instalações de gases industriais</t>
  </si>
  <si>
    <t>3E-54-06-02-00-00-00 - Elementos alimentadores em instalações de gases industriais</t>
  </si>
  <si>
    <t>3E 54 06 04 00 00 00</t>
  </si>
  <si>
    <t>3E-54-06-04-00-00-00</t>
  </si>
  <si>
    <t>Elementos para tratamento em instalações de gases industriais</t>
  </si>
  <si>
    <t>3E-54-06-04-00-00-00 - Elementos para tratamento em instalações de gases industriais</t>
  </si>
  <si>
    <t>3E 54 06 06 00 00 00</t>
  </si>
  <si>
    <t>3E-54-06-06-00-00-00</t>
  </si>
  <si>
    <t>Elementos distribuidores em instalações de gases industriais</t>
  </si>
  <si>
    <t>3E-54-06-06-00-00-00 - Elementos distribuidores em instalações de gases industriais</t>
  </si>
  <si>
    <t>3E 54 06 08 00 00 00</t>
  </si>
  <si>
    <t>3E-54-06-08-00-00-00</t>
  </si>
  <si>
    <t>Elementos conectores em instalações de gases industriais</t>
  </si>
  <si>
    <t>3E-54-06-08-00-00-00 - Elementos conectores em instalações de gases industriais</t>
  </si>
  <si>
    <t>3E 54 06 10 00 00 00</t>
  </si>
  <si>
    <t>3E-54-06-10-00-00-00</t>
  </si>
  <si>
    <t>Elementos controladores de fluxo em instalações de gases industriais</t>
  </si>
  <si>
    <t>3E-54-06-10-00-00-00 - Elementos controladores de fluxo em instalações de gases industriais</t>
  </si>
  <si>
    <t>3E 54 06 12 00 00 00</t>
  </si>
  <si>
    <t>3E-54-06-12-00-00-00</t>
  </si>
  <si>
    <t>Elementos para monitoramento de instalações de gases industriais</t>
  </si>
  <si>
    <t>3E-54-06-12-00-00-00 - Elementos para monitoramento de instalações de gases industriais</t>
  </si>
  <si>
    <t>3E 54 06 12 02 00 00</t>
  </si>
  <si>
    <t>3E-54-06-12-02-00-00</t>
  </si>
  <si>
    <t>Painel de alarme de gases industriais</t>
  </si>
  <si>
    <t>3E-54-06-12-02-00-00 - Painel de alarme de gases industriais</t>
  </si>
  <si>
    <t>3E 54 06 12 04 00 00</t>
  </si>
  <si>
    <t>3E-54-06-12-04-00-00</t>
  </si>
  <si>
    <t>Painel repetidor de alarme para instalações prediais de gases industriais</t>
  </si>
  <si>
    <t>3E-54-06-12-04-00-00 - Painel repetidor de alarme para instalações prediais de gases industriais</t>
  </si>
  <si>
    <t>3E 54 06 14 00 00 00</t>
  </si>
  <si>
    <t>3E-54-06-14-00-00-00</t>
  </si>
  <si>
    <t>Elementos terminais em instalações de gases industriais</t>
  </si>
  <si>
    <t>3E-54-06-14-00-00-00 - Elementos terminais em instalações de gases industriais</t>
  </si>
  <si>
    <t>3E 54 08 00 00 00 00</t>
  </si>
  <si>
    <t>3E-54-08-00-00-00-00</t>
  </si>
  <si>
    <t>Elementos para instalações de gases especiais</t>
  </si>
  <si>
    <t>3E-54-08-00-00-00-00 - Elementos para instalações de gases especiais</t>
  </si>
  <si>
    <t>3E 54 08 02 00 00 00</t>
  </si>
  <si>
    <t>3E-54-08-02-00-00-00</t>
  </si>
  <si>
    <t>Elementos alimentadores em instalações de gases especiais</t>
  </si>
  <si>
    <t>3E-54-08-02-00-00-00 - Elementos alimentadores em instalações de gases especiais</t>
  </si>
  <si>
    <t>3E 54 08 04 00 00 00</t>
  </si>
  <si>
    <t>3E-54-08-04-00-00-00</t>
  </si>
  <si>
    <t>Elementos para tratamento em instalações de gases especiais</t>
  </si>
  <si>
    <t>3E-54-08-04-00-00-00 - Elementos para tratamento em instalações de gases especiais</t>
  </si>
  <si>
    <t>3E 54 08 06 00 00 00</t>
  </si>
  <si>
    <t>3E-54-08-06-00-00-00</t>
  </si>
  <si>
    <t>Elementos distribuidores em instalações de gases especiais</t>
  </si>
  <si>
    <t>3E-54-08-06-00-00-00 - Elementos distribuidores em instalações de gases especiais</t>
  </si>
  <si>
    <t>3E 54 08 08 00 00 00</t>
  </si>
  <si>
    <t>3E-54-08-08-00-00-00</t>
  </si>
  <si>
    <t>Elementos conectores em instalações de gases especiais</t>
  </si>
  <si>
    <t>3E-54-08-08-00-00-00 - Elementos conectores em instalações de gases especiais</t>
  </si>
  <si>
    <t>3E 54 08 10 00 00 00</t>
  </si>
  <si>
    <t>3E-54-08-10-00-00-00</t>
  </si>
  <si>
    <t>Elementos controladores de fluxo em instalações de gases especiais</t>
  </si>
  <si>
    <t>3E-54-08-10-00-00-00 - Elementos controladores de fluxo em instalações de gases especiais</t>
  </si>
  <si>
    <t>3E 54 08 12 00 00 00</t>
  </si>
  <si>
    <t>3E-54-08-12-00-00-00</t>
  </si>
  <si>
    <t>Elementos para monitoramento de instalações de gases especiais</t>
  </si>
  <si>
    <t>3E-54-08-12-00-00-00 - Elementos para monitoramento de instalações de gases especiais</t>
  </si>
  <si>
    <t>3E 54 08 12 02 00 00</t>
  </si>
  <si>
    <t>3E-54-08-12-02-00-00</t>
  </si>
  <si>
    <t>Painel de alarme de gases especiais</t>
  </si>
  <si>
    <t>3E-54-08-12-02-00-00 - Painel de alarme de gases especiais</t>
  </si>
  <si>
    <t>3E 54 08 12 04 00 00</t>
  </si>
  <si>
    <t>3E-54-08-12-04-00-00</t>
  </si>
  <si>
    <t>Painel repetidor de alarme para instalações prediais de gases especiais</t>
  </si>
  <si>
    <t>3E-54-08-12-04-00-00 - Painel repetidor de alarme para instalações prediais de gases especiais</t>
  </si>
  <si>
    <t>3E 54 08 14 00 00 00</t>
  </si>
  <si>
    <t>3E-54-08-14-00-00-00</t>
  </si>
  <si>
    <t>Elementos terminais em instalações de gases especiais</t>
  </si>
  <si>
    <t>3E-54-08-14-00-00-00 - Elementos terminais em instalações de gases especiais</t>
  </si>
  <si>
    <t>3E 56 00 00 00 00 00</t>
  </si>
  <si>
    <t>3E-56-00-00-00-00-00</t>
  </si>
  <si>
    <t>Elementos móveis</t>
  </si>
  <si>
    <t>3E-56-00-00-00-00-00 - Elementos móveis</t>
  </si>
  <si>
    <t>3E 56 02 00 00 00 00</t>
  </si>
  <si>
    <t>3E-56-02-00-00-00-00</t>
  </si>
  <si>
    <t>Elementos para comunicação visual</t>
  </si>
  <si>
    <t>3E-56-02-00-00-00-00 - Elementos para comunicação visual</t>
  </si>
  <si>
    <t>3E 56 04 00 00 00 00</t>
  </si>
  <si>
    <t>3E-56-04-00-00-00-00</t>
  </si>
  <si>
    <t>Elementos de mobiliário</t>
  </si>
  <si>
    <t>3E-56-04-00-00-00-00 - Elementos de mobiliário</t>
  </si>
  <si>
    <t>3E 56 06 00 00 00 00</t>
  </si>
  <si>
    <t>3E-56-06-00-00-00-00</t>
  </si>
  <si>
    <t>Equipamentos móveis conectados às instalações elétricas</t>
  </si>
  <si>
    <t>3E-56-06-00-00-00-00 - Equipamentos móveis conectados às instalações elétricas</t>
  </si>
  <si>
    <t>3E 56 08 00 00 00 00</t>
  </si>
  <si>
    <t>3E-56-08-00-00-00-00</t>
  </si>
  <si>
    <t>Equipamentos móveis conectados às instalações hidráulicas</t>
  </si>
  <si>
    <t>3E-56-08-00-00-00-00 - Equipamentos móveis conectados às instalações hidráulicas</t>
  </si>
  <si>
    <t>3E 58 00 00 00 00 00</t>
  </si>
  <si>
    <t>3E-58-00-00-00-00-00</t>
  </si>
  <si>
    <t>Elementos de automação</t>
  </si>
  <si>
    <t>3E-58-00-00-00-00-00 - Elementos de automação</t>
  </si>
  <si>
    <t>3E 58 02 00 00 00 00</t>
  </si>
  <si>
    <t>3E-58-02-00-00-00-00</t>
  </si>
  <si>
    <t>Elementos de automação predial</t>
  </si>
  <si>
    <t>3E-58-02-00-00-00-00 - Elementos de automação predial</t>
  </si>
  <si>
    <t>3E 58 04 00 00 00 00</t>
  </si>
  <si>
    <t>3E-58-04-00-00-00-00</t>
  </si>
  <si>
    <t>Elementos de automação industrial</t>
  </si>
  <si>
    <t>3E-58-04-00-00-00-00 - Elementos de automação industrial</t>
  </si>
  <si>
    <t>3E 60 00 00 00 00 00</t>
  </si>
  <si>
    <t>3E-60-00-00-00-00-00</t>
  </si>
  <si>
    <t>Elementos de sistemas de proteção a descargas atmosféricas</t>
  </si>
  <si>
    <t>3E-60-00-00-00-00-00 - Elementos de sistemas de proteção a descargas atmosféricas</t>
  </si>
  <si>
    <t>3E 60 02 00 00 00 00</t>
  </si>
  <si>
    <t>3E-60-02-00-00-00-00</t>
  </si>
  <si>
    <t>Elementos para a captação de descargas atmosféricas</t>
  </si>
  <si>
    <t>3E-60-02-00-00-00-00 - Elementos para a captação de descargas atmosféricas</t>
  </si>
  <si>
    <t>3E 60 02 02 00 00 00</t>
  </si>
  <si>
    <t>3E-60-02-02-00-00-00</t>
  </si>
  <si>
    <t>Para-raios</t>
  </si>
  <si>
    <t>3E-60-02-02-00-00-00 - Para-raios</t>
  </si>
  <si>
    <t>3E 60 02 04 00 00 00</t>
  </si>
  <si>
    <t>3E-60-02-04-00-00-00</t>
  </si>
  <si>
    <t>Haste Franklin</t>
  </si>
  <si>
    <t>3E-60-02-04-00-00-00 - Haste Franklin</t>
  </si>
  <si>
    <t>3E 60 02 06 00 00 00</t>
  </si>
  <si>
    <t>3E-60-02-06-00-00-00</t>
  </si>
  <si>
    <t>Haste ionizante</t>
  </si>
  <si>
    <t>3E-60-02-06-00-00-00 - Haste ionizante</t>
  </si>
  <si>
    <t>3E 60 02 08 00 00 00</t>
  </si>
  <si>
    <t>3E-60-02-08-00-00-00</t>
  </si>
  <si>
    <t>Gaiola de Faraday</t>
  </si>
  <si>
    <t>3E-60-02-08-00-00-00 - Gaiola de Faraday</t>
  </si>
  <si>
    <t>3E 60 04 00 00 00 00</t>
  </si>
  <si>
    <t>3E-60-04-00-00-00-00</t>
  </si>
  <si>
    <t>Elementos para descida de descargas atmosféricas</t>
  </si>
  <si>
    <t>3E-60-04-00-00-00-00 - Elementos para descida de descargas atmosféricas</t>
  </si>
  <si>
    <t>3E 60 04 02 00 00 00</t>
  </si>
  <si>
    <t>3E-60-04-02-00-00-00</t>
  </si>
  <si>
    <t>Condutor de interligação</t>
  </si>
  <si>
    <t>3E-60-04-02-00-00-00 - Condutor de interligação</t>
  </si>
  <si>
    <t>3E 60 06 00 00 00 00</t>
  </si>
  <si>
    <t>3E-60-06-00-00-00-00</t>
  </si>
  <si>
    <t>Elementos para a conexão de aterramento da descarga atmosférica</t>
  </si>
  <si>
    <t>3E-60-06-00-00-00-00 - Elementos para a conexão de aterramento da descarga atmosférica</t>
  </si>
  <si>
    <t>3E 60 06 02 00 00 00</t>
  </si>
  <si>
    <t>3E-60-06-02-00-00-00</t>
  </si>
  <si>
    <t>Eletrodo para a conexão de aterramento da descarga atmosférica</t>
  </si>
  <si>
    <t>3E-60-06-02-00-00-00 - Eletrodo para a conexão de aterramento da descarga atmosférica</t>
  </si>
  <si>
    <t>3E 60 08 00 00 00 00</t>
  </si>
  <si>
    <t>3E-60-08-00-00-00-00</t>
  </si>
  <si>
    <t>Dispositivos para sistemas de proteção a descargas atmosféricas</t>
  </si>
  <si>
    <t>3E-60-08-00-00-00-00 - Dispositivos para sistemas de proteção a descargas atmosféricas</t>
  </si>
  <si>
    <t>Dispositivo de proteção contra surtos atmosféricos (dps-a)</t>
  </si>
  <si>
    <t>3E-60-06-02-00-00-00 - Dispositivo de proteção contra surtos atmosféricos (dps-a)</t>
  </si>
  <si>
    <t>3E 62 00 00 00 00 00</t>
  </si>
  <si>
    <t>3E-62-00-00-00-00-00</t>
  </si>
  <si>
    <t>Elementos de proteção a incêndio</t>
  </si>
  <si>
    <t>3E-62-00-00-00-00-00 - Elementos de proteção a incêndio</t>
  </si>
  <si>
    <t>3E 62 02 00 00 00 00</t>
  </si>
  <si>
    <t>3E-62-02-00-00-00-00</t>
  </si>
  <si>
    <t>Elementos para restrição ao surgimento e à propagação de incêndio</t>
  </si>
  <si>
    <t>3E-62-02-00-00-00-00 - Elementos para restrição ao surgimento e à propagação de incêndio</t>
  </si>
  <si>
    <t>3E 62 02 02 00 00 00</t>
  </si>
  <si>
    <t>3E-62-02-02-00-00-00</t>
  </si>
  <si>
    <t>Compartimentação horizontal</t>
  </si>
  <si>
    <t>3E-62-02-02-00-00-00 - Compartimentação horizontal</t>
  </si>
  <si>
    <t>3E 62 02 04 00 00 00</t>
  </si>
  <si>
    <t>3E-62-02-04-00-00-00</t>
  </si>
  <si>
    <t>Compartimentação vertical</t>
  </si>
  <si>
    <t>3E-62-02-04-00-00-00 - Compartimentação vertical</t>
  </si>
  <si>
    <t>3E 62 04 00 00 00 00</t>
  </si>
  <si>
    <t>3E-62-04-00-00-00-00</t>
  </si>
  <si>
    <t>Elementos para controle de crescimento e supressão de incêndio</t>
  </si>
  <si>
    <t>3E-62-04-00-00-00-00 - Elementos para controle de crescimento e supressão de incêndio</t>
  </si>
  <si>
    <t>3E 62 06 00 00 00 00</t>
  </si>
  <si>
    <t>3E-62-06-00-00-00-00</t>
  </si>
  <si>
    <t>Elementos de rede de gás para combate a incêndio</t>
  </si>
  <si>
    <t>3E-62-06-00-00-00-00 - Elementos de rede de gás para combate a incêndio</t>
  </si>
  <si>
    <t>3E 62 08 00 00 00 00</t>
  </si>
  <si>
    <t>3E-62-08-00-00-00-00</t>
  </si>
  <si>
    <t>Elementos de rede de proteção por espuma</t>
  </si>
  <si>
    <t>3E-62-08-00-00-00-00 - Elementos de rede de proteção por espuma</t>
  </si>
  <si>
    <t>3E 62 10 00 00 00 00</t>
  </si>
  <si>
    <t>3E-62-10-00-00-00-00</t>
  </si>
  <si>
    <t>Elementos de rede de proteção por chuveiros</t>
  </si>
  <si>
    <t>3E-62-10-00-00-00-00 - Elementos de rede de proteção por chuveiros</t>
  </si>
  <si>
    <t>3E 62 10 02 00 00 00</t>
  </si>
  <si>
    <t>3E-62-10-02-00-00-00</t>
  </si>
  <si>
    <t>Válvula de governo e alarme (vga)</t>
  </si>
  <si>
    <t>3E-62-10-02-00-00-00 - Válvula de governo e alarme (vga)</t>
  </si>
  <si>
    <t>3E 62 10 04 00 00 00</t>
  </si>
  <si>
    <t>3E-62-10-04-00-00-00</t>
  </si>
  <si>
    <t>Câmara de retardo</t>
  </si>
  <si>
    <t>3E-62-10-04-00-00-00 - Câmara de retardo</t>
  </si>
  <si>
    <t>3E 62 10 06 00 00 00</t>
  </si>
  <si>
    <t>3E-62-10-06-00-00-00</t>
  </si>
  <si>
    <t>Registro de recalque</t>
  </si>
  <si>
    <t>3E-62-10-06-00-00-00 - Registro de recalque</t>
  </si>
  <si>
    <t>3E 62 10 08 00 00 00</t>
  </si>
  <si>
    <t>3E-62-10-08-00-00-00</t>
  </si>
  <si>
    <t>Conexão de recalque</t>
  </si>
  <si>
    <t>3E-62-10-08-00-00-00 - Conexão de recalque</t>
  </si>
  <si>
    <t>3E 62 10 10 00 00 00</t>
  </si>
  <si>
    <t>3E-62-10-10-00-00-00</t>
  </si>
  <si>
    <t>Dispositivo de recalque</t>
  </si>
  <si>
    <t>3E-62-10-10-00-00-00 - Dispositivo de recalque</t>
  </si>
  <si>
    <t>3E 62 10 12 00 00 00</t>
  </si>
  <si>
    <t>3E-62-10-12-00-00-00</t>
  </si>
  <si>
    <t>Válvula redutora de pressão</t>
  </si>
  <si>
    <t>3E-62-10-12-00-00-00 - Válvula redutora de pressão</t>
  </si>
  <si>
    <t>3E 62 10 14 00 00 00</t>
  </si>
  <si>
    <t>3E-62-10-14-00-00-00</t>
  </si>
  <si>
    <t>Barrilete de chuveiro automático para incêndio</t>
  </si>
  <si>
    <t>3E-62-10-14-00-00-00 - Barrilete de chuveiro automático para incêndio</t>
  </si>
  <si>
    <t>3E 62 10 16 00 00 00</t>
  </si>
  <si>
    <t>3E-62-10-16-00-00-00</t>
  </si>
  <si>
    <t>Prumada de chuveiro automático para incêndio</t>
  </si>
  <si>
    <t>3E-62-10-16-00-00-00 - Prumada de chuveiro automático para incêndio</t>
  </si>
  <si>
    <t>3E 62 10 18 00 00 00</t>
  </si>
  <si>
    <t>3E-62-10-18-00-00-00</t>
  </si>
  <si>
    <t>Ramal de chuveiro automático para incêndio</t>
  </si>
  <si>
    <t>3E-62-10-18-00-00-00 - Ramal de chuveiro automático para incêndio</t>
  </si>
  <si>
    <t>3E 62 10 20 00 00 00</t>
  </si>
  <si>
    <t>3E-62-10-20-00-00-00</t>
  </si>
  <si>
    <t>Terminal de chuveiro automático para incêndio</t>
  </si>
  <si>
    <t>3E-62-10-20-00-00-00 - Terminal de chuveiro automático para incêndio</t>
  </si>
  <si>
    <t>3E 62 12 00 00 00 00</t>
  </si>
  <si>
    <t>3E-62-12-00-00-00-00</t>
  </si>
  <si>
    <t>Elementos de detecção de incêndio</t>
  </si>
  <si>
    <t>3E-62-12-00-00-00-00 - Elementos de detecção de incêndio</t>
  </si>
  <si>
    <t>3E 62 14 00 00 00 00</t>
  </si>
  <si>
    <t>3E-62-14-00-00-00-00</t>
  </si>
  <si>
    <t>Elementos de alerta de incêndio</t>
  </si>
  <si>
    <t>3E-62-14-00-00-00-00 - Elementos de alerta de incêndio</t>
  </si>
  <si>
    <t>3E 62 16 00 00 00 00</t>
  </si>
  <si>
    <t>3E-62-16-00-00-00-00</t>
  </si>
  <si>
    <t>Elementos de acesso e facilidade para operações de socorro</t>
  </si>
  <si>
    <t>3E-62-16-00-00-00-00 - Elementos de acesso e facilidade para operações de socorro</t>
  </si>
  <si>
    <t>3E 62 18 00 00 00 00</t>
  </si>
  <si>
    <t>3E-62-18-00-00-00-00</t>
  </si>
  <si>
    <t>Elementos de proteção estrutural em situações de incêndio</t>
  </si>
  <si>
    <t>3E-62-18-00-00-00-00 - Elementos de proteção estrutural em situações de incêndio</t>
  </si>
  <si>
    <t>3E 62 20 00 00 00 00</t>
  </si>
  <si>
    <t>3E-62-20-00-00-00-00</t>
  </si>
  <si>
    <t>Elementos de controle de fumaça e gases</t>
  </si>
  <si>
    <t>3E-62-20-00-00-00-00 - Elementos de controle de fumaça e gases</t>
  </si>
  <si>
    <t>3E 64 00 00 00 00 00</t>
  </si>
  <si>
    <t>3E-64-00-00-00-00-00</t>
  </si>
  <si>
    <t>Elementos de segurança patrimonial</t>
  </si>
  <si>
    <t>3E-64-00-00-00-00-00 - Elementos de segurança patrimonial</t>
  </si>
  <si>
    <t>3E 64 02 00 00 00 00</t>
  </si>
  <si>
    <t>3E-64-02-00-00-00-00</t>
  </si>
  <si>
    <t>Elementos para monitoramento por câmeras</t>
  </si>
  <si>
    <t>3E-64-02-00-00-00-00 - Elementos para monitoramento por câmeras</t>
  </si>
  <si>
    <t>3E 64 04 00 00 00 00</t>
  </si>
  <si>
    <t>3E-64-04-00-00-00-00</t>
  </si>
  <si>
    <t>Elementos para monitoramento de presença</t>
  </si>
  <si>
    <t>3E-64-04-00-00-00-00 - Elementos para monitoramento de presença</t>
  </si>
  <si>
    <t>3E 64 06 00 00 00 00</t>
  </si>
  <si>
    <t>3E-64-06-00-00-00-00</t>
  </si>
  <si>
    <t>Elementos para alertas sonoros</t>
  </si>
  <si>
    <t>3E-64-06-00-00-00-00 - Elementos para alertas sonoros</t>
  </si>
  <si>
    <t>3E 64 08 00 00 00 00</t>
  </si>
  <si>
    <t>3E-64-08-00-00-00-00</t>
  </si>
  <si>
    <t>Elementos para comunicação de ocorrência</t>
  </si>
  <si>
    <t>3E-64-08-00-00-00-00 - Elementos para comunicação de ocorrência</t>
  </si>
  <si>
    <t>3E 64 10 00 00 00 00</t>
  </si>
  <si>
    <t>3E-64-10-00-00-00-00</t>
  </si>
  <si>
    <t>Elementos para controle de acesso</t>
  </si>
  <si>
    <t>3E-64-10-00-00-00-00 - Elementos para controle de acesso</t>
  </si>
  <si>
    <t>3R 02 00 00 00 00 00</t>
  </si>
  <si>
    <t>3R-02-00-00-00-00-00</t>
  </si>
  <si>
    <t>Rcsultados dos trabalhos dc plancjamcnto, projcto c gostão</t>
  </si>
  <si>
    <t>3R-02-00-00-00-00-00 - Rcsultados dos trabalhos dc plancjamcnto, projcto c gostão</t>
  </si>
  <si>
    <t>3R 02 02 00 00 00 00</t>
  </si>
  <si>
    <t>3R-02-02-00-00-00-00</t>
  </si>
  <si>
    <t>Resultados dos trabalhos de planejamento</t>
  </si>
  <si>
    <t>3R-02-02-00-00-00-00 - Resultados dos trabalhos de planejamento</t>
  </si>
  <si>
    <t>3R 02 02 02 00 00 00</t>
  </si>
  <si>
    <t>3R-02-02-02-00-00-00</t>
  </si>
  <si>
    <t>planejado (a)</t>
  </si>
  <si>
    <t>3R-02-02-02-00-00-00 - planejado (a)</t>
  </si>
  <si>
    <t>3R 02 02 06 00 00 00</t>
  </si>
  <si>
    <t>3R-02-02-06-00-00-00</t>
  </si>
  <si>
    <t>delineado (a)</t>
  </si>
  <si>
    <t>3R-02-02-06-00-00-00 - delineado (a)</t>
  </si>
  <si>
    <t>3R 02 02 10 00 00 00</t>
  </si>
  <si>
    <t>3R-02-02-10-00-00-00</t>
  </si>
  <si>
    <t>preconcebido (a)</t>
  </si>
  <si>
    <t>3R-02-02-10-00-00-00 - preconcebido (a)</t>
  </si>
  <si>
    <t>3R 02 06 00 00 00 00</t>
  </si>
  <si>
    <t>3R-02-06-00-00-00-00</t>
  </si>
  <si>
    <t>Resultados dos trabalhos de levantamento</t>
  </si>
  <si>
    <t>3R-02-06-00-00-00-00 - Resultados dos trabalhos de levantamento</t>
  </si>
  <si>
    <t>3R 02 06 02 00 00 00</t>
  </si>
  <si>
    <t>3R-02-06-02-00-00-00</t>
  </si>
  <si>
    <t>levantado (a)</t>
  </si>
  <si>
    <t>3R-02-06-02-00-00-00 - levantado (a)</t>
  </si>
  <si>
    <t>3R 02 06 06 00 00 00</t>
  </si>
  <si>
    <t>3R-02-06-06-00-00-00</t>
  </si>
  <si>
    <t>pesquisado (a)</t>
  </si>
  <si>
    <t>3R-02-06-06-00-00-00 - pesquisado (a)</t>
  </si>
  <si>
    <t>3R 02 06 10 00 00 00</t>
  </si>
  <si>
    <t>3R-02-06-10-00-00-00</t>
  </si>
  <si>
    <t>sondado (a)</t>
  </si>
  <si>
    <t>3R-02-06-10-00-00-00 - sondado (a)</t>
  </si>
  <si>
    <t>3R 02 06 14 00 00 00</t>
  </si>
  <si>
    <t>3R-02-06-14-00-00-00</t>
  </si>
  <si>
    <t>consultado (a)</t>
  </si>
  <si>
    <t>3R-02-06-14-00-00-00 - consultado (a)</t>
  </si>
  <si>
    <t>3R 02 10 00 00 00 00</t>
  </si>
  <si>
    <t>3R-02-10-00-00-00-00</t>
  </si>
  <si>
    <t>Resultados dos trabalhos de análise</t>
  </si>
  <si>
    <t>3R-02-10-00-00-00-00 - Resultados dos trabalhos de análise</t>
  </si>
  <si>
    <t>3R 02 10 02 00 00 00</t>
  </si>
  <si>
    <t>3R-02-10-02-00-00-00</t>
  </si>
  <si>
    <t>identificado (a)</t>
  </si>
  <si>
    <t>3R-02-10-02-00-00-00 - identificado (a)</t>
  </si>
  <si>
    <t>3R 02 10 06 00 00 00</t>
  </si>
  <si>
    <t>3R-02-10-06-00-00-00</t>
  </si>
  <si>
    <t>analisado (a)</t>
  </si>
  <si>
    <t>3R-02-10-06-00-00-00 - analisado (a)</t>
  </si>
  <si>
    <t>3R 02 10 10 00 00 00</t>
  </si>
  <si>
    <t>3R-02-10-10-00-00-00</t>
  </si>
  <si>
    <t>interpretado (a)</t>
  </si>
  <si>
    <t>3R-02-10-10-00-00-00 - interpretado (a)</t>
  </si>
  <si>
    <t>3R 02 10 14 00 00 00</t>
  </si>
  <si>
    <t>3R-02-10-14-00-00-00</t>
  </si>
  <si>
    <t>diagnosticado (a)</t>
  </si>
  <si>
    <t>3R-02-10-14-00-00-00 - diagnosticado (a)</t>
  </si>
  <si>
    <t>3R 02 10 18 00 00 00</t>
  </si>
  <si>
    <t>3R-02-10-18-00-00-00</t>
  </si>
  <si>
    <t>simulado (a)</t>
  </si>
  <si>
    <t>3R-02-10-18-00-00-00 - simulado (a)</t>
  </si>
  <si>
    <t>3R 02 14 00 00 00 00</t>
  </si>
  <si>
    <t>3R-02-14-00-00-00-00</t>
  </si>
  <si>
    <t>Resultados dos trabalhos de desenvolvimento</t>
  </si>
  <si>
    <t>3R-02-14-00-00-00-00 - Resultados dos trabalhos de desenvolvimento</t>
  </si>
  <si>
    <t>3R 02 14 02 00 00 00</t>
  </si>
  <si>
    <t>3R-02-14-02-00-00-00</t>
  </si>
  <si>
    <t>proposto (a)</t>
  </si>
  <si>
    <t>3R-02-14-02-00-00-00 - proposto (a)</t>
  </si>
  <si>
    <t>3R 02 14 06 00 00 00</t>
  </si>
  <si>
    <t>3R-02-14-06-00-00-00</t>
  </si>
  <si>
    <t>concebido (a)</t>
  </si>
  <si>
    <t>3R-02-14-06-00-00-00 - concebido (a)</t>
  </si>
  <si>
    <t>3R 02 14 10 00 00 00</t>
  </si>
  <si>
    <t>3R-02-14-10-00-00-00</t>
  </si>
  <si>
    <t>projetado (a)</t>
  </si>
  <si>
    <t>3R-02-14-10-00-00-00 - projetado (a)</t>
  </si>
  <si>
    <t>3R 02 14 14 00 00 00</t>
  </si>
  <si>
    <t>3R-02-14-14-00-00-00</t>
  </si>
  <si>
    <t>dimensionado (a)</t>
  </si>
  <si>
    <t>3R-02-14-14-00-00-00 - dimensionado (a)</t>
  </si>
  <si>
    <t>3R 02 14 18 00 00 00</t>
  </si>
  <si>
    <t>3R-02-14-18-00-00-00</t>
  </si>
  <si>
    <t>detalhado (a)</t>
  </si>
  <si>
    <t>3R-02-14-18-00-00-00 - detalhado (a)</t>
  </si>
  <si>
    <t>3R 02 14 22 00 00 00</t>
  </si>
  <si>
    <t>3R-02-14-22-00-00-00</t>
  </si>
  <si>
    <t>prototipado (a)</t>
  </si>
  <si>
    <t>3R-02-14-22-00-00-00 - prototipado (a)</t>
  </si>
  <si>
    <t>3R 02 14 26 00 00 00</t>
  </si>
  <si>
    <t>3R-02-14-26-00-00-00</t>
  </si>
  <si>
    <t>desenvolvido (a)</t>
  </si>
  <si>
    <t>3R-02-14-26-00-00-00 - desenvolvido (a)</t>
  </si>
  <si>
    <t>3R 02 18 00 00 00 00</t>
  </si>
  <si>
    <t>3R-02-18-00-00-00-00</t>
  </si>
  <si>
    <t>Resultados dos trabalhos de gestão</t>
  </si>
  <si>
    <t>3R-02-18-00-00-00-00 - Resultados dos trabalhos de gestão</t>
  </si>
  <si>
    <t>3R 02 18 02 00 00 00</t>
  </si>
  <si>
    <t>3R-02-18-02-00-00-00</t>
  </si>
  <si>
    <t>contratado (a)</t>
  </si>
  <si>
    <t>3R-02-18-02-00-00-00 - contratado (a)</t>
  </si>
  <si>
    <t>conduzido (a)</t>
  </si>
  <si>
    <t>3R-02-18-00-00-00-00 - conduzido (a)</t>
  </si>
  <si>
    <t>3R 02 18 10 00 00 00</t>
  </si>
  <si>
    <t>3R-02-18-10-00-00-00</t>
  </si>
  <si>
    <t>dirigido (a)</t>
  </si>
  <si>
    <t>3R-02-18-10-00-00-00 - dirigido (a)</t>
  </si>
  <si>
    <t>3R 02 18 14 00 00 00</t>
  </si>
  <si>
    <t>3R-02-18-14-00-00-00</t>
  </si>
  <si>
    <t>gerido (a)</t>
  </si>
  <si>
    <t>3R-02-18-14-00-00-00 - gerido (a)</t>
  </si>
  <si>
    <t>3R 02 18 18 00 00 00</t>
  </si>
  <si>
    <t>3R-02-18-18-00-00-00</t>
  </si>
  <si>
    <t>coordenado (a)</t>
  </si>
  <si>
    <t>3R-02-18-18-00-00-00 - coordenado (a)</t>
  </si>
  <si>
    <t>3R 02 18 22 00 00 00</t>
  </si>
  <si>
    <t>3R-02-18-22-00-00-00</t>
  </si>
  <si>
    <t>compatibilizado (a)</t>
  </si>
  <si>
    <t>3R-02-18-22-00-00-00 - compatibilizado (a)</t>
  </si>
  <si>
    <t>3R 02 18 26 00 00 00</t>
  </si>
  <si>
    <t>3R-02-18-26-00-00-00</t>
  </si>
  <si>
    <t>comprado (a)</t>
  </si>
  <si>
    <t>3R-02-18-26-00-00-00 - comprado (a)</t>
  </si>
  <si>
    <t>3R 02 18 30 00 00 00</t>
  </si>
  <si>
    <t>3R-02-18-30-00-00-00</t>
  </si>
  <si>
    <t>organizado (a)</t>
  </si>
  <si>
    <t>3R-02-18-30-00-00-00 - organizado (a)</t>
  </si>
  <si>
    <t>3R 02 18 34 00 00 00</t>
  </si>
  <si>
    <t>3R-02-18-34-00-00-00</t>
  </si>
  <si>
    <t>estabelecido (a)</t>
  </si>
  <si>
    <t>3R-02-18-34-00-00-00 - estabelecido (a)</t>
  </si>
  <si>
    <t>3R 02 18 38 00 00 00</t>
  </si>
  <si>
    <t>3R-02-18-38-00-00-00</t>
  </si>
  <si>
    <t>mobilizado (a)</t>
  </si>
  <si>
    <t>3R-02-18-38-00-00-00 - mobilizado (a)</t>
  </si>
  <si>
    <t>3R 02 18 42 00 00 00</t>
  </si>
  <si>
    <t>3R-02-18-42-00-00-00</t>
  </si>
  <si>
    <t>desmobilizado (a)</t>
  </si>
  <si>
    <t>3R-02-18-42-00-00-00 - desmobilizado (a)</t>
  </si>
  <si>
    <t>3R 02 22 00 00 00 00</t>
  </si>
  <si>
    <t>3R-02-22-00-00-00-00</t>
  </si>
  <si>
    <t>Resultados dos trabalhos de documentação</t>
  </si>
  <si>
    <t>3R-02-22-00-00-00-00 - Resultados dos trabalhos de documentação</t>
  </si>
  <si>
    <t>3R 02 22 02 00 00 00</t>
  </si>
  <si>
    <t>3R-02-22-02-00-00-00</t>
  </si>
  <si>
    <t>fotografado (a)</t>
  </si>
  <si>
    <t>3R-02-22-02-00-00-00 - fotografado (a)</t>
  </si>
  <si>
    <t>3R 02 22 06 00 00 00</t>
  </si>
  <si>
    <t>3R-02-22-06-00-00-00</t>
  </si>
  <si>
    <t>filmado (a)</t>
  </si>
  <si>
    <t>3R-02-22-06-00-00-00 - filmado (a)</t>
  </si>
  <si>
    <t>3R 02 22 10 00 00 00</t>
  </si>
  <si>
    <t>3R-02-22-10-00-00-00</t>
  </si>
  <si>
    <t>escaneado (a)</t>
  </si>
  <si>
    <t>3R-02-22-10-00-00-00 - escaneado (a)</t>
  </si>
  <si>
    <t>3R 02 22 14 00 00 00</t>
  </si>
  <si>
    <t>3R-02-22-14-00-00-00</t>
  </si>
  <si>
    <t>descrito (a)</t>
  </si>
  <si>
    <t>3R-02-22-14-00-00-00 - descrito (a)</t>
  </si>
  <si>
    <t>3R 02 22 18 00 00 00</t>
  </si>
  <si>
    <t>3R-02-22-18-00-00-00</t>
  </si>
  <si>
    <t>relatado (a)</t>
  </si>
  <si>
    <t>3R-02-22-18-00-00-00 - relatado (a)</t>
  </si>
  <si>
    <t>3R 02 22 22 00 00 00</t>
  </si>
  <si>
    <t>3R-02-22-22-00-00-00</t>
  </si>
  <si>
    <t>esquematizado (a)</t>
  </si>
  <si>
    <t>3R-02-22-22-00-00-00 - esquematizado (a)</t>
  </si>
  <si>
    <t>3R 02 22 26 00 00 00</t>
  </si>
  <si>
    <t>3R-02-22-26-00-00-00</t>
  </si>
  <si>
    <t>roteirizado (a)</t>
  </si>
  <si>
    <t>3R-02-22-26-00-00-00 - roteirizado (a)</t>
  </si>
  <si>
    <t>3R 02 22 30 00 00 00</t>
  </si>
  <si>
    <t>3R-02-22-30-00-00-00</t>
  </si>
  <si>
    <t>tabelado (a)</t>
  </si>
  <si>
    <t>3R-02-22-30-00-00-00 - tabelado (a)</t>
  </si>
  <si>
    <t>3R 02 22 34 00 00 00</t>
  </si>
  <si>
    <t>3R-02-22-34-00-00-00</t>
  </si>
  <si>
    <t>listado (a)</t>
  </si>
  <si>
    <t>3R-02-22-34-00-00-00 - listado (a)</t>
  </si>
  <si>
    <t>3R 02 22 38 00 00 00</t>
  </si>
  <si>
    <t>3R-02-22-38-00-00-00</t>
  </si>
  <si>
    <t>mapeado (a)</t>
  </si>
  <si>
    <t>3R-02-22-38-00-00-00 - mapeado (a)</t>
  </si>
  <si>
    <t>3R 02 22 42 00 00 00</t>
  </si>
  <si>
    <t>3R-02-22-42-00-00-00</t>
  </si>
  <si>
    <t>desenhado (a)</t>
  </si>
  <si>
    <t>3R-02-22-42-00-00-00 - desenhado (a)</t>
  </si>
  <si>
    <t>3R 02 22 46 00 00 00</t>
  </si>
  <si>
    <t>3R-02-22-46-00-00-00</t>
  </si>
  <si>
    <t>modelado (a)</t>
  </si>
  <si>
    <t>3R-02-22-46-00-00-00 - modelado (a)</t>
  </si>
  <si>
    <t>3R 02 22 50 00 00 00</t>
  </si>
  <si>
    <t>3R-02-22-50-00-00-00</t>
  </si>
  <si>
    <t>renderizado (a)</t>
  </si>
  <si>
    <t>3R-02-22-50-00-00-00 - renderizado (a)</t>
  </si>
  <si>
    <t>3R 02 22 54 00 00 00</t>
  </si>
  <si>
    <t>3R-02-22-54-00-00-00</t>
  </si>
  <si>
    <t>diagramado (a)</t>
  </si>
  <si>
    <t>3R-02-22-54-00-00-00 - diagramado (a)</t>
  </si>
  <si>
    <t>3R 02 22 58 00 00 00</t>
  </si>
  <si>
    <t>3R-02-22-58-00-00-00</t>
  </si>
  <si>
    <t>especificado (a)</t>
  </si>
  <si>
    <t>3R-02-22-58-00-00-00 - especificado (a)</t>
  </si>
  <si>
    <t>3R 02 22 62 00 00 00</t>
  </si>
  <si>
    <t>3R-02-22-62-00-00-00</t>
  </si>
  <si>
    <t>documentado (a)</t>
  </si>
  <si>
    <t>3R-02-22-62-00-00-00 - documentado (a)</t>
  </si>
  <si>
    <t>3R 02 22 66 00 00 00</t>
  </si>
  <si>
    <t>3R-02-22-66-00-00-00</t>
  </si>
  <si>
    <t>memoriado (a)</t>
  </si>
  <si>
    <t>3R-02-22-66-00-00-00 - memoriado (a)</t>
  </si>
  <si>
    <t>3R 02 26 00 00 00 00</t>
  </si>
  <si>
    <t>3R-02-26-00-00-00-00</t>
  </si>
  <si>
    <t>Resultados dos trabalhos de comunicação</t>
  </si>
  <si>
    <t>3R-02-26-00-00-00-00 - Resultados dos trabalhos de comunicação</t>
  </si>
  <si>
    <t>3R 02 26 02 00 00 00</t>
  </si>
  <si>
    <t>3R-02-26-02-00-00-00</t>
  </si>
  <si>
    <t>protocolado (a)</t>
  </si>
  <si>
    <t>3R-02-26-02-00-00-00 - protocolado (a)</t>
  </si>
  <si>
    <t>3R 02 26 06 00 00 00</t>
  </si>
  <si>
    <t>3R-02-26-06-00-00-00</t>
  </si>
  <si>
    <t>publicado (a)</t>
  </si>
  <si>
    <t>3R-02-26-06-00-00-00 - publicado (a)</t>
  </si>
  <si>
    <t>3R 02 26 10 00 00 00</t>
  </si>
  <si>
    <t>3R-02-26-10-00-00-00</t>
  </si>
  <si>
    <t>direcionado (a)</t>
  </si>
  <si>
    <t>3R-02-26-10-00-00-00 - direcionado (a)</t>
  </si>
  <si>
    <t>3R 02 26 14 00 00 00</t>
  </si>
  <si>
    <t>3R-02-26-14-00-00-00</t>
  </si>
  <si>
    <t>comunicado (a)</t>
  </si>
  <si>
    <t>3R-02-26-14-00-00-00 - comunicado (a)</t>
  </si>
  <si>
    <t>3R 02 26 18 00 00 00</t>
  </si>
  <si>
    <t>3R-02-26-18-00-00-00</t>
  </si>
  <si>
    <t>notificado (a)</t>
  </si>
  <si>
    <t>3R-02-26-18-00-00-00 - notificado (a)</t>
  </si>
  <si>
    <t>3R 02 30 00 00 00 00</t>
  </si>
  <si>
    <t>3R-02-30-00-00-00-00</t>
  </si>
  <si>
    <t>Resultados dos trabalhos de classificação</t>
  </si>
  <si>
    <t>3R-02-30-00-00-00-00 - Resultados dos trabalhos de classificação</t>
  </si>
  <si>
    <t>3R 02 30 02 00 00 00</t>
  </si>
  <si>
    <t>3R-02-30-02-00-00-00</t>
  </si>
  <si>
    <t>hierarquizado (a)</t>
  </si>
  <si>
    <t>3R-02-30-02-00-00-00 - hierarquizado (a)</t>
  </si>
  <si>
    <t>3R 02 30 06 00 00 00</t>
  </si>
  <si>
    <t>3R-02-30-06-00-00-00</t>
  </si>
  <si>
    <t>associado (a)</t>
  </si>
  <si>
    <t>3R-02-30-06-00-00-00 - associado (a)</t>
  </si>
  <si>
    <t>3R 02 30 10 00 00 00</t>
  </si>
  <si>
    <t>3R-02-30-10-00-00-00</t>
  </si>
  <si>
    <t>agregado (a)</t>
  </si>
  <si>
    <t>3R-02-30-10-00-00-00 - agregado (a)</t>
  </si>
  <si>
    <t>3R 02 30 14 00 00 00</t>
  </si>
  <si>
    <t>3R-02-30-14-00-00-00</t>
  </si>
  <si>
    <t>composto (a)</t>
  </si>
  <si>
    <t>3R-02-30-14-00-00-00 - composto (a)</t>
  </si>
  <si>
    <t>3R 02 34 00 00 00 00</t>
  </si>
  <si>
    <t>3R-02-34-00-00-00-00</t>
  </si>
  <si>
    <t>Resultados dos trabalhos de quantificação</t>
  </si>
  <si>
    <t>3R-02-34-00-00-00-00 - Resultados dos trabalhos de quantificação</t>
  </si>
  <si>
    <t>3R 02 34 02 00 00 00</t>
  </si>
  <si>
    <t>3R-02-34-02-00-00-00</t>
  </si>
  <si>
    <t>calculado (a)</t>
  </si>
  <si>
    <t>3R-02-34-02-00-00-00 - calculado (a)</t>
  </si>
  <si>
    <t>3R 02 34 02 02 00 00</t>
  </si>
  <si>
    <t>3R-02-34-02-02-00-00</t>
  </si>
  <si>
    <t>somado (a)</t>
  </si>
  <si>
    <t>3R-02-34-02-02-00-00 - somado (a)</t>
  </si>
  <si>
    <t>3R 02 34 02 06 00 00</t>
  </si>
  <si>
    <t>3R-02-34-02-06-00-00</t>
  </si>
  <si>
    <t>subtraído (a)</t>
  </si>
  <si>
    <t>3R-02-34-02-06-00-00 - subtraído (a)</t>
  </si>
  <si>
    <t>3R 02 34 02 10 00 00</t>
  </si>
  <si>
    <t>3R-02-34-02-10-00-00</t>
  </si>
  <si>
    <t>fatorado (a)</t>
  </si>
  <si>
    <t>3R-02-34-02-10-00-00 - fatorado (a)</t>
  </si>
  <si>
    <t>3R 02 34 06 00 00 00</t>
  </si>
  <si>
    <t>3R-02-34-06-00-00-00</t>
  </si>
  <si>
    <t>quantificado (a)</t>
  </si>
  <si>
    <t>3R-02-34-06-00-00-00 - quantificado (a)</t>
  </si>
  <si>
    <t>3R 02 34 10 00 00 00</t>
  </si>
  <si>
    <t>3R-02-34-10-00-00-00</t>
  </si>
  <si>
    <t>orçado (a)</t>
  </si>
  <si>
    <t>3R-02-34-10-00-00-00 - orçado (a)</t>
  </si>
  <si>
    <t>3R 02 38 00 00 00 00</t>
  </si>
  <si>
    <t>3R-02-38-00-00-00-00</t>
  </si>
  <si>
    <t>Resultados dos trabalhos de medição, monitoramento e controle</t>
  </si>
  <si>
    <t>3R-02-38-00-00-00-00 - Resultados dos trabalhos de medição, monitoramento e controle</t>
  </si>
  <si>
    <t>3R 02 38 02 00 00 00</t>
  </si>
  <si>
    <t>3R-02-38-02-00-00-00</t>
  </si>
  <si>
    <t>medido (a)</t>
  </si>
  <si>
    <t>3R-02-38-02-00-00-00 - medido (a)</t>
  </si>
  <si>
    <t>3R 02 38 06 00 00 00</t>
  </si>
  <si>
    <t>3R-02-38-06-00-00-00</t>
  </si>
  <si>
    <t>testado (a)</t>
  </si>
  <si>
    <t>3R-02-38-06-00-00-00 - testado (a)</t>
  </si>
  <si>
    <t>3R 02 38 10 00 00 00</t>
  </si>
  <si>
    <t>3R-02-38-10-00-00-00</t>
  </si>
  <si>
    <t>controlado (a)</t>
  </si>
  <si>
    <t>3R-02-38-10-00-00-00 - controlado (a)</t>
  </si>
  <si>
    <t>3R 02 38 14 00 00 00</t>
  </si>
  <si>
    <t>3R-02-38-14-00-00-00</t>
  </si>
  <si>
    <t>monitorado (a)</t>
  </si>
  <si>
    <t>3R-02-38-14-00-00-00 - monitorado (a)</t>
  </si>
  <si>
    <t>3R 02 38 18 00 00 00</t>
  </si>
  <si>
    <t>3R-02-38-18-00-00-00</t>
  </si>
  <si>
    <t>periciado (a)</t>
  </si>
  <si>
    <t>3R-02-38-18-00-00-00 - periciado (a)</t>
  </si>
  <si>
    <t>3R 02 38 22 00 00 00</t>
  </si>
  <si>
    <t>3R-02-38-22-00-00-00</t>
  </si>
  <si>
    <t>comissionado (a)</t>
  </si>
  <si>
    <t>3R-02-38-22-00-00-00 - comissionado (a)</t>
  </si>
  <si>
    <t>3R 02 38 26 00 00 00</t>
  </si>
  <si>
    <t>3R-02-38-26-00-00-00</t>
  </si>
  <si>
    <t>verificado (a)</t>
  </si>
  <si>
    <t>3R-02-38-26-00-00-00 - verificado (a)</t>
  </si>
  <si>
    <t>3R 02 38 26 02 00 00</t>
  </si>
  <si>
    <t>3R-02-38-26-02-00-00</t>
  </si>
  <si>
    <t>vistoriado (a)</t>
  </si>
  <si>
    <t>3R-02-38-26-02-00-00 - vistoriado (a)</t>
  </si>
  <si>
    <t>3R 02 38 26 06 00 00</t>
  </si>
  <si>
    <t>3R-02-38-26-06-00-00</t>
  </si>
  <si>
    <t>auditado (a)</t>
  </si>
  <si>
    <t>3R-02-38-26-06-00-00 - auditado (a)</t>
  </si>
  <si>
    <t>3R 02 38 30 00 00 00</t>
  </si>
  <si>
    <t>3R-02-38-30-00-00-00</t>
  </si>
  <si>
    <t>corrigido (a)</t>
  </si>
  <si>
    <t>3R-02-38-30-00-00-00 - corrigido (a)</t>
  </si>
  <si>
    <t>3R 02 38 34 00 00 00</t>
  </si>
  <si>
    <t>3R-02-38-34-00-00-00</t>
  </si>
  <si>
    <t>validado (a)</t>
  </si>
  <si>
    <t>3R-02-38-34-00-00-00 - validado (a)</t>
  </si>
  <si>
    <t>3R 06 00 00 00 00 00</t>
  </si>
  <si>
    <t>3R-06-00-00-00-00-00</t>
  </si>
  <si>
    <t>Resultados dos trabalhos de logística</t>
  </si>
  <si>
    <t>3R-06-00-00-00-00-00 - Resultados dos trabalhos de logística</t>
  </si>
  <si>
    <t>3R 06 02 00 00 00 00</t>
  </si>
  <si>
    <t>3R-06-02-00-00-00-00</t>
  </si>
  <si>
    <t>Resultados dos trabalhos de transporte</t>
  </si>
  <si>
    <t>3R-06-02-00-00-00-00 - Resultados dos trabalhos de transporte</t>
  </si>
  <si>
    <t>3R 06 02 02 00 00 00</t>
  </si>
  <si>
    <t>3R-06-02-02-00-00-00</t>
  </si>
  <si>
    <t>transportado (a)</t>
  </si>
  <si>
    <t>3R-06-02-02-00-00-00 - transportado (a)</t>
  </si>
  <si>
    <t>3R 06 02 06 00 00 00</t>
  </si>
  <si>
    <t>3R-06-02-06-00-00-00</t>
  </si>
  <si>
    <t>içado (a)</t>
  </si>
  <si>
    <t>3R-06-02-06-00-00-00 - içado (a)</t>
  </si>
  <si>
    <t>3R 06 02 10 00 00 00</t>
  </si>
  <si>
    <t>3R-06-02-10-00-00-00</t>
  </si>
  <si>
    <t>carregado (a)</t>
  </si>
  <si>
    <t>3R-06-02-10-00-00-00 - carregado (a)</t>
  </si>
  <si>
    <t>3R 06 02 14 00 00 00</t>
  </si>
  <si>
    <t>3R-06-02-14-00-00-00</t>
  </si>
  <si>
    <t>descarregado (a)</t>
  </si>
  <si>
    <t>3R-06-02-14-00-00-00 - descarregado (a)</t>
  </si>
  <si>
    <t>3R 06 02 18 00 00 00</t>
  </si>
  <si>
    <t>3R-06-02-18-00-00-00</t>
  </si>
  <si>
    <t>manobrado (a)</t>
  </si>
  <si>
    <t>3R-06-02-18-00-00-00 - manobrado (a)</t>
  </si>
  <si>
    <t>3R 06 02 22 00 00 00</t>
  </si>
  <si>
    <t>3R-06-02-22-00-00-00</t>
  </si>
  <si>
    <t>estacionado (a)</t>
  </si>
  <si>
    <t>3R-06-02-22-00-00-00 - estacionado (a)</t>
  </si>
  <si>
    <t>3R 06 06 00 00 00 00</t>
  </si>
  <si>
    <t>3R-06-06-00-00-00-00</t>
  </si>
  <si>
    <t>Resultados dos trabalhos de armazenamento</t>
  </si>
  <si>
    <t>3R-06-06-00-00-00-00 - Resultados dos trabalhos de armazenamento</t>
  </si>
  <si>
    <t>3R 06 06 02 00 00 00</t>
  </si>
  <si>
    <t>3R-06-06-02-00-00-00</t>
  </si>
  <si>
    <t>fornecido (a)</t>
  </si>
  <si>
    <t>3R-06-06-02-00-00-00 - fornecido (a)</t>
  </si>
  <si>
    <t>3R 06 06 06 00 00 00</t>
  </si>
  <si>
    <t>3R-06-06-06-00-00-00</t>
  </si>
  <si>
    <t>abastecido (a)</t>
  </si>
  <si>
    <t>3R-06-06-06-00-00-00 - abastecido (a)</t>
  </si>
  <si>
    <t>3R 06 06 10 00 00 00</t>
  </si>
  <si>
    <t>3R-06-06-10-00-00-00</t>
  </si>
  <si>
    <t>etiquetado (a)</t>
  </si>
  <si>
    <t>3R-06-06-10-00-00-00 - etiquetado (a)</t>
  </si>
  <si>
    <t>3R 06 06 14 00 00 00</t>
  </si>
  <si>
    <t>3R-06-06-14-00-00-00</t>
  </si>
  <si>
    <t>ensacado (a)</t>
  </si>
  <si>
    <t>3R-06-06-14-00-00-00 - ensacado (a)</t>
  </si>
  <si>
    <t>3R 06 06 18 00 00 00</t>
  </si>
  <si>
    <t>3R-06-06-18-00-00-00</t>
  </si>
  <si>
    <t>encaixotado (a)</t>
  </si>
  <si>
    <t>3R-06-06-18-00-00-00 - encaixotado (a)</t>
  </si>
  <si>
    <t>3R 06 06 22 00 00 00</t>
  </si>
  <si>
    <t>3R-06-06-22-00-00-00</t>
  </si>
  <si>
    <t>acondicionado (a)</t>
  </si>
  <si>
    <t>3R-06-06-22-00-00-00 - acondicionado (a)</t>
  </si>
  <si>
    <t>3R 06 06 26 00 00 00</t>
  </si>
  <si>
    <t>3R-06-06-26-00-00-00</t>
  </si>
  <si>
    <t>empilhado (a)</t>
  </si>
  <si>
    <t>3R-06-06-26-00-00-00 - empilhado (a)</t>
  </si>
  <si>
    <t>3R 06 06 30 00 00 00</t>
  </si>
  <si>
    <t>3R-06-06-30-00-00-00</t>
  </si>
  <si>
    <t>guardado (a)</t>
  </si>
  <si>
    <t>3R-06-06-30-00-00-00 - guardado (a)</t>
  </si>
  <si>
    <t>3R 06 06 34 00 00 00</t>
  </si>
  <si>
    <t>3R-06-06-34-00-00-00</t>
  </si>
  <si>
    <t>armazenado (a)</t>
  </si>
  <si>
    <t>3R-06-06-34-00-00-00 - armazenado (a)</t>
  </si>
  <si>
    <t>3R 06 06 38 00 00 00</t>
  </si>
  <si>
    <t>3R-06-06-38-00-00-00</t>
  </si>
  <si>
    <t>hospedado (a)</t>
  </si>
  <si>
    <t>3R-06-06-38-00-00-00 - hospedado (a)</t>
  </si>
  <si>
    <t>3R 06 10 00 00 00 00</t>
  </si>
  <si>
    <t>3R-06-10-00-00-00-00</t>
  </si>
  <si>
    <t>Resultados dos trabalhos de descarte</t>
  </si>
  <si>
    <t>3R-06-10-00-00-00-00 - Resultados dos trabalhos de descarte</t>
  </si>
  <si>
    <t>3R 06 10 02 00 00 00</t>
  </si>
  <si>
    <t>3R-06-10-02-00-00-00</t>
  </si>
  <si>
    <t>coletado (a)</t>
  </si>
  <si>
    <t>3R-06-10-02-00-00-00 - coletado (a)</t>
  </si>
  <si>
    <t>3R 06 10 06 00 00 00</t>
  </si>
  <si>
    <t>3R-06-10-06-00-00-00</t>
  </si>
  <si>
    <t>destruído (a)</t>
  </si>
  <si>
    <t>3R-06-10-06-00-00-00 - destruído (a)</t>
  </si>
  <si>
    <t>3R 06 10 10 00 00 00</t>
  </si>
  <si>
    <t>3R-06-10-10-00-00-00</t>
  </si>
  <si>
    <t>triturado (a)</t>
  </si>
  <si>
    <t>3R-06-10-10-00-00-00 - triturado (a)</t>
  </si>
  <si>
    <t>3R 06 10 14 00 00 00</t>
  </si>
  <si>
    <t>3R-06-10-14-00-00-00</t>
  </si>
  <si>
    <t>queimado (a)</t>
  </si>
  <si>
    <t>3R-06-10-14-00-00-00 - queimado (a)</t>
  </si>
  <si>
    <t>3R 06 10 18 00 00 00</t>
  </si>
  <si>
    <t>3R-06-10-18-00-00-00</t>
  </si>
  <si>
    <t>apagado (a)</t>
  </si>
  <si>
    <t>3R-06-10-18-00-00-00 - apagado (a)</t>
  </si>
  <si>
    <t>3R 06 10 22 00 00 00</t>
  </si>
  <si>
    <t>3R-06-10-22-00-00-00</t>
  </si>
  <si>
    <t>formatado (a)</t>
  </si>
  <si>
    <t>3R-06-10-22-00-00-00 - formatado (a)</t>
  </si>
  <si>
    <t>3R 10 00 00 00 00 00</t>
  </si>
  <si>
    <t>3R-10-00-00-00-00-00</t>
  </si>
  <si>
    <t>Resultados dos trabalhos de transformação</t>
  </si>
  <si>
    <t>3R-10-00-00-00-00-00 - Resultados dos trabalhos de transformação</t>
  </si>
  <si>
    <t>3R 10 02 00 00 00 00</t>
  </si>
  <si>
    <t>3R-10-02-00-00-00-00</t>
  </si>
  <si>
    <t>Resultados dos trabalhos de divisão de um produto (separação.
corte etc.)</t>
  </si>
  <si>
    <t>3R-10-02-00-00-00-00 - Resultados dos trabalhos de divisão de um produto (separação.
corte etc.)</t>
  </si>
  <si>
    <t>3R 10 02 02 00 00 00</t>
  </si>
  <si>
    <t>3R-10-02-02-00-00-00</t>
  </si>
  <si>
    <t>cortado (a)</t>
  </si>
  <si>
    <t>3R-10-02-02-00-00-00 - cortado (a)</t>
  </si>
  <si>
    <t>3R 10 02 06 00 00 00</t>
  </si>
  <si>
    <t>3R-10-02-06-00-00-00</t>
  </si>
  <si>
    <t>recortado (a)</t>
  </si>
  <si>
    <t>3R-10-02-06-00-00-00 - recortado (a)</t>
  </si>
  <si>
    <t>3R 10 02 10 00 00 00</t>
  </si>
  <si>
    <t>3R-10-02-10-00-00-00</t>
  </si>
  <si>
    <t>serrado (a)</t>
  </si>
  <si>
    <t>3R-10-02-10-00-00-00 - serrado (a)</t>
  </si>
  <si>
    <t>3R 10 02 14 00 00 00</t>
  </si>
  <si>
    <t>3R-10-02-14-00-00-00</t>
  </si>
  <si>
    <t>chanfrado (a)</t>
  </si>
  <si>
    <t>3R-10-02-14-00-00-00 - chanfrado (a)</t>
  </si>
  <si>
    <t>3R 10 02 18 00 00 00</t>
  </si>
  <si>
    <t>3R-10-02-18-00-00-00</t>
  </si>
  <si>
    <t>aparelhado (a)</t>
  </si>
  <si>
    <t>3R-10-02-18-00-00-00 - aparelhado (a)</t>
  </si>
  <si>
    <t>3R 10 02 22 00 00 00</t>
  </si>
  <si>
    <t>3R-10-02-22-00-00-00</t>
  </si>
  <si>
    <t>pontaletado (a)</t>
  </si>
  <si>
    <t>3R-10-02-22-00-00-00 - pontaletado (a)</t>
  </si>
  <si>
    <t>3R 10 02 26 00 00 00</t>
  </si>
  <si>
    <t>3R-10-02-26-00-00-00</t>
  </si>
  <si>
    <t>rasgado (a)</t>
  </si>
  <si>
    <t>3R-10-02-26-00-00-00 - rasgado (a)</t>
  </si>
  <si>
    <t>3R 10 02 30 00 00 00</t>
  </si>
  <si>
    <t>3R-10-02-30-00-00-00</t>
  </si>
  <si>
    <t>quebrado (a)</t>
  </si>
  <si>
    <t>3R-10-02-30-00-00-00 - quebrado (a)</t>
  </si>
  <si>
    <t>3R 10 02 34 00 00 00</t>
  </si>
  <si>
    <t>3R-10-02-34-00-00-00</t>
  </si>
  <si>
    <t>britado (a)</t>
  </si>
  <si>
    <t>3R-10-02-34-00-00-00 - britado (a)</t>
  </si>
  <si>
    <t>3R 10 02 38 00 00 00</t>
  </si>
  <si>
    <t>3R-10-02-38-00-00-00</t>
  </si>
  <si>
    <t>fissurado (a)</t>
  </si>
  <si>
    <t>3R-10-02-38-00-00-00 - fissurado (a)</t>
  </si>
  <si>
    <t>3R 10 02 42 00 00 00</t>
  </si>
  <si>
    <t>3R-10-02-42-00-00-00</t>
  </si>
  <si>
    <t>lascado (a)</t>
  </si>
  <si>
    <t>3R-10-02-42-00-00-00 - lascado (a)</t>
  </si>
  <si>
    <t>3R 10 02 46 00 00 00</t>
  </si>
  <si>
    <t>3R-10-02-46-00-00-00</t>
  </si>
  <si>
    <t>dosado (a)</t>
  </si>
  <si>
    <t>3R-10-02-46-00-00-00 - dosado (a)</t>
  </si>
  <si>
    <t>3R 10 06 00 00 00 00</t>
  </si>
  <si>
    <t>3R-10-06-00-00-00-00</t>
  </si>
  <si>
    <t>Resultados dos trabalhos da retirada de partes de um produto</t>
  </si>
  <si>
    <t>3R-10-06-00-00-00-00 - Resultados dos trabalhos da retirada de partes de um produto</t>
  </si>
  <si>
    <t>3R 10 06 02 00 00 00</t>
  </si>
  <si>
    <t>3R-10-06-02-00-00-00</t>
  </si>
  <si>
    <t>ranhurado (a)</t>
  </si>
  <si>
    <t>3R-10-06-02-00-00-00 - ranhurado (a)</t>
  </si>
  <si>
    <t>3R 10 06 06 00 00 00</t>
  </si>
  <si>
    <t>3R-10-06-06-00-00-00</t>
  </si>
  <si>
    <t>raspado (a)</t>
  </si>
  <si>
    <t>3R-10-06-06-00-00-00 - raspado (a)</t>
  </si>
  <si>
    <t>3R 10 06 10 00 00 00</t>
  </si>
  <si>
    <t>3R-10-06-10-00-00-00</t>
  </si>
  <si>
    <t>desgastado (a)</t>
  </si>
  <si>
    <t>3R-10-06-10-00-00-00 - desgastado (a)</t>
  </si>
  <si>
    <t>3R 10 06 14 00 00 00</t>
  </si>
  <si>
    <t>3R-10-06-14-00-00-00</t>
  </si>
  <si>
    <t>arranhado (a)</t>
  </si>
  <si>
    <t>3R-10-06-14-00-00-00 - arranhado (a)</t>
  </si>
  <si>
    <t>3R 10 06 18 00 00 00</t>
  </si>
  <si>
    <t>3R-10-06-18-00-00-00</t>
  </si>
  <si>
    <t>fresado (a)</t>
  </si>
  <si>
    <t>3R-10-06-18-00-00-00 - fresado (a)</t>
  </si>
  <si>
    <t>3R 10 06 22 00 00 00</t>
  </si>
  <si>
    <t>3R-10-06-22-00-00-00</t>
  </si>
  <si>
    <t>frisado (a)</t>
  </si>
  <si>
    <t>3R-10-06-22-00-00-00 - frisado (a)</t>
  </si>
  <si>
    <t>3R 10 06 26 00 00 00</t>
  </si>
  <si>
    <t>3R-10-06-26-00-00-00</t>
  </si>
  <si>
    <t>escarificado (a)</t>
  </si>
  <si>
    <t>3R-10-06-26-00-00-00 - escarificado (a)</t>
  </si>
  <si>
    <t>3R 10 06 30 00 00 00</t>
  </si>
  <si>
    <t>3R-10-06-30-00-00-00</t>
  </si>
  <si>
    <t>furado (a)</t>
  </si>
  <si>
    <t>3R-10-06-30-00-00-00 - furado (a)</t>
  </si>
  <si>
    <t>3R 10 06 34 00 00 00</t>
  </si>
  <si>
    <t>3R-10-06-34-00-00-00</t>
  </si>
  <si>
    <t>perfurado (a)</t>
  </si>
  <si>
    <t>3R-10-06-34-00-00-00 - perfurado (a)</t>
  </si>
  <si>
    <t>3R 10 06 38 00 00 00</t>
  </si>
  <si>
    <t>3R-10-06-38-00-00-00</t>
  </si>
  <si>
    <t>lixado (a)</t>
  </si>
  <si>
    <t>3R-10-06-38-00-00-00 - lixado (a)</t>
  </si>
  <si>
    <t>3R 10 06 42 00 00 00</t>
  </si>
  <si>
    <t>3R-10-06-42-00-00-00</t>
  </si>
  <si>
    <t>desempenado (a)</t>
  </si>
  <si>
    <t>3R-10-06-42-00-00-00 - desempenado (a)</t>
  </si>
  <si>
    <t>3R 10 06 46 00 00 00</t>
  </si>
  <si>
    <t>3R-10-06-46-00-00-00</t>
  </si>
  <si>
    <t>usinado (a)</t>
  </si>
  <si>
    <t>3R-10-06-46-00-00-00 - usinado (a)</t>
  </si>
  <si>
    <t>3R 10 06 50 00 00 00</t>
  </si>
  <si>
    <t>3R-10-06-50-00-00-00</t>
  </si>
  <si>
    <t>podado (a)</t>
  </si>
  <si>
    <t>3R-10-06-50-00-00-00 - podado (a)</t>
  </si>
  <si>
    <t>3R 10 06 54 00 00 00</t>
  </si>
  <si>
    <t>3R-10-06-54-00-00-00</t>
  </si>
  <si>
    <t>escavado (a)</t>
  </si>
  <si>
    <t>3R-10-06-54-00-00-00 - escavado (a)</t>
  </si>
  <si>
    <t>3R 10 10 00 00 00 00</t>
  </si>
  <si>
    <t>3R-10-10-00-00-00-00</t>
  </si>
  <si>
    <t>Resultados dos trabalhos do acréscimo de partes a um produto</t>
  </si>
  <si>
    <t>3R-10-10-00-00-00-00 - Resultados dos trabalhos do acréscimo de partes a um produto</t>
  </si>
  <si>
    <t>3R 10 10 02 00 00 00</t>
  </si>
  <si>
    <t>3R-10-10-02-00-00-00</t>
  </si>
  <si>
    <t>enchido (a)</t>
  </si>
  <si>
    <t>3R-10-10-02-00-00-00 - enchido (a)</t>
  </si>
  <si>
    <t>3R 10 10 06 00 00 00</t>
  </si>
  <si>
    <t>3R-10-10-06-00-00-00</t>
  </si>
  <si>
    <t>preenchido (a)</t>
  </si>
  <si>
    <t>3R-10-10-06-00-00-00 - preenchido (a)</t>
  </si>
  <si>
    <t>3R 10 10 10 00 00 00</t>
  </si>
  <si>
    <t>3R-10-10-10-00-00-00</t>
  </si>
  <si>
    <t>acamurçado (a)</t>
  </si>
  <si>
    <t>3R-10-10-10-00-00-00 - acamurçado (a)</t>
  </si>
  <si>
    <t>3R 10 10 14 00 00 00</t>
  </si>
  <si>
    <t>3R-10-10-14-00-00-00</t>
  </si>
  <si>
    <t>umedecido (a)</t>
  </si>
  <si>
    <t>3R-10-10-14-00-00-00 - umedecido (a)</t>
  </si>
  <si>
    <t>3R 10 10 18 00 00 00</t>
  </si>
  <si>
    <t>3R-10-10-18-00-00-00</t>
  </si>
  <si>
    <t>aterrado (a)</t>
  </si>
  <si>
    <t>3R-10-10-18-00-00-00 - aterrado (a)</t>
  </si>
  <si>
    <t>3R 10 10 22 00 00 00</t>
  </si>
  <si>
    <t>3R-10-10-22-00-00-00</t>
  </si>
  <si>
    <t>reaterrado (a)</t>
  </si>
  <si>
    <t>3R-10-10-22-00-00-00 - reaterrado (a)</t>
  </si>
  <si>
    <t>3R 10 14 00 00 00 00</t>
  </si>
  <si>
    <t>3R-10-14-00-00-00-00</t>
  </si>
  <si>
    <t>Resultados dos trabalhos de alteração na forma (deformação) de
um produto sem retirada ou acréscimo de partes (dobra, torção,
compressão, extensão)</t>
  </si>
  <si>
    <t>3R-10-14-00-00-00-00 - Resultados dos trabalhos de alteração na forma (deformação) de
um produto sem retirada ou acréscimo de partes (dobra, torção,
compressão, extensão)</t>
  </si>
  <si>
    <t>3R 10 14 02 00 00 00</t>
  </si>
  <si>
    <t>3R-10-14-02-00-00-00</t>
  </si>
  <si>
    <t>dobrado (a)</t>
  </si>
  <si>
    <t>3R-10-14-02-00-00-00 - dobrado (a)</t>
  </si>
  <si>
    <t>3R 10 14 06 00 00 00</t>
  </si>
  <si>
    <t>3R-10-14-06-00-00-00</t>
  </si>
  <si>
    <t>torcido (a)</t>
  </si>
  <si>
    <t>3R-10-14-06-00-00-00 - torcido (a)</t>
  </si>
  <si>
    <t>3R 10 14 10 00 00 00</t>
  </si>
  <si>
    <t>3R-10-14-10-00-00-00</t>
  </si>
  <si>
    <t>enrolado (a)</t>
  </si>
  <si>
    <t>3R-10-14-10-00-00-00 - enrolado (a)</t>
  </si>
  <si>
    <t>3R 10 14 14 00 00 00</t>
  </si>
  <si>
    <t>3R-10-14-14-00-00-00</t>
  </si>
  <si>
    <t>comprimido (a)</t>
  </si>
  <si>
    <t>3R-10-14-14-00-00-00 - comprimido (a)</t>
  </si>
  <si>
    <t>3R 10 14 18 00 00 00</t>
  </si>
  <si>
    <t>3R-10-14-18-00-00-00</t>
  </si>
  <si>
    <t>compactado (a)</t>
  </si>
  <si>
    <t>3R-10-14-18-00-00-00 - compactado (a)</t>
  </si>
  <si>
    <t>3R 10 14 22 00 00 00</t>
  </si>
  <si>
    <t>3R-10-14-22-00-00-00</t>
  </si>
  <si>
    <t>adensado (a)</t>
  </si>
  <si>
    <t>3R-10-14-22-00-00-00 - adensado (a)</t>
  </si>
  <si>
    <t>3R 10 14 26 00 00 00</t>
  </si>
  <si>
    <t>3R-10-14-26-00-00-00</t>
  </si>
  <si>
    <t>alargado (a)</t>
  </si>
  <si>
    <t>3R-10-14-26-00-00-00 - alargado (a)</t>
  </si>
  <si>
    <t>3R 10 14 30 00 00 00</t>
  </si>
  <si>
    <t>3R-10-14-30-00-00-00</t>
  </si>
  <si>
    <t>expandido (a)</t>
  </si>
  <si>
    <t>3R-10-14-30-00-00-00 - expandido (a)</t>
  </si>
  <si>
    <t>3R 10 14 34 00 00 00</t>
  </si>
  <si>
    <t>3R-10-14-34-00-00-00</t>
  </si>
  <si>
    <t>extrudado (a)</t>
  </si>
  <si>
    <t>3R-10-14-34-00-00-00 - extrudado (a)</t>
  </si>
  <si>
    <t>3R 10 14 38 00 00 00</t>
  </si>
  <si>
    <t>3R-10-14-38-00-00-00</t>
  </si>
  <si>
    <t>protendido (a)</t>
  </si>
  <si>
    <t>3R-10-14-38-00-00-00 - protendido (a)</t>
  </si>
  <si>
    <t>3R 10 14 42 00 00 00</t>
  </si>
  <si>
    <t>3R-10-14-42-00-00-00</t>
  </si>
  <si>
    <t>canelado (a)</t>
  </si>
  <si>
    <t>3R-10-14-42-00-00-00 - canelado (a)</t>
  </si>
  <si>
    <t>3R 10 14 46 00 00 00</t>
  </si>
  <si>
    <t>3R-10-14-46-00-00-00</t>
  </si>
  <si>
    <t>temperado (a)</t>
  </si>
  <si>
    <t>3R-10-14-46-00-00-00 - temperado (a)</t>
  </si>
  <si>
    <t>3R 10 18 00 00 00 00</t>
  </si>
  <si>
    <t>3R-10-18-00-00-00-00</t>
  </si>
  <si>
    <t>Resultados dos trabalhos de conexão de produtos (fácil
desconexão, sem danos aos produtos)</t>
  </si>
  <si>
    <t>3R-10-18-00-00-00-00 - Resultados dos trabalhos de conexão de produtos (fácil
desconexão, sem danos aos produtos)</t>
  </si>
  <si>
    <t>3R 10 18 02 00 00 00</t>
  </si>
  <si>
    <t>3R-10-18-02-00-00-00</t>
  </si>
  <si>
    <t>conectado (a)</t>
  </si>
  <si>
    <t>3R-10-18-02-00-00-00 - conectado (a)</t>
  </si>
  <si>
    <t>3R 10 18 06 00 00 00</t>
  </si>
  <si>
    <t>3R-10-18-06-00-00-00</t>
  </si>
  <si>
    <t>amarrado (a)</t>
  </si>
  <si>
    <t>3R-10-18-06-00-00-00 - amarrado (a)</t>
  </si>
  <si>
    <t>3R 10 18 10 00 00 00</t>
  </si>
  <si>
    <t>3R-10-18-10-00-00-00</t>
  </si>
  <si>
    <t>parafusado (a)</t>
  </si>
  <si>
    <t>3R-10-18-10-00-00-00 - parafusado (a)</t>
  </si>
  <si>
    <t>3R 10 18 14 00 00 00</t>
  </si>
  <si>
    <t>3R-10-18-14-00-00-00</t>
  </si>
  <si>
    <t>rosqueado (a)</t>
  </si>
  <si>
    <t>3R-10-18-14-00-00-00 - rosqueado (a)</t>
  </si>
  <si>
    <t>3R 10 18 18 00 00 00</t>
  </si>
  <si>
    <t>3R-10-18-18-00-00-00</t>
  </si>
  <si>
    <t>engastado (a)</t>
  </si>
  <si>
    <t>3R-10-18-18-00-00-00 - engastado (a)</t>
  </si>
  <si>
    <t>3R 10 18 22 00 00 00</t>
  </si>
  <si>
    <t>3R-10-18-22-00-00-00</t>
  </si>
  <si>
    <t>encunhado (a)</t>
  </si>
  <si>
    <t>3R-10-18-22-00-00-00 - encunhado (a)</t>
  </si>
  <si>
    <t>3R 10 18 26 00 00 00</t>
  </si>
  <si>
    <t>3R-10-18-26-00-00-00</t>
  </si>
  <si>
    <t>enterrado (a)</t>
  </si>
  <si>
    <t>3R-10-18-26-00-00-00 - enterrado (a)</t>
  </si>
  <si>
    <t>3R 10 18 30 00 00 00</t>
  </si>
  <si>
    <t>3R-10-18-30-00-00-00</t>
  </si>
  <si>
    <t>plantado (a)</t>
  </si>
  <si>
    <t>3R-10-18-30-00-00-00 - plantado (a)</t>
  </si>
  <si>
    <t>3R 10 22 00 00 00 00</t>
  </si>
  <si>
    <t>3R-10-22-00-00-00-00</t>
  </si>
  <si>
    <t>Resultados dos trabalhos de união de produtos (na desunião, os
produtos são danifcados, porém não totalmente destruídos)</t>
  </si>
  <si>
    <t>3R-10-22-00-00-00-00 - Resultados dos trabalhos de união de produtos (na desunião, os
produtos são danifcados, porém não totalmente destruídos)</t>
  </si>
  <si>
    <t>3R 10 22 02 00 00 00</t>
  </si>
  <si>
    <t>3R-10-22-02-00-00-00</t>
  </si>
  <si>
    <t>fixado (a)</t>
  </si>
  <si>
    <t>3R-10-22-02-00-00-00 - fixado (a)</t>
  </si>
  <si>
    <t>3R 10 22 06 00 00 00</t>
  </si>
  <si>
    <t>3R-10-22-06-00-00-00</t>
  </si>
  <si>
    <t>aderido (a)</t>
  </si>
  <si>
    <t>3R-10-22-06-00-00-00 - aderido (a)</t>
  </si>
  <si>
    <t>3R 1022 10 00 00 00</t>
  </si>
  <si>
    <t>3R-1022-10-00-00-00</t>
  </si>
  <si>
    <t>colado (a)</t>
  </si>
  <si>
    <t>3R-1022-10-00-00-00 - colado (a)</t>
  </si>
  <si>
    <t>3R 10 22 14 00 00 00</t>
  </si>
  <si>
    <t>3R-10-22-14-00-00-00</t>
  </si>
  <si>
    <t>soldado (a)</t>
  </si>
  <si>
    <t>3R-10-22-14-00-00-00 - soldado (a)</t>
  </si>
  <si>
    <t>3R 10 22 18 00 00 00</t>
  </si>
  <si>
    <t>3R-10-22-18-00-00-00</t>
  </si>
  <si>
    <t>chumbado (a)</t>
  </si>
  <si>
    <t>3R-10-22-18-00-00-00 - chumbado (a)</t>
  </si>
  <si>
    <t>3R 10 22 22 00 00 00</t>
  </si>
  <si>
    <t>3R-10-22-22-00-00-00</t>
  </si>
  <si>
    <t>pregado (a)</t>
  </si>
  <si>
    <t>3R-10-22-22-00-00-00 - pregado (a)</t>
  </si>
  <si>
    <t>3R 10 22 26 00 00 00</t>
  </si>
  <si>
    <t>3R-10-22-26-00-00-00</t>
  </si>
  <si>
    <t>grampeado (a)</t>
  </si>
  <si>
    <t>3R-10-22-26-00-00-00 - grampeado (a)</t>
  </si>
  <si>
    <t>3R 10 22 30 00 00 00</t>
  </si>
  <si>
    <t>3R-10-22-30-00-00-00</t>
  </si>
  <si>
    <t>crimpado (a)</t>
  </si>
  <si>
    <t>3R-10-22-30-00-00-00 - crimpado (a)</t>
  </si>
  <si>
    <t>3R 10 26 00 00 00 00</t>
  </si>
  <si>
    <t>3R-10-26-00-00-00-00</t>
  </si>
  <si>
    <t>Resultados dos trabalhos da mistura de produtos (não há como
separar os produtos sem que mais de um deles seja destruído)</t>
  </si>
  <si>
    <t>3R-10-26-00-00-00-00 - Resultados dos trabalhos da mistura de produtos (não há como
separar os produtos sem que mais de um deles seja destruído)</t>
  </si>
  <si>
    <t>3R 10 26 02 00 00 00</t>
  </si>
  <si>
    <t>3R-10-26-02-00-00-00</t>
  </si>
  <si>
    <t>moldado (a)</t>
  </si>
  <si>
    <t>3R-10-26-02-00-00-00 - moldado (a)</t>
  </si>
  <si>
    <t>3R 10 26 06 00 00 00</t>
  </si>
  <si>
    <t>3R-10-26-06-00-00-00</t>
  </si>
  <si>
    <t>pré-moldado (a)</t>
  </si>
  <si>
    <t>3R-10-26-06-00-00-00 - pré-moldado (a)</t>
  </si>
  <si>
    <t>3R 10 26 10 00 00 00</t>
  </si>
  <si>
    <t>3R-10-26-10-00-00-00</t>
  </si>
  <si>
    <t>grauteado (a)</t>
  </si>
  <si>
    <t>3R-10-26-10-00-00-00 - grauteado (a)</t>
  </si>
  <si>
    <t>3R 10 26 14 00 00 00</t>
  </si>
  <si>
    <t>3R-10-26-14-00-00-00</t>
  </si>
  <si>
    <t>concretado (a)</t>
  </si>
  <si>
    <t>3R-10-26-14-00-00-00 - concretado (a)</t>
  </si>
  <si>
    <t>3R 10 26 18 00 00 00</t>
  </si>
  <si>
    <t>3R-10-26-18-00-00-00</t>
  </si>
  <si>
    <t>pavimentado (a)</t>
  </si>
  <si>
    <t>3R-10-26-18-00-00-00 - pavimentado (a)</t>
  </si>
  <si>
    <t>3R 10 26 22 00 00 00</t>
  </si>
  <si>
    <t>3R-10-26-22-00-00-00</t>
  </si>
  <si>
    <t>cimentado (a)</t>
  </si>
  <si>
    <t>3R-10-26-22-00-00-00 - cimentado (a)</t>
  </si>
  <si>
    <t>3R 10 26 26 00 00 00</t>
  </si>
  <si>
    <t>3R-10-26-26-00-00-00</t>
  </si>
  <si>
    <t>revolvido (a)</t>
  </si>
  <si>
    <t>3R-10-26-26-00-00-00 - revolvido (a)</t>
  </si>
  <si>
    <t>3R 10 26 30 00 00 00</t>
  </si>
  <si>
    <t>3R-10-26-30-00-00-00</t>
  </si>
  <si>
    <t>amassado (a)</t>
  </si>
  <si>
    <t>3R-10-26-30-00-00-00 - amassado (a)</t>
  </si>
  <si>
    <t>3R 10 26 34 00 00 00</t>
  </si>
  <si>
    <t>3R-10-26-34-00-00-00</t>
  </si>
  <si>
    <t>misturado (a)</t>
  </si>
  <si>
    <t>3R-10-26-34-00-00-00 - misturado (a)</t>
  </si>
  <si>
    <t>3R 10 26 38 00 00 00</t>
  </si>
  <si>
    <t>3R-10-26-38-00-00-00</t>
  </si>
  <si>
    <t>mesclado (a)</t>
  </si>
  <si>
    <t>3R-10-26-38-00-00-00 - mesclado (a)</t>
  </si>
  <si>
    <t>3R 10 30 00 00 00 00</t>
  </si>
  <si>
    <t>3R-10-30-00-00-00-00</t>
  </si>
  <si>
    <t>Resultados dos trabalhos do revestimento de produtos (não há
como separar os produtos sem que pelo menos um deles seja
destruído)</t>
  </si>
  <si>
    <t>3R-10-30-00-00-00-00 - Resultados dos trabalhos do revestimento de produtos (não há
como separar os produtos sem que pelo menos um deles seja
destruído)</t>
  </si>
  <si>
    <t>3R 10 30 02 00 00 00</t>
  </si>
  <si>
    <t>3R-10-30-02-00-00-00</t>
  </si>
  <si>
    <t>emboçado (a)</t>
  </si>
  <si>
    <t>3R-10-30-02-00-00-00 - emboçado (a)</t>
  </si>
  <si>
    <t>3R 10 30 06 00 00 00</t>
  </si>
  <si>
    <t>3R-10-30-06-00-00-00</t>
  </si>
  <si>
    <t>chapiscado (a)</t>
  </si>
  <si>
    <t>3R-10-30-06-00-00-00 - chapiscado (a)</t>
  </si>
  <si>
    <t>3R 10 30 10 00 00 00</t>
  </si>
  <si>
    <t>3R-10-30-10-00-00-00</t>
  </si>
  <si>
    <t>estucado (a)</t>
  </si>
  <si>
    <t>3R-10-30-10-00-00-00 - estucado (a)</t>
  </si>
  <si>
    <t>3R 10 30 14 00 00 00</t>
  </si>
  <si>
    <t>3R-10-30-14-00-00-00</t>
  </si>
  <si>
    <t>jateado (a)</t>
  </si>
  <si>
    <t>3R-10-30-14-00-00-00 - jateado (a)</t>
  </si>
  <si>
    <t>3R 10 30 18 00 00 00</t>
  </si>
  <si>
    <t>3R-10-30-18-00-00-00</t>
  </si>
  <si>
    <t>lançado (a)</t>
  </si>
  <si>
    <t>3R-10-30-18-00-00-00 - lançado (a)</t>
  </si>
  <si>
    <t>3R 10 30 22 00 00 00</t>
  </si>
  <si>
    <t>3R-10-30-22-00-00-00</t>
  </si>
  <si>
    <t>pintado (a)</t>
  </si>
  <si>
    <t>3R-10-30-22-00-00-00 - pintado (a)</t>
  </si>
  <si>
    <t>3R 10 30 26 00 00 00</t>
  </si>
  <si>
    <t>3R-10-30-26-00-00-00</t>
  </si>
  <si>
    <t>pulverizado (a)</t>
  </si>
  <si>
    <t>3R-10-30-26-00-00-00 - pulverizado (a)</t>
  </si>
  <si>
    <t>3R 10 30 30 00 00 00</t>
  </si>
  <si>
    <t>3R-10-30-30-00-00-00</t>
  </si>
  <si>
    <t>caiado (a)</t>
  </si>
  <si>
    <t>3R-10-30-30-00-00-00 - caiado (a)</t>
  </si>
  <si>
    <t>3R 10 30 34 00 00 00</t>
  </si>
  <si>
    <t>3R-10-30-34-00-00-00</t>
  </si>
  <si>
    <t>plastificado (a)</t>
  </si>
  <si>
    <t>3R-10-30-34-00-00-00 - plastificado (a)</t>
  </si>
  <si>
    <t>3R 10 30 38 00 00 00</t>
  </si>
  <si>
    <t>3R-10-30-38-00-00-00</t>
  </si>
  <si>
    <t>resinado (a)</t>
  </si>
  <si>
    <t>3R-10-30-38-00-00-00 - resinado (a)</t>
  </si>
  <si>
    <t>3R 10 30 42 00 00 00</t>
  </si>
  <si>
    <t>3R-10-30-42-00-00-00</t>
  </si>
  <si>
    <t>impermeabilizado (a)</t>
  </si>
  <si>
    <t>3R-10-30-42-00-00-00 - impermeabilizado (a)</t>
  </si>
  <si>
    <t>3R 10 30 46 00 00 00</t>
  </si>
  <si>
    <t>3R-10-30-46-00-00-00</t>
  </si>
  <si>
    <t>laminado (a)</t>
  </si>
  <si>
    <t>3R-10-30-46-00-00-00 - laminado (a)</t>
  </si>
  <si>
    <t>3R 10 30 50 00 00 00</t>
  </si>
  <si>
    <t>3R-10-30-50-00-00-00</t>
  </si>
  <si>
    <t>selado (a)</t>
  </si>
  <si>
    <t>3R-10-30-50-00-00-00 - selado (a)</t>
  </si>
  <si>
    <t>3R 10 30 54 00 00 00</t>
  </si>
  <si>
    <t>3R-10-30-54-00-00-00</t>
  </si>
  <si>
    <t>polido (a)</t>
  </si>
  <si>
    <t>3R-10-30-54-00-00-00 - polido (a)</t>
  </si>
  <si>
    <t>3R 10 30 58 00 00 00</t>
  </si>
  <si>
    <t>3R-10-30-58-00-00-00</t>
  </si>
  <si>
    <t>galvanizado (a)</t>
  </si>
  <si>
    <t>3R-10-30-58-00-00-00 - galvanizado (a)</t>
  </si>
  <si>
    <t>3R 10 30 58 02 00 00</t>
  </si>
  <si>
    <t>3R-10-30-58-02-00-00</t>
  </si>
  <si>
    <t>cromado (a)</t>
  </si>
  <si>
    <t>3R-10-30-58-02-00-00 - cromado (a)</t>
  </si>
  <si>
    <t>3R 10 30 58 06 00 00</t>
  </si>
  <si>
    <t>3R-10-30-58-06-00-00</t>
  </si>
  <si>
    <t>zincado (a)</t>
  </si>
  <si>
    <t>3R-10-30-58-06-00-00 - zincado (a)</t>
  </si>
  <si>
    <t>3R 10 30 62 00 00 00</t>
  </si>
  <si>
    <t>3R-10-30-62-00-00-00</t>
  </si>
  <si>
    <t>oxidado (a)</t>
  </si>
  <si>
    <t>3R-10-30-62-00-00-00 - oxidado (a)</t>
  </si>
  <si>
    <t>3R 10 34 00 00 00 00</t>
  </si>
  <si>
    <t>3R-10-34-00-00-00-00</t>
  </si>
  <si>
    <t>Resultados dos trabalhos da montagem de produtos (associação
de produtos que pode ocorrer depois dos resultados de união,
conexão, alteração ou divisão)</t>
  </si>
  <si>
    <t>3R-10-34-00-00-00-00 - Resultados dos trabalhos da montagem de produtos (associação
de produtos que pode ocorrer depois dos resultados de união,
conexão, alteração ou divisão)</t>
  </si>
  <si>
    <t>3R 10 34 02 00 00 00</t>
  </si>
  <si>
    <t>3R-10-34-02-00-00-00</t>
  </si>
  <si>
    <t>fabricado (a)</t>
  </si>
  <si>
    <t>3R-10-34-02-00-00-00 - fabricado (a)</t>
  </si>
  <si>
    <t>3R 10 34 06 00 00 00</t>
  </si>
  <si>
    <t>3R-10-34-06-00-00-00</t>
  </si>
  <si>
    <t>pré-fabricado (a)</t>
  </si>
  <si>
    <t>3R-10-34-06-00-00-00 - pré-fabricado (a)</t>
  </si>
  <si>
    <t>3R 10 34 10 00 00 00</t>
  </si>
  <si>
    <t>3R-10-34-10-00-00-00</t>
  </si>
  <si>
    <t>instalado (a)</t>
  </si>
  <si>
    <t>3R-10-34-10-00-00-00 - instalado (a)</t>
  </si>
  <si>
    <t>3R 10 34 14 00 00 00</t>
  </si>
  <si>
    <t>3R-10-34-14-00-00-00</t>
  </si>
  <si>
    <t>montado (a)</t>
  </si>
  <si>
    <t>3R-10-34-14-00-00-00 - montado (a)</t>
  </si>
  <si>
    <t>3R 10 34 18 00 00 00</t>
  </si>
  <si>
    <t>3R-10-34-18-00-00-00</t>
  </si>
  <si>
    <t>formado (a)</t>
  </si>
  <si>
    <t>3R-10-34-18-00-00-00 - formado (a)</t>
  </si>
  <si>
    <t>3R 10 34 22 00 00 00</t>
  </si>
  <si>
    <t>3R-10-34-22-00-00-00</t>
  </si>
  <si>
    <t>emoldurado (a)</t>
  </si>
  <si>
    <t>3R-10-34-22-00-00-00 - emoldurado (a)</t>
  </si>
  <si>
    <t>3R 10 34 26 00 00 00</t>
  </si>
  <si>
    <t>3R-10-34-26-00-00-00</t>
  </si>
  <si>
    <t>apoiado (a)</t>
  </si>
  <si>
    <t>3R-10-34-26-00-00-00 - apoiado (a)</t>
  </si>
  <si>
    <t>3R 10 34 26 02 00 00</t>
  </si>
  <si>
    <t>3R-10-34-26-02-00-00</t>
  </si>
  <si>
    <t>escorado (a)</t>
  </si>
  <si>
    <t>3R-10-34-26-02-00-00 - escorado (a)</t>
  </si>
  <si>
    <t>3R 10 34 26 06 00 00</t>
  </si>
  <si>
    <t>3R-10-34-26-06-00-00</t>
  </si>
  <si>
    <t>sobreposto (a)</t>
  </si>
  <si>
    <t>3R-10-34-26-06-00-00 - sobreposto (a)</t>
  </si>
  <si>
    <t>3R 10 34 26 10 00 00</t>
  </si>
  <si>
    <t>3R-10-34-26-10-00-00</t>
  </si>
  <si>
    <t>assentado (a)</t>
  </si>
  <si>
    <t>3R-10-34-26-10-00-00 - assentado (a)</t>
  </si>
  <si>
    <t>3R 10 34 26 14 00 00</t>
  </si>
  <si>
    <t>3R-10-34-26-14-00-00</t>
  </si>
  <si>
    <t>reassentado (a)</t>
  </si>
  <si>
    <t>3R-10-34-26-14-00-00 - reassentado (a)</t>
  </si>
  <si>
    <t>3R 10 34 30 00 00 00</t>
  </si>
  <si>
    <t>3R-10-34-30-00-00-00</t>
  </si>
  <si>
    <t>colocado (a)</t>
  </si>
  <si>
    <t>3R-10-34-30-00-00-00 - colocado (a)</t>
  </si>
  <si>
    <t>3R 10 34 34 00 00 00</t>
  </si>
  <si>
    <t>3R-10-34-34-00-00-00</t>
  </si>
  <si>
    <t>combinado (a)</t>
  </si>
  <si>
    <t>3R-10-34-34-00-00-00 - combinado (a)</t>
  </si>
  <si>
    <t>3R 10 34 38 00 00 00</t>
  </si>
  <si>
    <t>3R-10-34-38-00-00-00</t>
  </si>
  <si>
    <t>coberto (a)</t>
  </si>
  <si>
    <t>3R-10-34-38-00-00-00 - coberto (a)</t>
  </si>
  <si>
    <t>3R 10 34 42 00 00 00</t>
  </si>
  <si>
    <t>3R-10-34-42-00-00-00</t>
  </si>
  <si>
    <t>armado (a)</t>
  </si>
  <si>
    <t>3R-10-34-42-00-00-00 - armado (a)</t>
  </si>
  <si>
    <t>3R 10 34 46 00 00 00</t>
  </si>
  <si>
    <t>3R-10-34-46-00-00-00</t>
  </si>
  <si>
    <t>aramado (a)</t>
  </si>
  <si>
    <t>3R-10-34-46-00-00-00 - aramado (a)</t>
  </si>
  <si>
    <t>3R 10 34 50 00 00 00</t>
  </si>
  <si>
    <t>3R-10-34-50-00-00-00</t>
  </si>
  <si>
    <t>travado (a)</t>
  </si>
  <si>
    <t>3R-10-34-50-00-00-00 - travado (a)</t>
  </si>
  <si>
    <t>3R 10 34 50 02 00 00</t>
  </si>
  <si>
    <t>3R-10-34-50-02-00-00</t>
  </si>
  <si>
    <t>contraventado (a)</t>
  </si>
  <si>
    <t>3R-10-34-50-02-00-00 - contraventado (a)</t>
  </si>
  <si>
    <t>3R 10 34 54 00 00 00</t>
  </si>
  <si>
    <t>3R-10-34-54-00-00-00</t>
  </si>
  <si>
    <t>estaqueado (a)</t>
  </si>
  <si>
    <t>3R-10-34-54-00-00-00 - estaqueado (a)</t>
  </si>
  <si>
    <t>3R 10 34 54 02 00 00</t>
  </si>
  <si>
    <t>3R-10-34-54-02-00-00</t>
  </si>
  <si>
    <t>cravado (a)</t>
  </si>
  <si>
    <t>3R-10-34-54-02-00-00 - cravado (a)</t>
  </si>
  <si>
    <t>3R 10 34 58 00 00 00</t>
  </si>
  <si>
    <t>3R-10-34-58-00-00-00</t>
  </si>
  <si>
    <t>embutido (a)</t>
  </si>
  <si>
    <t>3R-10-34-58-00-00-00 - embutido (a)</t>
  </si>
  <si>
    <t>3R 10 34 62 00 00 00</t>
  </si>
  <si>
    <t>3R-10-34-62-00-00-00</t>
  </si>
  <si>
    <t>encaixado (a)</t>
  </si>
  <si>
    <t>3R-10-34-62-00-00-00 - encaixado (a)</t>
  </si>
  <si>
    <t>3R 10 34 66 00 00 00</t>
  </si>
  <si>
    <t>3R-10-34-66-00-00-00</t>
  </si>
  <si>
    <t>acoplado (a)</t>
  </si>
  <si>
    <t>3R-10-34-66-00-00-00 - acoplado (a)</t>
  </si>
  <si>
    <t>3R 10 34 70 00 00 00</t>
  </si>
  <si>
    <t>3R-10-34-70-00-00-00</t>
  </si>
  <si>
    <t>contido (a)</t>
  </si>
  <si>
    <t>3R-10-34-70-00-00-00 - contido (a)</t>
  </si>
  <si>
    <t>3R 10 34 70 02 00 00</t>
  </si>
  <si>
    <t>3R-10-34-70-02-00-00</t>
  </si>
  <si>
    <t>cercado (a)</t>
  </si>
  <si>
    <t>3R-10-34-70-02-00-00 - cercado (a)</t>
  </si>
  <si>
    <t>3R 10 34 70 06 00 00</t>
  </si>
  <si>
    <t>3R-10-34-70-06-00-00</t>
  </si>
  <si>
    <t>vedado (a)</t>
  </si>
  <si>
    <t>3R-10-34-70-06-00-00 - vedado (a)</t>
  </si>
  <si>
    <t>3R 10 38 00 00 00 00</t>
  </si>
  <si>
    <t>3R-10-38-00-00-00-00</t>
  </si>
  <si>
    <t>Resultados dos trabalhos da separação de produtos</t>
  </si>
  <si>
    <t>3R-10-38-00-00-00-00 - Resultados dos trabalhos da separação de produtos</t>
  </si>
  <si>
    <t>3R 10 38 02 00 00 00</t>
  </si>
  <si>
    <t>3R-10-38-02-00-00-00</t>
  </si>
  <si>
    <t>destilado (a)</t>
  </si>
  <si>
    <t>3R-10-38-02-00-00-00 - destilado (a)</t>
  </si>
  <si>
    <t>3R 10 38 06 00 00 00</t>
  </si>
  <si>
    <t>3R-10-38-06-00-00-00</t>
  </si>
  <si>
    <t>vaporizado (a)</t>
  </si>
  <si>
    <t>3R-10-38-06-00-00-00 - vaporizado (a)</t>
  </si>
  <si>
    <t>3R 10 38 10 00 00 00</t>
  </si>
  <si>
    <t>3R-10-38-10-00-00-00</t>
  </si>
  <si>
    <t>liquefeito (a)</t>
  </si>
  <si>
    <t>3R-10-38-10-00-00-00 - liquefeito (a)</t>
  </si>
  <si>
    <t>3R 10 38 14 00 00 00</t>
  </si>
  <si>
    <t>3R-10-38-14-00-00-00</t>
  </si>
  <si>
    <t>filtrado (a)</t>
  </si>
  <si>
    <t>3R-10-38-14-00-00-00 - filtrado (a)</t>
  </si>
  <si>
    <t>3R 10 38 18 00 00 00</t>
  </si>
  <si>
    <t>3R-10-38-18-00-00-00</t>
  </si>
  <si>
    <t>centrifugado (a)</t>
  </si>
  <si>
    <t>3R-10-38-18-00-00-00 - centrifugado (a)</t>
  </si>
  <si>
    <t>3R 10 38 22 00 00 00</t>
  </si>
  <si>
    <t>3R-10-38-22-00-00-00</t>
  </si>
  <si>
    <t>dissolvido (a)</t>
  </si>
  <si>
    <t>3R-10-38-22-00-00-00 - dissolvido (a)</t>
  </si>
  <si>
    <t>3R 10 38 26 00 00 00</t>
  </si>
  <si>
    <t>3R-10-38-26-00-00-00</t>
  </si>
  <si>
    <t>desmagnetizado (a)</t>
  </si>
  <si>
    <t>3R-10-38-26-00-00-00 - desmagnetizado (a)</t>
  </si>
  <si>
    <t>3R 10 38 30 00 00 00</t>
  </si>
  <si>
    <t>3R-10-38-30-00-00-00</t>
  </si>
  <si>
    <t>soprado (a)</t>
  </si>
  <si>
    <t>3R-10-38-30-00-00-00 - soprado (a)</t>
  </si>
  <si>
    <t>3R 10 38 34 00 00 00</t>
  </si>
  <si>
    <t>3R-10-38-34-00-00-00</t>
  </si>
  <si>
    <t>peneirado (a)</t>
  </si>
  <si>
    <t>3R-10-38-34-00-00-00 - peneirado (a)</t>
  </si>
  <si>
    <t>3R 10 38 38 00 00 00</t>
  </si>
  <si>
    <t>3R-10-38-38-00-00-00</t>
  </si>
  <si>
    <t>levigado (a)</t>
  </si>
  <si>
    <t>3R-10-38-38-00-00-00 - levigado (a)</t>
  </si>
  <si>
    <t>3R 10 38 42 00 00 00</t>
  </si>
  <si>
    <t>3R-10-38-42-00-00-00</t>
  </si>
  <si>
    <t>flotado (a)</t>
  </si>
  <si>
    <t>3R-10-38-42-00-00-00 - flotado (a)</t>
  </si>
  <si>
    <t>3R 10 38 46 00 00 00</t>
  </si>
  <si>
    <t>3R-10-38-46-00-00-00</t>
  </si>
  <si>
    <t>floculado (a)</t>
  </si>
  <si>
    <t>3R-10-38-46-00-00-00 - floculado (a)</t>
  </si>
  <si>
    <t>3R 10 38 50 00 00 00</t>
  </si>
  <si>
    <t>3R-10-38-50-00-00-00</t>
  </si>
  <si>
    <t>catado (a)</t>
  </si>
  <si>
    <t>3R-10-38-50-00-00-00 - catado (a)</t>
  </si>
  <si>
    <t>3R 10 38 54 00 00 00</t>
  </si>
  <si>
    <t>3R-10-38-54-00-00-00</t>
  </si>
  <si>
    <t>isolado (a)</t>
  </si>
  <si>
    <t>3R-10-38-54-00-00-00 - isolado (a)</t>
  </si>
  <si>
    <t>3R 10 38 58 00 00 00</t>
  </si>
  <si>
    <t>3R-10-38-58-00-00-00</t>
  </si>
  <si>
    <t>drenado (a)</t>
  </si>
  <si>
    <t>3R-10-38-58-00-00-00 - drenado (a)</t>
  </si>
  <si>
    <t>3R 10 38 62 00 00 00</t>
  </si>
  <si>
    <t>3R-10-38-62-00-00-00</t>
  </si>
  <si>
    <t>esgotado (a)</t>
  </si>
  <si>
    <t>3R-10-38-62-00-00-00 - esgotado (a)</t>
  </si>
  <si>
    <t>3R 10 42 00 00 00 00</t>
  </si>
  <si>
    <t>3R-10-42-00-00-00-00</t>
  </si>
  <si>
    <t>Resultados dos trabalhos da desmontagem de produtos</t>
  </si>
  <si>
    <t>3R-10-42-00-00-00-00 - Resultados dos trabalhos da desmontagem de produtos</t>
  </si>
  <si>
    <t>3R 10 42 02 00 00 00</t>
  </si>
  <si>
    <t>3R-10-42-02-00-00-00</t>
  </si>
  <si>
    <t>desmontado (a)</t>
  </si>
  <si>
    <t>3R-10-42-02-00-00-00 - desmontado (a)</t>
  </si>
  <si>
    <t>3R 10 42 06 00 00 00</t>
  </si>
  <si>
    <t>3R-10-42-06-00-00-00</t>
  </si>
  <si>
    <t>desformado (a)</t>
  </si>
  <si>
    <t>3R-10-42-06-00-00-00 - desformado (a)</t>
  </si>
  <si>
    <t>3R 10 42 10 00 00 00</t>
  </si>
  <si>
    <t>3R-10-42-10-00-00-00</t>
  </si>
  <si>
    <t>removido (a)</t>
  </si>
  <si>
    <t>3R-10-42-10-00-00-00 - removido (a)</t>
  </si>
  <si>
    <t>3R 10 42 14 00 00 00</t>
  </si>
  <si>
    <t>3R-10-42-14-00-00-00</t>
  </si>
  <si>
    <t>retirado (a)</t>
  </si>
  <si>
    <t>3R-10-42-14-00-00-00 - retirado (a)</t>
  </si>
  <si>
    <t>3R 10 42 18 00 00 00</t>
  </si>
  <si>
    <t>3R-10-42-18-00-00-00</t>
  </si>
  <si>
    <t>descolado (a)</t>
  </si>
  <si>
    <t>3R-10-42-18-00-00-00 - descolado (a)</t>
  </si>
  <si>
    <t>3R 10 42 22 00 00 00</t>
  </si>
  <si>
    <t>3R-10-42-22-00-00-00</t>
  </si>
  <si>
    <t>desgrampeado (a)</t>
  </si>
  <si>
    <t>3R-10-42-22-00-00-00 - desgrampeado (a)</t>
  </si>
  <si>
    <t>3R 10 42 26 00 00 00</t>
  </si>
  <si>
    <t>3R-10-42-26-00-00-00</t>
  </si>
  <si>
    <t>despregado (a)</t>
  </si>
  <si>
    <t>3R-10-42-26-00-00-00 - despregado (a)</t>
  </si>
  <si>
    <t>3R 10 42 30 00 00 00</t>
  </si>
  <si>
    <t>3R-10-42-30-00-00-00</t>
  </si>
  <si>
    <t>desaparafusado (a)</t>
  </si>
  <si>
    <t>3R-10-42-30-00-00-00 - desaparafusado (a)</t>
  </si>
  <si>
    <t>3R 10 42 34 00 00 00</t>
  </si>
  <si>
    <t>3R-10-42-34-00-00-00</t>
  </si>
  <si>
    <t>desconectado (a)</t>
  </si>
  <si>
    <t>3R-10-42-34-00-00-00 - desconectado (a)</t>
  </si>
  <si>
    <t>3R 10 42 38 00 00 00</t>
  </si>
  <si>
    <t>3R-10-42-38-00-00-00</t>
  </si>
  <si>
    <t>desamarrado (a)</t>
  </si>
  <si>
    <t>3R-10-42-38-00-00-00 - desamarrado (a)</t>
  </si>
  <si>
    <t>3R 10 42 42 00 00 00</t>
  </si>
  <si>
    <t>3R-10-42-42-00-00-00</t>
  </si>
  <si>
    <t>desrosqueado (a)</t>
  </si>
  <si>
    <t>3R-10-42-42-00-00-00 - desrosqueado (a)</t>
  </si>
  <si>
    <t>3R 10 42 46 00 00 00</t>
  </si>
  <si>
    <t>3R-10-42-46-00-00-00</t>
  </si>
  <si>
    <t>desengastado (a)</t>
  </si>
  <si>
    <t>3R-10-42-46-00-00-00 - desengastado (a)</t>
  </si>
  <si>
    <t>3R 10 46 00 00 00 00</t>
  </si>
  <si>
    <t>3R-10-46-00-00-00-00</t>
  </si>
  <si>
    <t>Resultados dos trabalhos da descaracterização de produtos</t>
  </si>
  <si>
    <t>3R-10-46-00-00-00-00 - Resultados dos trabalhos da descaracterização de produtos</t>
  </si>
  <si>
    <t>3R 10 46 02 00 00 00</t>
  </si>
  <si>
    <t>3R-10-46-02-00-00-00</t>
  </si>
  <si>
    <t>demolido (a)</t>
  </si>
  <si>
    <t>3R-10-46-02-00-00-00 - demolido (a)</t>
  </si>
  <si>
    <t>3R 10 46 06 00 00 00</t>
  </si>
  <si>
    <t>3R-10-46-06-00-00-00</t>
  </si>
  <si>
    <t>desconstruído (a)</t>
  </si>
  <si>
    <t>3R-10-46-06-00-00-00 - desconstruído (a)</t>
  </si>
  <si>
    <t>3R 10 46 10 00 00 00</t>
  </si>
  <si>
    <t>3R-10-46-10-00-00-00</t>
  </si>
  <si>
    <t>arrasado (a)</t>
  </si>
  <si>
    <t>3R-10-46-10-00-00-00 - arrasado (a)</t>
  </si>
  <si>
    <t>3R 10 50 00 00 00 00</t>
  </si>
  <si>
    <t>3R-10-50-00-00-00-00</t>
  </si>
  <si>
    <t>Resultados dos trabalhos de reaproveitamento de produtos</t>
  </si>
  <si>
    <t>3R-10-50-00-00-00-00 - Resultados dos trabalhos de reaproveitamento de produtos</t>
  </si>
  <si>
    <t>3R 10 50 02 00 00 00</t>
  </si>
  <si>
    <t>3R-10-50-02-00-00-00</t>
  </si>
  <si>
    <t>reaproveitado (a)</t>
  </si>
  <si>
    <t>3R-10-50-02-00-00-00 - reaproveitado (a)</t>
  </si>
  <si>
    <t>3R 10 50 06 00 00 00</t>
  </si>
  <si>
    <t>3R-10-50-06-00-00-00</t>
  </si>
  <si>
    <t>recuperado (a)</t>
  </si>
  <si>
    <t>3R-10-50-06-00-00-00 - recuperado (a)</t>
  </si>
  <si>
    <t>3R 10 50 10 00 00 00</t>
  </si>
  <si>
    <t>3R-10-50-10-00-00-00</t>
  </si>
  <si>
    <t>reciclado (a)</t>
  </si>
  <si>
    <t>3R-10-50-10-00-00-00 - reciclado (a)</t>
  </si>
  <si>
    <t>3R 14 00 00 00 00 00</t>
  </si>
  <si>
    <t>3R-14-00-00-00-00-00</t>
  </si>
  <si>
    <t>Resultados dos trabalhos de operação</t>
  </si>
  <si>
    <t>3R-14-00-00-00-00-00 - Resultados dos trabalhos de operação</t>
  </si>
  <si>
    <t>3R 14 02 00 00 00 00</t>
  </si>
  <si>
    <t>3R-14-02-00-00-00-00</t>
  </si>
  <si>
    <t>Resultados dos trabalhos de acionamento de equipamentos</t>
  </si>
  <si>
    <t>3R-14-02-00-00-00-00 - Resultados dos trabalhos de acionamento de equipamentos</t>
  </si>
  <si>
    <t>3R 14 02 02 00 00 00</t>
  </si>
  <si>
    <t>3R-14-02-02-00-00-00</t>
  </si>
  <si>
    <t>acionado (a)</t>
  </si>
  <si>
    <t>3R-14-02-02-00-00-00 - acionado (a)</t>
  </si>
  <si>
    <t>3R 14 02 06 00 00 00</t>
  </si>
  <si>
    <t>3R-14-02-06-00-00-00</t>
  </si>
  <si>
    <t>iniciado (a)</t>
  </si>
  <si>
    <t>3R-14-02-06-00-00-00 - iniciado (a)</t>
  </si>
  <si>
    <t>3R 14 02 10 00 00 00</t>
  </si>
  <si>
    <t>3R-14-02-10-00-00-00</t>
  </si>
  <si>
    <t>ligado (a)</t>
  </si>
  <si>
    <t>3R-14-02-10-00-00-00 - ligado (a)</t>
  </si>
  <si>
    <t>3R 14 06 00 00 00 00</t>
  </si>
  <si>
    <t>3R-14-06-00-00-00-00</t>
  </si>
  <si>
    <t>Resultados dos trabalhos de desligamento de equipamentos</t>
  </si>
  <si>
    <t>3R-14-06-00-00-00-00 - Resultados dos trabalhos de desligamento de equipamentos</t>
  </si>
  <si>
    <t>3R 14 06 02 00 00 00</t>
  </si>
  <si>
    <t>3R-14-06-02-00-00-00</t>
  </si>
  <si>
    <t>desligado (a)</t>
  </si>
  <si>
    <t>3R-14-06-02-00-00-00 - desligado (a)</t>
  </si>
  <si>
    <t>3R 14 06 06 00 00 00</t>
  </si>
  <si>
    <t>3R-14-06-06-00-00-00</t>
  </si>
  <si>
    <t>desativado (a)</t>
  </si>
  <si>
    <t>3R-14-06-06-00-00-00 - desativado (a)</t>
  </si>
  <si>
    <t>3R 14 06 10 00 00 00</t>
  </si>
  <si>
    <t>3R-14-06-10-00-00-00</t>
  </si>
  <si>
    <t>inativo (a)</t>
  </si>
  <si>
    <t>3R-14-06-10-00-00-00 - inativo (a)</t>
  </si>
  <si>
    <t>3R 18 00 00 00 00 00</t>
  </si>
  <si>
    <t>3R-18-00-00-00-00-00</t>
  </si>
  <si>
    <t>Resultados dos trabalhos de manutenção</t>
  </si>
  <si>
    <t>3R-18-00-00-00-00-00 - Resultados dos trabalhos de manutenção</t>
  </si>
  <si>
    <t>3R 18 02 00 00 00 00</t>
  </si>
  <si>
    <t>3R-18-02-00-00-00-00</t>
  </si>
  <si>
    <t>Resultados dos trabalhos de substituição</t>
  </si>
  <si>
    <t>3R-18-02-00-00-00-00 - Resultados dos trabalhos de substituição</t>
  </si>
  <si>
    <t>3R 18 02 02 00 00 00</t>
  </si>
  <si>
    <t>3R-18-02-02-00-00-00</t>
  </si>
  <si>
    <t>substituido (a)</t>
  </si>
  <si>
    <t>3R-18-02-02-00-00-00 - substituido (a)</t>
  </si>
  <si>
    <t>3R 18 02 06 00 00 00</t>
  </si>
  <si>
    <t>3R-18-02-06-00-00-00</t>
  </si>
  <si>
    <t>recolocado (a)</t>
  </si>
  <si>
    <t>3R-18-02-06-00-00-00 - recolocado (a)</t>
  </si>
  <si>
    <t>3R 18 06 00 00 00 00</t>
  </si>
  <si>
    <t>3R-18-06-00-00-00-00</t>
  </si>
  <si>
    <t>Resultados dos trabalhos de reparo</t>
  </si>
  <si>
    <t>3R-18-06-00-00-00-00 - Resultados dos trabalhos de reparo</t>
  </si>
  <si>
    <t>3R 18 06 02 00 00 00</t>
  </si>
  <si>
    <t>3R-18-06-02-00-00-00</t>
  </si>
  <si>
    <t>reparado (a)</t>
  </si>
  <si>
    <t>3R-18-06-02-00-00-00 - reparado (a)</t>
  </si>
  <si>
    <t>3R 18 06 06 00 00 00</t>
  </si>
  <si>
    <t>3R-18-06-06-00-00-00</t>
  </si>
  <si>
    <t>reconstruído (a)</t>
  </si>
  <si>
    <t>3R-18-06-06-00-00-00 - reconstruído (a)</t>
  </si>
  <si>
    <t>3R 22 00 00 00 00 00</t>
  </si>
  <si>
    <t>3R-22-00-00-00-00-00</t>
  </si>
  <si>
    <t>Resultados dos trabalhos de apoio</t>
  </si>
  <si>
    <t>3R-22-00-00-00-00-00 - Resultados dos trabalhos de apoio</t>
  </si>
  <si>
    <t>3R 22 02 00 00 00 00</t>
  </si>
  <si>
    <t>3R-22-02-00-00-00-00</t>
  </si>
  <si>
    <t>Resultados dos trabalhos de limpeza</t>
  </si>
  <si>
    <t>3R-22-02-00-00-00-00 - Resultados dos trabalhos de limpeza</t>
  </si>
  <si>
    <t>3R 22 02 02 00 00 00</t>
  </si>
  <si>
    <t>3R-22-02-02-00-00-00</t>
  </si>
  <si>
    <t>limpo (a)</t>
  </si>
  <si>
    <t>3R-22-02-02-00-00-00 - limpo (a)</t>
  </si>
  <si>
    <t>3R 22 02 06 00 00 00</t>
  </si>
  <si>
    <t>3R-22-02-06-00-00-00</t>
  </si>
  <si>
    <t>lavado (a)</t>
  </si>
  <si>
    <t>3R-22-02-06-00-00-00 - lavado (a)</t>
  </si>
  <si>
    <t>3R 22 02 10 00 00 00</t>
  </si>
  <si>
    <t>3R-22-02-10-00-00-00</t>
  </si>
  <si>
    <t>varrido (a)</t>
  </si>
  <si>
    <t>3R-22-02-10-00-00-00 - varrido (a)</t>
  </si>
  <si>
    <t>3R 22 06 00 00 00 00</t>
  </si>
  <si>
    <t>3R-22-06-00-00-00-00</t>
  </si>
  <si>
    <t>Resultados dos trabalhos de treinamento e capacitação</t>
  </si>
  <si>
    <t>3R-22-06-00-00-00-00 - Resultados dos trabalhos de treinamento e capacitação</t>
  </si>
  <si>
    <t>3R 22 06 02 00 00 00</t>
  </si>
  <si>
    <t>3R-22-06-02-00-00-00</t>
  </si>
  <si>
    <t>treinado (a)</t>
  </si>
  <si>
    <t>3R-22-06-02-00-00-00 - treinado (a)</t>
  </si>
  <si>
    <t>3R 22 06 06 00 00 00</t>
  </si>
  <si>
    <t>3R-22-06-06-00-00-00</t>
  </si>
  <si>
    <t>capacitado (a)</t>
  </si>
  <si>
    <t>3R-22-06-06-00-00-00 - capacitado (a)</t>
  </si>
  <si>
    <t>3R 22 10 00 00 00 00</t>
  </si>
  <si>
    <t>3R-22-10-00-00-00-00</t>
  </si>
  <si>
    <t>Resultados dos trabalhos de segurança e saúde</t>
  </si>
  <si>
    <t>3R-22-10-00-00-00-00 - Resultados dos trabalhos de segurança e saúde</t>
  </si>
  <si>
    <t>3R 22 10 02 00 00 00</t>
  </si>
  <si>
    <t>3R-22-10-02-00-00-00</t>
  </si>
  <si>
    <t>sinalizado (a)</t>
  </si>
  <si>
    <t>3R-22-10-02-00-00-00 - sinalizado (a)</t>
  </si>
  <si>
    <t>3R 22 10 06 00 00 00</t>
  </si>
  <si>
    <t>3R-22-10-06-00-00-00</t>
  </si>
  <si>
    <t>imunizado (a)</t>
  </si>
  <si>
    <t>3R-22-10-06-00-00-00 - imunizado (a)</t>
  </si>
  <si>
    <t>Produtos</t>
  </si>
  <si>
    <t>R</t>
  </si>
  <si>
    <t>G</t>
  </si>
  <si>
    <t>B</t>
  </si>
  <si>
    <t>Construção Conectada</t>
  </si>
  <si>
    <t>#32b644</t>
  </si>
  <si>
    <t>Digitalização Descomplicada</t>
  </si>
  <si>
    <t>#2096f2</t>
  </si>
  <si>
    <t xml:space="preserve">#001e78 </t>
  </si>
  <si>
    <t>#3a6244</t>
  </si>
  <si>
    <t>Transformação Digital</t>
  </si>
  <si>
    <t>#d0bc80</t>
  </si>
  <si>
    <t>#582c58</t>
  </si>
  <si>
    <t>Opcionais</t>
  </si>
  <si>
    <t>#303030</t>
  </si>
  <si>
    <t>K1</t>
  </si>
  <si>
    <t>#fcb200</t>
  </si>
  <si>
    <t>#e05a4e</t>
  </si>
  <si>
    <t>#f47c00</t>
  </si>
  <si>
    <t>Inc</t>
  </si>
  <si>
    <t>Gravidade</t>
  </si>
  <si>
    <t>Urgência</t>
  </si>
  <si>
    <t>Tendencia</t>
  </si>
  <si>
    <t>GxUxT</t>
  </si>
  <si>
    <t>IFCClass</t>
  </si>
  <si>
    <t>Peso</t>
  </si>
  <si>
    <t>U</t>
  </si>
  <si>
    <t>T</t>
  </si>
  <si>
    <t>IfcWindow</t>
  </si>
  <si>
    <t>Sistemas Elétricos Diversos</t>
  </si>
  <si>
    <t>EPR</t>
  </si>
  <si>
    <t>IfcDoor</t>
  </si>
  <si>
    <t>Sistema Elétrico</t>
  </si>
  <si>
    <t>ELE</t>
  </si>
  <si>
    <t>IfcPlate</t>
  </si>
  <si>
    <t>Sistemas Hidrosanitários</t>
  </si>
  <si>
    <t>HID</t>
  </si>
  <si>
    <t>IfcPile</t>
  </si>
  <si>
    <t>Sistemas de Água</t>
  </si>
  <si>
    <t>AFQ</t>
  </si>
  <si>
    <t>IfcFooting</t>
  </si>
  <si>
    <t>Sistemas de Esgoto, Drenagem ou Água Sevida</t>
  </si>
  <si>
    <t>EDS</t>
  </si>
  <si>
    <t>IfcMember</t>
  </si>
  <si>
    <t>Proteção Contra Incêndios</t>
  </si>
  <si>
    <t>PCI</t>
  </si>
  <si>
    <t>IfcRamp</t>
  </si>
  <si>
    <t>Aquecimento, Ventilação e Ar Condicionado (AVAC)</t>
  </si>
  <si>
    <t>ARC</t>
  </si>
  <si>
    <t>IfcRampFlight</t>
  </si>
  <si>
    <t>Refrigeração</t>
  </si>
  <si>
    <t>REF</t>
  </si>
  <si>
    <t>IfcFlowController</t>
  </si>
  <si>
    <t>Fundações</t>
  </si>
  <si>
    <t>FUN</t>
  </si>
  <si>
    <t>IfcFlowTerminal</t>
  </si>
  <si>
    <t>Construção Metálica</t>
  </si>
  <si>
    <t>MET</t>
  </si>
  <si>
    <t>IfcFlowFitting</t>
  </si>
  <si>
    <t>Construção em Concreto In-Loco</t>
  </si>
  <si>
    <t>EST</t>
  </si>
  <si>
    <t>IfcDistributionControlElement</t>
  </si>
  <si>
    <t>Sistema de Automação Predial</t>
  </si>
  <si>
    <t>DAD</t>
  </si>
  <si>
    <t>IfcFurnishingElement</t>
  </si>
  <si>
    <t>Arquitetura</t>
  </si>
  <si>
    <t>ARQ</t>
  </si>
  <si>
    <t>IfcRoof</t>
  </si>
  <si>
    <t>Fechamentos externos verticais</t>
  </si>
  <si>
    <t>FCH</t>
  </si>
  <si>
    <t>IfcCurtainWall</t>
  </si>
  <si>
    <t>Passarela e Piperack</t>
  </si>
  <si>
    <t>PAS</t>
  </si>
  <si>
    <t>IfcOpeningElement</t>
  </si>
  <si>
    <t>Pavimento</t>
  </si>
  <si>
    <t>PAV</t>
  </si>
  <si>
    <t>IfcBuildingElementProxy</t>
  </si>
  <si>
    <t>Interiores</t>
  </si>
  <si>
    <t>INT</t>
  </si>
  <si>
    <t>IfcBeam</t>
  </si>
  <si>
    <t>Vegetação</t>
  </si>
  <si>
    <t>VEG</t>
  </si>
  <si>
    <t>IfcCovering</t>
  </si>
  <si>
    <t>Combustível</t>
  </si>
  <si>
    <t>CMB</t>
  </si>
  <si>
    <t>IfcFlowSegment</t>
  </si>
  <si>
    <t>Iluminação</t>
  </si>
  <si>
    <t>ILU</t>
  </si>
  <si>
    <t>IfcRailing</t>
  </si>
  <si>
    <t>IfcSlab</t>
  </si>
  <si>
    <t>IfcColumn</t>
  </si>
  <si>
    <t>IfcStair</t>
  </si>
  <si>
    <t>IfcStairFlight</t>
  </si>
  <si>
    <t>IfcWallStandardCase</t>
  </si>
  <si>
    <t>IfcMechanicalFastener</t>
  </si>
  <si>
    <t>a</t>
  </si>
  <si>
    <t>b</t>
  </si>
  <si>
    <t>c</t>
  </si>
  <si>
    <t>E1D</t>
  </si>
  <si>
    <t>imagens e videos</t>
  </si>
  <si>
    <t>d</t>
  </si>
  <si>
    <t>E2D</t>
  </si>
  <si>
    <t>pranchas e detalhamentos</t>
  </si>
  <si>
    <t>e</t>
  </si>
  <si>
    <t>E3D</t>
  </si>
  <si>
    <t>modelos de construção virtual</t>
  </si>
  <si>
    <t>f</t>
  </si>
  <si>
    <t>GVC</t>
  </si>
  <si>
    <t>construcao conectada</t>
  </si>
  <si>
    <t>g</t>
  </si>
  <si>
    <t>h</t>
  </si>
  <si>
    <t>i</t>
  </si>
  <si>
    <t>j</t>
  </si>
  <si>
    <t>k</t>
  </si>
  <si>
    <t>Coluna 1</t>
  </si>
  <si>
    <t>Coluna 2</t>
  </si>
  <si>
    <t>Coluna 3</t>
  </si>
  <si>
    <t>Coluna 4</t>
  </si>
  <si>
    <t>Coluna 5</t>
  </si>
  <si>
    <t>Coluna 6</t>
  </si>
  <si>
    <t>Concatenação Código-Termo</t>
  </si>
  <si>
    <t>Tags</t>
  </si>
  <si>
    <t>Nível EAP</t>
  </si>
  <si>
    <t>Descrição Normalizada</t>
  </si>
  <si>
    <t>Peso Disciplina (Nível 2)</t>
  </si>
  <si>
    <t>Peso Nível 3</t>
  </si>
  <si>
    <t>Peso Elemento (Nível 4)</t>
  </si>
  <si>
    <t>Legal Susceptibility Weight</t>
  </si>
  <si>
    <t>Market Volatility Weight</t>
  </si>
  <si>
    <t>Maleability Weight</t>
  </si>
  <si>
    <t>Peso Elemento</t>
  </si>
  <si>
    <t>Em Uso</t>
  </si>
  <si>
    <t>#tag</t>
  </si>
  <si>
    <t>3E 00 00 00 00 00 00</t>
  </si>
  <si>
    <t>3E-00-00-00-00-00-00</t>
  </si>
  <si>
    <t>Elementos de entorno</t>
  </si>
  <si>
    <t>3E-00-00-00-00-00-00: Elementos de entorno</t>
  </si>
  <si>
    <t>3E-02-00-00-00-00-00</t>
  </si>
  <si>
    <t>3E-02-00-00-00-00-00: Elementos de manejo do terreno</t>
  </si>
  <si>
    <t>3E-02-02-00-00-00-00: Elementos de terrapleno</t>
  </si>
  <si>
    <t>3E-02-02-02-00-00-00: Solo</t>
  </si>
  <si>
    <t>3E-02-02-04-00-00-00: Camada de solo orgânico</t>
  </si>
  <si>
    <t>3E-02-02-06-00-00-00: Platô</t>
  </si>
  <si>
    <t>3E-02-02-08-00-00-00: Faixa terraplanada</t>
  </si>
  <si>
    <t>3E-02-04-00-00-00-00: Elementos de contenção</t>
  </si>
  <si>
    <t>3E-02-04-02-00-00-00: Muro de arrimo</t>
  </si>
  <si>
    <t>3E-02-04-02-02-00-00: Muro de arrimo por gravidade</t>
  </si>
  <si>
    <t>3E-02-04-02-04-00-00: Muro de arrimo por flexão</t>
  </si>
  <si>
    <t>3E-02-04-02-06-00-00: Muro de gabião</t>
  </si>
  <si>
    <t>3E-02-04-02-08-00-00: Muro de flexão</t>
  </si>
  <si>
    <t>3E-02-04-04-00-00-00: Solo grampeado</t>
  </si>
  <si>
    <t>3E-02-04-06-00-00-00: Cortina de contenção</t>
  </si>
  <si>
    <t>3E-02-04-06-02-00-00: Contenção escorada</t>
  </si>
  <si>
    <t>3E-02-04-06-04-00-00: Contenção não escorada</t>
  </si>
  <si>
    <t>3E-02-04-06-06-00-00: Berma</t>
  </si>
  <si>
    <t>3E-02-04-06-08-00-00: Cortina de contenção com pranchão</t>
  </si>
  <si>
    <t>3E-02-04-06-10-00-00: Cortina de contenção com estacas justapostas</t>
  </si>
  <si>
    <t>3E-02-04-06-12-00-00: Cortina de contenção com parede diafragma</t>
  </si>
  <si>
    <t>3E-02-06-00-00-00-00: Elementos de talude</t>
  </si>
  <si>
    <t>3E-02-06-02-00-00-00: Talude escalonado</t>
  </si>
  <si>
    <t>3E-02-06-04-00-00-00: Coroamento do talude</t>
  </si>
  <si>
    <t>3E-02-06-06-00-00-00: Pé do talude</t>
  </si>
  <si>
    <t>3E-02-08-00-00-00-00: Elementos de aterro</t>
  </si>
  <si>
    <t>3E-02-08-02-00-00-00: Corte do aterro</t>
  </si>
  <si>
    <t>3E-02-08-02-02-00-00: Pé do corte</t>
  </si>
  <si>
    <t>3E-02-08-04-00-00-00: Aterro</t>
  </si>
  <si>
    <t>3E-02-08-04-02-00-00: Aterro sobre solo inconsistente</t>
  </si>
  <si>
    <t>3E-02-08-04-04-00-00: Berma de equilíbrio do aterro</t>
  </si>
  <si>
    <t>3E-02-08-04-06-00-00: Crista do aterro</t>
  </si>
  <si>
    <t>3E-02-08-04-08-00-00: Pé do aterro</t>
  </si>
  <si>
    <t>3E-02-08-04-10-00-00: Corpo do aterro</t>
  </si>
  <si>
    <t>3E-02-10-00-00-00-00: Elementos para delimitação de implantação</t>
  </si>
  <si>
    <t>3E-02-10-02-00-00-00: Cerca para delimitação de implantação</t>
  </si>
  <si>
    <t>3E-02-10-04-00-00-00: Muro para delimitação de implantação</t>
  </si>
  <si>
    <t>3E-02-10-06-00-00-00: Mureta para delimitação de implantação</t>
  </si>
  <si>
    <t>3E-02-12-00-00-00-00: Elementos de plantio</t>
  </si>
  <si>
    <t>3E-02-12-02-00-00-00: Gramas</t>
  </si>
  <si>
    <t>3E-02-12-04-00-00-00: Mudas</t>
  </si>
  <si>
    <t>3E-02-12-06-00-00-00: Vegetação de pequeno porte</t>
  </si>
  <si>
    <t>3E-02-12-08-00-00-00: Vegetação de médio porte</t>
  </si>
  <si>
    <t>3E-02-12-10-00-00-00: Vegetação de grande porte</t>
  </si>
  <si>
    <t>3E-04-00-00-00-00-00: Elementos de canteiro de obra</t>
  </si>
  <si>
    <t>3E-04-02-00-00-00-00: Elementos de ancoragem temporária</t>
  </si>
  <si>
    <t>3E-04-04-00-00-00-00: Elementos de cimbramento</t>
  </si>
  <si>
    <t>3E-04-06-00-00-00-00: Elementos de escoramento</t>
  </si>
  <si>
    <t>3E-04-08-00-00-00-00: Elementos de marcação</t>
  </si>
  <si>
    <t>3E-04-10-00-00-00-00: Elementos de manejo de resíduos</t>
  </si>
  <si>
    <t>3E-04-10-02-00-00-00: Elementos de acondicionamento de resíduos</t>
  </si>
  <si>
    <t>3E-06-00-00-00-00-00: Elementos de drenagem</t>
  </si>
  <si>
    <t>3E-06-02-00-00-00-00: Elementos de drenagem de transposição de talvegues</t>
  </si>
  <si>
    <t>3E-06-02-02-00-00-00: Bueiro para transposição de talvegues</t>
  </si>
  <si>
    <t>3E-06-02-04-00-00-00: Pontilhão para transposição de talvegues</t>
  </si>
  <si>
    <t>3E-06-02-06-00-00-00: Ponte para transposição de talvegues</t>
  </si>
  <si>
    <t>3E-06-04-00-00-00-00: Elementos de drenagem superficial</t>
  </si>
  <si>
    <t>3E-06-04-02-00-00-00: Valeta de proteção de corte</t>
  </si>
  <si>
    <t>3E-06-04-04-00-00-00: Valeta de proteção de aterro</t>
  </si>
  <si>
    <t>3E-06-04-06-00-00-00: Valeta de canteiro central</t>
  </si>
  <si>
    <t>3E-06-04-08-00-00-00: Sarjeta de corte</t>
  </si>
  <si>
    <t>3E-06-04-10-00-00-00: Sarjeta de aterro</t>
  </si>
  <si>
    <t>3E-06-04-12-00-00-00: Descida d'água</t>
  </si>
  <si>
    <t>3E-06-04-14-00-00-00: Saída d'água</t>
  </si>
  <si>
    <t>3E-06-04-16-00-00-00: Caixa coletora de drenagem superficial</t>
  </si>
  <si>
    <t>3E-06-04-18-00-00-00: Bueiro de greide</t>
  </si>
  <si>
    <t>3E-06-04-20-00-00-00: Dissipador de energia de drenagem superficial</t>
  </si>
  <si>
    <t>3E-06-04-20-02-00-00: Bacia de amortecimento</t>
  </si>
  <si>
    <t>3E-06-04-20-04-00-00: Dissipador contínuo</t>
  </si>
  <si>
    <t>3E-06-04-22-00-00-00: Corta-rios</t>
  </si>
  <si>
    <t>3E-06-04-24-00-00-00: Dreno de alívio de muros de arrimo</t>
  </si>
  <si>
    <t>3E-06-06-00-00-00-00: Elementos de drenagem do pavimento</t>
  </si>
  <si>
    <t>3E-06-06-02-00-00-00: Camada drenante</t>
  </si>
  <si>
    <t>3E-06-06-04-00-00-00: Dreno raso longitudinal</t>
  </si>
  <si>
    <t>3E-06-06-06-00-00-00: Dreno lateral de base</t>
  </si>
  <si>
    <t>3E-06-06-08-00-00-00: Dreno transversal</t>
  </si>
  <si>
    <t>3E-06-08-00-00-00-00: Elementos de drenagem subterrânea ou profunda</t>
  </si>
  <si>
    <t>3E-06-08-02-00-00-00: Dreno profundo</t>
  </si>
  <si>
    <t>3E-06-08-02-02-00-00: Dreno profundo contínuo</t>
  </si>
  <si>
    <t>3E-06-08-02-04-00-00: Dreno profundo descontínuo</t>
  </si>
  <si>
    <t>3E-06-08-04-00-00-00: Dreno espinha de peixe</t>
  </si>
  <si>
    <t>3E-06-08-06-00-00-00: Colchão drenante</t>
  </si>
  <si>
    <t>3E-06-08-08-00-00-00: Dreno sub-horizontal</t>
  </si>
  <si>
    <t>3E-06-08-10-00-00-00: Valetão lateral</t>
  </si>
  <si>
    <t>3E-06-08-12-00-00-00: Dreno vertical</t>
  </si>
  <si>
    <t>3E-06-10-00-00-00-00: Elementos de drenagem de travessia urbana</t>
  </si>
  <si>
    <t>3E-06-10-02-00-00-00: Sarjeta de drenagem de travessia urbana</t>
  </si>
  <si>
    <t>3E-06-10-04-00-00-00: Boca-de-lobo de drenagem de travessia urbana</t>
  </si>
  <si>
    <t>3E-06-10-06-00-00-00: Poço-de-visita de drenagem de travessia urbana</t>
  </si>
  <si>
    <t>3E-06-12-00-00-00-00: Elementos geotêxteis</t>
  </si>
  <si>
    <t>3E-06-12-02-00-00-00: Geotêxtil do tipo tecido</t>
  </si>
  <si>
    <t>3E-06-12-04-00-00-00: Geotêxtil do tipo não tecido</t>
  </si>
  <si>
    <t>3E-08-00-00-00-00-00: Elementos de tráfego</t>
  </si>
  <si>
    <t>3E-08-02-00-00-00-00: Elementos de pavimentação</t>
  </si>
  <si>
    <t>3E-08-02-02-00-00-00: Subleito de pavimento</t>
  </si>
  <si>
    <t>3E-08-02-04-00-00-00: Sub-base de pavimento</t>
  </si>
  <si>
    <t>3E-08-02-06-00-00-00: Base de pavimento</t>
  </si>
  <si>
    <t>3E-08-02-08-00-00-00: Rolamento do pavimento</t>
  </si>
  <si>
    <t>3E-08-04-00-00-00-00: Elementos de balizamento de tráfego</t>
  </si>
  <si>
    <t>3E-08-04-02-00-00-00: Meio-fio</t>
  </si>
  <si>
    <t>3E-08-04-04-00-00-00: Defensa</t>
  </si>
  <si>
    <t>3E-08-04-06-00-00-00: Separador</t>
  </si>
  <si>
    <t>3E-08-04-08-00-00-00: Corrimão</t>
  </si>
  <si>
    <t>3E-08-04-10-00-00-00: Guarda-corpo</t>
  </si>
  <si>
    <t>3E-08-04-12-00-00-00: Guarda-rodas</t>
  </si>
  <si>
    <t>3E-08-04-14-00-00-00: Faixas sonorizadoras</t>
  </si>
  <si>
    <t>3E-08-04-16-00-00-00: Barras de trepidação</t>
  </si>
  <si>
    <t>3E-08-04-18-00-00-00: Quebra-molas</t>
  </si>
  <si>
    <t>3E-08-04-20-00-00-00: Plataforma de tráfego</t>
  </si>
  <si>
    <t>3E-08-04-22-00-00-00: Barreira de tráfego</t>
  </si>
  <si>
    <t>3E-08-04-24-00-00-00: Piso tátil direcional</t>
  </si>
  <si>
    <t>3E-08-04-26-00-00-00: Piso tátil alerta</t>
  </si>
  <si>
    <t>3E-08-06-00-00-00-00: Elementos de conexão de tráfego</t>
  </si>
  <si>
    <t>3E-08-06-02-00-00-00: Rampa</t>
  </si>
  <si>
    <t>3E-08-06-02-02-00-00: Lance de rampa</t>
  </si>
  <si>
    <t>3E-08-06-02-04-00-00: Patamar de rampa</t>
  </si>
  <si>
    <t>3E-08-06-04-00-00-00: Escada</t>
  </si>
  <si>
    <t>3E-08-06-04-02-00-00: Pisada de escada</t>
  </si>
  <si>
    <t>3E-08-06-04-04-00-00: Espelho de escada</t>
  </si>
  <si>
    <t>3E-08-06-04-06-00-00: Patamar de escada</t>
  </si>
  <si>
    <t>3E-08-06-06-00-00-00: Elevador</t>
  </si>
  <si>
    <t>3E-08-06-08-00-00-00: Monta-carga</t>
  </si>
  <si>
    <t>3E-08-06-10-00-00-00: Plataforma</t>
  </si>
  <si>
    <t>3E-08-06-10-02-00-00: Plataforma elevatória</t>
  </si>
  <si>
    <t>3E-08-06-10-04-00-00: Plataforma giratória</t>
  </si>
  <si>
    <t>3E-08-08-00-00-00-00: Elementos de sinalização</t>
  </si>
  <si>
    <t>3E-08-08-02-00-00-00: Sinalização em letra dimensional</t>
  </si>
  <si>
    <t>3E-08-08-04-00-00-00: Sinalização em painel</t>
  </si>
  <si>
    <t>3E-08-08-06-00-00-00: Sinalização em poste e painel/coluna</t>
  </si>
  <si>
    <t>3E-08-08-08-00-00-00: Sinalização com painel iluminado</t>
  </si>
  <si>
    <t>3E-08-08-10-00-00-00: Sinalização com painel não iluminado</t>
  </si>
  <si>
    <t>3E-08-08-12-00-00-00: Sinalização fotoluminescente</t>
  </si>
  <si>
    <t>3E-08-08-14-00-00-00: Sinalização de mensagem eletrônica</t>
  </si>
  <si>
    <t>3E-08-08-16-00-00-00: Sinalização flutuante</t>
  </si>
  <si>
    <t>3E-10-00-00-00-00-00: Elementos de fundações</t>
  </si>
  <si>
    <t>3E-10-02-00-00-00-00: Elementos de fundações diretas</t>
  </si>
  <si>
    <t>3E-10-02-02-00-00-00: Bloco de fundação</t>
  </si>
  <si>
    <t>3E-10-02-04-00-00-00: Sapata</t>
  </si>
  <si>
    <t>3E-10-02-06-00-00-00: Fundação em grelha</t>
  </si>
  <si>
    <t>3E-10-02-08-00-00-00: Radier</t>
  </si>
  <si>
    <t>3E-10-04-00-00-00-00: Elementos de fundações profundas</t>
  </si>
  <si>
    <t>3E-10-04-02-00-00-00: Estaca</t>
  </si>
  <si>
    <t>3E-10-04-02-02-00-00: Estaca cravada a percussão</t>
  </si>
  <si>
    <t>3E-10-04-02-04-00-00: Estaca cravada por prensagem</t>
  </si>
  <si>
    <t>3E-10-04-02-06-00-00: Estaca franki</t>
  </si>
  <si>
    <t>3E-10-04-02-08-00-00: Estaca de tubo de ponta fechada</t>
  </si>
  <si>
    <t>3E-10-04-02-10-00-00: Estaca escavada rotativa</t>
  </si>
  <si>
    <t>3E-10-04-02-12-00-00: Estaca escavada diafragma</t>
  </si>
  <si>
    <t>3E-10-04-02-14-00-00: Estaca moldada strauss</t>
  </si>
  <si>
    <t>3E-10-04-02-16-00-00: Estaca moldada raiz</t>
  </si>
  <si>
    <t>3E-10-04-02-18-00-00: Estaca pré-moldada</t>
  </si>
  <si>
    <t>3E-10-04-04-00-00-00: Tubulão</t>
  </si>
  <si>
    <t>3E-10-04-06-00-00-00: Caixão de fundação</t>
  </si>
  <si>
    <t>3E-12-00-00-00-00-00: Elementos de estruturas</t>
  </si>
  <si>
    <t>3E-12-02-00-00-00-00: Elementos estruturais de forma ativa</t>
  </si>
  <si>
    <t>3E-12-02-02-00-00-00: Estrutura de cabo</t>
  </si>
  <si>
    <t>3E-12-02-04-00-00-00: Estrutura de tenda</t>
  </si>
  <si>
    <t>3E-12-02-06-00-00-00: Estrutura de pneumático</t>
  </si>
  <si>
    <t>3E-12-02-08-00-00-00: Estrutura de arco</t>
  </si>
  <si>
    <t>3E-12-02-08-02-00-00: Arco funicular</t>
  </si>
  <si>
    <t>3E-12-02-08-02-02-00: Arco achete</t>
  </si>
  <si>
    <t>3E-12-02-08-02-04-00: Arcobotante</t>
  </si>
  <si>
    <t>3E-12-02-08-02-06-00: Arco cego</t>
  </si>
  <si>
    <t>3E-12-02-08-02-08-00: Arco cruzeiro</t>
  </si>
  <si>
    <t>3E-12-02-08-02-10-00: Arco de ogiva</t>
  </si>
  <si>
    <t>3E-12-02-08-02-12-00: Arco toral</t>
  </si>
  <si>
    <t>3E-12-02-08-02-14-00: Formalete</t>
  </si>
  <si>
    <t>3E-12-02-08-02-16-00: Arco abatido</t>
  </si>
  <si>
    <t>3E-12-02-08-02-18-00: Arco ferradura</t>
  </si>
  <si>
    <t>3E-12-02-08-02-20-00: Arco geminado</t>
  </si>
  <si>
    <t>3E-12-02-08-02-22-00: Arco gótico</t>
  </si>
  <si>
    <t>3E-12-02-08-02-24-00: Arco mourisco</t>
  </si>
  <si>
    <t>3E-12-02-08-02-26-00: Arco pleno</t>
  </si>
  <si>
    <t>3E-12-02-08-02-28-00: Arco tribolado</t>
  </si>
  <si>
    <t>3E-12-02-08-02-30-00: Arco tudor</t>
  </si>
  <si>
    <t>3E-12-02-08-04-00-00: Estrutura de retículas abobadadas</t>
  </si>
  <si>
    <t>3E-12-04-00-00-00-00: Elementos estruturais de vetor ativo</t>
  </si>
  <si>
    <t>3E-12-04-02-00-00-00: Treliça plana</t>
  </si>
  <si>
    <t>3E-12-04-04-00-00-00: Treliça combinada</t>
  </si>
  <si>
    <t>3E-12-04-06-00-00-00: Treliça curva</t>
  </si>
  <si>
    <t>3E-12-04-08-00-00-00: Treliça espacial</t>
  </si>
  <si>
    <t>3E-12-06-00-00-00-00: Elementos estruturais de seção ativa</t>
  </si>
  <si>
    <t>3E-12-06-02-00-00-00: Viga</t>
  </si>
  <si>
    <t>3E-12-06-02-02-00-00: Verga</t>
  </si>
  <si>
    <t>3E-12-06-02-04-00-00: Contraverga</t>
  </si>
  <si>
    <t>3E-12-06-04-00-00-00: Pórtico</t>
  </si>
  <si>
    <t>3E-12-06-06-00-00-00: Malha de viga</t>
  </si>
  <si>
    <t>3E-12-06-08-00-00-00: Laje</t>
  </si>
  <si>
    <t>3E-12-08-00-00-00-00: Elementos estruturais de superfície ativa</t>
  </si>
  <si>
    <t>3E-12-08-02-00-00-00: Estrutura de placas</t>
  </si>
  <si>
    <t>3E-12-08-04-00-00-00: Estrutura de placas dobradas</t>
  </si>
  <si>
    <t>3E-12-08-06-00-00-00: Estrutura de casca</t>
  </si>
  <si>
    <t>3E-12-08-06-02-00-00: Casca de curvas simples</t>
  </si>
  <si>
    <t>3E-12-08-06-04-00-00: Casca em cúpula</t>
  </si>
  <si>
    <t>3E-12-08-06-06-00-00: Casca em sela</t>
  </si>
  <si>
    <t>3E-12-10-00-00-00-00: Elementos estruturais de altura ativa</t>
  </si>
  <si>
    <t>3E-12-10-02-00-00-00: Estrutura de transmissão vertical de cargas</t>
  </si>
  <si>
    <t>3E-12-10-02-02-00-00: Pilar</t>
  </si>
  <si>
    <t>3E-12-12-00-00-00-00: Elementos de acoplamento estrutural</t>
  </si>
  <si>
    <t>3E-12-12-02-00-00-00: Acoplamento elástico</t>
  </si>
  <si>
    <t>3E-12-12-04-00-00-00: Acoplamento flexível</t>
  </si>
  <si>
    <t>3E-12-12-06-00-00-00: Acoplamento seco</t>
  </si>
  <si>
    <t>3E-12-12-08-00-00-00: Acoplamento úmido</t>
  </si>
  <si>
    <t>3E-12-12-10-00-00-00: Ancoragem</t>
  </si>
  <si>
    <t>3E-14-00-00-00-00-00: Elementos de vedações</t>
  </si>
  <si>
    <t>3E-14-02-00-00-00-00: Parede</t>
  </si>
  <si>
    <t>3E-14-02-02-00-00-00: Núcleo de parede</t>
  </si>
  <si>
    <t>3E-14-02-04-00-00-00: Acabamento de parede</t>
  </si>
  <si>
    <t>3E-14-04-00-00-00-00: Cobertura</t>
  </si>
  <si>
    <t>3E-14-04-02-00-00-00: Telhado</t>
  </si>
  <si>
    <t>3E-14-04-02-02-00-00: Cumeeira</t>
  </si>
  <si>
    <t>3E-14-04-02-04-00-00: Espigão</t>
  </si>
  <si>
    <t>3E-14-04-02-06-00-00: Rincão</t>
  </si>
  <si>
    <t>3E-14-04-02-08-00-00: Beiral</t>
  </si>
  <si>
    <t>3E-14-04-02-10-00-00: Telhamento</t>
  </si>
  <si>
    <t>3E-14-04-02-12-00-00: Tesoura</t>
  </si>
  <si>
    <t>3E-14-04-02-14-00-00: Pontalete</t>
  </si>
  <si>
    <t>3E-16-00-00-00-00-00: Elementos de acabamentos</t>
  </si>
  <si>
    <t>3E-16-02-00-00-00-00: Pisos</t>
  </si>
  <si>
    <t>3E-16-02-02-00-00-00: Contrapiso</t>
  </si>
  <si>
    <t>3E-16-02-04-00-00-00: Revestimento de piso</t>
  </si>
  <si>
    <t>3E-16-02-06-00-00-00: Soleira</t>
  </si>
  <si>
    <t>3E-16-02-08-00-00-00: Pingadeira</t>
  </si>
  <si>
    <t>3E-16-02-10-00-00-00: Tropicão</t>
  </si>
  <si>
    <t>3E-16-04-00-00-00-00: Forros</t>
  </si>
  <si>
    <t>3E-16-04-02-00-00-00: Painel de forro</t>
  </si>
  <si>
    <t>3E-16-04-04-00-00-00: Pendural</t>
  </si>
  <si>
    <t>3E-16-04-06-00-00-00: Junta de dilatação de forro</t>
  </si>
  <si>
    <t>3E-16-04-08-00-00-00: Tabica</t>
  </si>
  <si>
    <t>3E-16-06-00-00-00-00: Acabamentos de paredes</t>
  </si>
  <si>
    <t>3E-16-06-02-00-00-00: Cantoneira para paredes</t>
  </si>
  <si>
    <t>3E-16-06-04-00-00-00: Rodapé</t>
  </si>
  <si>
    <t>3E-16-06-06-00-00-00: Rodameio</t>
  </si>
  <si>
    <t>3E-16-06-08-00-00-00: Sanca</t>
  </si>
  <si>
    <t>3E-18-00-00-00-00-00: Elementos de impermeabilização</t>
  </si>
  <si>
    <t>3E-18-02-00-00-00-00: Elementos de regularização da impermeabilização</t>
  </si>
  <si>
    <t>3E-18-04-00-00-00-00: Elementos impermeabilizante</t>
  </si>
  <si>
    <t>3E-18-06-00-00-00-00: Elementos de isolamento térmico da impermeabilização</t>
  </si>
  <si>
    <t>3E-18-08-00-00-00-00: Elementos de proteção mecânica da impermeabilização</t>
  </si>
  <si>
    <t>3E-20-00-00-00-00-00: Elementos de aberturas</t>
  </si>
  <si>
    <t>3E-20-02-00-00-00-00: Elementos de aberturas para circulação</t>
  </si>
  <si>
    <t>3E-20-02-02-00-00-00: Portas</t>
  </si>
  <si>
    <t>3E-20-02-02-02-00-00: Porta de correr</t>
  </si>
  <si>
    <t>3E-20-02-02-04-00-00: Porta de girar</t>
  </si>
  <si>
    <t>3E-20-02-02-06-00-00: Porta camarão</t>
  </si>
  <si>
    <t>3E-20-02-02-08-00-00: Porta de enrolar</t>
  </si>
  <si>
    <t>3E-20-02-02-10-00-00: Porta pivotante</t>
  </si>
  <si>
    <t>3E-20-02-02-12-00-00: Porta giratória</t>
  </si>
  <si>
    <t>3E-20-02-04-00-00-00: Alçapões</t>
  </si>
  <si>
    <t>3E-20-04-00-00-00-00: Elementos de aberturas para ventilação e iluminação natural</t>
  </si>
  <si>
    <t>3E-20-04-02-00-00-00: Janelas</t>
  </si>
  <si>
    <t>3E-20-04-02-02-00-00: Janela de correr</t>
  </si>
  <si>
    <t>3E-20-04-02-04-00-00: Janela pivotante</t>
  </si>
  <si>
    <t>3E-20-04-02-06-00-00: Janela basculante</t>
  </si>
  <si>
    <t>3E-20-04-02-08-00-00: Janela projetante</t>
  </si>
  <si>
    <t>3E-20-04-02-10-00-00: Janela guilhotina</t>
  </si>
  <si>
    <t>3E-20-04-04-00-00-00: Domus</t>
  </si>
  <si>
    <t>3E-20-04-06-00-00-00: Cúpula</t>
  </si>
  <si>
    <t>3E-20-04-08-00-00-00: Claraboia</t>
  </si>
  <si>
    <t>3E-20-04-10-00-00-00: Átrio para iluminação e ventilação</t>
  </si>
  <si>
    <t>3E-20-04-12-00-00-00: Lantemim</t>
  </si>
  <si>
    <t>3E-20-04-14-00-00-00: Shed</t>
  </si>
  <si>
    <t>Elementos de acústica</t>
  </si>
  <si>
    <t>3E-22-00-00-00-00-00: Elementos acústicos</t>
  </si>
  <si>
    <t>3E-22-02-00-00-00-00: Elementos absorvedores</t>
  </si>
  <si>
    <t>3E-22-04-00-00-00-00: Elementos de barreira</t>
  </si>
  <si>
    <t>3E-22-06-00-00-00-00: Elementos atenuadores</t>
  </si>
  <si>
    <t>3E-22-08-00-00-00-00: Elementos de enclausuramento</t>
  </si>
  <si>
    <t>3E-24-00-00-00-00-00: Elementos de redes de transmissão de eletricidade</t>
  </si>
  <si>
    <t>3E-24-02-00-00-00-00: Linhas de transmissão</t>
  </si>
  <si>
    <t>3E-24-04-00-00-00-00: Rede de distribuição</t>
  </si>
  <si>
    <t>3E-24-06-00-00-00-00: Subestação de distribuição</t>
  </si>
  <si>
    <t>3E-24-08-00-00-00-00: Transformador de distribuição</t>
  </si>
  <si>
    <t>3E-26-00-00-00-00-00: Elementos de instalações prediais de eletricidade</t>
  </si>
  <si>
    <t>3E-26-02-00-00-00-00: Ramais de fornecimento de corrente</t>
  </si>
  <si>
    <t>3E-26-02-02-00-00-00: Ramal de ligação</t>
  </si>
  <si>
    <t>3E-26-02-04-00-00-00: Ramal de entrada</t>
  </si>
  <si>
    <t>3E-26-02-06-00-00-00: Ramal alimentador</t>
  </si>
  <si>
    <t>3E-26-04-00-00-00-00: Elementos para a interrupção de corrente</t>
  </si>
  <si>
    <t>3E-26-04-02-00-00-00: Fusíveis</t>
  </si>
  <si>
    <t>3E-26-04-02-02-00-00: Fusível para proteção de uso geral</t>
  </si>
  <si>
    <t>3E-26-04-02-04-00-00: Fusível de circuitos motores</t>
  </si>
  <si>
    <t>3E-26-04-02-06-00-00: Fusível para proteção de semicondutores</t>
  </si>
  <si>
    <t>3E-26-04-04-00-00-00: Disjuntores</t>
  </si>
  <si>
    <t>3E-26-04-06-00-00-00: Dispositivo diferencial-residual (DR)</t>
  </si>
  <si>
    <t>3E-26-06-00-00-00-00: Elementos para o isolamento de corrente</t>
  </si>
  <si>
    <t>3E-26-06-02-00-00-00: Seccionador</t>
  </si>
  <si>
    <t>3E-26-06-04-00-00-00: Isolador</t>
  </si>
  <si>
    <t>3E-26-06-06-00-00-00: Resistor de aterramento</t>
  </si>
  <si>
    <t>3E-26-06-08-00-00-00: Disparador diferencial</t>
  </si>
  <si>
    <t>3E-26-06-10-00-00-00: Limitador de sobretensões</t>
  </si>
  <si>
    <t>3E-26-08-00-00-00-00: Elementos para a estabilização de corrente</t>
  </si>
  <si>
    <t>3E-26-08-02-00-00-00: Dispositivo de proteção contra sobretensões elétricas (DPS-e)</t>
  </si>
  <si>
    <t>3E-26-08-04-00-00-00: Dispositivo de proteção contra surtos</t>
  </si>
  <si>
    <t>3E-26-08-06-00-00-00: Barramento de equipotencialização principal (BEP)</t>
  </si>
  <si>
    <t>3E-26-10-00-00-00-00: Elementos para dispersão de descargas elétricas</t>
  </si>
  <si>
    <t>3E-26-10-02-00-00-00: Aterramento funcional</t>
  </si>
  <si>
    <t>3E-26-10-04-00-00-00: Aterramento de proteção</t>
  </si>
  <si>
    <t>3E-26-10-06-00-00-00: Aterramento de trabalho</t>
  </si>
  <si>
    <t>3E-26-10-08-00-00-00: Aterramento para entrada de energia/entrada de serviço</t>
  </si>
  <si>
    <t>3E-26-10-10-00-00-00: Rede captora de descargas</t>
  </si>
  <si>
    <t>3E-26-10-12-00-00-00: Eletrodo para a dispersão de descargas elétricas</t>
  </si>
  <si>
    <t>3E-26-10-14-00-00-00: Descida de descarga</t>
  </si>
  <si>
    <t>3E-26-10-16-00-00-00: Condutor de descida</t>
  </si>
  <si>
    <t>3E-26-10-18-00-00-00: Condutor de equipotencialização</t>
  </si>
  <si>
    <t>3E-26-10-20-00-00-00: Barramento de equipotencialização funcional</t>
  </si>
  <si>
    <t>3E-26-10-22-00-00-00: Conector de medição</t>
  </si>
  <si>
    <t>3E-26-10-24-00-00-00: Anel de cintamento</t>
  </si>
  <si>
    <t>3E-26-10-26-00-00-00: Caixa de equalização</t>
  </si>
  <si>
    <t>3E-26-12-00-00-00-00: Elementos para a distribuição de corrente</t>
  </si>
  <si>
    <t>3E-26-12-02-00-00-00: Circuitos</t>
  </si>
  <si>
    <t>3E-26-12-02-02-00-00: Circuito de alta-tensão</t>
  </si>
  <si>
    <t>3E-26-12-02-04-00-00: Circuito de baixa tensão</t>
  </si>
  <si>
    <t>3E-26-12-02-06-00-00: Circuito de corrente altemada</t>
  </si>
  <si>
    <t>3E-26-12-02-08-00-00: Circuito de corrente contínua</t>
  </si>
  <si>
    <t>3E-26-12-02-10-00-00: Circuito monofásico</t>
  </si>
  <si>
    <t>3E-26-12-02-12-00-00: Circuito bifásico</t>
  </si>
  <si>
    <t>3E-26-12-02-14-00-00: Circuito trifásico</t>
  </si>
  <si>
    <t>QDC; Quadro Elétrico</t>
  </si>
  <si>
    <t>3E-26-12-04-00-00-00: Quadro de distribuição residencial</t>
  </si>
  <si>
    <t>3E-26-12-06-00-00-00: Painel geral de baixa tensão</t>
  </si>
  <si>
    <t>3E-26-14-00-00-00-00: Elementos para a transformação de corrente</t>
  </si>
  <si>
    <t>3E-26-14-02-00-00-00: Transformador diferencial</t>
  </si>
  <si>
    <t>3E-26-14-04-00-00-00: Transformador de corrente</t>
  </si>
  <si>
    <t>3E-26-14-06-00-00-00: Transformador de potência</t>
  </si>
  <si>
    <t>Interruptor; Disjuntor; DPS; DR; Dispositivo de Proteção Conta Surtos; Diferencial Residual</t>
  </si>
  <si>
    <t>3E-26-16-00-00-00-00: Elementos para o acionamento de corrente</t>
  </si>
  <si>
    <t>3E-26-16-02-00-00-00: Interruptores</t>
  </si>
  <si>
    <t>3E-26-16-04-00-00-00: Controladores de intensidade: dimmer</t>
  </si>
  <si>
    <t>3E-26-18-00-00-00-00: Elementos para o fornecimento de corrente</t>
  </si>
  <si>
    <t>3E-26-20-00-00-00-00: Elementos condutores de corrente</t>
  </si>
  <si>
    <t>3E-26-20-02-00-00-00: Condutor para baixa tensão</t>
  </si>
  <si>
    <t>3E-26-20-04-00-00-00: Condutor para uso geral</t>
  </si>
  <si>
    <t>3E-26-20-06-00-00-00: Condutor para uso específico</t>
  </si>
  <si>
    <t>3E-26-20-08-00-00-00: Condutor de fase</t>
  </si>
  <si>
    <t>3E-26-20-10-00-00-00: Condutor neutro</t>
  </si>
  <si>
    <t>3E-26-20-12-00-00-00: Condutor-terra</t>
  </si>
  <si>
    <t>3E-26-20-14-00-00-00: Condutor de retorno</t>
  </si>
  <si>
    <t>3E-26-20-16-00-00-00: Condutor pen</t>
  </si>
  <si>
    <t>3E-26-22-00-00-00-00: Elementos para a proteção de condutores</t>
  </si>
  <si>
    <t>3E-26-22-02-00-00-00: Condutos</t>
  </si>
  <si>
    <t>3E-26-22-02-00-00-02</t>
  </si>
  <si>
    <t>Canaleta Metálica</t>
  </si>
  <si>
    <t>7</t>
  </si>
  <si>
    <t>3E-26-22-02-00-00-04</t>
  </si>
  <si>
    <t>Eletroduto Flexível Amarelo</t>
  </si>
  <si>
    <t>3E-26-22-02-00-00-06</t>
  </si>
  <si>
    <t>Eletroduto Flexível Cinza</t>
  </si>
  <si>
    <t>3E-26-22-02-00-00-08</t>
  </si>
  <si>
    <t>Eletroduto Rígido PVC Preto</t>
  </si>
  <si>
    <t>3E-26-22-04-00-00-00: Fixadores</t>
  </si>
  <si>
    <t>3E-26-22-06-00-00-00: Grampos</t>
  </si>
  <si>
    <t>3E-26-22-08-00-00-00: Suportes</t>
  </si>
  <si>
    <t>3E-26-22-10-00-00-00: Conectores</t>
  </si>
  <si>
    <t>3E-26-22-10-02-00-00: Derivadores</t>
  </si>
  <si>
    <t>3E-26-22-10-04-00-00: Emendas</t>
  </si>
  <si>
    <t>3E-26-22-10-06-00-00: Terminais</t>
  </si>
  <si>
    <t>3E-28-00-00-00-00-00: Elementos de iluminação</t>
  </si>
  <si>
    <t>3E-28-02-00-00-00-00: Elementos de iluminação de uso geral</t>
  </si>
  <si>
    <t>3E-28-02-02-00-00-00: Fluxo luminoso direto</t>
  </si>
  <si>
    <t>3E-28-02-04-00-00-00: Fluxo luminoso indireto</t>
  </si>
  <si>
    <t>3E-28-02-06-00-00-00: Fluxo luminoso semidireto</t>
  </si>
  <si>
    <t>3E-28-02-08-00-00-00: Fluxo luminoso semi-indireto</t>
  </si>
  <si>
    <t>3E-28-02-10-00-00-00: Fluxo luminoso geral-difuso</t>
  </si>
  <si>
    <t>3E-28-04-00-00-00-00: Elementos para modificar fluxos luminosos</t>
  </si>
  <si>
    <t>3E-28-04-02-00-00-00: Superfície de absorção</t>
  </si>
  <si>
    <t>3E-28-04-04-00-00-00: Superfície de refração</t>
  </si>
  <si>
    <t>3E-28-04-06-00-00-00: Superficie de reflexão</t>
  </si>
  <si>
    <t>3E-28-04-08-00-00-00: Superfície de difusão</t>
  </si>
  <si>
    <t>3E-28-04-10-00-00-00: Superfície louver</t>
  </si>
  <si>
    <t>3E-28-06-00-00-00-00: Elementos de iluminação de emergência</t>
  </si>
  <si>
    <t>3E-30-00-00-00-00-00: Elementos de ventilação e exaustão</t>
  </si>
  <si>
    <t>3E-30-02-00-00-00-00: Elementos de ventilação</t>
  </si>
  <si>
    <t>3E-30-02-02-00-00-00: Ventilador centrífugo</t>
  </si>
  <si>
    <t>3E-30-02-04-00-00-00: Ventilador axial ou tipo hélice</t>
  </si>
  <si>
    <t>3E-30-04-00-00-00-00: Elementos de exaustão</t>
  </si>
  <si>
    <t>3E-30-04-02-00-00-00: Captor de exaustão</t>
  </si>
  <si>
    <t>3E-30-04-04-00-00-00: Duto de ar de exaustão</t>
  </si>
  <si>
    <t>3E-30-04-06-00-00-00: Ventilador de exaustão</t>
  </si>
  <si>
    <t>3E-30-04-08-00-00-00: Chaminé de exaustão</t>
  </si>
  <si>
    <t>3E-32-00-00-00-00-00: Elementos de rede de distribuição de telecomunicações</t>
  </si>
  <si>
    <t>3E-32-02-00-00-00-00: Elementos de rede de distribuição de telefonia</t>
  </si>
  <si>
    <t>3E-32-02-02-00-00-00: Elementos da rede primária de distribuição de telefonia</t>
  </si>
  <si>
    <t>3E-32-02-04-00-00-00: Elementos da rede secundária de distribuição de telefonia</t>
  </si>
  <si>
    <t>3E-32-04-00-00-00-00: Elementos para redes de rádio</t>
  </si>
  <si>
    <t>3E-32-06-00-00-00-00: Elementos para redes de tv</t>
  </si>
  <si>
    <t>3E-32-08-00-00-00-00: Elementos para distribuição de internet</t>
  </si>
  <si>
    <t>3E-34-00-00-00-00-00: Elementos de instalações prediais de telecomunicações</t>
  </si>
  <si>
    <t>3E-34-02-00-00-00-00: Elementos de instalações de telefonia</t>
  </si>
  <si>
    <t>3E-34-02-02-00-00-00: Elementos de entrada telefônica</t>
  </si>
  <si>
    <t>3E-34-02-04-00-00-00: Elementos de ramais de entrada telefônica</t>
  </si>
  <si>
    <t>3E-34-02-06-00-00-00: Elementos para distribuição interna de telefonia</t>
  </si>
  <si>
    <t>3E-34-04-00-00-00-00: Elementos para instalações de internet</t>
  </si>
  <si>
    <t>3E-34-06-00-00-00-00: Elementos para instalações de recepção de sinal de rádio</t>
  </si>
  <si>
    <t>3E-34-08-00-00-00-00: Elementos para instalações de recepção de sinal de tv</t>
  </si>
  <si>
    <t>3E-36-00-00-00-00-00: Elementos para sistemas de abastecimento de água</t>
  </si>
  <si>
    <t>3E-36-02-00-00-00-00: Elementos para captação de água bruta</t>
  </si>
  <si>
    <t>3E-36-04-00-00-00-00: Elementos para adução de água bruta</t>
  </si>
  <si>
    <t>3E-36-06-00-00-00-00: Elementos para reservação de água bruta</t>
  </si>
  <si>
    <t>3E-36-08-00-00-00-00: Elementos para tratamento de água bruta</t>
  </si>
  <si>
    <t>3E-36-10-00-00-00-00: Elementos para adução de água potável</t>
  </si>
  <si>
    <t>3E-36-12-00-00-00-00: Elementos para reservação de água potável</t>
  </si>
  <si>
    <t>3E-36-14-00-00-00-00: Elementos para distribuição de água potável</t>
  </si>
  <si>
    <t>3E-36-14-02-00-00-00: Elementos para distribuição direta de água potável</t>
  </si>
  <si>
    <t>3E-36-14-04-00-00-00: Elementos para distribuição indireta de água potável</t>
  </si>
  <si>
    <t>3E-36-14-04-02-00-00: Elementos para distribuição indireta de água potável sem bombeamento</t>
  </si>
  <si>
    <t>3E-36-14-04-04-00-00: Elementos para distribuição indireta de água potável com bombeamento</t>
  </si>
  <si>
    <t>3E-36-14-06-00-00-00: Elementos para distribuição mista de água potável</t>
  </si>
  <si>
    <t>3E-36-14-08-00-00-00: Elementos para distribuição hidropneumática de água potável</t>
  </si>
  <si>
    <t>3E-38-00-00-00-00-00: Elementos de instalações hidráulicas</t>
  </si>
  <si>
    <t>3E-38-02-00-00-00-00: Elementos alimentadores em instalações hidráulicas</t>
  </si>
  <si>
    <t>3E-38-02-02-00-00-00: Ramal de alimentação de água</t>
  </si>
  <si>
    <t>3E-38-02-04-00-00-00: Alimentador de água</t>
  </si>
  <si>
    <t>3E-38-02-06-00-00-00: Cavalete de água</t>
  </si>
  <si>
    <t>3E-38-02-08-00-00-00: Reservatório de água</t>
  </si>
  <si>
    <t>3E-38-02-10-00-00-00: Condutor de recalque de água</t>
  </si>
  <si>
    <t>3E-38-02-12-00-00-00: Dispositivo para sucção de água</t>
  </si>
  <si>
    <t>3E-38-02-14-00-00-00: Dispositivo para ventilação de água</t>
  </si>
  <si>
    <t>3E-38-04-00-00-00-00: Elementos extravasores em instalações hidráulicas</t>
  </si>
  <si>
    <t>3E-38-04-02-00-00-00: Tubulação para extravasão de água</t>
  </si>
  <si>
    <t>3E-38-04-04-00-00-00: Tubulação para limpeza de água</t>
  </si>
  <si>
    <t>3E-38-06-00-00-00-00: Elementos distribuidores em instalações hidráulicas</t>
  </si>
  <si>
    <t>3E-38-06-02-00-00-00: Barrilete de água</t>
  </si>
  <si>
    <t>3E-38-06-02-02-00-00: Barrilete de água unificado</t>
  </si>
  <si>
    <t>3E-38-06-02-04-00-00: Barrilete de água ramificado</t>
  </si>
  <si>
    <t>3E-38-06-04-00-00-00: Prumada de água</t>
  </si>
  <si>
    <t>3E-38-06-06-00-00-00: Coluna de água</t>
  </si>
  <si>
    <t>3E-38-06-08-00-00-00: Ramal de distribuição de água</t>
  </si>
  <si>
    <t>3E-38-06-10-00-00-00: Sub-ramal de distribuição de água</t>
  </si>
  <si>
    <t>3E-38-08-00-00-00-00: Elementos conectores em instalações hidráulicas</t>
  </si>
  <si>
    <t>3E-38-10-00-00-00-00: Elementos aquecedores para instalações hidráulicas</t>
  </si>
  <si>
    <t>3E-38-10-02-00-00-00: Aquecedor elétrico para instalações hidráulicas</t>
  </si>
  <si>
    <t>3E-38-10-02-02-00-00: Aquecedor elétrico de passagem para instalações hidráulicas</t>
  </si>
  <si>
    <t>3E-38-10-02-04-00-00: Aquecedor elétrico por acumulação para instalações hidráulicas</t>
  </si>
  <si>
    <t>3E-38-10-04-00-00-00: Aquecedor a gás para instalações hidráulicas</t>
  </si>
  <si>
    <t>3E-38-10-04-02-00-00: Aquecedor a gás de passagem para instalações hidráulicas</t>
  </si>
  <si>
    <t>3E-38-10-04-04-00-00: Aquecedor a gás por acumulação para instalações hidráulicas</t>
  </si>
  <si>
    <t>3E-38-12-00-00-00-00: Elementos de isolamento térmico para instalações hidráulicas</t>
  </si>
  <si>
    <t>3E-38-14-00-00-00-00: Elementos controladores de fluxo em instalações hidráulicas</t>
  </si>
  <si>
    <t>3E-38-16-00-00-00-00: Elementos terminais em instalações hidráulicas</t>
  </si>
  <si>
    <t>3E-40-00-00-00-00-00: Elementos de instalações de água pluvial</t>
  </si>
  <si>
    <t>3E-40-02-00-00-00-00: Elementos para captação de águas pluviais</t>
  </si>
  <si>
    <t>3E-40-04-00-00-00-00: Elementos para inspeção de instalações de água pluvial</t>
  </si>
  <si>
    <t>3E-40-06-00-00-00-00: Elementos para tratamento de águas pluviais</t>
  </si>
  <si>
    <t>3E-40-06-02-00-00-00: Dispositivo de descarte das primeiras águas</t>
  </si>
  <si>
    <t>3E-40-06-04-00-00-00: Separador de materiais grosseiros para aproveitamento de águas pluviais</t>
  </si>
  <si>
    <t>3E-40-06-06-00-00-00: Sistema de tratamento e desinfecção para aproveitamento de águas pluviais</t>
  </si>
  <si>
    <t>3E-40-06-08-00-00-00: Reservatório para aproveitamento de águas pluviais</t>
  </si>
  <si>
    <t>3E-40-06-10-00-00-00: Bomba de recalque para aproveitamento de águas pluviais</t>
  </si>
  <si>
    <t>3E-40-06-12-00-00-00: Poço de infiltração para aproveitamento de águas pluviais</t>
  </si>
  <si>
    <t>3E-40-06-14-00-00-00: Extravasor para aproveitamento de águas pluviais</t>
  </si>
  <si>
    <t>3E-40-08-00-00-00-00: Elementos para esgotamento de águas pluviais</t>
  </si>
  <si>
    <t>3E-42-00-00-00-00-00: Elementos de instalações sanitárias</t>
  </si>
  <si>
    <t>3E-42-02-00-00-00-00: Elementos controladores de fluxo em instalações sanitárias</t>
  </si>
  <si>
    <t>3E-42-02-02-00-00-00: Válvula de retenção de instalação sanitária</t>
  </si>
  <si>
    <t>3E-42-02-02-02-00-00: Tipo leve</t>
  </si>
  <si>
    <t>3E-42-02-02-04-00-00: Tipo pesado</t>
  </si>
  <si>
    <t>3E-42-02-04-00-00-00: Registro de instalação sanitária</t>
  </si>
  <si>
    <t>3E-42-02-04-02-00-00: Registro globo aberto</t>
  </si>
  <si>
    <t>3E-42-02-04-04-00-00: Registro gaveta aberto</t>
  </si>
  <si>
    <t>3E-42-02-04-06-00-00: Registro ângulo aberto</t>
  </si>
  <si>
    <t>3E-42-04-00-00-00-00: Elementos coletores em instalações sanitárias</t>
  </si>
  <si>
    <t>3E-42-04-02-00-00-00: Coletor de instalação sanitária</t>
  </si>
  <si>
    <t>3E-42-04-04-00-00-00: Sub-coletor de instalação sanitária</t>
  </si>
  <si>
    <t>3E-42-06-00-00-00-00: Elementos distribuidores em instalações sanitárias</t>
  </si>
  <si>
    <t>3E-42-06-02-00-00-00: Distribuição primária de instalação sanitária</t>
  </si>
  <si>
    <t>3E-42-06-04-00-00-00: Distribuição secundária de instalação sanitária</t>
  </si>
  <si>
    <t>3E-42-06-06-00-00-00: Ramal de esgoto de instalação sanitária</t>
  </si>
  <si>
    <t>3E-42-06-08-00-00-00: Ramal de descarga de instalação sanitária</t>
  </si>
  <si>
    <t>3E-42-06-10-00-00-00: Prumada de queda de instalação sanitária</t>
  </si>
  <si>
    <t>3E-42-06-12-00-00-00: Coluna de queda de instalação sanitária</t>
  </si>
  <si>
    <t>3E-42-08-00-00-00-00: Elementos conectores em instalações sanitárias</t>
  </si>
  <si>
    <t>3E-42-10-00-00-00-00: Elementos para ventilação em instalações sanitárias</t>
  </si>
  <si>
    <t>3E-42-10-02-00-00-00: Ramal de ventilação de instalação sanitária</t>
  </si>
  <si>
    <t>3E-42-10-04-00-00-00: Coluna de ventilação de instalação sanitária</t>
  </si>
  <si>
    <t>3E-42-10-06-00-00-00: Ventilador primário de instalação sanitária</t>
  </si>
  <si>
    <t>3E-42-10-08-00-00-00: Ventilador secundário de instalação sanitária</t>
  </si>
  <si>
    <t>3E-42-12-00-00-00-00: Elementos de inspeção de instalações sanitárias</t>
  </si>
  <si>
    <t>3E-42-14-00-00-00-00: Elementos de reúso de águas cinzas</t>
  </si>
  <si>
    <t>3E-42-14-02-00-00-00: Coleta de reúso de águas cinzas</t>
  </si>
  <si>
    <t>3E-42-14-04-00-00-00: Estação de tratamento de reúso de águas cinzas</t>
  </si>
  <si>
    <t>3E-42-14-06-00-00-00: Reservatório de reúso de águas cinzas</t>
  </si>
  <si>
    <t>3E-42-14-08-00-00-00: Terminal de reúso de águas cinzas</t>
  </si>
  <si>
    <t>3E-42-16-00-00-00-00: Elementos para esgotamento sanitário local</t>
  </si>
  <si>
    <t>3E-42-16-02-00-00-00: Fossa séptica</t>
  </si>
  <si>
    <t>3E-42-16-02-02-00-00: Sumidouro</t>
  </si>
  <si>
    <t>3E-42-16-02-04-00-00: Caixa de distribuição</t>
  </si>
  <si>
    <t>3E-42-16-02-06-00-00: Vala de infiltração</t>
  </si>
  <si>
    <t>3E-42-16-02-08-00-00: Galeria filtrante</t>
  </si>
  <si>
    <t>3E-42-16-02-00-00-00: Fossa seca</t>
  </si>
  <si>
    <t>3E-42-16-02-00-00-00: Fossa negra</t>
  </si>
  <si>
    <t>3E-42-18-00-00-00-00: Elementos para esgotamento sanitário via rede coletora</t>
  </si>
  <si>
    <t>3E-42-18-02-00-00-00: Bacia de drenagem para a rede coletora de esgoto</t>
  </si>
  <si>
    <t>3E-42-18-04-00-00-00: Caixa de passagem para a rede coletora de esgoto</t>
  </si>
  <si>
    <t>3E-42-18-06-00-00-00: Ligação predial para a rede coletora de esgoto</t>
  </si>
  <si>
    <t>3E-44-00-00-00-00-00: Elementos da rede de esgotamento sanitário</t>
  </si>
  <si>
    <t>3E 46 00 00 00 00 00</t>
  </si>
  <si>
    <t>3E-46-00-00-00-00-00</t>
  </si>
  <si>
    <t>Elementos especiais ou industrializados</t>
  </si>
  <si>
    <t>3E-44-02-00-00-00-00: Elementos coletores de esgoto</t>
  </si>
  <si>
    <t>3E-44-02-02-00-00-00: Tubulação da rede coletora de esgoto</t>
  </si>
  <si>
    <t>3E-44-02-04-00-00-00: Estação elevatória de rede coletora de esgoto</t>
  </si>
  <si>
    <t>3E-44-02-04-02-00-00: Bomba de rede coletora de esgoto</t>
  </si>
  <si>
    <t>3E-44-02-04-04-00-00: Poço de sucção de rede coletora de esgoto</t>
  </si>
  <si>
    <t>3E-44-02-04-06-00-00: Canalização de sucção de rede coletora de esgoto</t>
  </si>
  <si>
    <t>3E-44-02-04-08-00-00: Recalque de rede coletora de esgoto</t>
  </si>
  <si>
    <t>3E-44-02-04-10-00-00: Dispositivo acessório de rede coletora de esgoto</t>
  </si>
  <si>
    <t>3E-44-04-00-00-00-00: Elementos para tratamento de esgoto</t>
  </si>
  <si>
    <t>3E-44-04-02-00-00-00: Grade para tratamento de esgoto</t>
  </si>
  <si>
    <t>3E-44-04-04-00-00-00: Tanque de areia para tratamento de esgoto</t>
  </si>
  <si>
    <t>3E-44-04-06-00-00-00: Decantador primário para tratamento de esgoto</t>
  </si>
  <si>
    <t>3E-44-04-08-00-00-00: Câmara de aeração para tratamento de esgoto</t>
  </si>
  <si>
    <t>3E-44-04-10-00-00-00: Decantador secundário para tratamento de esgoto</t>
  </si>
  <si>
    <t>3E-44-04-12-00-00-00: Digestor anaeróbio de para tratamento de esgoto</t>
  </si>
  <si>
    <t>3E-44-04-14-00-00-00: Emissário de estação de tratamento de esgoto</t>
  </si>
  <si>
    <t>3E-48-00-00-00-00-00: Elementos de tratamento de resíduos sólidos</t>
  </si>
  <si>
    <t>3E-48-02-00-00-00-00: Elementos para sistemas de coleta de resíduos sólidos</t>
  </si>
  <si>
    <t>3E-48-04-00-00-00-00: Elementos para tratamento mecânico de resíduos sólidos</t>
  </si>
  <si>
    <t>3E-48-04-02-00-00-00: Compactador de resíduos sólidos</t>
  </si>
  <si>
    <t>3E-48-06-00-00-00-00: Elementos para tratamento bioquímico de resíduos sólidos</t>
  </si>
  <si>
    <t>3E-48-06-02-00-00-00: Composteira de resíduos sólidos</t>
  </si>
  <si>
    <t>3E-48-08-00-00-00-00: Elementos para tratamento térmico de resíduos sólidos</t>
  </si>
  <si>
    <t>3E-48-08-02-00-00-00: Fomo de incineração de resíduos sólidos</t>
  </si>
  <si>
    <t>3E-48-10-00-00-00-00: Elementos para a destinação de resíduos sólidos</t>
  </si>
  <si>
    <t>3E-50-00-00-00-00-00: Elementos de sistemas de refrigeração</t>
  </si>
  <si>
    <t>3E-50-02-00-00-00-00: Elementos de distribuição em sistemas de refrigeração</t>
  </si>
  <si>
    <t>3E-50-02-02-00-00-00: Isolamento térmico de rede de dutos</t>
  </si>
  <si>
    <t>3E-50-02-04-00-00-00: Duto flexível para distribuição de ar refrigerado</t>
  </si>
  <si>
    <t>3E-50-02-06-00-00-00: Duto rígido para distribuição de ar refrigerado</t>
  </si>
  <si>
    <t>3E-50-02-08-00-00-00: Duto convencional retangular aparente</t>
  </si>
  <si>
    <t>3E-50-04-00-00-00-00: Elementos para difusão de ar</t>
  </si>
  <si>
    <t>3E-50-04-02-00-00-00: Boca de ar</t>
  </si>
  <si>
    <t>3E-50-04-04-00-00-00: Difusor de insuflamento</t>
  </si>
  <si>
    <t>3E-50-04-06-00-00-00: Difusor de retomo</t>
  </si>
  <si>
    <t>3E-50-04-08-00-00-00: Grelha de insuflamento</t>
  </si>
  <si>
    <t>3E-50-04-10-00-00-00: Grelha de retomo</t>
  </si>
  <si>
    <t>3E-50-04-12-00-00-00: Tomada de ar extemo</t>
  </si>
  <si>
    <t>3E-50-04-14-00-00-00: Ventilador para distribuição de ar</t>
  </si>
  <si>
    <t>3E-50-06-00-00-00-00: Elementos para troca de calor de sistemas de refrigeração</t>
  </si>
  <si>
    <t>3E-50-06-02-00-00-00: Evaporador para troca de calor de sistemas de refrigeração</t>
  </si>
  <si>
    <t>3E-50-06-04-00-00-00: Condensador para troca de calor de sistemas de refrigeração</t>
  </si>
  <si>
    <t>3E-50-08-00-00-00-00: Elementos de compressão de sistemas de refrigeração</t>
  </si>
  <si>
    <t>3E-50-08-02-00-00-00: Compressor de êmbolo</t>
  </si>
  <si>
    <t>3E-50-08-04-00-00-00: Compressor de parafuso</t>
  </si>
  <si>
    <t>3E-50-08-06-00-00-00: Compressor de palheta</t>
  </si>
  <si>
    <t>3E-50-08-08-00-00-00: Compressor centrífugo</t>
  </si>
  <si>
    <t>3E-50-08-10-00-00-00: Compressor scroll</t>
  </si>
  <si>
    <t>3E-50-10-00-00-00-00: Elementos de expansão de sistemas de refrigeração</t>
  </si>
  <si>
    <t>3E-50-10-02-00-00-00: Ramal de expansão de sistemas de refrigeração</t>
  </si>
  <si>
    <t>3E-50-10-04-00-00-00: Válvula de expansão de sistemas de refrigeração</t>
  </si>
  <si>
    <t>3E-50-10-06-00-00-00: Depósito de água de expansão de sistemas de refrigeração</t>
  </si>
  <si>
    <t>3E-50-10-08-00-00-00: Secador de expansão de sistemas de refrigeração</t>
  </si>
  <si>
    <t>3E-50-10-10-00-00-00: Filtro de expansão de sistemas de refrigeração</t>
  </si>
  <si>
    <t>3E-50-10-12-00-00-00: Termostato de expansão de sistemas de refrigeração</t>
  </si>
  <si>
    <t>3E-50-10-14-00-00-00: Fréon de expansão de sistemas de refrigeração</t>
  </si>
  <si>
    <t>3E-50-10-14-02-00-00: Fréon gasoso</t>
  </si>
  <si>
    <t>3E-50-10-14-04-00-00: Fréon líquido</t>
  </si>
  <si>
    <t>3E-50-10-16-00-00-00: Dreno de expansão de sistemas de refrigeração</t>
  </si>
  <si>
    <t>3E-50-12-00-00-00-00: Elementos de sistemas de água gelada em sistemas de refrigeração</t>
  </si>
  <si>
    <t>3E-50-12-02-00-00-00: Resfriador a água</t>
  </si>
  <si>
    <t>3E-50-12-04-00-00-00: Resfriador a ar</t>
  </si>
  <si>
    <t>3E-50-12-06-00-00-00: Fan coil</t>
  </si>
  <si>
    <t>3E-50-12-08-00-00-00: Torre de resfriamento</t>
  </si>
  <si>
    <t>3E-50-12-10-02-00-00: Torre atmosférica</t>
  </si>
  <si>
    <t>3E-50-12-10-04-00-00: Torre de corrente de ar forçado</t>
  </si>
  <si>
    <t>3E-50-12-10-06-00-00: Torre de corrente de ar induzido</t>
  </si>
  <si>
    <t>3E-50-12-12-00-00-00: Bomba de água gelada</t>
  </si>
  <si>
    <t>3E-50-12-14-00-00-00: Tanque de expansão</t>
  </si>
  <si>
    <t>3E-50-12-16-00-00-00: Termoacumulação de gelo</t>
  </si>
  <si>
    <t>3E-50-14-00-00-00-00: Elementos de expansão direta: condensação a água</t>
  </si>
  <si>
    <t>3E-50-14-02-00-00-00: Bomba de água de condensação</t>
  </si>
  <si>
    <t>3E-50-14-04-00-00-00: Caixa d'água de condensação a água</t>
  </si>
  <si>
    <t>3E-50-16-00-00-00-00: Elementos de expansão direta: unidades compactas</t>
  </si>
  <si>
    <t>3E-50-16-02-00-00-00: Unidade compacta de condensação a água</t>
  </si>
  <si>
    <t>3E-50-16-04-00-00-00: Torre de resfriamento para unidades compactas</t>
  </si>
  <si>
    <t>3E-50-16-06-00-00-00: Bomba para unidades compactas</t>
  </si>
  <si>
    <t>3E-50-16-08-00-00-00: Ramal de recalque para unidades compactas</t>
  </si>
  <si>
    <t>3E-50-16-10-00-00-00: Ramal de retomo para unidades compactas</t>
  </si>
  <si>
    <t>3E-50-16-12-00-00-00: Registro de gaveta para unidades compactas</t>
  </si>
  <si>
    <t>3E-50-16-14-00-00-00: Registro de globo para unidades compactas</t>
  </si>
  <si>
    <t>3E-50-16-16-00-00-00: Válvula de retenção para unidades compactas</t>
  </si>
  <si>
    <t>3E-50-18-00-00-00-00: Elementos para sistemas de expansão indireta de água gelada</t>
  </si>
  <si>
    <t>3E-50-18-02-00-00-00: Entrada de água para sistemas de expansão indireta de água gelada</t>
  </si>
  <si>
    <t>3E-50-18-04-00-00-00: Ladrão para sistemas de expansão indireta de água gelada</t>
  </si>
  <si>
    <t>3E-50-18-06-00-00-00: Caixa de expansão para sistemas de expansão indireta de água gelada</t>
  </si>
  <si>
    <t>3E-50-18-08-00-00-00: Bomba para sistemas de expansão indireta de água gelada</t>
  </si>
  <si>
    <t>3E-50-18-10-00-00-00: Bomba de circulação para sistemas de expansão indireta de água gelada</t>
  </si>
  <si>
    <t>3E 50 18 12 00 00 00</t>
  </si>
  <si>
    <t>3E-50-18-12-00-00-00</t>
  </si>
  <si>
    <t>3E-5018-12-00-00-00: Bomba de condensação para sistemas de expansão indireta de água gelada</t>
  </si>
  <si>
    <t>3E-50-18-14-00-00-00: Resfriador para sistemas de expansão indireta de água gelada</t>
  </si>
  <si>
    <t>3E-50-18-16-00-00-00: Depósito para sistemas de expansão indireta de água gelada</t>
  </si>
  <si>
    <t>3E-50-18-18-00-00-00: Alimentador principal para sistemas de expansão indireta de água gelada</t>
  </si>
  <si>
    <t>3E-50-18-20-00-00-00: Válvula de alívio de pressão para sistemas de expansão indireta de água gelada</t>
  </si>
  <si>
    <t>3E-50-18-22-00-00-00: Válvula de três vias para sistemas de expansão indireta de água gelada</t>
  </si>
  <si>
    <t>3E-50-20-00-00-00-00: Elementos para instalação central de água gelada</t>
  </si>
  <si>
    <t>3E-50-20-02-00-00-00: Alimentação de água gelada</t>
  </si>
  <si>
    <t>3E-50-20-04-00-00-00: Retorno de água gelada</t>
  </si>
  <si>
    <t>3E-50-20-06-00-00-00: Alimentação de água de condensação</t>
  </si>
  <si>
    <t>3E-50-20-08-00-00-00: Retorno de água de condensação</t>
  </si>
  <si>
    <t>3E-50-20-10-00-00-00: Bomba para o sistema de condensação</t>
  </si>
  <si>
    <t>3E-50-20-12-00-00-00: Bomba para o sistema de água gelada</t>
  </si>
  <si>
    <t>3E-50-20-14-00-00-00: Resfriador para instalação central de água gelada</t>
  </si>
  <si>
    <t>3E-50-20-16-00-00-00: Manômetro para instalação central de água gelada</t>
  </si>
  <si>
    <t>3E-50-20-18-00-00-00: Termômetro para instalação central de água gelada</t>
  </si>
  <si>
    <t>3E-50-20-20-00-00-00: Flow switch</t>
  </si>
  <si>
    <t>3E-50-20-22-00-00-00: Flow meter</t>
  </si>
  <si>
    <t>3E-50-20-24-00-00-00: Redução concêntrica para instalação central de água gelada</t>
  </si>
  <si>
    <t>3E-50-20-26-00-00-00: Redução excêntrica para instalação central de água gelada</t>
  </si>
  <si>
    <t>3E-50-20-28-00-00-00: Filtro de linha para instalação central de água gelada</t>
  </si>
  <si>
    <t>Amortecedor de vibração para instalação central de água gelada</t>
  </si>
  <si>
    <t>3E-50-20-30-00-00-00: Amortecedor de vibração para instalação central de água gelada</t>
  </si>
  <si>
    <t>3E-52-00-00-00-00-00: Elementos de sistemas de aquecimento</t>
  </si>
  <si>
    <t>3E-52-02-00-00-00-00: Elementos para sistemas de aquecimento solar ativo</t>
  </si>
  <si>
    <t>3E-52-02-02-00-00-00: Coletor de placa plana</t>
  </si>
  <si>
    <t>3E-52-02-04-00-00-00: Tanque de armazenamento para líquido quente</t>
  </si>
  <si>
    <t>3E-52-02-06-00-00-00: Bomba para sistemas de aquecimento solar ativo</t>
  </si>
  <si>
    <t>3E-52-02-08-00-00-00: Ventilador para sistemas de aquecimento solar ativo</t>
  </si>
  <si>
    <t>3E-52-02-10-00-00-00: Serpentina para sistemas de aquecimento solar ativo</t>
  </si>
  <si>
    <t>3E-52-02-12-00-00-00: Duto para sistemas de aquecimento solar ativo</t>
  </si>
  <si>
    <t>3E-52-02-14-00-00-00: Difusor para sistemas de aquecimento solar ativo</t>
  </si>
  <si>
    <t>3E-52-04-00-00-00-00: Elementos para sistemas de aquecimento hidrônico por água quente</t>
  </si>
  <si>
    <t>3E-52-04-02-00-00-00: Caldeira para sistemas de aquecimento hidrônico por água quente</t>
  </si>
  <si>
    <t>3E-52-04-04-00-00-00: Tanque de compressão para sistemas de aquecimento hidrônico por água quente</t>
  </si>
  <si>
    <t>3E-52-04-06-00-00-00: Bomba para sistemas de aquecimento hidrônico por água quente</t>
  </si>
  <si>
    <t>3E-52-04-08-00-00-00: Ramal de distribuição para sistemas de aquecimento hidrônico por água quente</t>
  </si>
  <si>
    <t>3E-52-04-10-00-00-00: Válvula de pressão para sistemas de aquecimento hidrônico por água quente</t>
  </si>
  <si>
    <t>3E-52-04-12-00-00-00: Válvula de controle para sistemas de aquecimento hidrônico por água quente</t>
  </si>
  <si>
    <t>3E-52-04-14-00-00-00: Radiador de calor para sistemas de aquecimento hidrônico por água quente</t>
  </si>
  <si>
    <t>3E-52-06-00-00-00-00: Elementos para sistemas de aquecimento a vapor</t>
  </si>
  <si>
    <t>3E-52-06-02-00-00-00: Caldeira para sistemas de aquecimento a vapor</t>
  </si>
  <si>
    <t>3E-52-06-04-00-00-00: Bomba de Vácuo para sistemas de aquecimento a vapor</t>
  </si>
  <si>
    <t>3E-52-06-06-00-00-00: Ramal de alimentação para sistemas de aquecimento a vapor</t>
  </si>
  <si>
    <t>3E-52-06-08-00-00-00: Ramal de retorno da água para sistemas de aquecimento a vapor</t>
  </si>
  <si>
    <t>3E-52-06-10-00-00-00: Válvula de controle para sistemas de aquecimento a vapor</t>
  </si>
  <si>
    <t>3E-52-06-12-00-00-00: Radiador para sistemas de aquecimento a vapor</t>
  </si>
  <si>
    <t>3E-52-08-00-00-00-00: Elementos para sistemas de aquecimento por ar quente</t>
  </si>
  <si>
    <t>3E-52-08-02-00-00-00: Combustor para sistemas de aquecimento por ar quente</t>
  </si>
  <si>
    <t>3E-52-08-04-00-00-00: Ventilador para sistemas de aquecimento por ar quente</t>
  </si>
  <si>
    <t>3E-52-08-06-00-00-00: Filtro de poeira para sistemas de aquecimento por ar quente</t>
  </si>
  <si>
    <t>3E-52-08-08-00-00-00: Tanque de óleo para sistemas de aquecimento por ar quente</t>
  </si>
  <si>
    <t>3E-52-08-10-00-00-00: Duto de insuflamento para sistemas de aquecimento por ar quente</t>
  </si>
  <si>
    <t>3E-52-08-12-00-00-00: Duto de retorno para sistemas de aquecimento por ar quente</t>
  </si>
  <si>
    <t>3E-54-00-00-00-00-00: Elementos de instalações de gases</t>
  </si>
  <si>
    <t>3E-54-02-00-00-00-00: Elementos para instalações de gases combustíveis</t>
  </si>
  <si>
    <t>3E-54-02-02-00-00-00: Elementos alimentadores em instalações de gases oombustíveis</t>
  </si>
  <si>
    <t>3E-54-02-04-00-00-00: Elementos distribuidores em instalações de gases combustíveis</t>
  </si>
  <si>
    <t>3E-54-02-04-02-00-00: Prumada de gases combustíveis</t>
  </si>
  <si>
    <t>3E-54-02-04-04-00-00: Ramal de distribuição de gases combustíveis</t>
  </si>
  <si>
    <t>3E-54-02-04-06-00-00: Sub-ramal de distribuição de gases combustíveis</t>
  </si>
  <si>
    <t>3E-54-02-06-00-00-00: Elementos conectores em instalações de gases combustíveis</t>
  </si>
  <si>
    <t>3E-54-02-08-00-00-00: Elementos controladores de fuxo em instalações de gases combustíveis</t>
  </si>
  <si>
    <t>3E-54-02-08-02-00-00: Regulador individual para instalação de gases combustíveis</t>
  </si>
  <si>
    <t>3E-54-02-08-04-00-00: Regulador coletivo para instalação de gases combustíveis</t>
  </si>
  <si>
    <t>3E-54-02-10-00-00-00: Elementos medidores de consumo em instalações de gases combustíveis</t>
  </si>
  <si>
    <t>3E-54-02-10-02-00-00: Medidor individual para instalação de gases combustíveis</t>
  </si>
  <si>
    <t>3E-54-02-10-04-00-00: Medidor coletivo para instalação de gases combustíveis</t>
  </si>
  <si>
    <t>3E-54-02-12-00-00-00: Elementos terminais em instalações de gases combustíveis</t>
  </si>
  <si>
    <t>3E-54-04-00-00-00-00: Elementos para instalações de gases medicinais</t>
  </si>
  <si>
    <t>3E-54-04-02-00-00-00: Elementos alimentadores em instalações de gases medicinais</t>
  </si>
  <si>
    <t>3E-54-04-04-00-00-00: Elementos para tratamento em instalações de gases medicinais</t>
  </si>
  <si>
    <t>3E-54-04-06-00-00-00: Elementos distribuidores em instalações de gases medicinais</t>
  </si>
  <si>
    <t>3E-54-04-08-00-00-00: Elementos conectores em instalações de gases medicinais</t>
  </si>
  <si>
    <t>3E-54-04-10-00-00-00: Elementos controladores de fluxo em instalações de gases medicinais</t>
  </si>
  <si>
    <t>3E-54-04-12-00-00-00: Elementos para monitoramento de instalações de gases medicinais</t>
  </si>
  <si>
    <t>3E-54-04-12-02-00-00: Painel de alarme de gases medicinais</t>
  </si>
  <si>
    <t>3E-54-04-12-04-00-00: Painel repetidor de alarme para instalações prediais de gases medicinais</t>
  </si>
  <si>
    <t>3E-54-04-14-00-00-00: Elementos terminais em instalações de gases medicinais</t>
  </si>
  <si>
    <t>3E-54-06-00-00-00-00: Elementos para instalações de gases industriais</t>
  </si>
  <si>
    <t>3E-54-06-02-00-00-00: Elementos alimentadores em instalações de gases industriais</t>
  </si>
  <si>
    <t>3E-54-06-04-00-00-00: Elementos para tratamento em instalações de gases industriais</t>
  </si>
  <si>
    <t>3E-54-06-06-00-00-00: Elementos distribuidores em instalações de gases industriais</t>
  </si>
  <si>
    <t>3E-54-06-08-00-00-00: Elementos conectores em instalações de gases industriais</t>
  </si>
  <si>
    <t>3E-54-06-10-00-00-00: Elementos controladores de fluxo em instalações de gases industriais</t>
  </si>
  <si>
    <t>3E-54-06-12-00-00-00: Elementos para monitoramento de instalações de gases industriais</t>
  </si>
  <si>
    <t>3E-54-06-12-02-00-00: Painel de alarme de gases industriais</t>
  </si>
  <si>
    <t>3E-54-06-12-04-00-00: Painel repetidor de alarme para instalações prediais de gases industriais</t>
  </si>
  <si>
    <t>3E-54-06-14-00-00-00: Elementos terminais em instalações de gases industriais</t>
  </si>
  <si>
    <t>3E-54-08-00-00-00-00: Elementos para instalações de gases especiais</t>
  </si>
  <si>
    <t>3E-54-08-02-00-00-00: Elementos alimentadores em instalações de gases especiais</t>
  </si>
  <si>
    <t>3E-54-08-04-00-00-00: Elementos para tratamento em instalações de gases especiais</t>
  </si>
  <si>
    <t>3E-54-08-06-00-00-00: Elementos distribuidores em instalações de gases especiais</t>
  </si>
  <si>
    <t>3E-54-08-08-00-00-00: Elementos conectores em instalações de gases especiais</t>
  </si>
  <si>
    <t>3E-54-08-10-00-00-00: Elementos controladores de fluxo em instalações de gases especiais</t>
  </si>
  <si>
    <t>3E-54-08-12-00-00-00: Elementos para monitoramento de instalações de gases especiais</t>
  </si>
  <si>
    <t>3E-54-08-12-02-00-00: Painel de alarme de gases especiais</t>
  </si>
  <si>
    <t>3E-54-08-12-04-00-00: Painel repetidor de alarme para instalações prediais de gases especiais</t>
  </si>
  <si>
    <t>3E-54-08-14-00-00-00: Elementos terminais em instalações de gases especiais</t>
  </si>
  <si>
    <t>3E-56-00-00-00-00-00: Elementos móveis</t>
  </si>
  <si>
    <t>3E-56-02-00-00-00-00: Elementos para comunicação visual</t>
  </si>
  <si>
    <t>3E-56-04-00-00-00-00: Elementos de mobiliário</t>
  </si>
  <si>
    <t>3E-56-06-00-00-00-00: Equipamentos móveis conectados às instalações elétricas</t>
  </si>
  <si>
    <t>3E-56-08-00-00-00-00: Equipamentos móveis conectados às instalações hidráulicas</t>
  </si>
  <si>
    <t>3E-58-00-00-00-00-00: Elementos de automação</t>
  </si>
  <si>
    <t>3E-58-02-00-00-00-00: Elementos de automação predial</t>
  </si>
  <si>
    <t>3E-58-04-00-00-00-00: Elementos de automação industrial</t>
  </si>
  <si>
    <t>3E-60-00-00-00-00-00: Elementos de sistemas de proteção a descargas atmosféricas</t>
  </si>
  <si>
    <t>3E-60-02-00-00-00-00: Elementos para a captação de descargas atmosféricas</t>
  </si>
  <si>
    <t>3E-60-02-02-00-00-00: Para-raios</t>
  </si>
  <si>
    <t>3E-60-02-04-00-00-00: Haste Franklin</t>
  </si>
  <si>
    <t>3E-60-02-06-00-00-00: Haste ionizante</t>
  </si>
  <si>
    <t>3E-60-02-08-00-00-00: Gaiola de Faraday</t>
  </si>
  <si>
    <t>3E-60-04-00-00-00-00: Elementos para descida de descargas atmosféricas</t>
  </si>
  <si>
    <t>3E-60-04-02-00-00-00: Condutor de interligação</t>
  </si>
  <si>
    <t>3E-60-06-00-00-00-00: Elementos para a conexão de aterramento da descarga atmosférica</t>
  </si>
  <si>
    <t>3E-60-06-02-00-00-00: Eletrodo para a conexão de aterramento da descarga atmosférica</t>
  </si>
  <si>
    <t>3E-60-08-00-00-00-00: Dispositivos para sistemas de proteção a descargas atmosféricas</t>
  </si>
  <si>
    <t>3E-60-06-02-00-00-00: Dispositivo de proteção contra surtos atmosféricos (dps-a)</t>
  </si>
  <si>
    <t>3E-62-00-00-00-00-00: Elementos de proteção a incêndio</t>
  </si>
  <si>
    <t>3E-62-02-00-00-00-00: Elementos para restrição ao surgimento e à propagação de incêndio</t>
  </si>
  <si>
    <t>3E-62-02-02-00-00-00: Compartimentação horizontal</t>
  </si>
  <si>
    <t>3E-62-02-04-00-00-00: Compartimentação vertical</t>
  </si>
  <si>
    <t>3E-62-04-00-00-00-00: Elementos para controle de crescimento e supressão de incêndio</t>
  </si>
  <si>
    <t>3E-62-06-00-00-00-00: Elementos de rede de gás para combate a incêndio</t>
  </si>
  <si>
    <t>3E-62-08-00-00-00-00: Elementos de rede de proteção por espuma</t>
  </si>
  <si>
    <t>3E-62-10-00-00-00-00: Elementos de rede de proteção por chuveiros</t>
  </si>
  <si>
    <t>3E-62-10-02-00-00-00: Válvula de governo e alarme (vga)</t>
  </si>
  <si>
    <t>3E-62-10-04-00-00-00: Câmara de retardo</t>
  </si>
  <si>
    <t>3E-62-10-06-00-00-00: Registro de recalque</t>
  </si>
  <si>
    <t>3E-62-10-08-00-00-00: Conexão de recalque</t>
  </si>
  <si>
    <t>3E-62-10-10-00-00-00: Dispositivo de recalque</t>
  </si>
  <si>
    <t>3E-62-10-12-00-00-00: Válvula redutora de pressão</t>
  </si>
  <si>
    <t>3E-62-10-14-00-00-00: Barrilete de chuveiro automático para incêndio</t>
  </si>
  <si>
    <t>3E-62-10-16-00-00-00: Prumada de chuveiro automático para incêndio</t>
  </si>
  <si>
    <t>3E-62-10-18-00-00-00: Ramal de chuveiro automático para incêndio</t>
  </si>
  <si>
    <t>3E-62-10-20-00-00-00: Terminal de chuveiro automático para incêndio</t>
  </si>
  <si>
    <t>3E-62-12-00-00-00-00: Elementos de detecção de incêndio</t>
  </si>
  <si>
    <t>3E-62-14-00-00-00-00: Elementos de alerta de incêndio</t>
  </si>
  <si>
    <t>3E-62-16-00-00-00-00: Elementos de acesso e facilidade para operações de socorro</t>
  </si>
  <si>
    <t>3E-62-18-00-00-00-00: Elementos de proteção estrutural em situações de incêndio</t>
  </si>
  <si>
    <t>3E-62-20-00-00-00-00: Elementos de controle de fumaça e gases</t>
  </si>
  <si>
    <t>3E-64-00-00-00-00-00: Elementos de segurança patrimonial</t>
  </si>
  <si>
    <t>3E-64-02-00-00-00-00: Elementos para monitoramento por câmeras</t>
  </si>
  <si>
    <t>3E-64-04-00-00-00-00: Elementos para monitoramento de presença</t>
  </si>
  <si>
    <t>3E-64-06-00-00-00-00: Elementos para alertas sonoros</t>
  </si>
  <si>
    <t>3E-64-08-00-00-00-00: Elementos para comunicação de ocorrência</t>
  </si>
  <si>
    <t>3E-64-10-00-00-00-00: Elementos para controle de acesso</t>
  </si>
  <si>
    <t>Disciplina</t>
  </si>
  <si>
    <t>Posteamento</t>
  </si>
  <si>
    <t>Informação Automática do Nome do Arquivo</t>
  </si>
  <si>
    <t>Pavimento 1</t>
  </si>
  <si>
    <t>Informação Automatica do Modelo</t>
  </si>
  <si>
    <t>Categoria</t>
  </si>
  <si>
    <t>Equipamento Eletrico</t>
  </si>
  <si>
    <t>Quadrante</t>
  </si>
  <si>
    <t>Quadrante 1</t>
  </si>
  <si>
    <t>Informação Calculada por Plugin Proprietário</t>
  </si>
  <si>
    <t>Ambiente</t>
  </si>
  <si>
    <t>Área de Lazer Externa</t>
  </si>
  <si>
    <t>Tipo</t>
  </si>
  <si>
    <t>Poste Circular 400mm com Transformador</t>
  </si>
  <si>
    <t>Informação Inserida pelo Projetista</t>
  </si>
  <si>
    <t>Instância</t>
  </si>
  <si>
    <t>PCT-400-01</t>
  </si>
  <si>
    <t>Descrição</t>
  </si>
  <si>
    <t>TAG-ID-GVC</t>
  </si>
  <si>
    <t>Informação Concatenada Automáticamente</t>
  </si>
  <si>
    <t>Coordenadas</t>
  </si>
  <si>
    <t>Quantidades</t>
  </si>
  <si>
    <t>Informação Calculada pelo Software Nativo</t>
  </si>
  <si>
    <t>Cor</t>
  </si>
  <si>
    <t>Informação Inserida por Plugin Proprietário</t>
  </si>
  <si>
    <t>Nível_EAP</t>
  </si>
  <si>
    <t>Mapa1_HEX</t>
  </si>
  <si>
    <t>Mapa1_RGB</t>
  </si>
  <si>
    <t>Mapa2_HEX</t>
  </si>
  <si>
    <t>Mapa2_RGB</t>
  </si>
  <si>
    <t>Mapa3_HEX</t>
  </si>
  <si>
    <t>Mapa3_RGB</t>
  </si>
  <si>
    <t>Mapa4_HEX</t>
  </si>
  <si>
    <t>Mapa4_RGB</t>
  </si>
  <si>
    <t>Mapa5_HEX</t>
  </si>
  <si>
    <t>Mapa5_RGB</t>
  </si>
  <si>
    <t>Personalizado1_HEX</t>
  </si>
  <si>
    <t>Personalizado1_RGB</t>
  </si>
  <si>
    <t>#72AC72</t>
  </si>
  <si>
    <t>rgb(114,172,114)</t>
  </si>
  <si>
    <t>#4FB05F</t>
  </si>
  <si>
    <t>rgb(79,176,95)</t>
  </si>
  <si>
    <t>#79B86F</t>
  </si>
  <si>
    <t>rgb(121,184,111)</t>
  </si>
  <si>
    <t>#35A735</t>
  </si>
  <si>
    <t>rgb(53,167,53)</t>
  </si>
  <si>
    <t>#63955F</t>
  </si>
  <si>
    <t>rgb(99,149,95)</t>
  </si>
  <si>
    <t>#83AC67</t>
  </si>
  <si>
    <t>rgb(131,172,103)</t>
  </si>
  <si>
    <t>#5EAF46</t>
  </si>
  <si>
    <t>rgb(94,175,70)</t>
  </si>
  <si>
    <t>#92BA64</t>
  </si>
  <si>
    <t>rgb(146,186,100)</t>
  </si>
  <si>
    <t>#5CA62B</t>
  </si>
  <si>
    <t>rgb(92,166,43)</t>
  </si>
  <si>
    <t>#739258</t>
  </si>
  <si>
    <t>rgb(115,146,88)</t>
  </si>
  <si>
    <t>#BAAA6E</t>
  </si>
  <si>
    <t>rgb(186,170,110)</t>
  </si>
  <si>
    <t>#C5BE45</t>
  </si>
  <si>
    <t>rgb(197,190,69)</t>
  </si>
  <si>
    <t>#C9A769</t>
  </si>
  <si>
    <t>rgb(201,167,105)</t>
  </si>
  <si>
    <t>#C5A121</t>
  </si>
  <si>
    <t>rgb(197,161,33)</t>
  </si>
  <si>
    <t>#A69059</t>
  </si>
  <si>
    <t>rgb(166,144,89)</t>
  </si>
  <si>
    <t>#64AAA8</t>
  </si>
  <si>
    <t>rgb(100,170,168)</t>
  </si>
  <si>
    <t>#459DAB</t>
  </si>
  <si>
    <t>rgb(69,157,171)</t>
  </si>
  <si>
    <t>#60B8AA</t>
  </si>
  <si>
    <t>rgb(96,184,170)</t>
  </si>
  <si>
    <t>#2AA29E</t>
  </si>
  <si>
    <t>rgb(42,162,158)</t>
  </si>
  <si>
    <t>#568F89</t>
  </si>
  <si>
    <t>rgb(86,143,137)</t>
  </si>
  <si>
    <t>#BE996A</t>
  </si>
  <si>
    <t>rgb(190,153,106)</t>
  </si>
  <si>
    <t>#CAA53F</t>
  </si>
  <si>
    <t>rgb(202,165,63)</t>
  </si>
  <si>
    <t>#CD9265</t>
  </si>
  <si>
    <t>rgb(205,146,101)</t>
  </si>
  <si>
    <t>#CC7F19</t>
  </si>
  <si>
    <t>rgb(204,127,25)</t>
  </si>
  <si>
    <t>#AA8055</t>
  </si>
  <si>
    <t>rgb(170,128,85)</t>
  </si>
  <si>
    <t>#9D7D62</t>
  </si>
  <si>
    <t>rgb(157,125,98)</t>
  </si>
  <si>
    <t>#96794B</t>
  </si>
  <si>
    <t>rgb(150,121,75)</t>
  </si>
  <si>
    <t>#A97760</t>
  </si>
  <si>
    <t>rgb(169,119,96)</t>
  </si>
  <si>
    <t>#895A33</t>
  </si>
  <si>
    <t>rgb(137,90,51)</t>
  </si>
  <si>
    <t>#806656</t>
  </si>
  <si>
    <t>rgb(128,102,86)</t>
  </si>
  <si>
    <t>#77869D</t>
  </si>
  <si>
    <t>rgb(119,134,157)</t>
  </si>
  <si>
    <t>#5D6B97</t>
  </si>
  <si>
    <t>rgb(93,107,151)</t>
  </si>
  <si>
    <t>#7790A7</t>
  </si>
  <si>
    <t>rgb(119,144,167)</t>
  </si>
  <si>
    <t>#47628B</t>
  </si>
  <si>
    <t>rgb(71,98,139)</t>
  </si>
  <si>
    <t>#657485</t>
  </si>
  <si>
    <t>rgb(101,116,133)</t>
  </si>
  <si>
    <t>#A1A1A1</t>
  </si>
  <si>
    <t>rgb(161,161,161)</t>
  </si>
  <si>
    <t>#919191</t>
  </si>
  <si>
    <t>rgb(145,145,145)</t>
  </si>
  <si>
    <t>#A6A6A6</t>
  </si>
  <si>
    <t>rgb(166,166,166)</t>
  </si>
  <si>
    <t>#808080</t>
  </si>
  <si>
    <t>rgb(128,128,128)</t>
  </si>
  <si>
    <t>#8C8C8C</t>
  </si>
  <si>
    <t>rgb(140,140,140)</t>
  </si>
  <si>
    <t>#B2A9BC</t>
  </si>
  <si>
    <t>rgb(178,169,188)</t>
  </si>
  <si>
    <t>#A892B5</t>
  </si>
  <si>
    <t>rgb(168,146,181)</t>
  </si>
  <si>
    <t>#B4ABC4</t>
  </si>
  <si>
    <t>rgb(180,171,196)</t>
  </si>
  <si>
    <t>#8F75AE</t>
  </si>
  <si>
    <t>rgb(143,117,174)</t>
  </si>
  <si>
    <t>#9C93A9</t>
  </si>
  <si>
    <t>rgb(156,147,169)</t>
  </si>
  <si>
    <t>#5E81A1</t>
  </si>
  <si>
    <t>rgb(94,129,161)</t>
  </si>
  <si>
    <t>#46639B</t>
  </si>
  <si>
    <t>rgb(70,99,155)</t>
  </si>
  <si>
    <t>#5B91AE</t>
  </si>
  <si>
    <t>rgb(91,145,174)</t>
  </si>
  <si>
    <t>#2D608F</t>
  </si>
  <si>
    <t>rgb(45,96,143)</t>
  </si>
  <si>
    <t>#546F83</t>
  </si>
  <si>
    <t>rgb(84,111,131)</t>
  </si>
  <si>
    <t>#C7BF89</t>
  </si>
  <si>
    <t>rgb(199,191,137)</t>
  </si>
  <si>
    <t>#CBCE64</t>
  </si>
  <si>
    <t>rgb(203,206,100)</t>
  </si>
  <si>
    <t>#D4BF87</t>
  </si>
  <si>
    <t>rgb(212,191,135)</t>
  </si>
  <si>
    <t>#DDC631</t>
  </si>
  <si>
    <t>rgb(221,198,49)</t>
  </si>
  <si>
    <t>#B4A774</t>
  </si>
  <si>
    <t>rgb(180,167,116)</t>
  </si>
  <si>
    <t>#A57CAC</t>
  </si>
  <si>
    <t>rgb(165,124,172)</t>
  </si>
  <si>
    <t>#AD5CAC</t>
  </si>
  <si>
    <t>rgb(173,92,172)</t>
  </si>
  <si>
    <t>#A67BB7</t>
  </si>
  <si>
    <t>rgb(166,123,183)</t>
  </si>
  <si>
    <t>#973FA7</t>
  </si>
  <si>
    <t>rgb(151,63,167)</t>
  </si>
  <si>
    <t>#8D6798</t>
  </si>
  <si>
    <t>rgb(141,103,152)</t>
  </si>
  <si>
    <t>#B8C76B</t>
  </si>
  <si>
    <t>rgb(184,199,107)</t>
  </si>
  <si>
    <t>#A4D83C</t>
  </si>
  <si>
    <t>rgb(164,216,60)</t>
  </si>
  <si>
    <t>#D4D864</t>
  </si>
  <si>
    <t>rgb(212,216,100)</t>
  </si>
  <si>
    <t>#C1E50B</t>
  </si>
  <si>
    <t>rgb(193,229,11)</t>
  </si>
  <si>
    <t>#AAB455</t>
  </si>
  <si>
    <t>rgb(170,180,85)</t>
  </si>
  <si>
    <t>#BABB58</t>
  </si>
  <si>
    <t>rgb(186,187,88)</t>
  </si>
  <si>
    <t>#AAC62F</t>
  </si>
  <si>
    <t>rgb(170,198,47)</t>
  </si>
  <si>
    <t>#CDBE51</t>
  </si>
  <si>
    <t>rgb(205,190,81)</t>
  </si>
  <si>
    <t>#BEC110</t>
  </si>
  <si>
    <t>rgb(190,193,16)</t>
  </si>
  <si>
    <t>#9F9B4B</t>
  </si>
  <si>
    <t>rgb(159,155,75)</t>
  </si>
  <si>
    <t>#D7E0A4</t>
  </si>
  <si>
    <t>rgb(215,224,164)</t>
  </si>
  <si>
    <t>#C6E97C</t>
  </si>
  <si>
    <t>rgb(198,233,124)</t>
  </si>
  <si>
    <t>#E9EBA3</t>
  </si>
  <si>
    <t>rgb(233,235,163)</t>
  </si>
  <si>
    <t>#E1FD45</t>
  </si>
  <si>
    <t>rgb(225,253,69)</t>
  </si>
  <si>
    <t>#C9CF8C</t>
  </si>
  <si>
    <t>rgb(201,207,140)</t>
  </si>
  <si>
    <t>#7194B7</t>
  </si>
  <si>
    <t>rgb(113,148,183)</t>
  </si>
  <si>
    <t>#4A71BF</t>
  </si>
  <si>
    <t>rgb(74,113,191)</t>
  </si>
  <si>
    <t>#6EA5C4</t>
  </si>
  <si>
    <t>rgb(110,165,196)</t>
  </si>
  <si>
    <t>#2873BD</t>
  </si>
  <si>
    <t>rgb(40,115,189)</t>
  </si>
  <si>
    <t>#5C84A3</t>
  </si>
  <si>
    <t>rgb(92,132,163)</t>
  </si>
  <si>
    <t>#BA78A8</t>
  </si>
  <si>
    <t>rgb(186,120,168)</t>
  </si>
  <si>
    <t>#C15291</t>
  </si>
  <si>
    <t>rgb(193,82,145)</t>
  </si>
  <si>
    <t>#C775BC</t>
  </si>
  <si>
    <t>rgb(199,117,188)</t>
  </si>
  <si>
    <t>#C62A9C</t>
  </si>
  <si>
    <t>rgb(198,42,156)</t>
  </si>
  <si>
    <t>#A66399</t>
  </si>
  <si>
    <t>rgb(166,99,153)</t>
  </si>
  <si>
    <t>#C185A1</t>
  </si>
  <si>
    <t>rgb(193,133,161)</t>
  </si>
  <si>
    <t>#C76180</t>
  </si>
  <si>
    <t>rgb(199,97,128)</t>
  </si>
  <si>
    <t>#CD83B0</t>
  </si>
  <si>
    <t>rgb(205,131,176)</t>
  </si>
  <si>
    <t>#D3317D</t>
  </si>
  <si>
    <t>rgb(211,49,125)</t>
  </si>
  <si>
    <t>#AE7091</t>
  </si>
  <si>
    <t>rgb(174,112,145)</t>
  </si>
  <si>
    <t>#6E83BA</t>
  </si>
  <si>
    <t>rgb(110,131,186)</t>
  </si>
  <si>
    <t>#4554C5</t>
  </si>
  <si>
    <t>rgb(69,84,197)</t>
  </si>
  <si>
    <t>#6991C9</t>
  </si>
  <si>
    <t>rgb(105,145,201)</t>
  </si>
  <si>
    <t>#214FC5</t>
  </si>
  <si>
    <t>rgb(33,79,197)</t>
  </si>
  <si>
    <t>#5974A6</t>
  </si>
  <si>
    <t>rgb(89,116,166)</t>
  </si>
  <si>
    <t>#606FB4</t>
  </si>
  <si>
    <t>rgb(96,111,180)</t>
  </si>
  <si>
    <t>#3A3DBA</t>
  </si>
  <si>
    <t>rgb(58,61,186)</t>
  </si>
  <si>
    <t>#5A7CC3</t>
  </si>
  <si>
    <t>rgb(90,124,195)</t>
  </si>
  <si>
    <t>#1E39B3</t>
  </si>
  <si>
    <t>rgb(30,57,179)</t>
  </si>
  <si>
    <t>#526499</t>
  </si>
  <si>
    <t>rgb(82,100,153)</t>
  </si>
  <si>
    <t>#6795B7</t>
  </si>
  <si>
    <t>rgb(103,149,183)</t>
  </si>
  <si>
    <t>#3D74C2</t>
  </si>
  <si>
    <t>rgb(61,116,194)</t>
  </si>
  <si>
    <t>#62AAC6</t>
  </si>
  <si>
    <t>rgb(98,170,198)</t>
  </si>
  <si>
    <t>#1F7BBC</t>
  </si>
  <si>
    <t>rgb(31,123,188)</t>
  </si>
  <si>
    <t>#55869F</t>
  </si>
  <si>
    <t>rgb(85,134,159)</t>
  </si>
  <si>
    <t>#5E56A9</t>
  </si>
  <si>
    <t>rgb(94,86,169)</t>
  </si>
  <si>
    <t>#573BA5</t>
  </si>
  <si>
    <t>rgb(87,59,165)</t>
  </si>
  <si>
    <t>#5154B9</t>
  </si>
  <si>
    <t>rgb(81,84,185)</t>
  </si>
  <si>
    <t>#2D219C</t>
  </si>
  <si>
    <t>rgb(45,33,156)</t>
  </si>
  <si>
    <t>#504E89</t>
  </si>
  <si>
    <t>rgb(80,78,137)</t>
  </si>
  <si>
    <t>#9F8D4B</t>
  </si>
  <si>
    <t>rgb(159,141,75)</t>
  </si>
  <si>
    <t>#9B9631</t>
  </si>
  <si>
    <t>rgb(155,150,49)</t>
  </si>
  <si>
    <t>#B48C41</t>
  </si>
  <si>
    <t>rgb(180,140,65)</t>
  </si>
  <si>
    <t>#907618</t>
  </si>
  <si>
    <t>rgb(144,118,24)</t>
  </si>
  <si>
    <t>#7E6E44</t>
  </si>
  <si>
    <t>rgb(126,110,68)</t>
  </si>
  <si>
    <t>Elementos da construção industrializada</t>
  </si>
  <si>
    <t>#80819D</t>
  </si>
  <si>
    <t>rgb(128,129,157)</t>
  </si>
  <si>
    <t>#6E6798</t>
  </si>
  <si>
    <t>rgb(110,103,152)</t>
  </si>
  <si>
    <t>#8288A6</t>
  </si>
  <si>
    <t>rgb(130,136,166)</t>
  </si>
  <si>
    <t>#51538A</t>
  </si>
  <si>
    <t>rgb(81,83,138)</t>
  </si>
  <si>
    <t>#6D7088</t>
  </si>
  <si>
    <t>rgb(109,112,136)</t>
  </si>
  <si>
    <t>#61A866</t>
  </si>
  <si>
    <t>rgb(97,168,102)</t>
  </si>
  <si>
    <t>#43A75B</t>
  </si>
  <si>
    <t>rgb(67,167,91)</t>
  </si>
  <si>
    <t>#63B75D</t>
  </si>
  <si>
    <t>rgb(99,183,93)</t>
  </si>
  <si>
    <t>#299E31</t>
  </si>
  <si>
    <t>rgb(41,158,49)</t>
  </si>
  <si>
    <t>#548C54</t>
  </si>
  <si>
    <t>rgb(84,140,84)</t>
  </si>
  <si>
    <t>#858FC1</t>
  </si>
  <si>
    <t>rgb(133,143,193)</t>
  </si>
  <si>
    <t>#6161C7</t>
  </si>
  <si>
    <t>rgb(97,97,199)</t>
  </si>
  <si>
    <t>#839ACD</t>
  </si>
  <si>
    <t>rgb(131,154,205)</t>
  </si>
  <si>
    <t>#314CD3</t>
  </si>
  <si>
    <t>rgb(49,76,211)</t>
  </si>
  <si>
    <t>#707EAE</t>
  </si>
  <si>
    <t>rgb(112,126,174)</t>
  </si>
  <si>
    <t>#C2995C</t>
  </si>
  <si>
    <t>rgb(194,153,92)</t>
  </si>
  <si>
    <t>#D4AD2B</t>
  </si>
  <si>
    <t>rgb(212,173,43)</t>
  </si>
  <si>
    <t>#D49054</t>
  </si>
  <si>
    <t>rgb(212,144,84)</t>
  </si>
  <si>
    <t>#D1820A</t>
  </si>
  <si>
    <t>rgb(209,130,10)</t>
  </si>
  <si>
    <t>#AA7E4B</t>
  </si>
  <si>
    <t>rgb(170,126,75)</t>
  </si>
  <si>
    <t>#96C563</t>
  </si>
  <si>
    <t>rgb(150,197,99)</t>
  </si>
  <si>
    <t>#6CD633</t>
  </si>
  <si>
    <t>rgb(108,214,51)</t>
  </si>
  <si>
    <t>#ABD65C</t>
  </si>
  <si>
    <t>rgb(171,214,92)</t>
  </si>
  <si>
    <t>#76DB0A</t>
  </si>
  <si>
    <t>rgb(118,219,10)</t>
  </si>
  <si>
    <t>#88B14E</t>
  </si>
  <si>
    <t>rgb(136,177,78)</t>
  </si>
  <si>
    <t>#ACA767</t>
  </si>
  <si>
    <t>rgb(172,167,103)</t>
  </si>
  <si>
    <t>#A4AF46</t>
  </si>
  <si>
    <t>rgb(164,175,70)</t>
  </si>
  <si>
    <t>#BAA964</t>
  </si>
  <si>
    <t>rgb(186,169,100)</t>
  </si>
  <si>
    <t>#A69E2B</t>
  </si>
  <si>
    <t>rgb(166,158,43)</t>
  </si>
  <si>
    <t>#928B58</t>
  </si>
  <si>
    <t>rgb(146,139,88)</t>
  </si>
  <si>
    <t>#BA6E7C</t>
  </si>
  <si>
    <t>rgb(186,110,124)</t>
  </si>
  <si>
    <t>#C54547</t>
  </si>
  <si>
    <t>rgb(197,69,71)</t>
  </si>
  <si>
    <t>#C96988</t>
  </si>
  <si>
    <t>rgb(201,105,136)</t>
  </si>
  <si>
    <t>#C5213F</t>
  </si>
  <si>
    <t>rgb(197,33,63)</t>
  </si>
  <si>
    <t>#A6596C</t>
  </si>
  <si>
    <t>rgb(166,89,108)</t>
  </si>
  <si>
    <t>#91CB67</t>
  </si>
  <si>
    <t>rgb(145,203,103)</t>
  </si>
  <si>
    <t>#60DD36</t>
  </si>
  <si>
    <t>rgb(96,221,54)</t>
  </si>
  <si>
    <t>#A4DC60</t>
  </si>
  <si>
    <t>rgb(164,220,96)</t>
  </si>
  <si>
    <t>#64ED03</t>
  </si>
  <si>
    <t>rgb(100,237,3)</t>
  </si>
  <si>
    <t>#83B752</t>
  </si>
  <si>
    <t>rgb(131,183,82)</t>
  </si>
  <si>
    <t>#C2915C</t>
  </si>
  <si>
    <t>rgb(194,145,92)</t>
  </si>
  <si>
    <t>#D49F2B</t>
  </si>
  <si>
    <t>rgb(212,159,43)</t>
  </si>
  <si>
    <t>#D48554</t>
  </si>
  <si>
    <t>rgb(212,133,84)</t>
  </si>
  <si>
    <t>#D1710A</t>
  </si>
  <si>
    <t>rgb(209,113,10)</t>
  </si>
  <si>
    <t>#AA764B</t>
  </si>
  <si>
    <t>rgb(170,118,75)</t>
  </si>
  <si>
    <t>#825AA5</t>
  </si>
  <si>
    <t>rgb(130,90,165)</t>
  </si>
  <si>
    <t>#8340A0</t>
  </si>
  <si>
    <t>rgb(131,64,160)</t>
  </si>
  <si>
    <t>#7B56B3</t>
  </si>
  <si>
    <t>rgb(123,86,179)</t>
  </si>
  <si>
    <t>#622796</t>
  </si>
  <si>
    <t>rgb(98,39,150)</t>
  </si>
  <si>
    <t>#695186</t>
  </si>
  <si>
    <t>rgb(105,81,134)</t>
  </si>
  <si>
    <t>Obra</t>
  </si>
  <si>
    <t>Viva Park</t>
  </si>
  <si>
    <t>Endereço</t>
  </si>
  <si>
    <t>Av. Mato Grosso - Bairro Carandá Bosque</t>
  </si>
  <si>
    <t>Data ref.:</t>
  </si>
  <si>
    <t>Cidade</t>
  </si>
  <si>
    <t>Campo Grande / MG</t>
  </si>
  <si>
    <t>Revisão:</t>
  </si>
  <si>
    <t>REV01</t>
  </si>
  <si>
    <t>Resp. Técnico</t>
  </si>
  <si>
    <t>Diego Bazana Senzano</t>
  </si>
  <si>
    <t>Registro</t>
  </si>
  <si>
    <t>CREA/MS: 18980</t>
  </si>
  <si>
    <t>Custo do Terreno</t>
  </si>
  <si>
    <t>Prazo:</t>
  </si>
  <si>
    <t>36 meses</t>
  </si>
  <si>
    <t>Custo de Obra</t>
  </si>
  <si>
    <t>Valor Total:</t>
  </si>
  <si>
    <t>item</t>
  </si>
  <si>
    <t>DESCRIÇÃO</t>
  </si>
  <si>
    <t>Custos</t>
  </si>
  <si>
    <t>Disciplinas</t>
  </si>
  <si>
    <t>Norma BIM (N2 e N3)</t>
  </si>
  <si>
    <t>MÊS 1-JUN</t>
  </si>
  <si>
    <t>MÊS 2-JUL</t>
  </si>
  <si>
    <t>MÊS 3-AGO</t>
  </si>
  <si>
    <t>MÊS 4-SET</t>
  </si>
  <si>
    <t>MÊS 5-OUT</t>
  </si>
  <si>
    <t>MÊS 6-NOV</t>
  </si>
  <si>
    <t>MÊS 7-DEZ</t>
  </si>
  <si>
    <t>MÊS 8-JAN</t>
  </si>
  <si>
    <t>MÊS 9-FEV</t>
  </si>
  <si>
    <t>MÊS 10-MAR</t>
  </si>
  <si>
    <t>MÊS 11-ABRIL</t>
  </si>
  <si>
    <t>MÊS 12-MAIO</t>
  </si>
  <si>
    <t>MÊS 13-JUN</t>
  </si>
  <si>
    <t>MÊS 14-JUL</t>
  </si>
  <si>
    <t>MÊS 15-AGO</t>
  </si>
  <si>
    <t>MÊS 16-SET</t>
  </si>
  <si>
    <t>MÊS 17-OUT</t>
  </si>
  <si>
    <t>MÊS 18-NOV</t>
  </si>
  <si>
    <t>MÊS 19-DEZ</t>
  </si>
  <si>
    <t>MÊS 20-JAN</t>
  </si>
  <si>
    <t>MÊS 21-FEV</t>
  </si>
  <si>
    <t>MÊS 22-MAR</t>
  </si>
  <si>
    <t>MÊS 23-ABR</t>
  </si>
  <si>
    <t>MÊS 24- MAI</t>
  </si>
  <si>
    <t>MÊS 25-JUN</t>
  </si>
  <si>
    <t>MÊS 26-JUL</t>
  </si>
  <si>
    <t>MÊS 27- AGO</t>
  </si>
  <si>
    <t>MÊS 28-SET</t>
  </si>
  <si>
    <t>MÊS 29- OUT</t>
  </si>
  <si>
    <t>MÊS 30- NOV</t>
  </si>
  <si>
    <t>MÊS 31- DEZ</t>
  </si>
  <si>
    <t>MÊS 32-JAN</t>
  </si>
  <si>
    <t>MÊS 33-FEV</t>
  </si>
  <si>
    <t>MÊS 34-MAR</t>
  </si>
  <si>
    <t>MÊS 35-ABR</t>
  </si>
  <si>
    <t>MÊS 36-MAI</t>
  </si>
  <si>
    <t>MÊS 36-JUN</t>
  </si>
  <si>
    <t>TOTAIS</t>
  </si>
  <si>
    <t>Locação / Canteiro / Administrativo</t>
  </si>
  <si>
    <t>3E-00</t>
  </si>
  <si>
    <t>Terraplenagem e Serviços Preliminares</t>
  </si>
  <si>
    <t>TOP</t>
  </si>
  <si>
    <t>3E-02</t>
  </si>
  <si>
    <t>Fundações e estruturas</t>
  </si>
  <si>
    <t/>
  </si>
  <si>
    <t>3E-12</t>
  </si>
  <si>
    <t>3E-10</t>
  </si>
  <si>
    <t>Impermeabilizações</t>
  </si>
  <si>
    <t>3E-18</t>
  </si>
  <si>
    <t>Alvenaria</t>
  </si>
  <si>
    <t>3E-14</t>
  </si>
  <si>
    <t>Esquadrias / Aberturas</t>
  </si>
  <si>
    <t>3E-20</t>
  </si>
  <si>
    <t xml:space="preserve">Revestimentos Interno / Externo </t>
  </si>
  <si>
    <t>3E-16</t>
  </si>
  <si>
    <t>3E-16-06</t>
  </si>
  <si>
    <t>3E-16-02</t>
  </si>
  <si>
    <t>Acabamentos / Pedras</t>
  </si>
  <si>
    <t>Pintura</t>
  </si>
  <si>
    <t>3E-14-04</t>
  </si>
  <si>
    <t>Equipamentos / Elevadores</t>
  </si>
  <si>
    <t>3E-46</t>
  </si>
  <si>
    <t>Instalações Eletricas</t>
  </si>
  <si>
    <t>3E-26</t>
  </si>
  <si>
    <t>Instalações de cabeamento estruturado</t>
  </si>
  <si>
    <t>3E-64</t>
  </si>
  <si>
    <t>Aterramento e SPDA</t>
  </si>
  <si>
    <t>3E-60</t>
  </si>
  <si>
    <t>Instalações hidrossanitarias</t>
  </si>
  <si>
    <t>3E-38</t>
  </si>
  <si>
    <t>Instalação de prevenção e combate a incêndio</t>
  </si>
  <si>
    <t>PSCIP</t>
  </si>
  <si>
    <t>3E-62</t>
  </si>
  <si>
    <t>Instalação de climatização</t>
  </si>
  <si>
    <t>CLI</t>
  </si>
  <si>
    <t>3E-50</t>
  </si>
  <si>
    <t>Instalação de gás</t>
  </si>
  <si>
    <t>3E-54</t>
  </si>
  <si>
    <t>Automação/Segurança Patrimonial</t>
  </si>
  <si>
    <t>3E-58</t>
  </si>
  <si>
    <t>Louças / Metais / Bancadas / Mobiliário / Paisagismo</t>
  </si>
  <si>
    <t>3E-56</t>
  </si>
  <si>
    <t>Limpeza / Asbuilt / Comissionamento</t>
  </si>
  <si>
    <t>3E-04</t>
  </si>
  <si>
    <t>Percentual</t>
  </si>
  <si>
    <t>Valor Total</t>
  </si>
  <si>
    <t>Item</t>
  </si>
  <si>
    <t>Sigla</t>
  </si>
  <si>
    <t>Agrupamento</t>
  </si>
  <si>
    <t>TOPOGRÁFICO</t>
  </si>
  <si>
    <t>CAN</t>
  </si>
  <si>
    <t>SONDAGEM</t>
  </si>
  <si>
    <t>SDG</t>
  </si>
  <si>
    <t>SONDAGEM PRELIMINAR</t>
  </si>
  <si>
    <t>SDP</t>
  </si>
  <si>
    <t>CADASTRO ARBÓREO</t>
  </si>
  <si>
    <t>ARB</t>
  </si>
  <si>
    <t>RELATÓRIO GEOAMBIENTAL</t>
  </si>
  <si>
    <t>AMB</t>
  </si>
  <si>
    <t>Rever se ainda vamos utilizar isso 👇🏻</t>
  </si>
  <si>
    <t>COTA DE ARRASAMENTO DE INUNDAÇÃO</t>
  </si>
  <si>
    <t>CIN</t>
  </si>
  <si>
    <t>FAUNA</t>
  </si>
  <si>
    <t>FAU</t>
  </si>
  <si>
    <t>HEX</t>
  </si>
  <si>
    <t>CONTAMINAÇÃO SOLO</t>
  </si>
  <si>
    <t>CSO</t>
  </si>
  <si>
    <t>Arquitetura e Interiores</t>
  </si>
  <si>
    <t>#cdbd82</t>
  </si>
  <si>
    <t>ESTRATÉGICO</t>
  </si>
  <si>
    <t>Disciplinas Agrupadas</t>
  </si>
  <si>
    <t>COTA ALTIMETRICA LIMITE</t>
  </si>
  <si>
    <t>CAL</t>
  </si>
  <si>
    <t>Estrutura e Fundações</t>
  </si>
  <si>
    <t>#424242</t>
  </si>
  <si>
    <t>TÁTICO</t>
  </si>
  <si>
    <t>3E-N2</t>
  </si>
  <si>
    <t>IPHAN (site)</t>
  </si>
  <si>
    <t>IPH</t>
  </si>
  <si>
    <t>Instalações Elétricas</t>
  </si>
  <si>
    <t>OPERACIONAL</t>
  </si>
  <si>
    <t>3E-N4</t>
  </si>
  <si>
    <t>LAVRA (site)</t>
  </si>
  <si>
    <t>LAV</t>
  </si>
  <si>
    <t>Instalações Hidráulicas</t>
  </si>
  <si>
    <t>#2196f3</t>
  </si>
  <si>
    <t>SONDAGEM EXECUTIVA</t>
  </si>
  <si>
    <t>SDE</t>
  </si>
  <si>
    <t>MEC</t>
  </si>
  <si>
    <t>Instalações Mecânicas</t>
  </si>
  <si>
    <t>ARQUITETURA</t>
  </si>
  <si>
    <t>Instalações de Incêndio</t>
  </si>
  <si>
    <t>PROJETO LEGAL</t>
  </si>
  <si>
    <t>AQA</t>
  </si>
  <si>
    <t>URB</t>
  </si>
  <si>
    <t>Urbanização e Infraestrutura</t>
  </si>
  <si>
    <t>PROJETO ARQUITETONICO APROVADO</t>
  </si>
  <si>
    <t xml:space="preserve">Canteiro e Indiretos </t>
  </si>
  <si>
    <t>#001e78</t>
  </si>
  <si>
    <t>PROJETO ARQUITETONICO EXECUTIVO</t>
  </si>
  <si>
    <t>PROJETO DE DETALHAMENTO ARQUITETONICO</t>
  </si>
  <si>
    <t>DET</t>
  </si>
  <si>
    <t>ESTRUTURAL</t>
  </si>
  <si>
    <t>FUNDAÇÃO</t>
  </si>
  <si>
    <t>EDIFICAÇÕES</t>
  </si>
  <si>
    <t>FORMA METÁLICA</t>
  </si>
  <si>
    <t>FOR</t>
  </si>
  <si>
    <t>TELHADO</t>
  </si>
  <si>
    <t>RESERVATÓRIO</t>
  </si>
  <si>
    <t>RES</t>
  </si>
  <si>
    <t>TERRAPLENAGEM</t>
  </si>
  <si>
    <t>TER</t>
  </si>
  <si>
    <t>DRENAGEM</t>
  </si>
  <si>
    <t>DRE</t>
  </si>
  <si>
    <t>ÁGUA</t>
  </si>
  <si>
    <t>AGU</t>
  </si>
  <si>
    <t>ESGOTO</t>
  </si>
  <si>
    <t>ESG</t>
  </si>
  <si>
    <t>TELEFONE E INTERFONE</t>
  </si>
  <si>
    <t>RED</t>
  </si>
  <si>
    <t>POSTEAMENTO E ENTRADA DE ENERGIA</t>
  </si>
  <si>
    <t>EEN</t>
  </si>
  <si>
    <t>COMBATE A INCÊNDIO</t>
  </si>
  <si>
    <t>INC</t>
  </si>
  <si>
    <t>HIDROSSANITÁRIO</t>
  </si>
  <si>
    <t>ELÉTRICO</t>
  </si>
  <si>
    <t>ELÉTRICO RESERVATÓRIO</t>
  </si>
  <si>
    <t>ELR</t>
  </si>
  <si>
    <t>VOZ, DADOS E IMAGEM</t>
  </si>
  <si>
    <t>VDI</t>
  </si>
  <si>
    <t>SPDA</t>
  </si>
  <si>
    <t>SPD</t>
  </si>
  <si>
    <t>GÁS</t>
  </si>
  <si>
    <t>GAS</t>
  </si>
  <si>
    <t>LOCAÇÃO DAS INSTALAÇÕES</t>
  </si>
  <si>
    <t>LOC</t>
  </si>
  <si>
    <t>IMPERMEABILIZAÇÃO</t>
  </si>
  <si>
    <t>IMP</t>
  </si>
  <si>
    <t>REUSO</t>
  </si>
  <si>
    <t>REU</t>
  </si>
  <si>
    <t>PRESSURIZAÇÃO</t>
  </si>
  <si>
    <t>PRE</t>
  </si>
  <si>
    <t>ELEVADOR</t>
  </si>
  <si>
    <t>ELV</t>
  </si>
  <si>
    <t>PAVIMENTAÇÃO</t>
  </si>
  <si>
    <t>PAISAGISMO</t>
  </si>
  <si>
    <t>PAI</t>
  </si>
  <si>
    <t>SISTEMA DE ALARME DE INCÊNDIO</t>
  </si>
  <si>
    <t>SDI</t>
  </si>
  <si>
    <t>URBANÍSTICO</t>
  </si>
  <si>
    <t>VIÁRIO</t>
  </si>
  <si>
    <t>VIA</t>
  </si>
  <si>
    <t>GEOTÉCNICO</t>
  </si>
  <si>
    <t>GEO</t>
  </si>
  <si>
    <t>CONTENÇÕES</t>
  </si>
  <si>
    <t>AMBIENTAL</t>
  </si>
  <si>
    <t>CANTEIRO</t>
  </si>
  <si>
    <t>GRUA</t>
  </si>
  <si>
    <t>GRU</t>
  </si>
  <si>
    <t>CREMALHEIRA</t>
  </si>
  <si>
    <t>CRE</t>
  </si>
  <si>
    <t>CONCRETAGEM</t>
  </si>
  <si>
    <t>CON</t>
  </si>
  <si>
    <t>LOGÍSTICA DE MATERIAL</t>
  </si>
  <si>
    <t>LGM</t>
  </si>
  <si>
    <t>LOGÍSTICA DE EQUIPAMENTOS</t>
  </si>
  <si>
    <t>LGE</t>
  </si>
  <si>
    <t>ACESSOS</t>
  </si>
  <si>
    <t>ASS</t>
  </si>
  <si>
    <t>FACHADA</t>
  </si>
  <si>
    <t>FAC</t>
  </si>
  <si>
    <t>ANDAIMES</t>
  </si>
  <si>
    <t>AND</t>
  </si>
  <si>
    <t>ESCORAMENTOS</t>
  </si>
  <si>
    <t>ESC</t>
  </si>
  <si>
    <t>FURAÇÃO</t>
  </si>
  <si>
    <t>FUR</t>
  </si>
  <si>
    <t>AR CONDICIONADO</t>
  </si>
  <si>
    <t>EXAUSTÃO</t>
  </si>
  <si>
    <t>EXA</t>
  </si>
  <si>
    <t>MEMORIAL CONCEPÇÃO</t>
  </si>
  <si>
    <t>MCO</t>
  </si>
  <si>
    <t>AVALIAÇÃO DE RUÍDO DE ENTORNO</t>
  </si>
  <si>
    <t>ARE</t>
  </si>
  <si>
    <t>SIMULAÇÃO LUMÍNICA</t>
  </si>
  <si>
    <t>SLU</t>
  </si>
  <si>
    <t>SIMULAÇÃO TÉRMICA</t>
  </si>
  <si>
    <t>STE</t>
  </si>
  <si>
    <t>SIMULAÇÃO ACÚSTICA</t>
  </si>
  <si>
    <t>SAC</t>
  </si>
  <si>
    <t>ANÁLISE DE RISCOS</t>
  </si>
  <si>
    <t>ARI</t>
  </si>
  <si>
    <t>METÁLICA</t>
  </si>
  <si>
    <t xml:space="preserve">MEMORIAL DESCRITIVO </t>
  </si>
  <si>
    <t>MDE</t>
  </si>
  <si>
    <t>PROJETO STAND ARQUITETÔNICO</t>
  </si>
  <si>
    <t>SVA</t>
  </si>
  <si>
    <t>PROJETO STAND INTERIORES</t>
  </si>
  <si>
    <t>SVI</t>
  </si>
  <si>
    <t>PROJETO STAND HIDRÁULICO</t>
  </si>
  <si>
    <t>SVH</t>
  </si>
  <si>
    <t>PROJETO STAND ELÉTRICO</t>
  </si>
  <si>
    <t>SVE</t>
  </si>
  <si>
    <t>LEVANTAMENTO</t>
  </si>
  <si>
    <t>LEV</t>
  </si>
  <si>
    <t>ELÉTRICA DO CANTEIRO</t>
  </si>
  <si>
    <t>RELATORIO DE COMPATIBILIZAÇÃO</t>
  </si>
  <si>
    <t>CPT</t>
  </si>
  <si>
    <t>ANÁLISE DE RISCO DE RETRABALHO</t>
  </si>
  <si>
    <t>ARR</t>
  </si>
  <si>
    <t>DETALHAMENTO DE RISCOS DE RETRABALHO</t>
  </si>
  <si>
    <t>DRR</t>
  </si>
  <si>
    <t>AQUECIMENTO SOLAR</t>
  </si>
  <si>
    <t>AQS</t>
  </si>
  <si>
    <t>DETALHAMENTO DO APARTAMENTO</t>
  </si>
  <si>
    <t>CALÇADA EXTERNA</t>
  </si>
  <si>
    <t>CLE</t>
  </si>
  <si>
    <t xml:space="preserve">ESQUADRIAS </t>
  </si>
  <si>
    <t>ESQ</t>
  </si>
  <si>
    <t>ÁREA DE FRUIÇÃO PÚBLICA</t>
  </si>
  <si>
    <t>AFP</t>
  </si>
  <si>
    <t>SUBSOLO</t>
  </si>
  <si>
    <t>SUB</t>
  </si>
  <si>
    <t>ESTACIONAMENTO</t>
  </si>
  <si>
    <t>ETO</t>
  </si>
  <si>
    <t>VIÁRIO EXTERNO</t>
  </si>
  <si>
    <t>VEX</t>
  </si>
  <si>
    <t>VIÁRIO INTERNO</t>
  </si>
  <si>
    <t>VIN</t>
  </si>
  <si>
    <t>PLANO DE DESEMPENHO</t>
  </si>
  <si>
    <t>PDE</t>
  </si>
  <si>
    <t>PLANO DE ATAQUE DE OBRA</t>
  </si>
  <si>
    <t>PAO</t>
  </si>
  <si>
    <t>CRONOGRAMA</t>
  </si>
  <si>
    <t>CRO</t>
  </si>
  <si>
    <t>ORÇAMENTO</t>
  </si>
  <si>
    <t>ORC</t>
  </si>
  <si>
    <t>COMPENSAÇÃO AMBIENTAL</t>
  </si>
  <si>
    <t>ENRIQUECIMENTO FLORÍSTICO</t>
  </si>
  <si>
    <t>COMPATIBILIZAÇÃO DE REDES ENTERRADAS</t>
  </si>
  <si>
    <t>COMPATIBILIZAÇÃO E RACIONALIZAÇÃO</t>
  </si>
  <si>
    <t>CTR</t>
  </si>
  <si>
    <t>INDUSTRIALIZAÇÃO</t>
  </si>
  <si>
    <t>IND</t>
  </si>
  <si>
    <t>KIT HIDRÁULICO</t>
  </si>
  <si>
    <t>KTH</t>
  </si>
  <si>
    <t>KIT ELÉTRICO</t>
  </si>
  <si>
    <t>KTE</t>
  </si>
  <si>
    <t>KIT INCÊNCIO</t>
  </si>
  <si>
    <t>KTI</t>
  </si>
  <si>
    <t>KIT VEDAÇÕES</t>
  </si>
  <si>
    <t>KTV</t>
  </si>
  <si>
    <t>DRYWALL</t>
  </si>
  <si>
    <t>DRY</t>
  </si>
  <si>
    <t>VEDAÇÕES</t>
  </si>
  <si>
    <t>VED</t>
  </si>
  <si>
    <t>ALVENARIAS</t>
  </si>
  <si>
    <t>ALV</t>
  </si>
  <si>
    <t>VENTILAÇÃO MECÂNICA</t>
  </si>
  <si>
    <t>VTM</t>
  </si>
  <si>
    <t>CLIMATIZAÇÃO</t>
  </si>
  <si>
    <t>QUADRO ELÉTRICO</t>
  </si>
  <si>
    <t>QDC</t>
  </si>
  <si>
    <t>RESERVATÓRIO METÁLICO</t>
  </si>
  <si>
    <t>RSM</t>
  </si>
  <si>
    <t>RESERVATÓRIO DE CONCRETO</t>
  </si>
  <si>
    <t>RSC</t>
  </si>
  <si>
    <t>ARRIMOS</t>
  </si>
  <si>
    <t>ANÁLISE DE ESTABILIDADE DE TALUDES</t>
  </si>
  <si>
    <t>AET</t>
  </si>
  <si>
    <t>MAPA DE CARGAS</t>
  </si>
  <si>
    <t>MAC</t>
  </si>
  <si>
    <t xml:space="preserve">TRATAMENTO DE SOLO </t>
  </si>
  <si>
    <t>TDS</t>
  </si>
  <si>
    <t>RECOMPOSIÇÃO DE PAVIMENTO</t>
  </si>
  <si>
    <t>ESTAÇÃO ELEVATÓRIA</t>
  </si>
  <si>
    <t>EEE</t>
  </si>
  <si>
    <t>ESTAÇÃO DE TRATAMENTO DE ESGOTO</t>
  </si>
  <si>
    <t>ETE</t>
  </si>
  <si>
    <t>ESTAÇÃO DE TRATAMENTO DE ÁGUA</t>
  </si>
  <si>
    <t>ETA</t>
  </si>
  <si>
    <t>TRAVESSIA DE LÍQUIDOS E GASES</t>
  </si>
  <si>
    <t>TLG</t>
  </si>
  <si>
    <t>ENTRADA DE ENERGIA</t>
  </si>
  <si>
    <t>PADRÃO DE ENTRADA DE ENERGIA</t>
  </si>
  <si>
    <t>PEE</t>
  </si>
  <si>
    <t>ESQUADRIA ESTRUTURAL</t>
  </si>
  <si>
    <t>Software A / Parametro B</t>
  </si>
  <si>
    <t>Nome</t>
  </si>
  <si>
    <t>Comprimento</t>
  </si>
  <si>
    <t>Area</t>
  </si>
  <si>
    <t>Volume</t>
  </si>
  <si>
    <t>Micro Station (dgn)</t>
  </si>
  <si>
    <t>Item Name</t>
  </si>
  <si>
    <t>Revit (rvt)</t>
  </si>
  <si>
    <t>category</t>
  </si>
  <si>
    <t>Navisworks (nwd)</t>
  </si>
  <si>
    <t>Tekla (ifc)</t>
  </si>
  <si>
    <t>AutoCad 2D (dwg)</t>
  </si>
  <si>
    <t>AutoCad Civil 3D (dwg)</t>
  </si>
  <si>
    <t>3Ds Max (fbx)</t>
  </si>
  <si>
    <t>Design Review (dwf)</t>
  </si>
  <si>
    <t>AVEVA PDMS (rvm)</t>
  </si>
  <si>
    <t>Inventor (stp)</t>
  </si>
  <si>
    <t>infraWorks (fbx)</t>
  </si>
  <si>
    <t>"O objeto (Nome do Elemento) localizado no pavimento (Pavimento) do bloco (Bloco), pertencente à categoria (Categoria), com o tipo (Tipo), código BIM (Código do Elemento), fabricado por (Fabricante), instalado na data (Data de Instalação), cuja dimensão principal é (Dimensão), modelo (Modelo), número de série (Número de Série), pertence ao sistema (Sistema), está vinculado ao ambiente (Ambiente), com coordenadas (Coordenadas X, Y, Z), possuindo status de execução (Status) e custo estimado (Custo), foi identificado no modelo tridimensional como parte do pacote de trabalho (Pacote de Trabalho)."</t>
  </si>
  <si>
    <t>Tipos de parametros</t>
  </si>
  <si>
    <t>Quantitativos</t>
  </si>
  <si>
    <t>Números não digitáveis (calculados via software)</t>
  </si>
  <si>
    <t>Descritivos</t>
  </si>
  <si>
    <t>Parametros de texto que descrevem o objeto</t>
  </si>
  <si>
    <t>Qualitativos</t>
  </si>
  <si>
    <t>Parametros estratégicos de cada softwares (nós escolhemos)</t>
  </si>
  <si>
    <t>Não aplicáveis</t>
  </si>
  <si>
    <t>Não necessários no fluxo de trabalho</t>
  </si>
  <si>
    <t>*Parametros de Quantitativo: Definem se a unidade do elemento</t>
  </si>
  <si>
    <t>3E-46-00-00-00-00-00: Elementos da construção industrializada</t>
  </si>
  <si>
    <t>#fde515</t>
  </si>
  <si>
    <t>CIV</t>
  </si>
  <si>
    <t>#fd302f</t>
  </si>
  <si>
    <t>#0bdeb8</t>
  </si>
  <si>
    <t>FTB</t>
  </si>
  <si>
    <t>#f97216</t>
  </si>
  <si>
    <t>INS</t>
  </si>
  <si>
    <t>#8b5cf6</t>
  </si>
  <si>
    <t>ISO</t>
  </si>
  <si>
    <t>#11cc8c</t>
  </si>
  <si>
    <t>#fd68b2</t>
  </si>
  <si>
    <t>PIN</t>
  </si>
  <si>
    <t>#ffffff</t>
  </si>
  <si>
    <t>TEL</t>
  </si>
  <si>
    <t>#3c82f6</t>
  </si>
  <si>
    <t>TUB</t>
  </si>
  <si>
    <t>Códigos encontrados em projetos</t>
  </si>
  <si>
    <t xml:space="preserve">classificacao </t>
  </si>
  <si>
    <t>classifcacao 1</t>
  </si>
  <si>
    <t>classificacao 2</t>
  </si>
  <si>
    <t>classificacao 3</t>
  </si>
  <si>
    <t>dicionário</t>
  </si>
  <si>
    <t>disciplina</t>
  </si>
  <si>
    <t>categoria</t>
  </si>
  <si>
    <t xml:space="preserve">familia </t>
  </si>
  <si>
    <t>tipo</t>
  </si>
  <si>
    <t>maleabilidade</t>
  </si>
  <si>
    <t>revit</t>
  </si>
  <si>
    <t>observador</t>
  </si>
  <si>
    <t>farol (alto, médio, baixo)</t>
  </si>
  <si>
    <t>lod (200)</t>
  </si>
  <si>
    <t>lod (300)</t>
  </si>
  <si>
    <t>lod (400)</t>
  </si>
  <si>
    <t>lod (500)</t>
  </si>
  <si>
    <t>(1-16) - obra</t>
  </si>
  <si>
    <t>cor 1</t>
  </si>
  <si>
    <t>cor 2</t>
  </si>
  <si>
    <t>quantificacação de terraplenagem (Marca de Tipo)</t>
  </si>
  <si>
    <t>entorno</t>
  </si>
  <si>
    <t>3E-00-00-00-00-00-00 - Elementos de entorno</t>
  </si>
  <si>
    <t>estrategico</t>
  </si>
  <si>
    <t>baixo</t>
  </si>
  <si>
    <t>sim</t>
  </si>
  <si>
    <t>nao</t>
  </si>
  <si>
    <t>3E-00-00-00-00-00-00-entorno</t>
  </si>
  <si>
    <t>3E-02-00-00-00-00-00 - Elementos de manejo do terreno</t>
  </si>
  <si>
    <t>roxo</t>
  </si>
  <si>
    <t>verde</t>
  </si>
  <si>
    <t>manejo do terreno</t>
  </si>
  <si>
    <t>tático</t>
  </si>
  <si>
    <t>médio</t>
  </si>
  <si>
    <t>instancia</t>
  </si>
  <si>
    <t>operacional</t>
  </si>
  <si>
    <t>alto</t>
  </si>
  <si>
    <t>canteiro de obra</t>
  </si>
  <si>
    <t>drenagem</t>
  </si>
  <si>
    <t>3E-06</t>
  </si>
  <si>
    <t>tráfego</t>
  </si>
  <si>
    <t>3E-08</t>
  </si>
  <si>
    <t>fundações</t>
  </si>
  <si>
    <t>estruturas</t>
  </si>
  <si>
    <t>vedações</t>
  </si>
  <si>
    <t>acabamentos</t>
  </si>
  <si>
    <t>impermeabilização</t>
  </si>
  <si>
    <t>aberturas</t>
  </si>
  <si>
    <t>acústicos</t>
  </si>
  <si>
    <t>3E-22</t>
  </si>
  <si>
    <t>redes de transmissão de eletricidade</t>
  </si>
  <si>
    <t>3E-24</t>
  </si>
  <si>
    <t>instalações prediais de eletricidade</t>
  </si>
  <si>
    <t>iluminação</t>
  </si>
  <si>
    <t>3E-28</t>
  </si>
  <si>
    <t>ventilação e exaustão</t>
  </si>
  <si>
    <t>3E-30</t>
  </si>
  <si>
    <t>rede de distribuição de telecomunicações</t>
  </si>
  <si>
    <t>3E-32</t>
  </si>
  <si>
    <t>instalações prediais de telecomunicações</t>
  </si>
  <si>
    <t>3E-34</t>
  </si>
  <si>
    <t>sistemas de abastecimento de água</t>
  </si>
  <si>
    <t>3E-36</t>
  </si>
  <si>
    <t>instalações hidráulicas</t>
  </si>
  <si>
    <t>instalações de água pluvial</t>
  </si>
  <si>
    <t>3E-40</t>
  </si>
  <si>
    <t>instalações sanitárias</t>
  </si>
  <si>
    <t>3E-42</t>
  </si>
  <si>
    <t>rede de esgotamento sanitário</t>
  </si>
  <si>
    <t>3E-44</t>
  </si>
  <si>
    <t>tratamento de resíduos sólidos</t>
  </si>
  <si>
    <t>3E-48</t>
  </si>
  <si>
    <t>sistemas de refrigeração</t>
  </si>
  <si>
    <t>3E-50-20-30-00-00-00 - Amortecedor de vibração para instalação central de água gelada</t>
  </si>
  <si>
    <t>sistemas de aquecimento</t>
  </si>
  <si>
    <t>3E-52</t>
  </si>
  <si>
    <t>instalações de gases</t>
  </si>
  <si>
    <t>3E-54-04-14-00-00-00 - Elementos terminais em instalações de gases medicinais</t>
  </si>
  <si>
    <t>móveis</t>
  </si>
  <si>
    <t>automação</t>
  </si>
  <si>
    <t>sistemas de proteção a descargas atmosféricas</t>
  </si>
  <si>
    <t>proteção a incêndio</t>
  </si>
  <si>
    <t>segurança patrimonial</t>
  </si>
  <si>
    <t>ZONAS</t>
  </si>
  <si>
    <t>Etapas</t>
  </si>
  <si>
    <t>Executado</t>
  </si>
  <si>
    <t>Todo serviço, considerando globalmente o empreendimento e que está 100% concluído</t>
  </si>
  <si>
    <t>Executando</t>
  </si>
  <si>
    <t>Todo serviço que naquela imagem, estará em processo de execuçào no canteiro de obras</t>
  </si>
  <si>
    <t>ZA</t>
  </si>
  <si>
    <t>Zona Alta</t>
  </si>
  <si>
    <t>Tudo que é acima do último pavimento tipo</t>
  </si>
  <si>
    <t>Risco</t>
  </si>
  <si>
    <t xml:space="preserve">Planejado </t>
  </si>
  <si>
    <t>linha de base do planejamento do empreendimento</t>
  </si>
  <si>
    <t>Finalizado</t>
  </si>
  <si>
    <t>Todo processo que está 100% concluído e não precisa de retorno para correção</t>
  </si>
  <si>
    <t>ZT</t>
  </si>
  <si>
    <t>Zona Tipo</t>
  </si>
  <si>
    <t xml:space="preserve">Pavimentos tipo </t>
  </si>
  <si>
    <t>Compras</t>
  </si>
  <si>
    <t>Atrasado</t>
  </si>
  <si>
    <t>Todo serviço que naquela semana, que está considerado como atrasado no cronograma executado</t>
  </si>
  <si>
    <t>ZB</t>
  </si>
  <si>
    <t>Zona Baixa</t>
  </si>
  <si>
    <t>Nível da rua até o último nível antes do pavimeto tipo</t>
  </si>
  <si>
    <t>#8ac24a</t>
  </si>
  <si>
    <t>Avanço</t>
  </si>
  <si>
    <t>Adiantado</t>
  </si>
  <si>
    <t>Todo serviço que naquela semana, que está considerado como adiantado no cronograma executado</t>
  </si>
  <si>
    <t>ZI</t>
  </si>
  <si>
    <t>Zona Inferior</t>
  </si>
  <si>
    <t>Tudo que está abaixo do nível da rua da portaria</t>
  </si>
  <si>
    <t>#ccdc3a</t>
  </si>
  <si>
    <t>Medições</t>
  </si>
  <si>
    <t>Crítico</t>
  </si>
  <si>
    <t>Todo serviço que está no caminho crítico da obra</t>
  </si>
  <si>
    <t>ZE</t>
  </si>
  <si>
    <t>Zona Externa</t>
  </si>
  <si>
    <t>Tudo que está do lado de fora do limite das edificações</t>
  </si>
  <si>
    <t>feea3a</t>
  </si>
  <si>
    <t>ZS</t>
  </si>
  <si>
    <t>Zona Shafts</t>
  </si>
  <si>
    <t>Toda instalação que está dentro de um shaft, caixa de elevador, etc...</t>
  </si>
  <si>
    <t>#fec208</t>
  </si>
  <si>
    <t xml:space="preserve">Urbanização e Fachadas </t>
  </si>
  <si>
    <t>ZF</t>
  </si>
  <si>
    <t>Zona Fachada</t>
  </si>
  <si>
    <t>Toda instalação que está dentro de um shaft</t>
  </si>
  <si>
    <t>NI</t>
  </si>
  <si>
    <t>Não Incidente</t>
  </si>
  <si>
    <t xml:space="preserve">Tudo que está do lado de fora do limite do lote </t>
  </si>
  <si>
    <t>- Quantidade de ocorrência relacionada ao tipo de Não conformidade [I] e ao Impacto [J];</t>
  </si>
  <si>
    <t>- Quantidade de ocorrência relacionada ao Empreendimentp [P], Responsável Técnico [R] e Responsável interno [S];</t>
  </si>
  <si>
    <t>- Quantidade de análise realizada, variação de datas na coluna Data análise [E];</t>
  </si>
  <si>
    <t>- Tempo decorrido entre as colunas de datas, sendo: Data disponibilização projeto [O], Data análise [E] e Data conclusão da demanda [M]</t>
  </si>
  <si>
    <t>*Acordamos que a data de disponibilização do projeto será acessada diretamente no Construmanager, através de API. @Stefani Kelly de Oliveira agiliza por favor.</t>
  </si>
  <si>
    <t>transmissão aberta</t>
  </si>
  <si>
    <t>origem da geometria</t>
  </si>
  <si>
    <t>origem dos dados</t>
  </si>
  <si>
    <t>instagram</t>
  </si>
  <si>
    <t>ifc</t>
  </si>
  <si>
    <t>csv</t>
  </si>
  <si>
    <t>monday</t>
  </si>
  <si>
    <t>&gt;&gt;</t>
  </si>
  <si>
    <t>dados</t>
  </si>
  <si>
    <t>gpt</t>
  </si>
  <si>
    <t>sheets</t>
  </si>
  <si>
    <t>aws</t>
  </si>
  <si>
    <t>sperkle</t>
  </si>
  <si>
    <t>powerbi</t>
  </si>
  <si>
    <t>d-id</t>
  </si>
  <si>
    <t>unreal</t>
  </si>
  <si>
    <t>vimeo</t>
  </si>
  <si>
    <t>canva</t>
  </si>
  <si>
    <t>manychat</t>
  </si>
  <si>
    <t>nwd</t>
  </si>
  <si>
    <t>xls</t>
  </si>
  <si>
    <t>autodesk construction cloud</t>
  </si>
  <si>
    <t>forma</t>
  </si>
  <si>
    <t>xml</t>
  </si>
  <si>
    <t>construflow</t>
  </si>
  <si>
    <t>ifc.js</t>
  </si>
  <si>
    <t>mpp</t>
  </si>
  <si>
    <t>construpoint</t>
  </si>
  <si>
    <t>bim collaboration format</t>
  </si>
  <si>
    <t>whatsapp</t>
  </si>
  <si>
    <t>transmissão fechada</t>
  </si>
  <si>
    <t>centro estratégico de obras</t>
  </si>
  <si>
    <t>Tela</t>
  </si>
  <si>
    <t>A1</t>
  </si>
  <si>
    <t xml:space="preserve">código </t>
  </si>
  <si>
    <r>
      <rPr>
        <b/>
        <sz val="10"/>
        <color theme="1"/>
        <rFont val="Helvetica Neue"/>
      </rPr>
      <t xml:space="preserve">descrição objeto A </t>
    </r>
    <r>
      <rPr>
        <b/>
        <sz val="10"/>
        <color theme="1"/>
        <rFont val="Helvetica Neue"/>
      </rPr>
      <t>↓</t>
    </r>
    <r>
      <rPr>
        <b/>
        <sz val="10"/>
        <color theme="1"/>
        <rFont val="Helvetica Neue"/>
      </rPr>
      <t xml:space="preserve"> / descrição objeto B  ‭</t>
    </r>
    <r>
      <rPr>
        <b/>
        <sz val="10"/>
        <color theme="1"/>
        <rFont val="Helvetica Neue"/>
      </rPr>
      <t>→</t>
    </r>
  </si>
  <si>
    <t>Peso Atribuído</t>
  </si>
  <si>
    <t>Descrição de Regra Geral 1 (máx 200 caracteres)</t>
  </si>
  <si>
    <t>Descrição de Regra Geral 2 (máx 200 caracteres)</t>
  </si>
  <si>
    <t>Descrição de Regra Geral 3 (máx 200 caracteres)</t>
  </si>
  <si>
    <t>Descrição de Regra Geral 4 (máx 200 caracteres)</t>
  </si>
  <si>
    <t>-</t>
  </si>
  <si>
    <t>Desviar (t=800mm)</t>
  </si>
  <si>
    <t>Esclarecer</t>
  </si>
  <si>
    <t>Abertura (t=400mm)</t>
  </si>
  <si>
    <t>Abertura (t=20mm)</t>
  </si>
  <si>
    <t>Desviar (t=400mm)</t>
  </si>
  <si>
    <r>
      <rPr>
        <b/>
        <sz val="10"/>
        <color rgb="FF000000"/>
        <rFont val="Helvetica Neue"/>
      </rPr>
      <t>EXEMPLO:</t>
    </r>
    <r>
      <rPr>
        <sz val="10"/>
        <color rgb="FF000000"/>
        <rFont val="Helvetica Neue"/>
      </rPr>
      <t xml:space="preserve"> "Manter distância mínima de 2 metros de máquinas, materiais suspensos e áreas de demolição para evitar acidentes e garantir a segurança no canteiro de obras."</t>
    </r>
  </si>
  <si>
    <t>Abertura (t=40mm)</t>
  </si>
  <si>
    <t>Abertura (t=800mm)</t>
  </si>
  <si>
    <t>Desviar (t=40mm)</t>
  </si>
  <si>
    <t>Desviar (t=20mm)</t>
  </si>
  <si>
    <t>Classificar</t>
  </si>
  <si>
    <t>Desviar</t>
  </si>
  <si>
    <t>Atividades</t>
  </si>
  <si>
    <t>patrícia</t>
  </si>
  <si>
    <t>colorir de azul quando o elemento A prevalecer</t>
  </si>
  <si>
    <t>colorir de verde quando o elemento B prevalecer</t>
  </si>
  <si>
    <t>substituir a palavra Classificar pela provável solução dentre as possibilidades (Desviar ou Abertura)</t>
  </si>
  <si>
    <t xml:space="preserve">construcao conectada </t>
  </si>
  <si>
    <t>colorir de roxo quando forem situações que estão no caminho crítico</t>
  </si>
  <si>
    <t>vincular tempo e clash para identificar problemas no caminho crítico da obra</t>
  </si>
  <si>
    <t>elemento B move em direção contrária ao elemento A</t>
  </si>
  <si>
    <t>Abertura</t>
  </si>
  <si>
    <t>elemento B será aberto para a passagem do elemento A</t>
  </si>
  <si>
    <t>necessário preencher</t>
  </si>
  <si>
    <t>Datacenter</t>
  </si>
  <si>
    <t>Infraestrutura</t>
  </si>
  <si>
    <t>Hospital</t>
  </si>
  <si>
    <t>Banco</t>
  </si>
  <si>
    <t>Residência</t>
  </si>
  <si>
    <t>Hotel</t>
  </si>
  <si>
    <t>descriçao</t>
  </si>
  <si>
    <t>nível eap nbr15965</t>
  </si>
  <si>
    <t>Legal Susceptibility Weight (1-8)</t>
  </si>
  <si>
    <t>Market Volatility Weight (1-8)</t>
  </si>
  <si>
    <t>Maleability Weight (1-8)</t>
  </si>
  <si>
    <t>Material</t>
  </si>
  <si>
    <t>Stock Exchanges</t>
  </si>
  <si>
    <t>Qtde (und)</t>
  </si>
  <si>
    <t>Comprimento (m)</t>
  </si>
  <si>
    <t>Área (m2)</t>
  </si>
  <si>
    <t>Volume (m3)</t>
  </si>
  <si>
    <t>General Environmental Elements</t>
  </si>
  <si>
    <t>BM&amp;FBOVESPA, LSE, Euronext</t>
  </si>
  <si>
    <t>Concrete</t>
  </si>
  <si>
    <t>BM&amp;FBOVESPA</t>
  </si>
  <si>
    <t>Reinforcing Steel (Rebar)</t>
  </si>
  <si>
    <t>BM&amp;FBOVESPA, NYSE, SSE</t>
  </si>
  <si>
    <t>Structural Steel</t>
  </si>
  <si>
    <t>NYSE, LSE, SSE</t>
  </si>
  <si>
    <t>Precast Concrete</t>
  </si>
  <si>
    <t>BM&amp;FBOVESPA, LSE</t>
  </si>
  <si>
    <t>Aggregates</t>
  </si>
  <si>
    <t>Cement</t>
  </si>
  <si>
    <t>Masonry Brick</t>
  </si>
  <si>
    <t>Limestone</t>
  </si>
  <si>
    <t>Gypsum</t>
  </si>
  <si>
    <t>BM&amp;FBOVESPA, Euronext</t>
  </si>
  <si>
    <t>Glass Fiber</t>
  </si>
  <si>
    <t>NASDAQ, TSE</t>
  </si>
  <si>
    <t>Copper</t>
  </si>
  <si>
    <t>LSE, NYSE, SSE</t>
  </si>
  <si>
    <t>PVC (Polyvinyl Chloride)</t>
  </si>
  <si>
    <t>NASDAQ, SSE</t>
  </si>
  <si>
    <t>HDPE (High-Density Polyethylene)</t>
  </si>
  <si>
    <t>NASDAQ, ASX</t>
  </si>
  <si>
    <t>Aluminum</t>
  </si>
  <si>
    <t>Insulation Materials</t>
  </si>
  <si>
    <t>NYSE, Euronext</t>
  </si>
  <si>
    <t>Brick Veneer</t>
  </si>
  <si>
    <t>Natural Stone (Granite, Marble)</t>
  </si>
  <si>
    <t>Glass</t>
  </si>
  <si>
    <t>LSE, TSE, Euronext</t>
  </si>
  <si>
    <t>Ceramic Tiles</t>
  </si>
  <si>
    <t>BM&amp;FBOVESPA, ASX</t>
  </si>
  <si>
    <t>Paints and Coatings</t>
  </si>
  <si>
    <t>NYSE, NASDAQ</t>
  </si>
  <si>
    <t>Wood</t>
  </si>
  <si>
    <t>BM&amp;FBOVESPA, LSE, ASX</t>
  </si>
  <si>
    <t>Gypsum Board</t>
  </si>
  <si>
    <t>NYSE, BM&amp;FBOVESPA</t>
  </si>
  <si>
    <t>Laminate</t>
  </si>
  <si>
    <t>Acrylic Panels</t>
  </si>
  <si>
    <t>NASDAQ, HKEX</t>
  </si>
  <si>
    <t>Bitumen</t>
  </si>
  <si>
    <t>NYSE, ASX</t>
  </si>
  <si>
    <t>EPDM Rubber</t>
  </si>
  <si>
    <t>NASDAQ, NYSE</t>
  </si>
  <si>
    <t>Clay Roof Tiles</t>
  </si>
  <si>
    <t>Metal Roofing</t>
  </si>
  <si>
    <t>NYSE, SSE</t>
  </si>
  <si>
    <t>Ductwork (Galvanized Steel)</t>
  </si>
  <si>
    <t>Thermal Insulation</t>
  </si>
  <si>
    <t>Waterproofing Membranes</t>
  </si>
  <si>
    <t>Lote</t>
  </si>
  <si>
    <t>Pacote de Trabalho</t>
  </si>
  <si>
    <t>Linha Base - Data Início</t>
  </si>
  <si>
    <t>Linha Base - Data Fim</t>
  </si>
  <si>
    <t>Linha Previsão - Data Início</t>
  </si>
  <si>
    <t>Linha Previsão - Data Fim</t>
  </si>
  <si>
    <t>Linha Base - Progresso</t>
  </si>
  <si>
    <t>Linha Previsão - Progresso</t>
  </si>
  <si>
    <t>Linha Real - Progresso</t>
  </si>
  <si>
    <t>Linha Base - Custo Total</t>
  </si>
  <si>
    <t>Linha Real - Custo Total</t>
  </si>
  <si>
    <t>Empreendimento</t>
  </si>
  <si>
    <t xml:space="preserve">Zona Construção </t>
  </si>
  <si>
    <t>Zona Cliente</t>
  </si>
  <si>
    <t>Ocupação</t>
  </si>
  <si>
    <t>Departamento</t>
  </si>
  <si>
    <t>Data de Início</t>
  </si>
  <si>
    <t>Data de Fim</t>
  </si>
  <si>
    <t>X</t>
  </si>
  <si>
    <t>Nivel 1</t>
  </si>
  <si>
    <t>Disciplina Agrupada</t>
  </si>
  <si>
    <t>mes 7</t>
  </si>
  <si>
    <t>mes 2</t>
  </si>
  <si>
    <t>mes 3</t>
  </si>
  <si>
    <t>mes 4</t>
  </si>
  <si>
    <t>mes 5</t>
  </si>
  <si>
    <t>mes 6</t>
  </si>
  <si>
    <t>mes 8</t>
  </si>
  <si>
    <t>mes 1</t>
  </si>
  <si>
    <t>Disciplina Disciplina Nível 2</t>
  </si>
  <si>
    <t>Pavimentos tipo exatamente idênticos</t>
  </si>
  <si>
    <t>Tudo que está abaixo do nível da porta de acesso principal da edificacao ou portaria</t>
  </si>
  <si>
    <t>#feea3a</t>
  </si>
  <si>
    <t>ZV</t>
  </si>
  <si>
    <t>Zona Vertical</t>
  </si>
  <si>
    <t>Toda cirulcacao vertical em shaft, caixa de elevador, caixa de escada, etc...</t>
  </si>
  <si>
    <t>Zona Especial</t>
  </si>
  <si>
    <t>Regioes importantes separadas de acordo com a preferência do cliente</t>
  </si>
  <si>
    <t>ZX</t>
  </si>
  <si>
    <t>disciplina 1</t>
  </si>
  <si>
    <t>disciplina 2</t>
  </si>
  <si>
    <t>PERMANECE</t>
  </si>
  <si>
    <t>1-25</t>
  </si>
  <si>
    <t>26-50</t>
  </si>
  <si>
    <t>51-75</t>
  </si>
  <si>
    <t>76-100</t>
  </si>
  <si>
    <t>D1</t>
  </si>
  <si>
    <t xml:space="preserve">MOVER </t>
  </si>
  <si>
    <t xml:space="preserve">FURAR </t>
  </si>
  <si>
    <t>DESVIAR</t>
  </si>
  <si>
    <t xml:space="preserve">REVER </t>
  </si>
  <si>
    <t>D2</t>
  </si>
  <si>
    <t>PISO</t>
  </si>
  <si>
    <t>divisao</t>
  </si>
  <si>
    <t>pavimento</t>
  </si>
  <si>
    <t>pacotes</t>
  </si>
  <si>
    <t>planejamento</t>
  </si>
  <si>
    <t>alerta1</t>
  </si>
  <si>
    <t>alerta2</t>
  </si>
  <si>
    <t>alerta3</t>
  </si>
  <si>
    <t>alerta4</t>
  </si>
  <si>
    <t>alerta5</t>
  </si>
  <si>
    <t>alerta6</t>
  </si>
  <si>
    <t>alerta7</t>
  </si>
  <si>
    <t>alerta8</t>
  </si>
  <si>
    <t>total</t>
  </si>
  <si>
    <t>peso</t>
  </si>
  <si>
    <t>nomenclatura do arquivo</t>
  </si>
  <si>
    <t>clashbyforma</t>
  </si>
  <si>
    <t>planejamento do cliente</t>
  </si>
  <si>
    <t>parâmetro do modelo</t>
  </si>
  <si>
    <t>projeto</t>
  </si>
  <si>
    <t>levantamento</t>
  </si>
  <si>
    <t>compra</t>
  </si>
  <si>
    <t>fabricaçao</t>
  </si>
  <si>
    <t>instalacao</t>
  </si>
  <si>
    <t>validacao</t>
  </si>
  <si>
    <t>medicao</t>
  </si>
  <si>
    <t>comissionamento</t>
  </si>
  <si>
    <t>dias</t>
  </si>
  <si>
    <t>onde está essa informação?</t>
  </si>
  <si>
    <t>drive</t>
  </si>
  <si>
    <t>modelo</t>
  </si>
  <si>
    <t>qualidade</t>
  </si>
  <si>
    <t>obra</t>
  </si>
  <si>
    <t>cobie</t>
  </si>
  <si>
    <t>acústica</t>
  </si>
  <si>
    <t>especiais ou industrializados</t>
  </si>
  <si>
    <t>Modelagem Interna</t>
  </si>
  <si>
    <t>Evoluir Nível de Detalhe</t>
  </si>
  <si>
    <t>Modelagem Terceirizada</t>
  </si>
  <si>
    <t>Montagem de Modelos</t>
  </si>
  <si>
    <t>Insersão de Informação</t>
  </si>
  <si>
    <t>Compatibilização</t>
  </si>
  <si>
    <t>Diagnóstico</t>
  </si>
  <si>
    <t>LOD 100</t>
  </si>
  <si>
    <t>LOD 200</t>
  </si>
  <si>
    <t>LOD 300</t>
  </si>
  <si>
    <t>LOD 400</t>
  </si>
  <si>
    <t>LOD 500</t>
  </si>
  <si>
    <t>Transcrição de Modelagem</t>
  </si>
  <si>
    <t>Modelo Compilado</t>
  </si>
  <si>
    <t>Modelo Federado</t>
  </si>
  <si>
    <t>Pacotes de Trabalho</t>
  </si>
  <si>
    <t>Classificação Norma</t>
  </si>
  <si>
    <t>Localização</t>
  </si>
  <si>
    <t>Tag Única</t>
  </si>
  <si>
    <t>Tempo</t>
  </si>
  <si>
    <t>Cobie</t>
  </si>
  <si>
    <t>Auditoria Interna</t>
  </si>
  <si>
    <t>Clash Detective</t>
  </si>
  <si>
    <t>Clearence Detective</t>
  </si>
  <si>
    <t>Timeliner Detecnive</t>
  </si>
  <si>
    <t>Agrupamento de Clash</t>
  </si>
  <si>
    <t>Cálculo de Gravidade</t>
  </si>
  <si>
    <t>Apontamentos</t>
  </si>
  <si>
    <t>software de uso da gvc</t>
  </si>
  <si>
    <t>revit/navis</t>
  </si>
  <si>
    <t>navis</t>
  </si>
  <si>
    <t>público</t>
  </si>
  <si>
    <t>positivo</t>
  </si>
  <si>
    <t>privado</t>
  </si>
  <si>
    <t>negativo</t>
  </si>
  <si>
    <t>3E-01-00-00-00-00-00</t>
  </si>
  <si>
    <t>intramuro</t>
  </si>
  <si>
    <t>extramuro</t>
  </si>
  <si>
    <t>3E-03-00-00-00-00-00</t>
  </si>
  <si>
    <t>3E-05-00-00-00-00-00</t>
  </si>
  <si>
    <t>3E-07-00-00-00-00-00</t>
  </si>
  <si>
    <t>o clash aconteceu entre a disciplina de drenagem com a disciplina de impermeabilização. Os elementos estao a distancia de 10 cm, a tubulacao é do material pvc pead e tem 5 metros de comprimento e diâmetro de 400mm, a impermeabilizacao é de um material de manta asfaltica de área 40m2 de espessura 40mm, a região ao qual pertence esse objeto está na área tipo , no pavimento 05, pertence ao quadrante 02 e está no ambiente cozinha</t>
  </si>
  <si>
    <t>3E</t>
  </si>
  <si>
    <t>construção industrializada</t>
  </si>
  <si>
    <t>mobiliário e temporários</t>
  </si>
  <si>
    <t>Instalações de Proteção</t>
  </si>
  <si>
    <t>descargas atmosféricas</t>
  </si>
  <si>
    <t>venda</t>
  </si>
  <si>
    <t>Here’s the interpretation of the provided colors organized from "less tech" to "highest level of tech":</t>
  </si>
  <si>
    <t>#cdbd82 (Beige/Gold) – Earthy and traditional, represents simplicity or legacy processes.</t>
  </si>
  <si>
    <t>#582c58 (Dark Purple) – Associated with creativity, a transitional color from traditional to more creative, tech-focused thinking.</t>
  </si>
  <si>
    <t>#3a6244 (Dark Green) – Suggests natural growth, evolution in systems, and eco-friendly tech.</t>
  </si>
  <si>
    <t>#434343 (Gray) – Neutral, often linked to standardization and processes beginning to incorporate more tech.</t>
  </si>
  <si>
    <t>#32b644 (Bright Green) – Growth and innovation, often linked to sustainability-focused tech.</t>
  </si>
  <si>
    <t>#fcb200 (Bright Yellow) – Represents high energy, transformation, and modern digital technology starting to take a prominent role.</t>
  </si>
  <si>
    <t>#2196f3 (Blue) – Technology-driven, associated with cutting-edge software, AI, and connectivity.</t>
  </si>
  <si>
    <t>#001e78 (Dark Blue) – Symbolizing the highest level of tech, sophisticated and advanced solutions like automation, AI, and high-end systems integration.</t>
  </si>
  <si>
    <t>Solo - Camada superficial da Terra, composta por minerais, matéria orgânica, água e ar, essencial para o crescimento das plantas.</t>
  </si>
  <si>
    <t>Camada de solo orgânico - Camada superficial do solo composta principalmente por material orgânico em decomposição, como folhas, galhos e outros detritos vegetais.</t>
  </si>
  <si>
    <t>Platô - Área plana ou levemente inclinada criada artificialmente no terreno para construção de edificações, infraestrutura ou cultivo agrícola.</t>
  </si>
  <si>
    <t>Faixa terraplanada - Área nivelada artificialmente no terreno para construção de estradas, ferrovias, barragens ou outras obras de engenharia.</t>
  </si>
  <si>
    <t>Muro de arrimo - Estrutura construída para conter o solo e evitar deslizamentos em terrenos inclinados ou com diferenças de nível.</t>
  </si>
  <si>
    <t>Solo grampeado - Técnica de estabilização de taludes por meio de grampos metálicos ou ancoragens instaladas no solo para evitar deslizamentos.</t>
  </si>
  <si>
    <t>Cortina de contenção - Estrutura construída para conter o solo e evitar deslizamentos, geralmente composta por elementos verticais como estacas ou pilares e elementos horizontais como vigas ou tirantes.</t>
  </si>
  <si>
    <t>Talude escalonado - Talude composto por degraus ou patamares para reduzir a inclinação e estabilizar o solo, utilizado em cortes de estradas, barrancos ou encostas.</t>
  </si>
  <si>
    <t>Coroamento do talude - Parte superior do talude, geralmente nivelada e protegida para evitar erosão e deslizamentos.</t>
  </si>
  <si>
    <t>Pé do talude - Parte inferior do talude, onde ocorre o contato com o terreno natural ou com estruturas de contenção.</t>
  </si>
  <si>
    <t>Corte do aterro - Área onde o solo é removido para construção de estradas, ferrovias, canais ou outras obras de engenharia.</t>
  </si>
  <si>
    <t>Aterro - Área onde o solo é depositado e compactado para elevar o nível do terreno, utilizado para construção de estradas, ferrovias, aeroportos ou outras obras de engenharia.</t>
  </si>
  <si>
    <t>Cerca para delimitação de implantação - Estrutura instalada no perímetro de um terreno para delimitar sua área e impedir o acesso não autorizado.</t>
  </si>
  <si>
    <t>Muro para delimitação de implantação - Estrutura de alvenaria, concreto ou outro material construída no perímetro de um terreno para delimitar sua área e impedir o acesso não autorizado.</t>
  </si>
  <si>
    <t>Mureta para delimitação de implantação - Pequena parede ou muro construído no perímetro de um terreno para delimitar sua área e impedir o acesso não autorizado.</t>
  </si>
  <si>
    <t>Gramas - Plantas herbáceas de baixo porte, geralmente utilizadas para cobertura vegetal de áreas ajardinadas, gramados esportivos ou paisagismo.</t>
  </si>
  <si>
    <t>Mudas - Plantas jovens cultivadas em viveiros para posterior plantio em áreas de reflorestamento, jardinagem ou paisagismo.</t>
  </si>
  <si>
    <t>Vegetação de pequeno porte - Plantas arbustivas ou arbóreas de baixa estatura, geralmente utilizadas para paisagismo ou revegetação de áreas degradadas.</t>
  </si>
  <si>
    <t>Vegetação de médio porte - Plantas arbustivas ou arbóreas de altura intermediária, utilizadas para paisagismo, arborização urbana ou recuperação ambiental.</t>
  </si>
  <si>
    <t>Vegetação de grande porte - Árvores de grande porte utilizadas para arborização urbana, reflorestamento ou formação de bosques e florestas.</t>
  </si>
  <si>
    <t>Elementos de acondicionamento de resíduos - Estruturas e equipamentos utilizados para armazenamento temporário ou acondicionamento de resíduos sólidos, como contentores, caçambas e contêineres.</t>
  </si>
  <si>
    <t>Bueiro para transposição de talvegues - Estrutura de drenagem construída sob estradas ou caminhos para permitir a passagem de água de um lado para outro do talvegue.</t>
  </si>
  <si>
    <t>Pontilhão para transposição de talvegues - Estrutura de drenagem construída sob estradas, ferrovias ou caminhos para permitir a passagem de água de um lado para outro do talvegue, geralmente com maior vão livre que um bueiro.</t>
  </si>
  <si>
    <t>Ponte para transposição de talvegues - Estrutura de drenagem construída sobre estradas, ferrovias ou caminhos para permitir a passagem de água de um lado para outro do talvegue, com vão livre suficiente para a passagem de veículos ou pedestres.</t>
  </si>
  <si>
    <t>Valeta de proteção de corte - Canaleta ou vala construída ao longo do pé de um corte para coletar e conduzir a água proveniente da drenagem do terreno.</t>
  </si>
  <si>
    <t>Valeta de proteção de aterro - Canaleta ou vala construída ao longo do pé de um aterro para coletar e conduzir a água proveniente da drenagem do terreno.</t>
  </si>
  <si>
    <t>Valeta de canteiro central - Canaleta ou vala construída no centro de uma via ou rodovia para coletar e conduzir a água proveniente da drenagem da pista.</t>
  </si>
  <si>
    <t>Sarjeta de corte - Canaleta ou vala construída ao longo do pé de um corte para coletar e conduzir a água proveniente da drenagem do terreno, geralmente associada a um meio-fio ou guia.</t>
  </si>
  <si>
    <t>Sarjeta de aterro - Canaleta ou vala construída ao longo do pé de um aterro para coletar e conduzir a água proveniente da drenagem do terreno, geralmente associada a um meio-fio ou guia.</t>
  </si>
  <si>
    <t>Descida d'água - Estrutura construída para conduzir a água da superfície para as valetas, sarjetas ou sistemas de drenagem.</t>
  </si>
  <si>
    <t>Saída d'água - Estrutura construída para permitir a saída controlada da água de uma valeta, sarjeta ou sistema de drenagem para o terreno natural ou para uma rede de drenagem.</t>
  </si>
  <si>
    <t>Caixa coletora de drenagem superficial - Estrutura construída para coletar e armazenar temporariamente a água proveniente da drenagem superficial, geralmente conectada a um sistema de drenagem pluvial.</t>
  </si>
  <si>
    <t>Bueiro de greide - Estrutura de drenagem construída sob estradas ou caminhos para permitir a passagem de água de um lado para outro do greide, com maior vão livre que um bueiro comum.</t>
  </si>
  <si>
    <t>Dissipador de energia de drenagem superficial - Estrutura construída para reduzir a velocidade e dissipar a energia da água proveniente da drenagem superficial, minimizando o impacto erosivo sobre o terreno.</t>
  </si>
  <si>
    <t>Corta-rios - Estrutura construída para canalizar o fluxo de água de um rio ou córrego, geralmente utilizando diques, barragens ou outras técnicas de engenharia hidráulica.</t>
  </si>
  <si>
    <t>Dreno de alívio de muros de arrimo - Sistema de drenagem instalado na base de muros de arrimo para aliviar a pressão hidrostática do solo e evitar danos à estrutura.</t>
  </si>
  <si>
    <t>Camada drenante - Camada de material poroso ou drenante instalada no solo para permitir a rápida drenagem da água infiltrada e evitar o acúmulo de umidade.</t>
  </si>
  <si>
    <t>Dreno raso longitudinal - Canal ou tubo drenante instalado na superfície do terreno para coletar e conduzir a água até um ponto de saída.</t>
  </si>
  <si>
    <t>Dreno lateral de base - Dreno instalado na base de um talude ou muro de arrimo para coletar e drenar a água infiltrada no solo.</t>
  </si>
  <si>
    <t>Aqui está a tabela atualizada e otimizada com base nas novas pesquisas e informações coletadas, pronta para o próximo passo:</t>
  </si>
  <si>
    <t>#ID</t>
  </si>
  <si>
    <t>Nome da Disciplina</t>
  </si>
  <si>
    <t>Grupo</t>
  </si>
  <si>
    <t>Emissor</t>
  </si>
  <si>
    <t>Aprovação</t>
  </si>
  <si>
    <t>Verificador</t>
  </si>
  <si>
    <t>Topográfico</t>
  </si>
  <si>
    <t>Levantamento detalhado do terreno, incluindo relevo, obstáculos, e características físicas​​​​</t>
  </si>
  <si>
    <t>Terceirizado</t>
  </si>
  <si>
    <t>Interna</t>
  </si>
  <si>
    <t>Emccamp</t>
  </si>
  <si>
    <t>Sondagem</t>
  </si>
  <si>
    <t>Determinação de propriedades do solo como tipo, resistência e nível do lençol freático​​</t>
  </si>
  <si>
    <t>Sondagem Preliminar</t>
  </si>
  <si>
    <t>Análise inicial do subsolo com sondagem a trado ou SPT para coleta de amostras iniciais​​</t>
  </si>
  <si>
    <t>Cadastro Arbóreo</t>
  </si>
  <si>
    <t>Registro detalhado de árvores no terreno para planejamento urbano e ambiental​​</t>
  </si>
  <si>
    <t>Municipal</t>
  </si>
  <si>
    <t>Relatório Geoambiental</t>
  </si>
  <si>
    <t>Avaliação de impactos ambientais de projetos de construção​​</t>
  </si>
  <si>
    <t>Redundante</t>
  </si>
  <si>
    <t>Cota de Arrasamento de Inundação</t>
  </si>
  <si>
    <t>Determinação do nível de segurança contra inundações​​​​</t>
  </si>
  <si>
    <t>Fauna</t>
  </si>
  <si>
    <t>Estudo da vida animal na área do projeto para avaliações ambientais​​​​</t>
  </si>
  <si>
    <t>Contaminação do Solo</t>
  </si>
  <si>
    <t>Análise de substâncias contaminantes no solo​​​​</t>
  </si>
  <si>
    <t>Cota Altimétrica Limite</t>
  </si>
  <si>
    <t>Determinação de limites de construção baseados na altitude​​​​</t>
  </si>
  <si>
    <t>Federal</t>
  </si>
  <si>
    <t>Avaliação do patrimônio histórico do local para preservação cultural​​</t>
  </si>
  <si>
    <t>Estadual</t>
  </si>
  <si>
    <t>Lavra (site)</t>
  </si>
  <si>
    <t>Estudo de extração mineral e avaliação de impactos geológicos​​</t>
  </si>
  <si>
    <t>Sondagem Executiva</t>
  </si>
  <si>
    <t>Sondagem detalhada para execução, fornecendo informações detalhadas para o projeto de fundações​​​​</t>
  </si>
  <si>
    <t>As descrições foram otimizadas para fornecer uma visão mais clara do propósito e importância de cada disciplina, destacando a relevância do levantamento topográfico e da sondagem do solo como fundamentais para o planejamento e execução de projetos de engenharia, arquitetura e urbanismo. A compreensão detalhada das características do terreno é crucial para o desenvolvimento de projetos seguros, eficientes e ambientalmente responsáveis.</t>
  </si>
  <si>
    <t>Com base nas informações coletadas e na necessidade de adaptar a tabela às especificidades de cada projeto dentro do contexto arquitetônico e de engenharia, segue a tabela revisada e completada conforme solicitado, mantendo as colunas originais e adicionando informações pertinentes para cada categoria:</t>
  </si>
  <si>
    <t>Desenvolvimento de conceitos, planejamento espacial e design de edifícios e estruturas, considerando estética, funcionalidade e normativas legais.</t>
  </si>
  <si>
    <t>Projeto Legal</t>
  </si>
  <si>
    <t>Elaboração de projetos que atendem às exigências legais e normativas para aprovação em órgãos competentes.</t>
  </si>
  <si>
    <t>Projeto Arquitetônico Aprovado</t>
  </si>
  <si>
    <t>Versão do projeto arquitetônico que recebeu aprovação dos órgãos reguladores, garantindo a viabilidade legal da construção.</t>
  </si>
  <si>
    <t>Projeto Arquitetônico Executivo</t>
  </si>
  <si>
    <t>Detalhamento técnico e especificações de materiais para a execução da obra, baseado no projeto arquitetônico aprovado.</t>
  </si>
  <si>
    <t>Projeto de Detalhamento Arquitetônico</t>
  </si>
  <si>
    <t>Fornecimento de detalhes construtivos específicos, acabamentos e soluções técnicas para elementos do projeto arquitetônico.</t>
  </si>
  <si>
    <t>Estrutural</t>
  </si>
  <si>
    <t>Planejamento e cálculo de estruturas que suportarão as cargas da edificação, garantindo segurança e estabilidade.</t>
  </si>
  <si>
    <t>Fundação</t>
  </si>
  <si>
    <t>Desenvolvimento de soluções para a base estrutural da edificação, adaptadas às características do solo e às cargas da construção.</t>
  </si>
  <si>
    <t>Edificações</t>
  </si>
  <si>
    <t>EDF</t>
  </si>
  <si>
    <t>Projetos relacionados à construção de edifícios, abrangendo desde o planejamento arquitetônico até a execução estrutural e de acabamentos.</t>
  </si>
  <si>
    <t>Forma Metálica</t>
  </si>
  <si>
    <t>Desenvolvimento de formas e moldes metálicos para estruturas de concreto ou componentes estruturais metálicos, visando a otimização do processo construtivo.</t>
  </si>
  <si>
    <t>Projeto de coberturas, definindo materiais, inclinações e soluções para escoamento de águas pluviais.</t>
  </si>
  <si>
    <t>Reservatório</t>
  </si>
  <si>
    <t>Planejamento e design de estruturas para armazenamento de água, considerando aspectos como capacidade, materiais, e integração com sistemas hidráulicos da edificação.</t>
  </si>
  <si>
    <t>Esta tabela foi adaptada e otimizada com base em uma compreensão aprofundada das disciplinas envolvidas em projetos de construção, englobando tanto aspectos arquitetônicos quanto estruturais e de engenharia, visando fornecer uma visão clara das responsabilidades, emissão, aprovação e verificação de cada componente do projeto​​​​​​.</t>
  </si>
  <si>
    <t>Terraplenagem</t>
  </si>
  <si>
    <t>Processo de movimentação de terra para criar um nível adequado do terreno para construção, garantindo um solo nivelado, estável e adequado para drenagem​​​​.</t>
  </si>
  <si>
    <t>Drenagem</t>
  </si>
  <si>
    <t>Sistema para remover o excesso de água do solo, prevenindo problemas de infiltração e estabilidade da construção​​.</t>
  </si>
  <si>
    <t>Água</t>
  </si>
  <si>
    <t>Projetos relacionados ao abastecimento de água, incluindo captação, armazenamento e distribuição para uso residencial e comercial.</t>
  </si>
  <si>
    <t>Esgoto</t>
  </si>
  <si>
    <t>Sistemas de coleta e tratamento de esgoto sanitário, garantindo a correta destinação e tratamento das águas residuais.</t>
  </si>
  <si>
    <t>Telefone e Interfone</t>
  </si>
  <si>
    <t>Infraestrutura para serviços de comunicação dentro do projeto, incluindo telefonia e sistemas de intercomunicação.</t>
  </si>
  <si>
    <t>Posteamento e Entrada de Energia</t>
  </si>
  <si>
    <t>Instalação de postes e sistemas de distribuição de energia elétrica, garantindo o fornecimento de energia ao projeto.</t>
  </si>
  <si>
    <t>Combate a Incêndio</t>
  </si>
  <si>
    <t>Sistemas de proteção contra incêndio, incluindo hidrantes, sprinklers, alarmes e rotas de evacuação, para garantir a segurança dos ocupantes.</t>
  </si>
  <si>
    <t>SEG</t>
  </si>
  <si>
    <t>Hidrossanitário</t>
  </si>
  <si>
    <t>Projetos de instalações hidráulicas e sanitárias, abrangendo o fornecimento de água e coleta de esgoto, bem como instalações de gás.</t>
  </si>
  <si>
    <t>Elétrico</t>
  </si>
  <si>
    <t>Projetos de instalações elétricas, incluindo iluminação, força e distribuição de energia em edificações.</t>
  </si>
  <si>
    <t>Elétrico Reservatório</t>
  </si>
  <si>
    <t>Sistemas elétricos específicos para operação e segurança de reservatórios de água, incluindo bombas e sistemas de monitoramento.</t>
  </si>
  <si>
    <t>Voz, Dados e Imagem</t>
  </si>
  <si>
    <t>Infraestrutura de telecomunicações para transmissão de voz, dados e imagem, como internet, telefonia e TV a cabo.</t>
  </si>
  <si>
    <t>Sistema de Proteção contra Descargas Atmosféricas (SPDA), garantindo a segurança estrutural e dos ocupantes contra raios.</t>
  </si>
  <si>
    <t>Gás</t>
  </si>
  <si>
    <t>Sistemas de fornecimento e distribuição de gás natural ou GLP para uso residencial, comercial e industrial.</t>
  </si>
  <si>
    <t>Locação das Instalações</t>
  </si>
  <si>
    <t>Definição da disposição espacial e locação de instalações temporárias ou permanentes no canteiro de obras, como escritórios, alojamentos e armazenamentos.</t>
  </si>
  <si>
    <t>LOG</t>
  </si>
  <si>
    <t>Impermeabilização</t>
  </si>
  <si>
    <t>Aplicação de técnicas e materiais para prevenir a penetração de água em estruturas, protegendo contra infiltrações e danos por umidade.</t>
  </si>
  <si>
    <t>Reuso</t>
  </si>
  <si>
    <t>Sistemas de coleta, tratamento e reutilização de águas cinzas e pluviais, promovendo a sustentabilidade e eficiência no uso da água.</t>
  </si>
  <si>
    <t>Pressurização</t>
  </si>
  <si>
    <t>Sistemas para garantir a pressão adequada de água em instalações hidráulicas, especialmente em edifícios altos.</t>
  </si>
  <si>
    <t>Projeto e instalação de elevadores e sistemas de transporte vertical, considerando aspectos de segurança, capacidade e eficiência energética.</t>
  </si>
  <si>
    <t>Esta tabela foi elaborada com</t>
  </si>
  <si>
    <t>Agora, elaborando a tabela com as disciplinas adicionais e as já mencionadas, seguindo o formato solicitado:</t>
  </si>
  <si>
    <t>Pavimentação</t>
  </si>
  <si>
    <t>Estruturação de superfícies para tráfego, essencial para a mobilidade urbana e segurança.</t>
  </si>
  <si>
    <t>Paisagismo</t>
  </si>
  <si>
    <t>Projeto e execução de áreas verdes e espaços abertos, melhorando a estética e a qualidade ambiental urbana.</t>
  </si>
  <si>
    <t>Sistema de Alarme de Incêndio</t>
  </si>
  <si>
    <t>Sistemas para detecção e alerta em casos de incêndio, crucial para a segurança dos ocupantes de um edifício.</t>
  </si>
  <si>
    <t>Urbanístico</t>
  </si>
  <si>
    <t>Planejamento e desenvolvimento de espaços urbanos, visando a organização e a funcionalidade das cidades.</t>
  </si>
  <si>
    <t>Viário</t>
  </si>
  <si>
    <t>Planejamento e execução de vias de circulação, incluindo ruas, avenidas e rodovias.</t>
  </si>
  <si>
    <t>Geotécnico</t>
  </si>
  <si>
    <t>Estudos para avaliar as características do solo, fundamentais para o projeto e a segurança das construções.</t>
  </si>
  <si>
    <t>Contenções</t>
  </si>
  <si>
    <t>Estruturas de suporte para prevenir deslizamentos e garantir a estabilidade do terreno.</t>
  </si>
  <si>
    <t>Ambiental</t>
  </si>
  <si>
    <t>Avaliação e gestão de impactos ambientais de projetos de construção, visando a sustentabilidade.</t>
  </si>
  <si>
    <t>Canteiro</t>
  </si>
  <si>
    <t>Planejamento e organização de espaços para suporte às operações de construção, incluindo armazenamento de materiais e alojamento de trabalhadores.</t>
  </si>
  <si>
    <t>Esta tabela reflete a ampliação das disciplinas abordadas anteriormente, incorporando novos elementos essenciais para o planejamento e a execução de projetos de construção e urbanismo, destacando a importância de cada área no desenvolvimento urbano sustentável e na melhoria da qualidade de vida nas cidades.</t>
  </si>
  <si>
    <t>Baseado nas discussões e pesquisas anteriores, aqui está a tabela atualizada com os elementos adicionais e suas descrições simplificadas, focadas na logística, segurança e eficiência no canteiro de obras:</t>
  </si>
  <si>
    <t>Grua</t>
  </si>
  <si>
    <t>Equipamento para elevação de materiais, essencial para a produtividade e segurança no canteiro de obras​​.</t>
  </si>
  <si>
    <t>Cremalheira</t>
  </si>
  <si>
    <t>Sistema de elevação vertical usado para transportar pessoas e materiais, complementar às gruas.</t>
  </si>
  <si>
    <t>Concretagem</t>
  </si>
  <si>
    <t>Processo de preparação, transporte, e colocação do concreto, requerendo coordenação precisa.</t>
  </si>
  <si>
    <t>Logística de Material</t>
  </si>
  <si>
    <t>Gestão eficiente do transporte e armazenamento de materiais para manter o fluxo de trabalho.</t>
  </si>
  <si>
    <t>Logística de Equipamentos</t>
  </si>
  <si>
    <t>Gestão do transporte e armazenamento de equipamentos no canteiro de obras.</t>
  </si>
  <si>
    <t>Acessos</t>
  </si>
  <si>
    <t>Planejamento de acessos para segurança e eficiência no movimento dentro do canteiro de obras​​.</t>
  </si>
  <si>
    <t>Fachada</t>
  </si>
  <si>
    <t>Trabalhos relacionados à construção e manutenção de fachadas, exigindo cuidados específicos com segurança.</t>
  </si>
  <si>
    <t>Andaimes</t>
  </si>
  <si>
    <t>Estruturas temporárias para trabalhos em altura, essenciais para a segurança no canteiro de obras.</t>
  </si>
  <si>
    <t>Escoramentos</t>
  </si>
  <si>
    <t>Estruturas de suporte para garantir a estabilidade de construções e escavações.</t>
  </si>
  <si>
    <t>Furação</t>
  </si>
  <si>
    <t>Processos de perfuração necessários para instalações ou fixações em construções.</t>
  </si>
  <si>
    <t>Ar Condicionado</t>
  </si>
  <si>
    <t>Sistemas de climatização para conforto em ambientes fechados e controle de temperatura.</t>
  </si>
  <si>
    <t>Exaustão</t>
  </si>
  <si>
    <t>Sistemas para remoção de ar viciado ou contaminado de ambientes internos.</t>
  </si>
  <si>
    <t>Memorial Conceição</t>
  </si>
  <si>
    <t>Documentação detalhada do projeto, incluindo conceitos e especificações técnicas.</t>
  </si>
  <si>
    <t>PRO</t>
  </si>
  <si>
    <t>Avaliação de Ruído de Entorno</t>
  </si>
  <si>
    <t>Análise das condições sonoras no entorno do projeto para mitigação de impactos acústicos.</t>
  </si>
  <si>
    <t>Simulação Lumínica</t>
  </si>
  <si>
    <t>Estudo da iluminação natural e artificial para otimização do conforto visual e eficiência energética.</t>
  </si>
  <si>
    <t>Simulação Térmica</t>
  </si>
  <si>
    <t>Avaliação do desempenho térmico de construções para conforto ambiental e sustentabilidade.</t>
  </si>
  <si>
    <t>Simulação Acústica</t>
  </si>
  <si>
    <t>Estudo da propagação de som dentro e fora de edificações para garantir adequação a normas de conforto acústico.</t>
  </si>
  <si>
    <t>Análise de Riscos</t>
  </si>
  <si>
    <t>Avaliação de potenciais riscos associados ao projeto para implementação de medidas de mitigação.</t>
  </si>
  <si>
    <t>Metálica</t>
  </si>
  <si>
    <t>Construção de estruturas metálicas, requerendo conhecimento especializado em montagem e fixação.</t>
  </si>
  <si>
    <t>Esta tabela apre</t>
  </si>
  <si>
    <t>Memorial Descritivo</t>
  </si>
  <si>
    <t>Detalha todas as especificações técnicas e materiais de um projeto, essencial para a execução e orçamento da obra【73†source】.</t>
  </si>
  <si>
    <t>TODOS</t>
  </si>
  <si>
    <t>Construtora</t>
  </si>
  <si>
    <t>Pública</t>
  </si>
  <si>
    <t>Engenheiro</t>
  </si>
  <si>
    <t>Stand de Vendas</t>
  </si>
  <si>
    <t>SDV</t>
  </si>
  <si>
    <t>Área designada para apresentar e comercializar unidades de um empreendimento, crucial para o marketing imobiliário【73†source】.</t>
  </si>
  <si>
    <t>VEN</t>
  </si>
  <si>
    <t>Marketing</t>
  </si>
  <si>
    <t>Stand de Vendas Arquitetônico</t>
  </si>
  <si>
    <t>Projeto arquitetônico para stands de vendas, focando na estética e atração de clientes potenciais【73†source】.</t>
  </si>
  <si>
    <t>Arquiteto</t>
  </si>
  <si>
    <t>Stand de Vendas Interiores</t>
  </si>
  <si>
    <t>Design de interiores específico para stands de vendas, melhorando a apresentação do projeto【73†source】.</t>
  </si>
  <si>
    <t>Designer</t>
  </si>
  <si>
    <t>Stand de Vendas Hidráulico</t>
  </si>
  <si>
    <t>Infraestrutura hidráulica projetada para stands de vendas, incluindo a disposição de banheiros e cozinhas【73†source】.</t>
  </si>
  <si>
    <t>Eng. Hidráulico</t>
  </si>
  <si>
    <t>Stand de Vendas Elétrico</t>
  </si>
  <si>
    <t>Planejamento elétrico para stands de vendas, garantindo a iluminação e a alimentação de dispositivos eletrônicos【73†source】.</t>
  </si>
  <si>
    <t>Eng. Elétrico</t>
  </si>
  <si>
    <t>Levantamento</t>
  </si>
  <si>
    <t>Processo de coleta de dados iniciais do terreno ou estrutura existente, fundamental para o planejamento do projeto【73†source】.</t>
  </si>
  <si>
    <t>Área designada para operações de construção, armazenamento de materiais e alojamento de trabalhadores【73†source】【65†source】.</t>
  </si>
  <si>
    <t>Eng. de Seg.</t>
  </si>
  <si>
    <t>Canteiro Arquitetura</t>
  </si>
  <si>
    <t>CAA</t>
  </si>
  <si>
    <t>Planejamento e layout do canteiro de obras com foco em eficiência e segurança, sob a perspectiva arquitetônica【66†source】.</t>
  </si>
  <si>
    <t>Canteiro Montagem</t>
  </si>
  <si>
    <t>CAM</t>
  </si>
  <si>
    <t>Área específica no canteiro para montagem de estruturas e pré-fabricados【66†source】.</t>
  </si>
  <si>
    <t>Eng. Civil</t>
  </si>
  <si>
    <t>Canteiro Hidráulico</t>
  </si>
  <si>
    <t>CAH</t>
  </si>
  <si>
    <t>Espaço no canteiro dedicado às instalações e testes de sistemas hidráulicos【66†source】.</t>
  </si>
  <si>
    <t>Canteiro Elétrico</t>
  </si>
  <si>
    <t>CAE</t>
  </si>
  <si>
    <t>Designado para a montagem e armazenamento de componentes elétricos e testes de instalação【66†source】.</t>
  </si>
  <si>
    <t>Relatório de Compatibilização</t>
  </si>
  <si>
    <t>Documento que verifica a coerência entre os diferentes projetos técnicos, prevenindo conflitos na execução【73†source】.</t>
  </si>
  <si>
    <t>Análise de Risco de Retrabalho</t>
  </si>
  <si>
    <t>Avaliação dos potenciais riscos que podem levar a retrabalhos, visando minimizar perdas e atrasos【73†source】.</t>
  </si>
  <si>
    <t>Detalhamento de Riscos de Retrabalho</t>
  </si>
  <si>
    <t>Detalha os riscos identificados na análise de risco, propondo medidas mitigadoras【73†source】.</t>
  </si>
  <si>
    <t>Aquecimento Solar</t>
  </si>
  <si>
    <t>Projeto para instalação de sistemas de aquecimento solar, visando a eficiência energética e sustentabilidade【73†source】.</t>
  </si>
  <si>
    <t>Eng. Ambiental</t>
  </si>
  <si>
    <t>Detalhamento</t>
  </si>
  <si>
    <t>Elaboração detalhada de cada parte do projeto, especificando técnicas, materiais e dimensões【73†source】.</t>
  </si>
  <si>
    <t>Calçada Externa</t>
  </si>
  <si>
    <t>Projeto para a construção de calçadas externas, incluindo acessibilidade e integração urbana【73†source】.</t>
  </si>
  <si>
    <t>Arquitito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</si>
</sst>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R$ -416]#,##0.00"/>
    <numFmt numFmtId="165" formatCode="00"/>
  </numFmts>
  <fonts count="39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9"/>
      <color rgb="FF000000"/>
      <name val="&quot;Google Sans Mono&quot;"/>
    </font>
    <font>
      <sz val="10"/>
      <color theme="1"/>
      <name val="Arial"/>
      <scheme val="minor"/>
    </font>
    <font>
      <sz val="10"/>
      <color theme="1"/>
      <name val="Arial"/>
    </font>
    <font>
      <sz val="11"/>
      <color rgb="FF000000"/>
      <name val="Calibri"/>
    </font>
    <font>
      <sz val="9"/>
      <color theme="1"/>
      <name val="Arial"/>
      <scheme val="minor"/>
    </font>
    <font>
      <sz val="9"/>
      <color theme="1"/>
      <name val="&quot;Google Sans Mono&quot;"/>
    </font>
    <font>
      <b/>
      <sz val="10"/>
      <color theme="1"/>
      <name val="Arial"/>
      <scheme val="minor"/>
    </font>
    <font>
      <sz val="9"/>
      <color rgb="FF000000"/>
      <name val="Arial"/>
      <scheme val="minor"/>
    </font>
    <font>
      <b/>
      <sz val="10"/>
      <color rgb="FF000000"/>
      <name val="Helvetica Neue"/>
    </font>
    <font>
      <sz val="10"/>
      <color rgb="FF000000"/>
      <name val="Helvetica Neue"/>
    </font>
    <font>
      <sz val="10"/>
      <color rgb="FFFFFFFF"/>
      <name val="Arial"/>
      <scheme val="minor"/>
    </font>
    <font>
      <b/>
      <sz val="10"/>
      <color rgb="FFFFFFFF"/>
      <name val="Helvetica Neue"/>
    </font>
    <font>
      <sz val="10"/>
      <color rgb="FFFFFFFF"/>
      <name val="Helvetica Neue"/>
    </font>
    <font>
      <sz val="10"/>
      <color theme="1"/>
      <name val="Helvetica Neue"/>
    </font>
    <font>
      <b/>
      <sz val="10"/>
      <color theme="1"/>
      <name val="Helvetica Neue"/>
    </font>
    <font>
      <sz val="10"/>
      <name val="Arial"/>
    </font>
    <font>
      <b/>
      <sz val="10"/>
      <color rgb="FFFFFFFF"/>
      <name val="Helvetica Neue"/>
    </font>
    <font>
      <u/>
      <sz val="10"/>
      <color rgb="FF1155CC"/>
      <name val="Arial"/>
    </font>
    <font>
      <sz val="12"/>
      <color rgb="FF000000"/>
      <name val="Aptos"/>
    </font>
    <font>
      <u/>
      <sz val="12"/>
      <color rgb="FF1155CC"/>
      <name val="Aptos"/>
    </font>
    <font>
      <sz val="10"/>
      <color rgb="FF222222"/>
      <name val="Arial"/>
    </font>
    <font>
      <u/>
      <sz val="10"/>
      <color rgb="FF0000FF"/>
      <name val="Arial"/>
    </font>
    <font>
      <b/>
      <sz val="10"/>
      <color rgb="FF000000"/>
      <name val="Helvetica Neue"/>
    </font>
    <font>
      <sz val="12"/>
      <color theme="1"/>
      <name val="Helvetica Neue"/>
    </font>
    <font>
      <sz val="12"/>
      <color rgb="FF000000"/>
      <name val="Helvetica Neue"/>
    </font>
    <font>
      <sz val="10"/>
      <color rgb="FF000000"/>
      <name val="Helvetica Neue"/>
    </font>
    <font>
      <sz val="10"/>
      <color theme="1"/>
      <name val="Helvetica Neue"/>
    </font>
    <font>
      <b/>
      <sz val="11"/>
      <color theme="1"/>
      <name val="Calibri"/>
    </font>
    <font>
      <sz val="11"/>
      <color theme="1"/>
      <name val="Calibri"/>
    </font>
    <font>
      <b/>
      <sz val="10"/>
      <color rgb="FFCCCCCC"/>
      <name val="Arial"/>
      <scheme val="minor"/>
    </font>
    <font>
      <b/>
      <sz val="10"/>
      <color theme="1"/>
      <name val="Arial"/>
    </font>
    <font>
      <sz val="8"/>
      <color theme="1"/>
      <name val="Arial"/>
    </font>
    <font>
      <b/>
      <sz val="10"/>
      <color rgb="FF666666"/>
      <name val="Helvetica Neue"/>
    </font>
    <font>
      <sz val="10"/>
      <color rgb="FFFF0000"/>
      <name val="Arial"/>
      <scheme val="minor"/>
    </font>
    <font>
      <sz val="10"/>
      <color rgb="FF0D0D0D"/>
      <name val="Söhne"/>
    </font>
    <font>
      <b/>
      <sz val="10"/>
      <color rgb="FFFF0000"/>
      <name val="Arial"/>
      <scheme val="minor"/>
    </font>
    <font>
      <sz val="12"/>
      <color rgb="FF0D0D0D"/>
      <name val="Söhne"/>
    </font>
  </fonts>
  <fills count="56">
    <fill>
      <patternFill patternType="none"/>
    </fill>
    <fill>
      <patternFill patternType="gray125"/>
    </fill>
    <fill>
      <patternFill patternType="solid">
        <fgColor rgb="FF6FA8DC"/>
        <bgColor rgb="FF6FA8DC"/>
      </patternFill>
    </fill>
    <fill>
      <patternFill patternType="solid">
        <fgColor rgb="FF8E7CC3"/>
        <bgColor rgb="FF8E7CC3"/>
      </patternFill>
    </fill>
    <fill>
      <patternFill patternType="solid">
        <fgColor rgb="FFE06666"/>
        <bgColor rgb="FFE06666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32B644"/>
        <bgColor rgb="FF32B644"/>
      </patternFill>
    </fill>
    <fill>
      <patternFill patternType="solid">
        <fgColor rgb="FF2096F2"/>
        <bgColor rgb="FF2096F2"/>
      </patternFill>
    </fill>
    <fill>
      <patternFill patternType="solid">
        <fgColor rgb="FF001E78"/>
        <bgColor rgb="FF001E78"/>
      </patternFill>
    </fill>
    <fill>
      <patternFill patternType="solid">
        <fgColor rgb="FF3A6244"/>
        <bgColor rgb="FF3A6244"/>
      </patternFill>
    </fill>
    <fill>
      <patternFill patternType="solid">
        <fgColor rgb="FFD0BC80"/>
        <bgColor rgb="FFD0BC80"/>
      </patternFill>
    </fill>
    <fill>
      <patternFill patternType="solid">
        <fgColor rgb="FF582C58"/>
        <bgColor rgb="FF582C58"/>
      </patternFill>
    </fill>
    <fill>
      <patternFill patternType="solid">
        <fgColor rgb="FF303030"/>
        <bgColor rgb="FF303030"/>
      </patternFill>
    </fill>
    <fill>
      <patternFill patternType="solid">
        <fgColor rgb="FFFCB200"/>
        <bgColor rgb="FFFCB200"/>
      </patternFill>
    </fill>
    <fill>
      <patternFill patternType="solid">
        <fgColor rgb="FFE05A4E"/>
        <bgColor rgb="FFE05A4E"/>
      </patternFill>
    </fill>
    <fill>
      <patternFill patternType="solid">
        <fgColor rgb="FFF47C00"/>
        <bgColor rgb="FFF47C00"/>
      </patternFill>
    </fill>
    <fill>
      <patternFill patternType="solid">
        <fgColor rgb="FFB6D7A8"/>
        <bgColor rgb="FFB6D7A8"/>
      </patternFill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  <fill>
      <patternFill patternType="solid">
        <fgColor rgb="FF083D93"/>
        <bgColor rgb="FF083D93"/>
      </patternFill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CDBD82"/>
        <bgColor rgb="FFCDBD82"/>
      </patternFill>
    </fill>
    <fill>
      <patternFill patternType="solid">
        <fgColor rgb="FF434343"/>
        <bgColor rgb="FF434343"/>
      </patternFill>
    </fill>
    <fill>
      <patternFill patternType="solid">
        <fgColor rgb="FF2196F3"/>
        <bgColor rgb="FF2196F3"/>
      </patternFill>
    </fill>
    <fill>
      <patternFill patternType="solid">
        <fgColor rgb="FFFDE515"/>
        <bgColor rgb="FFFDE515"/>
      </patternFill>
    </fill>
    <fill>
      <patternFill patternType="solid">
        <fgColor rgb="FFFD302F"/>
        <bgColor rgb="FFFD302F"/>
      </patternFill>
    </fill>
    <fill>
      <patternFill patternType="solid">
        <fgColor rgb="FF808080"/>
        <bgColor rgb="FF808080"/>
      </patternFill>
    </fill>
    <fill>
      <patternFill patternType="solid">
        <fgColor rgb="FF0BDEB8"/>
        <bgColor rgb="FF0BDEB8"/>
      </patternFill>
    </fill>
    <fill>
      <patternFill patternType="solid">
        <fgColor rgb="FFF97216"/>
        <bgColor rgb="FFF97216"/>
      </patternFill>
    </fill>
    <fill>
      <patternFill patternType="solid">
        <fgColor rgb="FF8B5CF6"/>
        <bgColor rgb="FF8B5CF6"/>
      </patternFill>
    </fill>
    <fill>
      <patternFill patternType="solid">
        <fgColor rgb="FF11CC8C"/>
        <bgColor rgb="FF11CC8C"/>
      </patternFill>
    </fill>
    <fill>
      <patternFill patternType="solid">
        <fgColor rgb="FFFD68B2"/>
        <bgColor rgb="FFFD68B2"/>
      </patternFill>
    </fill>
    <fill>
      <patternFill patternType="solid">
        <fgColor rgb="FF3C82F6"/>
        <bgColor rgb="FF3C82F6"/>
      </patternFill>
    </fill>
    <fill>
      <patternFill patternType="solid">
        <fgColor rgb="FF9900FF"/>
        <bgColor rgb="FF9900FF"/>
      </patternFill>
    </fill>
    <fill>
      <patternFill patternType="solid">
        <fgColor rgb="FF32B744"/>
        <bgColor rgb="FF32B744"/>
      </patternFill>
    </fill>
    <fill>
      <patternFill patternType="solid">
        <fgColor rgb="FF444444"/>
        <bgColor rgb="FF444444"/>
      </patternFill>
    </fill>
    <fill>
      <patternFill patternType="solid">
        <fgColor rgb="FF764E8A"/>
        <bgColor rgb="FF764E8A"/>
      </patternFill>
    </fill>
    <fill>
      <patternFill patternType="solid">
        <fgColor rgb="FF8AC24A"/>
        <bgColor rgb="FF8AC24A"/>
      </patternFill>
    </fill>
    <fill>
      <patternFill patternType="solid">
        <fgColor rgb="FFCCDC3A"/>
        <bgColor rgb="FFCCDC3A"/>
      </patternFill>
    </fill>
    <fill>
      <patternFill patternType="solid">
        <fgColor rgb="FFE05A47"/>
        <bgColor rgb="FFE05A47"/>
      </patternFill>
    </fill>
    <fill>
      <patternFill patternType="solid">
        <fgColor rgb="FFFEEA3A"/>
        <bgColor rgb="FFFEEA3A"/>
      </patternFill>
    </fill>
    <fill>
      <patternFill patternType="solid">
        <fgColor rgb="FFFEC208"/>
        <bgColor rgb="FFFEC208"/>
      </patternFill>
    </fill>
    <fill>
      <patternFill patternType="solid">
        <fgColor rgb="FF93C47D"/>
        <bgColor rgb="FF93C47D"/>
      </patternFill>
    </fill>
    <fill>
      <patternFill patternType="solid">
        <fgColor rgb="FF4A86E8"/>
        <bgColor rgb="FF4A86E8"/>
      </patternFill>
    </fill>
    <fill>
      <patternFill patternType="solid">
        <fgColor theme="6"/>
        <bgColor theme="6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  <fill>
      <patternFill patternType="solid">
        <fgColor rgb="FF6D9EEB"/>
        <bgColor rgb="FF6D9EEB"/>
      </patternFill>
    </fill>
    <fill>
      <patternFill patternType="solid">
        <fgColor theme="9"/>
        <bgColor theme="9"/>
      </patternFill>
    </fill>
    <fill>
      <patternFill patternType="solid">
        <fgColor rgb="FF6AA84F"/>
        <bgColor rgb="FF6AA84F"/>
      </patternFill>
    </fill>
    <fill>
      <patternFill patternType="solid">
        <fgColor rgb="FFF1C232"/>
        <bgColor rgb="FFF1C232"/>
      </patternFill>
    </fill>
    <fill>
      <patternFill patternType="solid">
        <fgColor rgb="FF3C78D8"/>
        <bgColor rgb="FF3C78D8"/>
      </patternFill>
    </fill>
    <fill>
      <patternFill patternType="solid">
        <fgColor rgb="FFFFB300"/>
        <bgColor rgb="FFFFB300"/>
      </patternFill>
    </fill>
    <fill>
      <patternFill patternType="solid">
        <fgColor rgb="FFEDEDED"/>
        <bgColor rgb="FFEDEDED"/>
      </patternFill>
    </fill>
  </fills>
  <borders count="37"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C27BA0"/>
      </right>
      <top style="thin">
        <color rgb="FFC27BA0"/>
      </top>
      <bottom style="thin">
        <color rgb="FFC27BA0"/>
      </bottom>
      <diagonal/>
    </border>
    <border>
      <left style="thin">
        <color rgb="FFC27BA0"/>
      </left>
      <right style="thin">
        <color rgb="FFC27BA0"/>
      </right>
      <top style="thin">
        <color rgb="FFC27BA0"/>
      </top>
      <bottom style="thin">
        <color rgb="FFC27BA0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D5A6BD"/>
      </right>
      <top style="thin">
        <color rgb="FFD5A6BD"/>
      </top>
      <bottom style="thin">
        <color rgb="FFD5A6BD"/>
      </bottom>
      <diagonal/>
    </border>
    <border>
      <left style="thin">
        <color rgb="FFD5A6BD"/>
      </left>
      <right style="thin">
        <color rgb="FFD5A6BD"/>
      </right>
      <top style="thin">
        <color rgb="FFD5A6BD"/>
      </top>
      <bottom style="thin">
        <color rgb="FFD5A6BD"/>
      </bottom>
      <diagonal/>
    </border>
    <border>
      <left style="thin">
        <color rgb="FF284E3F"/>
      </left>
      <right style="thin">
        <color rgb="FF9FC5E8"/>
      </right>
      <top style="thin">
        <color rgb="FF9FC5E8"/>
      </top>
      <bottom style="thin">
        <color rgb="FF9FC5E8"/>
      </bottom>
      <diagonal/>
    </border>
    <border>
      <left style="thin">
        <color rgb="FF9FC5E8"/>
      </left>
      <right style="thin">
        <color rgb="FF9FC5E8"/>
      </right>
      <top style="thin">
        <color rgb="FF9FC5E8"/>
      </top>
      <bottom style="thin">
        <color rgb="FF9FC5E8"/>
      </bottom>
      <diagonal/>
    </border>
    <border>
      <left style="thin">
        <color rgb="FF284E3F"/>
      </left>
      <right style="thin">
        <color rgb="FFCFE2F3"/>
      </right>
      <top style="thin">
        <color rgb="FFCFE2F3"/>
      </top>
      <bottom style="thin">
        <color rgb="FFCFE2F3"/>
      </bottom>
      <diagonal/>
    </border>
    <border>
      <left style="thin">
        <color rgb="FFCFE2F3"/>
      </left>
      <right style="thin">
        <color rgb="FFCFE2F3"/>
      </right>
      <top style="thin">
        <color rgb="FFCFE2F3"/>
      </top>
      <bottom style="thin">
        <color rgb="FFCFE2F3"/>
      </bottom>
      <diagonal/>
    </border>
    <border>
      <left style="thin">
        <color rgb="FF284E3F"/>
      </left>
      <right style="thin">
        <color rgb="FFE4EEF7"/>
      </right>
      <top style="thin">
        <color rgb="FFE4EEF7"/>
      </top>
      <bottom style="thin">
        <color rgb="FFE4EEF7"/>
      </bottom>
      <diagonal/>
    </border>
    <border>
      <left style="thin">
        <color rgb="FFE4EEF7"/>
      </left>
      <right style="thin">
        <color rgb="FFE4EEF7"/>
      </right>
      <top style="thin">
        <color rgb="FFE4EEF7"/>
      </top>
      <bottom style="thin">
        <color rgb="FFE4EEF7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9A9A9A"/>
      </right>
      <top style="thin">
        <color rgb="FF000000"/>
      </top>
      <bottom style="thin">
        <color rgb="FF9A9A9A"/>
      </bottom>
      <diagonal/>
    </border>
    <border>
      <left style="thin">
        <color rgb="FF9A9A9A"/>
      </left>
      <right style="thin">
        <color rgb="FF9A9A9A"/>
      </right>
      <top style="thin">
        <color rgb="FF000000"/>
      </top>
      <bottom style="thin">
        <color rgb="FF9A9A9A"/>
      </bottom>
      <diagonal/>
    </border>
    <border>
      <left style="thin">
        <color rgb="FF000000"/>
      </left>
      <right style="thin">
        <color rgb="FF9A9A9A"/>
      </right>
      <top style="thin">
        <color rgb="FF9A9A9A"/>
      </top>
      <bottom style="thin">
        <color rgb="FF9A9A9A"/>
      </bottom>
      <diagonal/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  <diagonal/>
    </border>
    <border>
      <left style="thin">
        <color rgb="FFE3E3E3"/>
      </left>
      <right/>
      <top/>
      <bottom style="thin">
        <color rgb="FFE3E3E3"/>
      </bottom>
      <diagonal/>
    </border>
    <border>
      <left style="thin">
        <color rgb="FFE3E3E3"/>
      </left>
      <right style="thin">
        <color rgb="FFE3E3E3"/>
      </right>
      <top/>
      <bottom style="thin">
        <color rgb="FFE3E3E3"/>
      </bottom>
      <diagonal/>
    </border>
    <border>
      <left style="thin">
        <color rgb="FFE3E3E3"/>
      </left>
      <right/>
      <top style="thin">
        <color rgb="FFE3E3E3"/>
      </top>
      <bottom style="thin">
        <color rgb="FFE3E3E3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66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0" fontId="2" fillId="6" borderId="0" xfId="0" applyFont="1" applyFill="1" applyAlignment="1">
      <alignment horizontal="center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horizontal="left" vertical="top"/>
    </xf>
    <xf numFmtId="0" fontId="1" fillId="6" borderId="0" xfId="0" applyFont="1" applyFill="1"/>
    <xf numFmtId="0" fontId="4" fillId="0" borderId="0" xfId="0" applyFont="1" applyAlignment="1">
      <alignment horizontal="right"/>
    </xf>
    <xf numFmtId="0" fontId="4" fillId="7" borderId="0" xfId="0" applyFont="1" applyFill="1"/>
    <xf numFmtId="0" fontId="4" fillId="0" borderId="0" xfId="0" applyFont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3" fillId="15" borderId="0" xfId="0" applyFont="1" applyFill="1"/>
    <xf numFmtId="0" fontId="4" fillId="16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164" fontId="3" fillId="0" borderId="0" xfId="0" applyNumberFormat="1" applyFont="1"/>
    <xf numFmtId="49" fontId="1" fillId="0" borderId="1" xfId="0" applyNumberFormat="1" applyFont="1" applyBorder="1" applyAlignment="1">
      <alignment horizontal="left" vertical="center"/>
    </xf>
    <xf numFmtId="49" fontId="1" fillId="0" borderId="2" xfId="0" applyNumberFormat="1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49" fontId="7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49" fontId="3" fillId="0" borderId="0" xfId="0" applyNumberFormat="1" applyFont="1"/>
    <xf numFmtId="49" fontId="1" fillId="0" borderId="4" xfId="0" applyNumberFormat="1" applyFont="1" applyBorder="1" applyAlignment="1">
      <alignment vertical="center"/>
    </xf>
    <xf numFmtId="49" fontId="1" fillId="0" borderId="5" xfId="0" applyNumberFormat="1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9" fillId="6" borderId="5" xfId="0" applyFont="1" applyFill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49" fontId="1" fillId="0" borderId="8" xfId="0" applyNumberFormat="1" applyFont="1" applyBorder="1" applyAlignment="1">
      <alignment vertical="center"/>
    </xf>
    <xf numFmtId="49" fontId="1" fillId="0" borderId="9" xfId="0" applyNumberFormat="1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9" fillId="6" borderId="9" xfId="0" applyFont="1" applyFill="1" applyBorder="1" applyAlignment="1">
      <alignment horizontal="left" vertical="center"/>
    </xf>
    <xf numFmtId="0" fontId="2" fillId="0" borderId="9" xfId="0" applyFont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0" fontId="8" fillId="0" borderId="9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vertical="center"/>
    </xf>
    <xf numFmtId="49" fontId="1" fillId="0" borderId="11" xfId="0" applyNumberFormat="1" applyFont="1" applyBorder="1" applyAlignment="1">
      <alignment vertical="center"/>
    </xf>
    <xf numFmtId="49" fontId="3" fillId="0" borderId="11" xfId="0" applyNumberFormat="1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9" fillId="6" borderId="11" xfId="0" applyFont="1" applyFill="1" applyBorder="1" applyAlignment="1">
      <alignment horizontal="left" vertical="center"/>
    </xf>
    <xf numFmtId="0" fontId="2" fillId="0" borderId="11" xfId="0" applyFont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8" fillId="0" borderId="11" xfId="0" applyFont="1" applyBorder="1" applyAlignment="1">
      <alignment vertical="center"/>
    </xf>
    <xf numFmtId="0" fontId="8" fillId="0" borderId="11" xfId="0" applyFont="1" applyBorder="1" applyAlignment="1">
      <alignment horizontal="center" vertical="center"/>
    </xf>
    <xf numFmtId="49" fontId="3" fillId="0" borderId="12" xfId="0" applyNumberFormat="1" applyFont="1" applyBorder="1" applyAlignment="1">
      <alignment vertical="center"/>
    </xf>
    <xf numFmtId="49" fontId="1" fillId="0" borderId="13" xfId="0" applyNumberFormat="1" applyFont="1" applyBorder="1" applyAlignment="1">
      <alignment vertical="center"/>
    </xf>
    <xf numFmtId="49" fontId="3" fillId="0" borderId="13" xfId="0" applyNumberFormat="1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9" fillId="6" borderId="13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8" fillId="0" borderId="13" xfId="0" applyFont="1" applyBorder="1" applyAlignment="1">
      <alignment vertical="center"/>
    </xf>
    <xf numFmtId="0" fontId="8" fillId="0" borderId="13" xfId="0" applyFont="1" applyBorder="1" applyAlignment="1">
      <alignment horizontal="center" vertical="center"/>
    </xf>
    <xf numFmtId="49" fontId="3" fillId="0" borderId="14" xfId="0" applyNumberFormat="1" applyFont="1" applyBorder="1" applyAlignment="1">
      <alignment vertical="center"/>
    </xf>
    <xf numFmtId="49" fontId="3" fillId="0" borderId="15" xfId="0" applyNumberFormat="1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0" fontId="9" fillId="6" borderId="15" xfId="0" applyFont="1" applyFill="1" applyBorder="1" applyAlignment="1">
      <alignment horizontal="left" vertical="center"/>
    </xf>
    <xf numFmtId="0" fontId="2" fillId="0" borderId="15" xfId="0" applyFont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8" fillId="0" borderId="15" xfId="0" applyFont="1" applyBorder="1" applyAlignment="1">
      <alignment vertical="center"/>
    </xf>
    <xf numFmtId="0" fontId="8" fillId="0" borderId="15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vertical="center"/>
    </xf>
    <xf numFmtId="49" fontId="3" fillId="0" borderId="9" xfId="0" applyNumberFormat="1" applyFont="1" applyBorder="1" applyAlignment="1">
      <alignment vertical="center"/>
    </xf>
    <xf numFmtId="49" fontId="3" fillId="17" borderId="10" xfId="0" applyNumberFormat="1" applyFont="1" applyFill="1" applyBorder="1" applyAlignment="1">
      <alignment vertical="center"/>
    </xf>
    <xf numFmtId="49" fontId="3" fillId="17" borderId="11" xfId="0" applyNumberFormat="1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2" fillId="17" borderId="11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49" fontId="3" fillId="0" borderId="16" xfId="0" applyNumberFormat="1" applyFont="1" applyBorder="1" applyAlignment="1">
      <alignment vertical="center"/>
    </xf>
    <xf numFmtId="49" fontId="3" fillId="0" borderId="17" xfId="0" applyNumberFormat="1" applyFont="1" applyBorder="1" applyAlignment="1">
      <alignment vertical="center"/>
    </xf>
    <xf numFmtId="49" fontId="6" fillId="0" borderId="17" xfId="0" applyNumberFormat="1" applyFont="1" applyBorder="1" applyAlignment="1">
      <alignment vertical="center"/>
    </xf>
    <xf numFmtId="49" fontId="6" fillId="0" borderId="17" xfId="0" applyNumberFormat="1" applyFont="1" applyBorder="1" applyAlignment="1">
      <alignment horizontal="center" vertical="center"/>
    </xf>
    <xf numFmtId="0" fontId="3" fillId="0" borderId="17" xfId="0" applyFont="1" applyBorder="1" applyAlignment="1">
      <alignment vertical="center"/>
    </xf>
    <xf numFmtId="0" fontId="8" fillId="0" borderId="17" xfId="0" applyFont="1" applyBorder="1" applyAlignment="1">
      <alignment vertical="center"/>
    </xf>
    <xf numFmtId="49" fontId="3" fillId="0" borderId="18" xfId="0" applyNumberFormat="1" applyFont="1" applyBorder="1" applyAlignment="1">
      <alignment vertical="center"/>
    </xf>
    <xf numFmtId="49" fontId="3" fillId="0" borderId="19" xfId="0" applyNumberFormat="1" applyFont="1" applyBorder="1" applyAlignment="1">
      <alignment vertical="center"/>
    </xf>
    <xf numFmtId="49" fontId="6" fillId="0" borderId="19" xfId="0" applyNumberFormat="1" applyFont="1" applyBorder="1" applyAlignment="1">
      <alignment vertical="center"/>
    </xf>
    <xf numFmtId="49" fontId="6" fillId="0" borderId="19" xfId="0" applyNumberFormat="1" applyFont="1" applyBorder="1" applyAlignment="1">
      <alignment horizontal="center" vertical="center"/>
    </xf>
    <xf numFmtId="0" fontId="3" fillId="0" borderId="19" xfId="0" applyFont="1" applyBorder="1" applyAlignment="1">
      <alignment vertical="center"/>
    </xf>
    <xf numFmtId="0" fontId="8" fillId="0" borderId="19" xfId="0" applyFont="1" applyBorder="1" applyAlignment="1">
      <alignment vertical="center"/>
    </xf>
    <xf numFmtId="49" fontId="1" fillId="6" borderId="8" xfId="0" applyNumberFormat="1" applyFont="1" applyFill="1" applyBorder="1" applyAlignment="1">
      <alignment vertical="center"/>
    </xf>
    <xf numFmtId="49" fontId="1" fillId="6" borderId="9" xfId="0" applyNumberFormat="1" applyFont="1" applyFill="1" applyBorder="1" applyAlignment="1">
      <alignment vertical="center"/>
    </xf>
    <xf numFmtId="0" fontId="1" fillId="6" borderId="9" xfId="0" applyFont="1" applyFill="1" applyBorder="1" applyAlignment="1">
      <alignment vertical="center"/>
    </xf>
    <xf numFmtId="49" fontId="3" fillId="0" borderId="20" xfId="0" applyNumberFormat="1" applyFont="1" applyBorder="1" applyAlignment="1">
      <alignment vertical="center"/>
    </xf>
    <xf numFmtId="49" fontId="3" fillId="0" borderId="21" xfId="0" applyNumberFormat="1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9" fillId="6" borderId="21" xfId="0" applyFont="1" applyFill="1" applyBorder="1" applyAlignment="1">
      <alignment horizontal="left" vertical="center"/>
    </xf>
    <xf numFmtId="0" fontId="3" fillId="0" borderId="21" xfId="0" applyFont="1" applyBorder="1" applyAlignment="1">
      <alignment horizontal="center" vertical="center"/>
    </xf>
    <xf numFmtId="0" fontId="8" fillId="0" borderId="21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49" fontId="1" fillId="0" borderId="0" xfId="0" applyNumberFormat="1" applyFont="1"/>
    <xf numFmtId="0" fontId="9" fillId="6" borderId="0" xfId="0" applyFont="1" applyFill="1" applyAlignment="1">
      <alignment horizontal="left"/>
    </xf>
    <xf numFmtId="0" fontId="10" fillId="18" borderId="23" xfId="0" applyFont="1" applyFill="1" applyBorder="1" applyAlignment="1">
      <alignment vertical="top"/>
    </xf>
    <xf numFmtId="0" fontId="10" fillId="19" borderId="23" xfId="0" applyFont="1" applyFill="1" applyBorder="1" applyAlignment="1">
      <alignment vertical="top"/>
    </xf>
    <xf numFmtId="0" fontId="11" fillId="0" borderId="23" xfId="0" applyFont="1" applyBorder="1" applyAlignment="1">
      <alignment vertical="top"/>
    </xf>
    <xf numFmtId="0" fontId="3" fillId="0" borderId="23" xfId="0" applyFont="1" applyBorder="1" applyAlignment="1">
      <alignment vertical="top"/>
    </xf>
    <xf numFmtId="0" fontId="12" fillId="20" borderId="0" xfId="0" applyFont="1" applyFill="1"/>
    <xf numFmtId="0" fontId="13" fillId="20" borderId="0" xfId="0" applyFont="1" applyFill="1" applyAlignment="1">
      <alignment horizontal="right" vertical="top"/>
    </xf>
    <xf numFmtId="0" fontId="14" fillId="20" borderId="0" xfId="0" applyFont="1" applyFill="1" applyAlignment="1">
      <alignment horizontal="left" vertical="top"/>
    </xf>
    <xf numFmtId="0" fontId="13" fillId="20" borderId="0" xfId="0" applyFont="1" applyFill="1" applyAlignment="1">
      <alignment horizontal="center" vertical="top"/>
    </xf>
    <xf numFmtId="14" fontId="13" fillId="20" borderId="0" xfId="0" applyNumberFormat="1" applyFont="1" applyFill="1" applyAlignment="1">
      <alignment horizontal="center" vertical="top"/>
    </xf>
    <xf numFmtId="0" fontId="15" fillId="0" borderId="0" xfId="0" applyFont="1"/>
    <xf numFmtId="49" fontId="13" fillId="20" borderId="0" xfId="0" applyNumberFormat="1" applyFont="1" applyFill="1" applyAlignment="1">
      <alignment horizontal="center" vertical="top"/>
    </xf>
    <xf numFmtId="0" fontId="14" fillId="20" borderId="0" xfId="0" applyFont="1" applyFill="1"/>
    <xf numFmtId="0" fontId="16" fillId="6" borderId="0" xfId="0" applyFont="1" applyFill="1" applyAlignment="1">
      <alignment horizontal="right" vertical="top"/>
    </xf>
    <xf numFmtId="0" fontId="15" fillId="6" borderId="0" xfId="0" applyFont="1" applyFill="1" applyAlignment="1">
      <alignment horizontal="left" vertical="top"/>
    </xf>
    <xf numFmtId="14" fontId="15" fillId="6" borderId="0" xfId="0" applyNumberFormat="1" applyFont="1" applyFill="1" applyAlignment="1">
      <alignment horizontal="left" vertical="top"/>
    </xf>
    <xf numFmtId="0" fontId="16" fillId="6" borderId="0" xfId="0" applyFont="1" applyFill="1" applyAlignment="1">
      <alignment horizontal="center" vertical="top"/>
    </xf>
    <xf numFmtId="49" fontId="16" fillId="6" borderId="0" xfId="0" applyNumberFormat="1" applyFont="1" applyFill="1" applyAlignment="1">
      <alignment horizontal="center" vertical="top"/>
    </xf>
    <xf numFmtId="0" fontId="15" fillId="6" borderId="0" xfId="0" applyFont="1" applyFill="1"/>
    <xf numFmtId="0" fontId="16" fillId="6" borderId="0" xfId="0" applyFont="1" applyFill="1" applyAlignment="1">
      <alignment horizontal="right"/>
    </xf>
    <xf numFmtId="164" fontId="15" fillId="6" borderId="0" xfId="0" applyNumberFormat="1" applyFont="1" applyFill="1" applyAlignment="1">
      <alignment horizontal="left"/>
    </xf>
    <xf numFmtId="0" fontId="15" fillId="6" borderId="0" xfId="0" applyFont="1" applyFill="1" applyAlignment="1">
      <alignment horizontal="center" vertical="top"/>
    </xf>
    <xf numFmtId="14" fontId="16" fillId="6" borderId="0" xfId="0" applyNumberFormat="1" applyFont="1" applyFill="1" applyAlignment="1">
      <alignment horizontal="center" vertical="top"/>
    </xf>
    <xf numFmtId="164" fontId="15" fillId="6" borderId="0" xfId="0" applyNumberFormat="1" applyFont="1" applyFill="1" applyAlignment="1">
      <alignment horizontal="left" vertical="top"/>
    </xf>
    <xf numFmtId="0" fontId="16" fillId="21" borderId="23" xfId="0" applyFont="1" applyFill="1" applyBorder="1" applyAlignment="1">
      <alignment horizontal="center" vertical="top"/>
    </xf>
    <xf numFmtId="0" fontId="16" fillId="21" borderId="24" xfId="0" applyFont="1" applyFill="1" applyBorder="1" applyAlignment="1">
      <alignment horizontal="center" vertical="top"/>
    </xf>
    <xf numFmtId="49" fontId="16" fillId="21" borderId="24" xfId="0" applyNumberFormat="1" applyFont="1" applyFill="1" applyBorder="1" applyAlignment="1">
      <alignment horizontal="center" vertical="top"/>
    </xf>
    <xf numFmtId="0" fontId="15" fillId="21" borderId="23" xfId="0" applyFont="1" applyFill="1" applyBorder="1" applyAlignment="1">
      <alignment vertical="top"/>
    </xf>
    <xf numFmtId="0" fontId="16" fillId="21" borderId="26" xfId="0" applyFont="1" applyFill="1" applyBorder="1" applyAlignment="1">
      <alignment vertical="top"/>
    </xf>
    <xf numFmtId="0" fontId="16" fillId="21" borderId="26" xfId="0" applyFont="1" applyFill="1" applyBorder="1" applyAlignment="1">
      <alignment horizontal="right" vertical="top"/>
    </xf>
    <xf numFmtId="10" fontId="16" fillId="21" borderId="26" xfId="0" applyNumberFormat="1" applyFont="1" applyFill="1" applyBorder="1" applyAlignment="1">
      <alignment vertical="top"/>
    </xf>
    <xf numFmtId="49" fontId="15" fillId="21" borderId="26" xfId="0" applyNumberFormat="1" applyFont="1" applyFill="1" applyBorder="1" applyAlignment="1">
      <alignment vertical="top"/>
    </xf>
    <xf numFmtId="164" fontId="16" fillId="22" borderId="28" xfId="0" applyNumberFormat="1" applyFont="1" applyFill="1" applyBorder="1" applyAlignment="1">
      <alignment horizontal="center" vertical="top"/>
    </xf>
    <xf numFmtId="0" fontId="15" fillId="0" borderId="26" xfId="0" applyFont="1" applyBorder="1"/>
    <xf numFmtId="10" fontId="15" fillId="0" borderId="26" xfId="0" applyNumberFormat="1" applyFont="1" applyBorder="1"/>
    <xf numFmtId="49" fontId="16" fillId="22" borderId="26" xfId="0" applyNumberFormat="1" applyFont="1" applyFill="1" applyBorder="1" applyAlignment="1">
      <alignment horizontal="center" vertical="top"/>
    </xf>
    <xf numFmtId="9" fontId="15" fillId="22" borderId="28" xfId="0" applyNumberFormat="1" applyFont="1" applyFill="1" applyBorder="1" applyAlignment="1">
      <alignment horizontal="center" vertical="top"/>
    </xf>
    <xf numFmtId="0" fontId="15" fillId="6" borderId="26" xfId="0" applyFont="1" applyFill="1" applyBorder="1"/>
    <xf numFmtId="0" fontId="15" fillId="20" borderId="26" xfId="0" applyFont="1" applyFill="1" applyBorder="1"/>
    <xf numFmtId="49" fontId="15" fillId="22" borderId="26" xfId="0" applyNumberFormat="1" applyFont="1" applyFill="1" applyBorder="1" applyAlignment="1">
      <alignment vertical="top"/>
    </xf>
    <xf numFmtId="10" fontId="15" fillId="0" borderId="26" xfId="0" applyNumberFormat="1" applyFont="1" applyBorder="1" applyAlignment="1">
      <alignment horizontal="right" vertical="top"/>
    </xf>
    <xf numFmtId="0" fontId="15" fillId="0" borderId="26" xfId="0" quotePrefix="1" applyFont="1" applyBorder="1" applyAlignment="1">
      <alignment vertical="top"/>
    </xf>
    <xf numFmtId="10" fontId="16" fillId="0" borderId="26" xfId="0" applyNumberFormat="1" applyFont="1" applyBorder="1" applyAlignment="1">
      <alignment horizontal="right" vertical="top"/>
    </xf>
    <xf numFmtId="0" fontId="15" fillId="0" borderId="28" xfId="0" applyFont="1" applyBorder="1"/>
    <xf numFmtId="0" fontId="15" fillId="0" borderId="23" xfId="0" applyFont="1" applyBorder="1"/>
    <xf numFmtId="49" fontId="15" fillId="22" borderId="28" xfId="0" applyNumberFormat="1" applyFont="1" applyFill="1" applyBorder="1" applyAlignment="1">
      <alignment vertical="top"/>
    </xf>
    <xf numFmtId="10" fontId="15" fillId="0" borderId="26" xfId="0" applyNumberFormat="1" applyFont="1" applyBorder="1" applyAlignment="1">
      <alignment vertical="top"/>
    </xf>
    <xf numFmtId="0" fontId="16" fillId="0" borderId="28" xfId="0" applyFont="1" applyBorder="1" applyAlignment="1">
      <alignment horizontal="right"/>
    </xf>
    <xf numFmtId="10" fontId="16" fillId="0" borderId="26" xfId="0" applyNumberFormat="1" applyFont="1" applyBorder="1"/>
    <xf numFmtId="49" fontId="15" fillId="0" borderId="26" xfId="0" applyNumberFormat="1" applyFont="1" applyBorder="1"/>
    <xf numFmtId="164" fontId="15" fillId="0" borderId="26" xfId="0" applyNumberFormat="1" applyFont="1" applyBorder="1"/>
    <xf numFmtId="164" fontId="16" fillId="0" borderId="26" xfId="0" applyNumberFormat="1" applyFont="1" applyBorder="1"/>
    <xf numFmtId="0" fontId="15" fillId="0" borderId="0" xfId="0" applyFont="1" applyAlignment="1">
      <alignment horizontal="right"/>
    </xf>
    <xf numFmtId="164" fontId="15" fillId="0" borderId="0" xfId="0" applyNumberFormat="1" applyFont="1" applyAlignment="1">
      <alignment horizontal="right"/>
    </xf>
    <xf numFmtId="10" fontId="15" fillId="0" borderId="0" xfId="0" applyNumberFormat="1" applyFont="1"/>
    <xf numFmtId="49" fontId="15" fillId="0" borderId="0" xfId="0" applyNumberFormat="1" applyFont="1"/>
    <xf numFmtId="0" fontId="4" fillId="23" borderId="0" xfId="0" applyFont="1" applyFill="1"/>
    <xf numFmtId="0" fontId="18" fillId="24" borderId="0" xfId="0" applyFont="1" applyFill="1" applyAlignment="1">
      <alignment vertical="center"/>
    </xf>
    <xf numFmtId="0" fontId="18" fillId="25" borderId="0" xfId="0" applyFont="1" applyFill="1" applyAlignment="1">
      <alignment vertical="center"/>
    </xf>
    <xf numFmtId="0" fontId="19" fillId="0" borderId="0" xfId="0" applyFont="1"/>
    <xf numFmtId="0" fontId="3" fillId="0" borderId="0" xfId="0" applyFont="1" applyAlignment="1">
      <alignment wrapText="1"/>
    </xf>
    <xf numFmtId="49" fontId="1" fillId="2" borderId="0" xfId="0" applyNumberFormat="1" applyFont="1" applyFill="1"/>
    <xf numFmtId="49" fontId="1" fillId="3" borderId="0" xfId="0" applyNumberFormat="1" applyFont="1" applyFill="1"/>
    <xf numFmtId="0" fontId="9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8" fillId="0" borderId="0" xfId="0" applyFont="1"/>
    <xf numFmtId="49" fontId="3" fillId="17" borderId="0" xfId="0" applyNumberFormat="1" applyFont="1" applyFill="1"/>
    <xf numFmtId="0" fontId="3" fillId="17" borderId="0" xfId="0" applyFont="1" applyFill="1"/>
    <xf numFmtId="0" fontId="2" fillId="17" borderId="0" xfId="0" applyFont="1" applyFill="1" applyAlignment="1">
      <alignment horizontal="center"/>
    </xf>
    <xf numFmtId="49" fontId="1" fillId="6" borderId="0" xfId="0" applyNumberFormat="1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6" borderId="0" xfId="0" applyFont="1" applyFill="1"/>
    <xf numFmtId="0" fontId="3" fillId="34" borderId="0" xfId="0" applyFont="1" applyFill="1"/>
    <xf numFmtId="9" fontId="3" fillId="0" borderId="0" xfId="0" applyNumberFormat="1" applyFont="1"/>
    <xf numFmtId="0" fontId="2" fillId="35" borderId="0" xfId="0" applyFont="1" applyFill="1" applyAlignment="1">
      <alignment horizontal="center"/>
    </xf>
    <xf numFmtId="0" fontId="3" fillId="17" borderId="0" xfId="0" applyFont="1" applyFill="1" applyAlignment="1">
      <alignment horizontal="left" vertical="top"/>
    </xf>
    <xf numFmtId="0" fontId="18" fillId="36" borderId="0" xfId="0" applyFont="1" applyFill="1" applyAlignment="1">
      <alignment vertical="center"/>
    </xf>
    <xf numFmtId="0" fontId="3" fillId="10" borderId="0" xfId="0" applyFont="1" applyFill="1"/>
    <xf numFmtId="0" fontId="4" fillId="37" borderId="0" xfId="0" applyFont="1" applyFill="1"/>
    <xf numFmtId="0" fontId="4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4" fillId="43" borderId="0" xfId="0" applyFont="1" applyFill="1"/>
    <xf numFmtId="0" fontId="20" fillId="6" borderId="0" xfId="0" applyFont="1" applyFill="1"/>
    <xf numFmtId="0" fontId="21" fillId="6" borderId="0" xfId="0" applyFont="1" applyFill="1"/>
    <xf numFmtId="0" fontId="22" fillId="6" borderId="0" xfId="0" applyFont="1" applyFill="1"/>
    <xf numFmtId="0" fontId="23" fillId="0" borderId="0" xfId="0" applyFont="1" applyAlignment="1">
      <alignment horizontal="center"/>
    </xf>
    <xf numFmtId="0" fontId="16" fillId="0" borderId="0" xfId="0" applyFont="1" applyAlignment="1">
      <alignment vertical="center"/>
    </xf>
    <xf numFmtId="0" fontId="24" fillId="6" borderId="0" xfId="0" applyFont="1" applyFill="1" applyAlignment="1">
      <alignment horizontal="center" vertical="center"/>
    </xf>
    <xf numFmtId="0" fontId="24" fillId="6" borderId="23" xfId="0" applyFont="1" applyFill="1" applyBorder="1" applyAlignment="1">
      <alignment horizontal="center" vertical="center"/>
    </xf>
    <xf numFmtId="0" fontId="24" fillId="6" borderId="0" xfId="0" applyFont="1" applyFill="1" applyAlignment="1">
      <alignment horizontal="center" vertical="top"/>
    </xf>
    <xf numFmtId="0" fontId="25" fillId="0" borderId="0" xfId="0" applyFont="1" applyAlignment="1">
      <alignment vertical="center"/>
    </xf>
    <xf numFmtId="0" fontId="26" fillId="6" borderId="0" xfId="0" applyFont="1" applyFill="1" applyAlignment="1">
      <alignment horizontal="center" vertical="center"/>
    </xf>
    <xf numFmtId="0" fontId="26" fillId="0" borderId="29" xfId="0" applyFont="1" applyBorder="1" applyAlignment="1">
      <alignment vertical="center"/>
    </xf>
    <xf numFmtId="0" fontId="26" fillId="44" borderId="30" xfId="0" applyFont="1" applyFill="1" applyBorder="1" applyAlignment="1">
      <alignment vertical="center"/>
    </xf>
    <xf numFmtId="0" fontId="26" fillId="45" borderId="30" xfId="0" applyFont="1" applyFill="1" applyBorder="1" applyAlignment="1">
      <alignment vertical="center"/>
    </xf>
    <xf numFmtId="0" fontId="27" fillId="46" borderId="0" xfId="0" applyFont="1" applyFill="1" applyAlignment="1">
      <alignment horizontal="left" vertical="top" wrapText="1"/>
    </xf>
    <xf numFmtId="0" fontId="27" fillId="6" borderId="0" xfId="0" applyFont="1" applyFill="1" applyAlignment="1">
      <alignment horizontal="center" vertical="top"/>
    </xf>
    <xf numFmtId="0" fontId="26" fillId="45" borderId="31" xfId="0" applyFont="1" applyFill="1" applyBorder="1" applyAlignment="1">
      <alignment vertical="center"/>
    </xf>
    <xf numFmtId="0" fontId="26" fillId="45" borderId="32" xfId="0" applyFont="1" applyFill="1" applyBorder="1" applyAlignment="1">
      <alignment vertical="center"/>
    </xf>
    <xf numFmtId="0" fontId="26" fillId="47" borderId="32" xfId="0" applyFont="1" applyFill="1" applyBorder="1" applyAlignment="1">
      <alignment vertical="center"/>
    </xf>
    <xf numFmtId="0" fontId="26" fillId="0" borderId="32" xfId="0" applyFont="1" applyBorder="1" applyAlignment="1">
      <alignment vertical="center"/>
    </xf>
    <xf numFmtId="0" fontId="26" fillId="44" borderId="32" xfId="0" applyFont="1" applyFill="1" applyBorder="1" applyAlignment="1">
      <alignment vertical="center"/>
    </xf>
    <xf numFmtId="0" fontId="26" fillId="44" borderId="31" xfId="0" applyFont="1" applyFill="1" applyBorder="1" applyAlignment="1">
      <alignment vertical="center"/>
    </xf>
    <xf numFmtId="0" fontId="25" fillId="48" borderId="0" xfId="0" applyFont="1" applyFill="1" applyAlignment="1">
      <alignment vertical="center"/>
    </xf>
    <xf numFmtId="0" fontId="26" fillId="48" borderId="0" xfId="0" applyFont="1" applyFill="1" applyAlignment="1">
      <alignment horizontal="center" vertical="center"/>
    </xf>
    <xf numFmtId="0" fontId="26" fillId="17" borderId="31" xfId="0" applyFont="1" applyFill="1" applyBorder="1" applyAlignment="1">
      <alignment vertical="center"/>
    </xf>
    <xf numFmtId="0" fontId="26" fillId="17" borderId="32" xfId="0" applyFont="1" applyFill="1" applyBorder="1" applyAlignment="1">
      <alignment vertical="center"/>
    </xf>
    <xf numFmtId="0" fontId="28" fillId="0" borderId="0" xfId="0" applyFont="1" applyAlignment="1">
      <alignment vertical="center"/>
    </xf>
    <xf numFmtId="0" fontId="28" fillId="49" borderId="0" xfId="0" applyFont="1" applyFill="1" applyAlignment="1">
      <alignment vertical="center"/>
    </xf>
    <xf numFmtId="0" fontId="28" fillId="44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29" fillId="0" borderId="23" xfId="0" applyFont="1" applyBorder="1" applyAlignment="1">
      <alignment horizontal="center" vertical="top"/>
    </xf>
    <xf numFmtId="0" fontId="30" fillId="0" borderId="0" xfId="0" applyFont="1" applyAlignment="1">
      <alignment horizontal="right"/>
    </xf>
    <xf numFmtId="0" fontId="30" fillId="0" borderId="0" xfId="0" applyFont="1"/>
    <xf numFmtId="0" fontId="31" fillId="0" borderId="0" xfId="0" applyFont="1"/>
    <xf numFmtId="0" fontId="3" fillId="0" borderId="0" xfId="0" applyFont="1" applyAlignment="1">
      <alignment horizontal="right"/>
    </xf>
    <xf numFmtId="14" fontId="3" fillId="0" borderId="0" xfId="0" applyNumberFormat="1" applyFont="1"/>
    <xf numFmtId="0" fontId="32" fillId="0" borderId="0" xfId="0" applyFont="1"/>
    <xf numFmtId="49" fontId="1" fillId="50" borderId="0" xfId="0" applyNumberFormat="1" applyFont="1" applyFill="1"/>
    <xf numFmtId="49" fontId="1" fillId="51" borderId="0" xfId="0" applyNumberFormat="1" applyFont="1" applyFill="1"/>
    <xf numFmtId="0" fontId="1" fillId="5" borderId="0" xfId="0" applyFont="1" applyFill="1"/>
    <xf numFmtId="0" fontId="1" fillId="52" borderId="0" xfId="0" applyFont="1" applyFill="1"/>
    <xf numFmtId="0" fontId="1" fillId="53" borderId="0" xfId="0" applyFont="1" applyFill="1"/>
    <xf numFmtId="0" fontId="33" fillId="0" borderId="0" xfId="0" applyFont="1" applyAlignment="1">
      <alignment horizontal="right"/>
    </xf>
    <xf numFmtId="0" fontId="34" fillId="0" borderId="0" xfId="0" applyFont="1" applyAlignment="1">
      <alignment horizontal="center"/>
    </xf>
    <xf numFmtId="0" fontId="4" fillId="54" borderId="0" xfId="0" applyFont="1" applyFill="1"/>
    <xf numFmtId="1" fontId="3" fillId="0" borderId="0" xfId="0" applyNumberFormat="1" applyFont="1"/>
    <xf numFmtId="165" fontId="3" fillId="0" borderId="0" xfId="0" applyNumberFormat="1" applyFont="1"/>
    <xf numFmtId="0" fontId="35" fillId="0" borderId="0" xfId="0" applyFont="1" applyAlignment="1">
      <alignment horizontal="left" vertical="top"/>
    </xf>
    <xf numFmtId="0" fontId="36" fillId="6" borderId="33" xfId="0" applyFont="1" applyFill="1" applyBorder="1" applyAlignment="1">
      <alignment horizontal="left"/>
    </xf>
    <xf numFmtId="0" fontId="36" fillId="6" borderId="34" xfId="0" applyFont="1" applyFill="1" applyBorder="1" applyAlignment="1">
      <alignment horizontal="left"/>
    </xf>
    <xf numFmtId="0" fontId="37" fillId="0" borderId="0" xfId="0" applyFont="1" applyAlignment="1">
      <alignment horizontal="left" vertical="top"/>
    </xf>
    <xf numFmtId="0" fontId="38" fillId="6" borderId="0" xfId="0" applyFont="1" applyFill="1"/>
    <xf numFmtId="0" fontId="36" fillId="6" borderId="0" xfId="0" applyFont="1" applyFill="1" applyAlignment="1">
      <alignment horizontal="left"/>
    </xf>
    <xf numFmtId="0" fontId="36" fillId="55" borderId="35" xfId="0" applyFont="1" applyFill="1" applyBorder="1" applyAlignment="1">
      <alignment horizontal="center"/>
    </xf>
    <xf numFmtId="0" fontId="36" fillId="55" borderId="36" xfId="0" applyFont="1" applyFill="1" applyBorder="1" applyAlignment="1">
      <alignment horizontal="center"/>
    </xf>
    <xf numFmtId="0" fontId="16" fillId="21" borderId="25" xfId="0" applyFont="1" applyFill="1" applyBorder="1" applyAlignment="1">
      <alignment horizontal="center" vertical="top"/>
    </xf>
    <xf numFmtId="0" fontId="17" fillId="0" borderId="25" xfId="0" applyFont="1" applyBorder="1"/>
    <xf numFmtId="0" fontId="17" fillId="0" borderId="24" xfId="0" applyFont="1" applyBorder="1"/>
    <xf numFmtId="0" fontId="16" fillId="22" borderId="27" xfId="0" applyFont="1" applyFill="1" applyBorder="1" applyAlignment="1">
      <alignment horizontal="center" vertical="center"/>
    </xf>
    <xf numFmtId="0" fontId="17" fillId="0" borderId="28" xfId="0" applyFont="1" applyBorder="1"/>
    <xf numFmtId="0" fontId="16" fillId="22" borderId="27" xfId="0" applyFont="1" applyFill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0" fillId="0" borderId="0" xfId="0"/>
  </cellXfs>
  <cellStyles count="1">
    <cellStyle name="Normal" xfId="0" builtinId="0"/>
  </cellStyles>
  <dxfs count="43">
    <dxf>
      <fill>
        <patternFill patternType="solid">
          <fgColor rgb="FFE4EEF7"/>
          <bgColor rgb="FFE4EEF7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9FC5E8"/>
          <bgColor rgb="FF9FC5E8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E4EEF7"/>
          <bgColor rgb="FFE4EEF7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9FC5E8"/>
          <bgColor rgb="FF9FC5E8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4EEF7"/>
          <bgColor rgb="FFE4EEF7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9FC5E8"/>
          <bgColor rgb="FF9FC5E8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E4EEF7"/>
          <bgColor rgb="FFE4EEF7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9FC5E8"/>
          <bgColor rgb="FF9FC5E8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E4EEF7"/>
          <bgColor rgb="FFE4EEF7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9FC5E8"/>
          <bgColor rgb="FF9FC5E8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E4EEF7"/>
          <bgColor rgb="FFE4EEF7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9FC5E8"/>
          <bgColor rgb="FF9FC5E8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E4EEF7"/>
          <bgColor rgb="FFE4EEF7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9FC5E8"/>
          <bgColor rgb="FF9FC5E8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3">
    <tableStyle name="(NH) Norma BIM - 3E-22-style" pivot="0" count="3" xr9:uid="{00000000-0011-0000-FFFF-FFFF00000000}">
      <tableStyleElement type="headerRow" dxfId="42"/>
      <tableStyleElement type="firstRowStripe" dxfId="41"/>
      <tableStyleElement type="secondRowStripe" dxfId="40"/>
    </tableStyle>
    <tableStyle name="exemplo_base-style" pivot="0" count="2" xr9:uid="{00000000-0011-0000-FFFF-FFFF01000000}">
      <tableStyleElement type="firstRowStripe" dxfId="39"/>
      <tableStyleElement type="secondRowStripe" dxfId="38"/>
    </tableStyle>
    <tableStyle name="Disciplinas Detalhadas (rever u-style" pivot="0" count="2" xr9:uid="{00000000-0011-0000-FFFF-FFFF02000000}">
      <tableStyleElement type="firstRowStripe" dxfId="37"/>
      <tableStyleElement type="secondRowStripe" dxfId="3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19050</xdr:colOff>
      <xdr:row>1</xdr:row>
      <xdr:rowOff>-200025</xdr:rowOff>
    </xdr:from>
    <xdr:ext cx="1314450" cy="49815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1133475</xdr:colOff>
      <xdr:row>16</xdr:row>
      <xdr:rowOff>190500</xdr:rowOff>
    </xdr:from>
    <xdr:ext cx="8048625" cy="3514725"/>
    <xdr:pic>
      <xdr:nvPicPr>
        <xdr:cNvPr id="2" name="image2.jpg" title="Imagem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_1" displayName="Table_1" ref="A1:E17" headerRowCount="0">
  <tableColumns count="5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</tableColumns>
  <tableStyleInfo name="exemplo_bas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_2" displayName="Table_2" ref="H22:J54" headerRowCount="0">
  <tableColumns count="3">
    <tableColumn id="1" xr3:uid="{00000000-0010-0000-0100-000001000000}" name="Column1"/>
    <tableColumn id="2" xr3:uid="{00000000-0010-0000-0100-000002000000}" name="Column2"/>
    <tableColumn id="3" xr3:uid="{00000000-0010-0000-0100-000003000000}" name="Column3"/>
  </tableColumns>
  <tableStyleInfo name="Disciplinas Detalhadas (rever u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tekla.com/br/produtos/tekla-structure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mailto:stefani.oliveira@emccamp.com.br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unrealengine.com/5.3/en-US/API/" TargetMode="External"/><Relationship Id="rId13" Type="http://schemas.openxmlformats.org/officeDocument/2006/relationships/hyperlink" Target="https://aps.autodesk.com/en/docs/forma/v1/overview/welcome-to-forma/" TargetMode="External"/><Relationship Id="rId3" Type="http://schemas.openxmlformats.org/officeDocument/2006/relationships/hyperlink" Target="https://gptforwork.com/help" TargetMode="External"/><Relationship Id="rId7" Type="http://schemas.openxmlformats.org/officeDocument/2006/relationships/hyperlink" Target="https://docs.d-id.com/reference/get-started" TargetMode="External"/><Relationship Id="rId12" Type="http://schemas.openxmlformats.org/officeDocument/2006/relationships/hyperlink" Target="https://aps.autodesk.com/en/docs/acc/v1/overview/" TargetMode="External"/><Relationship Id="rId2" Type="http://schemas.openxmlformats.org/officeDocument/2006/relationships/hyperlink" Target="https://platform.openai.com/docs/introduction" TargetMode="External"/><Relationship Id="rId16" Type="http://schemas.openxmlformats.org/officeDocument/2006/relationships/hyperlink" Target="https://developers.facebook.com/docs/whatsapp/cloud-api/reference" TargetMode="External"/><Relationship Id="rId1" Type="http://schemas.openxmlformats.org/officeDocument/2006/relationships/hyperlink" Target="https://developers.facebook.com/docs/instagram-api/" TargetMode="External"/><Relationship Id="rId6" Type="http://schemas.openxmlformats.org/officeDocument/2006/relationships/hyperlink" Target="https://learn.microsoft.com/en-us/rest/api/power-bi/" TargetMode="External"/><Relationship Id="rId11" Type="http://schemas.openxmlformats.org/officeDocument/2006/relationships/hyperlink" Target="https://api.manychat.com/swagger" TargetMode="External"/><Relationship Id="rId5" Type="http://schemas.openxmlformats.org/officeDocument/2006/relationships/hyperlink" Target="https://developers.hotmart.com/docs/pt-BR/" TargetMode="External"/><Relationship Id="rId15" Type="http://schemas.openxmlformats.org/officeDocument/2006/relationships/hyperlink" Target="https://www.bimcollab.com/pt/resources/developers/developer-sdk/" TargetMode="External"/><Relationship Id="rId10" Type="http://schemas.openxmlformats.org/officeDocument/2006/relationships/hyperlink" Target="https://developer.mozilla.org/pt-BR/docs/Web/API/Canvas_API" TargetMode="External"/><Relationship Id="rId4" Type="http://schemas.openxmlformats.org/officeDocument/2006/relationships/hyperlink" Target="https://docs.aws.amazon.com/apigateway/latest/developerguide/api-ref.html" TargetMode="External"/><Relationship Id="rId9" Type="http://schemas.openxmlformats.org/officeDocument/2006/relationships/hyperlink" Target="https://developer.vimeo.com/api/reference" TargetMode="External"/><Relationship Id="rId14" Type="http://schemas.openxmlformats.org/officeDocument/2006/relationships/hyperlink" Target="https://ifcjs.github.io/web-ifc/doc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19"/>
  <sheetViews>
    <sheetView tabSelected="1" workbookViewId="0">
      <selection activeCell="C7" sqref="C7"/>
    </sheetView>
  </sheetViews>
  <sheetFormatPr defaultColWidth="12.5703125" defaultRowHeight="15.75" customHeight="1"/>
  <cols>
    <col min="1" max="1" width="30.42578125" customWidth="1"/>
    <col min="2" max="2" width="51.42578125" customWidth="1"/>
    <col min="3" max="4" width="17.42578125" customWidth="1"/>
  </cols>
  <sheetData>
    <row r="1" spans="1:2" ht="12.75">
      <c r="A1" s="1" t="s">
        <v>0</v>
      </c>
      <c r="B1" s="2" t="s">
        <v>1</v>
      </c>
    </row>
    <row r="2" spans="1:2" ht="12.75">
      <c r="A2" s="3" t="s">
        <v>3</v>
      </c>
      <c r="B2" s="3" t="s">
        <v>4</v>
      </c>
    </row>
    <row r="3" spans="1:2" ht="12.75">
      <c r="A3" s="3" t="s">
        <v>5</v>
      </c>
      <c r="B3" s="3" t="s">
        <v>7</v>
      </c>
    </row>
    <row r="4" spans="1:2" ht="12.75">
      <c r="A4" s="7" t="s">
        <v>9</v>
      </c>
      <c r="B4" s="7" t="s">
        <v>11</v>
      </c>
    </row>
    <row r="5" spans="1:2" ht="12.75">
      <c r="A5" s="7" t="s">
        <v>13</v>
      </c>
      <c r="B5" s="7" t="s">
        <v>15</v>
      </c>
    </row>
    <row r="6" spans="1:2" ht="12.75">
      <c r="A6" s="7" t="s">
        <v>17</v>
      </c>
      <c r="B6" s="7" t="s">
        <v>19</v>
      </c>
    </row>
    <row r="7" spans="1:2" ht="12.75">
      <c r="A7" s="7" t="s">
        <v>21</v>
      </c>
      <c r="B7" s="7" t="s">
        <v>23</v>
      </c>
    </row>
    <row r="8" spans="1:2" ht="12.75">
      <c r="A8" s="3" t="s">
        <v>25</v>
      </c>
      <c r="B8" s="3" t="s">
        <v>27</v>
      </c>
    </row>
    <row r="9" spans="1:2" ht="12.75">
      <c r="A9" s="7" t="s">
        <v>29</v>
      </c>
      <c r="B9" s="7" t="s">
        <v>31</v>
      </c>
    </row>
    <row r="10" spans="1:2" ht="12.75">
      <c r="A10" s="7" t="s">
        <v>33</v>
      </c>
      <c r="B10" s="7" t="s">
        <v>35</v>
      </c>
    </row>
    <row r="11" spans="1:2" ht="12.75">
      <c r="A11" s="7" t="s">
        <v>37</v>
      </c>
      <c r="B11" s="7" t="s">
        <v>39</v>
      </c>
    </row>
    <row r="12" spans="1:2" ht="12.75">
      <c r="A12" s="7" t="s">
        <v>41</v>
      </c>
      <c r="B12" s="7" t="s">
        <v>43</v>
      </c>
    </row>
    <row r="13" spans="1:2" ht="12.75">
      <c r="A13" s="7" t="s">
        <v>45</v>
      </c>
      <c r="B13" s="7" t="s">
        <v>47</v>
      </c>
    </row>
    <row r="14" spans="1:2" ht="12.75">
      <c r="A14" s="7" t="s">
        <v>49</v>
      </c>
      <c r="B14" s="7" t="s">
        <v>51</v>
      </c>
    </row>
    <row r="15" spans="1:2" ht="12.75">
      <c r="A15" s="7" t="s">
        <v>53</v>
      </c>
      <c r="B15" s="7" t="s">
        <v>55</v>
      </c>
    </row>
    <row r="16" spans="1:2" ht="12.75">
      <c r="A16" s="7" t="s">
        <v>57</v>
      </c>
      <c r="B16" s="7" t="s">
        <v>59</v>
      </c>
    </row>
    <row r="17" spans="1:2" ht="12.75">
      <c r="A17" s="7" t="s">
        <v>61</v>
      </c>
      <c r="B17" s="7" t="s">
        <v>63</v>
      </c>
    </row>
    <row r="18" spans="1:2" ht="12.75">
      <c r="A18" s="7" t="s">
        <v>65</v>
      </c>
      <c r="B18" s="7" t="s">
        <v>67</v>
      </c>
    </row>
    <row r="19" spans="1:2" ht="12.75">
      <c r="A19" s="7" t="s">
        <v>69</v>
      </c>
      <c r="B19" s="7" t="s">
        <v>71</v>
      </c>
    </row>
    <row r="20" spans="1:2" ht="12.75">
      <c r="A20" s="7" t="s">
        <v>73</v>
      </c>
      <c r="B20" s="7" t="s">
        <v>75</v>
      </c>
    </row>
    <row r="21" spans="1:2" ht="12.75">
      <c r="A21" s="7" t="s">
        <v>77</v>
      </c>
      <c r="B21" s="7" t="s">
        <v>79</v>
      </c>
    </row>
    <row r="22" spans="1:2" ht="12.75">
      <c r="A22" s="3" t="s">
        <v>81</v>
      </c>
      <c r="B22" s="3" t="s">
        <v>83</v>
      </c>
    </row>
    <row r="23" spans="1:2" ht="12.75">
      <c r="A23" s="7" t="s">
        <v>85</v>
      </c>
      <c r="B23" s="7" t="s">
        <v>87</v>
      </c>
    </row>
    <row r="24" spans="1:2" ht="12.75">
      <c r="A24" s="7" t="s">
        <v>89</v>
      </c>
      <c r="B24" s="7" t="s">
        <v>91</v>
      </c>
    </row>
    <row r="25" spans="1:2" ht="12.75">
      <c r="A25" s="7" t="s">
        <v>93</v>
      </c>
      <c r="B25" s="7" t="s">
        <v>95</v>
      </c>
    </row>
    <row r="26" spans="1:2" ht="12.75">
      <c r="A26" s="3" t="s">
        <v>97</v>
      </c>
      <c r="B26" s="3" t="s">
        <v>99</v>
      </c>
    </row>
    <row r="27" spans="1:2" ht="12.75">
      <c r="A27" s="7" t="s">
        <v>101</v>
      </c>
      <c r="B27" s="7" t="s">
        <v>103</v>
      </c>
    </row>
    <row r="28" spans="1:2" ht="12.75">
      <c r="A28" s="7" t="s">
        <v>105</v>
      </c>
      <c r="B28" s="7" t="s">
        <v>107</v>
      </c>
    </row>
    <row r="29" spans="1:2" ht="12.75">
      <c r="A29" s="7" t="s">
        <v>109</v>
      </c>
      <c r="B29" s="7" t="s">
        <v>111</v>
      </c>
    </row>
    <row r="30" spans="1:2" ht="12.75">
      <c r="A30" s="7" t="s">
        <v>113</v>
      </c>
      <c r="B30" s="7" t="s">
        <v>115</v>
      </c>
    </row>
    <row r="31" spans="1:2" ht="12.75">
      <c r="A31" s="7" t="s">
        <v>117</v>
      </c>
      <c r="B31" s="7" t="s">
        <v>119</v>
      </c>
    </row>
    <row r="32" spans="1:2" ht="12.75">
      <c r="A32" s="7" t="s">
        <v>121</v>
      </c>
      <c r="B32" s="7" t="s">
        <v>123</v>
      </c>
    </row>
    <row r="33" spans="1:2" ht="12.75">
      <c r="A33" s="7" t="s">
        <v>125</v>
      </c>
      <c r="B33" s="7" t="s">
        <v>127</v>
      </c>
    </row>
    <row r="34" spans="1:2" ht="12.75">
      <c r="A34" s="7" t="s">
        <v>129</v>
      </c>
      <c r="B34" s="7" t="s">
        <v>131</v>
      </c>
    </row>
    <row r="35" spans="1:2" ht="12.75">
      <c r="A35" s="3" t="s">
        <v>133</v>
      </c>
      <c r="B35" s="3" t="s">
        <v>135</v>
      </c>
    </row>
    <row r="36" spans="1:2" ht="12.75">
      <c r="A36" s="7" t="s">
        <v>137</v>
      </c>
      <c r="B36" s="7" t="s">
        <v>139</v>
      </c>
    </row>
    <row r="37" spans="1:2" ht="12.75">
      <c r="A37" s="7" t="s">
        <v>141</v>
      </c>
      <c r="B37" s="7" t="s">
        <v>143</v>
      </c>
    </row>
    <row r="38" spans="1:2" ht="12.75">
      <c r="A38" s="7" t="s">
        <v>145</v>
      </c>
      <c r="B38" s="7" t="s">
        <v>147</v>
      </c>
    </row>
    <row r="39" spans="1:2" ht="12.75">
      <c r="A39" s="3" t="s">
        <v>149</v>
      </c>
      <c r="B39" s="3" t="s">
        <v>151</v>
      </c>
    </row>
    <row r="40" spans="1:2" ht="12.75">
      <c r="A40" s="7" t="s">
        <v>153</v>
      </c>
      <c r="B40" s="7" t="s">
        <v>155</v>
      </c>
    </row>
    <row r="41" spans="1:2" ht="12.75">
      <c r="A41" s="7" t="s">
        <v>157</v>
      </c>
      <c r="B41" s="7" t="s">
        <v>159</v>
      </c>
    </row>
    <row r="42" spans="1:2" ht="12.75">
      <c r="A42" s="7" t="s">
        <v>161</v>
      </c>
      <c r="B42" s="7" t="s">
        <v>163</v>
      </c>
    </row>
    <row r="43" spans="1:2" ht="12.75">
      <c r="A43" s="7" t="s">
        <v>165</v>
      </c>
      <c r="B43" s="7" t="s">
        <v>167</v>
      </c>
    </row>
    <row r="44" spans="1:2" ht="12.75">
      <c r="A44" s="7" t="s">
        <v>169</v>
      </c>
      <c r="B44" s="7" t="s">
        <v>171</v>
      </c>
    </row>
    <row r="45" spans="1:2" ht="12.75">
      <c r="A45" s="3" t="s">
        <v>173</v>
      </c>
      <c r="B45" s="3" t="s">
        <v>175</v>
      </c>
    </row>
    <row r="46" spans="1:2" ht="12.75">
      <c r="A46" s="3" t="s">
        <v>177</v>
      </c>
      <c r="B46" s="3" t="s">
        <v>179</v>
      </c>
    </row>
    <row r="47" spans="1:2" ht="12.75">
      <c r="A47" s="3" t="s">
        <v>181</v>
      </c>
      <c r="B47" s="3" t="s">
        <v>183</v>
      </c>
    </row>
    <row r="48" spans="1:2" ht="12.75">
      <c r="A48" s="3" t="s">
        <v>185</v>
      </c>
      <c r="B48" s="3" t="s">
        <v>187</v>
      </c>
    </row>
    <row r="49" spans="1:2" ht="12.75">
      <c r="A49" s="3" t="s">
        <v>189</v>
      </c>
      <c r="B49" s="3" t="s">
        <v>191</v>
      </c>
    </row>
    <row r="50" spans="1:2" ht="12.75">
      <c r="A50" s="3" t="s">
        <v>193</v>
      </c>
      <c r="B50" s="3" t="s">
        <v>195</v>
      </c>
    </row>
    <row r="51" spans="1:2" ht="12.75">
      <c r="A51" s="7" t="s">
        <v>197</v>
      </c>
      <c r="B51" s="7" t="s">
        <v>199</v>
      </c>
    </row>
    <row r="52" spans="1:2" ht="12.75">
      <c r="A52" s="3" t="s">
        <v>201</v>
      </c>
      <c r="B52" s="3" t="s">
        <v>203</v>
      </c>
    </row>
    <row r="53" spans="1:2" ht="12.75">
      <c r="A53" s="3" t="s">
        <v>205</v>
      </c>
      <c r="B53" s="3" t="s">
        <v>207</v>
      </c>
    </row>
    <row r="54" spans="1:2" ht="12.75">
      <c r="A54" s="7" t="s">
        <v>209</v>
      </c>
      <c r="B54" s="7" t="s">
        <v>211</v>
      </c>
    </row>
    <row r="55" spans="1:2" ht="12.75">
      <c r="A55" s="7" t="s">
        <v>213</v>
      </c>
      <c r="B55" s="7" t="s">
        <v>215</v>
      </c>
    </row>
    <row r="56" spans="1:2" ht="12.75">
      <c r="A56" s="7" t="s">
        <v>217</v>
      </c>
      <c r="B56" s="7" t="s">
        <v>219</v>
      </c>
    </row>
    <row r="57" spans="1:2" ht="12.75">
      <c r="A57" s="3" t="s">
        <v>221</v>
      </c>
      <c r="B57" s="3" t="s">
        <v>223</v>
      </c>
    </row>
    <row r="58" spans="1:2" ht="12.75">
      <c r="A58" s="7" t="s">
        <v>225</v>
      </c>
      <c r="B58" s="7" t="s">
        <v>227</v>
      </c>
    </row>
    <row r="59" spans="1:2" ht="12.75">
      <c r="A59" s="7" t="s">
        <v>229</v>
      </c>
      <c r="B59" s="7" t="s">
        <v>231</v>
      </c>
    </row>
    <row r="60" spans="1:2" ht="12.75">
      <c r="A60" s="7" t="s">
        <v>233</v>
      </c>
      <c r="B60" s="7" t="s">
        <v>235</v>
      </c>
    </row>
    <row r="61" spans="1:2" ht="12.75">
      <c r="A61" s="7" t="s">
        <v>237</v>
      </c>
      <c r="B61" s="7" t="s">
        <v>239</v>
      </c>
    </row>
    <row r="62" spans="1:2" ht="12.75">
      <c r="A62" s="7" t="s">
        <v>241</v>
      </c>
      <c r="B62" s="7" t="s">
        <v>243</v>
      </c>
    </row>
    <row r="63" spans="1:2" ht="12.75">
      <c r="A63" s="7" t="s">
        <v>245</v>
      </c>
      <c r="B63" s="7" t="s">
        <v>247</v>
      </c>
    </row>
    <row r="64" spans="1:2" ht="12.75">
      <c r="A64" s="7" t="s">
        <v>249</v>
      </c>
      <c r="B64" s="7" t="s">
        <v>251</v>
      </c>
    </row>
    <row r="65" spans="1:2" ht="12.75">
      <c r="A65" s="7" t="s">
        <v>253</v>
      </c>
      <c r="B65" s="7" t="s">
        <v>255</v>
      </c>
    </row>
    <row r="66" spans="1:2" ht="12.75">
      <c r="A66" s="7" t="s">
        <v>257</v>
      </c>
      <c r="B66" s="7" t="s">
        <v>259</v>
      </c>
    </row>
    <row r="67" spans="1:2" ht="12.75">
      <c r="A67" s="7" t="s">
        <v>261</v>
      </c>
      <c r="B67" s="7" t="s">
        <v>263</v>
      </c>
    </row>
    <row r="68" spans="1:2" ht="12.75">
      <c r="A68" s="7" t="s">
        <v>265</v>
      </c>
      <c r="B68" s="7" t="s">
        <v>267</v>
      </c>
    </row>
    <row r="69" spans="1:2" ht="12.75">
      <c r="A69" s="7" t="s">
        <v>269</v>
      </c>
      <c r="B69" s="7" t="s">
        <v>271</v>
      </c>
    </row>
    <row r="70" spans="1:2" ht="12.75">
      <c r="A70" s="7" t="s">
        <v>273</v>
      </c>
      <c r="B70" s="7" t="s">
        <v>275</v>
      </c>
    </row>
    <row r="71" spans="1:2" ht="12.75">
      <c r="A71" s="7" t="s">
        <v>277</v>
      </c>
      <c r="B71" s="7" t="s">
        <v>279</v>
      </c>
    </row>
    <row r="72" spans="1:2" ht="12.75">
      <c r="A72" s="3" t="s">
        <v>281</v>
      </c>
      <c r="B72" s="3" t="s">
        <v>283</v>
      </c>
    </row>
    <row r="73" spans="1:2" ht="12.75">
      <c r="A73" s="7" t="s">
        <v>285</v>
      </c>
      <c r="B73" s="7" t="s">
        <v>287</v>
      </c>
    </row>
    <row r="74" spans="1:2" ht="12.75">
      <c r="A74" s="7" t="s">
        <v>289</v>
      </c>
      <c r="B74" s="7" t="s">
        <v>291</v>
      </c>
    </row>
    <row r="75" spans="1:2" ht="12.75">
      <c r="A75" s="7" t="s">
        <v>293</v>
      </c>
      <c r="B75" s="7" t="s">
        <v>295</v>
      </c>
    </row>
    <row r="76" spans="1:2" ht="12.75">
      <c r="A76" s="7" t="s">
        <v>297</v>
      </c>
      <c r="B76" s="7" t="s">
        <v>299</v>
      </c>
    </row>
    <row r="77" spans="1:2" ht="12.75">
      <c r="A77" s="3" t="s">
        <v>301</v>
      </c>
      <c r="B77" s="3" t="s">
        <v>303</v>
      </c>
    </row>
    <row r="78" spans="1:2" ht="12.75">
      <c r="A78" s="7" t="s">
        <v>305</v>
      </c>
      <c r="B78" s="7" t="s">
        <v>307</v>
      </c>
    </row>
    <row r="79" spans="1:2" ht="12.75">
      <c r="A79" s="7" t="s">
        <v>309</v>
      </c>
      <c r="B79" s="7" t="s">
        <v>311</v>
      </c>
    </row>
    <row r="80" spans="1:2" ht="12.75">
      <c r="A80" s="7" t="s">
        <v>313</v>
      </c>
      <c r="B80" s="7" t="s">
        <v>315</v>
      </c>
    </row>
    <row r="81" spans="1:2" ht="12.75">
      <c r="A81" s="7" t="s">
        <v>317</v>
      </c>
      <c r="B81" s="7" t="s">
        <v>319</v>
      </c>
    </row>
    <row r="82" spans="1:2" ht="12.75">
      <c r="A82" s="7" t="s">
        <v>321</v>
      </c>
      <c r="B82" s="7" t="s">
        <v>323</v>
      </c>
    </row>
    <row r="83" spans="1:2" ht="12.75">
      <c r="A83" s="7" t="s">
        <v>325</v>
      </c>
      <c r="B83" s="7" t="s">
        <v>327</v>
      </c>
    </row>
    <row r="84" spans="1:2" ht="12.75">
      <c r="A84" s="7" t="s">
        <v>329</v>
      </c>
      <c r="B84" s="7" t="s">
        <v>331</v>
      </c>
    </row>
    <row r="85" spans="1:2" ht="12.75">
      <c r="A85" s="7" t="s">
        <v>333</v>
      </c>
      <c r="B85" s="7" t="s">
        <v>335</v>
      </c>
    </row>
    <row r="86" spans="1:2" ht="12.75">
      <c r="A86" s="3" t="s">
        <v>337</v>
      </c>
      <c r="B86" s="3" t="s">
        <v>339</v>
      </c>
    </row>
    <row r="87" spans="1:2" ht="12.75">
      <c r="A87" s="7" t="s">
        <v>341</v>
      </c>
      <c r="B87" s="7" t="s">
        <v>343</v>
      </c>
    </row>
    <row r="88" spans="1:2" ht="12.75">
      <c r="A88" s="7" t="s">
        <v>345</v>
      </c>
      <c r="B88" s="7" t="s">
        <v>347</v>
      </c>
    </row>
    <row r="89" spans="1:2" ht="12.75">
      <c r="A89" s="7" t="s">
        <v>349</v>
      </c>
      <c r="B89" s="7" t="s">
        <v>351</v>
      </c>
    </row>
    <row r="90" spans="1:2" ht="12.75">
      <c r="A90" s="3" t="s">
        <v>353</v>
      </c>
      <c r="B90" s="3" t="s">
        <v>355</v>
      </c>
    </row>
    <row r="91" spans="1:2" ht="12.75">
      <c r="A91" s="7" t="s">
        <v>357</v>
      </c>
      <c r="B91" s="7" t="s">
        <v>359</v>
      </c>
    </row>
    <row r="92" spans="1:2" ht="12.75">
      <c r="A92" s="7" t="s">
        <v>361</v>
      </c>
      <c r="B92" s="7" t="s">
        <v>363</v>
      </c>
    </row>
    <row r="93" spans="1:2" ht="12.75">
      <c r="A93" s="3" t="s">
        <v>365</v>
      </c>
      <c r="B93" s="3" t="s">
        <v>367</v>
      </c>
    </row>
    <row r="94" spans="1:2" ht="12.75">
      <c r="A94" s="3" t="s">
        <v>369</v>
      </c>
      <c r="B94" s="3" t="s">
        <v>371</v>
      </c>
    </row>
    <row r="95" spans="1:2" ht="12.75">
      <c r="A95" s="7" t="s">
        <v>373</v>
      </c>
      <c r="B95" s="7" t="s">
        <v>375</v>
      </c>
    </row>
    <row r="96" spans="1:2" ht="12.75">
      <c r="A96" s="7" t="s">
        <v>377</v>
      </c>
      <c r="B96" s="7" t="s">
        <v>379</v>
      </c>
    </row>
    <row r="97" spans="1:2" ht="12.75">
      <c r="A97" s="7" t="s">
        <v>381</v>
      </c>
      <c r="B97" s="7" t="s">
        <v>383</v>
      </c>
    </row>
    <row r="98" spans="1:2" ht="12.75">
      <c r="A98" s="7" t="s">
        <v>385</v>
      </c>
      <c r="B98" s="7" t="s">
        <v>387</v>
      </c>
    </row>
    <row r="99" spans="1:2" ht="12.75">
      <c r="A99" s="3" t="s">
        <v>389</v>
      </c>
      <c r="B99" s="3" t="s">
        <v>391</v>
      </c>
    </row>
    <row r="100" spans="1:2" ht="12.75">
      <c r="A100" s="7" t="s">
        <v>393</v>
      </c>
      <c r="B100" s="7" t="s">
        <v>395</v>
      </c>
    </row>
    <row r="101" spans="1:2" ht="12.75">
      <c r="A101" s="7" t="s">
        <v>397</v>
      </c>
      <c r="B101" s="7" t="s">
        <v>399</v>
      </c>
    </row>
    <row r="102" spans="1:2" ht="12.75">
      <c r="A102" s="7" t="s">
        <v>401</v>
      </c>
      <c r="B102" s="7" t="s">
        <v>403</v>
      </c>
    </row>
    <row r="103" spans="1:2" ht="12.75">
      <c r="A103" s="7" t="s">
        <v>405</v>
      </c>
      <c r="B103" s="7" t="s">
        <v>407</v>
      </c>
    </row>
    <row r="104" spans="1:2" ht="12.75">
      <c r="A104" s="7" t="s">
        <v>409</v>
      </c>
      <c r="B104" s="7" t="s">
        <v>411</v>
      </c>
    </row>
    <row r="105" spans="1:2" ht="12.75">
      <c r="A105" s="7" t="s">
        <v>413</v>
      </c>
      <c r="B105" s="7" t="s">
        <v>415</v>
      </c>
    </row>
    <row r="106" spans="1:2" ht="12.75">
      <c r="A106" s="7" t="s">
        <v>417</v>
      </c>
      <c r="B106" s="7" t="s">
        <v>419</v>
      </c>
    </row>
    <row r="107" spans="1:2" ht="12.75">
      <c r="A107" s="7" t="s">
        <v>421</v>
      </c>
      <c r="B107" s="7" t="s">
        <v>423</v>
      </c>
    </row>
    <row r="108" spans="1:2" ht="12.75">
      <c r="A108" s="7" t="s">
        <v>425</v>
      </c>
      <c r="B108" s="7" t="s">
        <v>427</v>
      </c>
    </row>
    <row r="109" spans="1:2" ht="12.75">
      <c r="A109" s="7" t="s">
        <v>429</v>
      </c>
      <c r="B109" s="7" t="s">
        <v>431</v>
      </c>
    </row>
    <row r="110" spans="1:2" ht="12.75">
      <c r="A110" s="7" t="s">
        <v>433</v>
      </c>
      <c r="B110" s="7" t="s">
        <v>435</v>
      </c>
    </row>
    <row r="111" spans="1:2" ht="12.75">
      <c r="A111" s="7" t="s">
        <v>437</v>
      </c>
      <c r="B111" s="7" t="s">
        <v>439</v>
      </c>
    </row>
    <row r="112" spans="1:2" ht="12.75">
      <c r="A112" s="7" t="s">
        <v>441</v>
      </c>
      <c r="B112" s="7" t="s">
        <v>443</v>
      </c>
    </row>
    <row r="113" spans="1:2" ht="12.75">
      <c r="A113" s="3" t="s">
        <v>445</v>
      </c>
      <c r="B113" s="3" t="s">
        <v>447</v>
      </c>
    </row>
    <row r="114" spans="1:2" ht="12.75">
      <c r="A114" s="7" t="s">
        <v>449</v>
      </c>
      <c r="B114" s="7" t="s">
        <v>451</v>
      </c>
    </row>
    <row r="115" spans="1:2" ht="12.75">
      <c r="A115" s="7" t="s">
        <v>453</v>
      </c>
      <c r="B115" s="7" t="s">
        <v>455</v>
      </c>
    </row>
    <row r="116" spans="1:2" ht="12.75">
      <c r="A116" s="7" t="s">
        <v>457</v>
      </c>
      <c r="B116" s="7" t="s">
        <v>459</v>
      </c>
    </row>
    <row r="117" spans="1:2" ht="12.75">
      <c r="A117" s="7" t="s">
        <v>461</v>
      </c>
      <c r="B117" s="7" t="s">
        <v>463</v>
      </c>
    </row>
    <row r="118" spans="1:2" ht="12.75">
      <c r="A118" s="7" t="s">
        <v>465</v>
      </c>
      <c r="B118" s="7" t="s">
        <v>467</v>
      </c>
    </row>
    <row r="119" spans="1:2" ht="12.75">
      <c r="A119" s="7" t="s">
        <v>469</v>
      </c>
      <c r="B119" s="7" t="s">
        <v>471</v>
      </c>
    </row>
    <row r="120" spans="1:2" ht="12.75">
      <c r="A120" s="7" t="s">
        <v>473</v>
      </c>
      <c r="B120" s="7" t="s">
        <v>475</v>
      </c>
    </row>
    <row r="121" spans="1:2" ht="12.75">
      <c r="A121" s="7" t="s">
        <v>477</v>
      </c>
      <c r="B121" s="7" t="s">
        <v>479</v>
      </c>
    </row>
    <row r="122" spans="1:2" ht="12.75">
      <c r="A122" s="7" t="s">
        <v>481</v>
      </c>
      <c r="B122" s="7" t="s">
        <v>483</v>
      </c>
    </row>
    <row r="123" spans="1:2" ht="12.75">
      <c r="A123" s="7" t="s">
        <v>485</v>
      </c>
      <c r="B123" s="7" t="s">
        <v>487</v>
      </c>
    </row>
    <row r="124" spans="1:2" ht="12.75">
      <c r="A124" s="7" t="s">
        <v>489</v>
      </c>
      <c r="B124" s="7" t="s">
        <v>491</v>
      </c>
    </row>
    <row r="125" spans="1:2" ht="12.75">
      <c r="A125" s="7" t="s">
        <v>493</v>
      </c>
      <c r="B125" s="7" t="s">
        <v>495</v>
      </c>
    </row>
    <row r="126" spans="1:2" ht="12.75">
      <c r="A126" s="3" t="s">
        <v>497</v>
      </c>
      <c r="B126" s="3" t="s">
        <v>499</v>
      </c>
    </row>
    <row r="127" spans="1:2" ht="12.75">
      <c r="A127" s="7" t="s">
        <v>501</v>
      </c>
      <c r="B127" s="7" t="s">
        <v>503</v>
      </c>
    </row>
    <row r="128" spans="1:2" ht="12.75">
      <c r="A128" s="7" t="s">
        <v>505</v>
      </c>
      <c r="B128" s="7" t="s">
        <v>507</v>
      </c>
    </row>
    <row r="129" spans="1:27" ht="12.75">
      <c r="A129" s="7" t="s">
        <v>509</v>
      </c>
      <c r="B129" s="7" t="s">
        <v>511</v>
      </c>
    </row>
    <row r="130" spans="1:27" ht="12.75">
      <c r="A130" s="7" t="s">
        <v>513</v>
      </c>
      <c r="B130" s="7" t="s">
        <v>515</v>
      </c>
    </row>
    <row r="131" spans="1:27" ht="12.75">
      <c r="A131" s="7" t="s">
        <v>517</v>
      </c>
      <c r="B131" s="7" t="s">
        <v>519</v>
      </c>
    </row>
    <row r="132" spans="1:27" ht="12.75">
      <c r="A132" s="7" t="s">
        <v>521</v>
      </c>
      <c r="B132" s="7" t="s">
        <v>523</v>
      </c>
    </row>
    <row r="133" spans="1:27" ht="12.75">
      <c r="A133" s="7" t="s">
        <v>525</v>
      </c>
      <c r="B133" s="7" t="s">
        <v>527</v>
      </c>
    </row>
    <row r="134" spans="1:27" ht="12.75">
      <c r="A134" s="7" t="s">
        <v>529</v>
      </c>
      <c r="B134" s="7" t="s">
        <v>531</v>
      </c>
    </row>
    <row r="135" spans="1:27" ht="12.75">
      <c r="A135" s="3" t="s">
        <v>533</v>
      </c>
      <c r="B135" s="3" t="s">
        <v>535</v>
      </c>
    </row>
    <row r="136" spans="1:27" ht="12.75">
      <c r="A136" s="3" t="s">
        <v>537</v>
      </c>
      <c r="B136" s="3" t="s">
        <v>539</v>
      </c>
    </row>
    <row r="137" spans="1:27" ht="12.75">
      <c r="A137" s="7" t="s">
        <v>541</v>
      </c>
      <c r="B137" s="7" t="s">
        <v>543</v>
      </c>
    </row>
    <row r="138" spans="1:27" ht="12.75">
      <c r="A138" s="7" t="s">
        <v>545</v>
      </c>
      <c r="B138" s="7" t="s">
        <v>547</v>
      </c>
    </row>
    <row r="139" spans="1:27" ht="12.75">
      <c r="A139" s="7" t="s">
        <v>549</v>
      </c>
      <c r="B139" s="7" t="s">
        <v>551</v>
      </c>
    </row>
    <row r="140" spans="1:27" ht="12.75">
      <c r="A140" s="7" t="s">
        <v>553</v>
      </c>
      <c r="B140" s="7" t="s">
        <v>555</v>
      </c>
    </row>
    <row r="141" spans="1:27" ht="12.75">
      <c r="A141" s="3" t="s">
        <v>557</v>
      </c>
      <c r="B141" s="3" t="s">
        <v>559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2.75">
      <c r="A142" s="7" t="s">
        <v>561</v>
      </c>
      <c r="B142" s="7" t="s">
        <v>563</v>
      </c>
    </row>
    <row r="143" spans="1:27" ht="12.75">
      <c r="A143" s="7" t="s">
        <v>565</v>
      </c>
      <c r="B143" s="7" t="s">
        <v>567</v>
      </c>
    </row>
    <row r="144" spans="1:27" ht="12.75">
      <c r="A144" s="7" t="s">
        <v>569</v>
      </c>
      <c r="B144" s="7" t="s">
        <v>571</v>
      </c>
    </row>
    <row r="145" spans="1:27" ht="12.75">
      <c r="A145" s="7" t="s">
        <v>573</v>
      </c>
      <c r="B145" s="7" t="s">
        <v>575</v>
      </c>
    </row>
    <row r="146" spans="1:27" ht="12.75">
      <c r="A146" s="7" t="s">
        <v>577</v>
      </c>
      <c r="B146" s="7" t="s">
        <v>579</v>
      </c>
    </row>
    <row r="147" spans="1:27" ht="12.75">
      <c r="A147" s="7" t="s">
        <v>581</v>
      </c>
      <c r="B147" s="7" t="s">
        <v>583</v>
      </c>
    </row>
    <row r="148" spans="1:27" ht="12.75">
      <c r="A148" s="7" t="s">
        <v>585</v>
      </c>
      <c r="B148" s="7" t="s">
        <v>587</v>
      </c>
    </row>
    <row r="149" spans="1:27" ht="12.75">
      <c r="A149" s="7" t="s">
        <v>589</v>
      </c>
      <c r="B149" s="7" t="s">
        <v>591</v>
      </c>
    </row>
    <row r="150" spans="1:27" ht="12.75">
      <c r="A150" s="7" t="s">
        <v>593</v>
      </c>
      <c r="B150" s="7" t="s">
        <v>595</v>
      </c>
    </row>
    <row r="151" spans="1:27" ht="12.75">
      <c r="A151" s="7" t="s">
        <v>597</v>
      </c>
      <c r="B151" s="7" t="s">
        <v>599</v>
      </c>
    </row>
    <row r="152" spans="1:27" ht="12.75">
      <c r="A152" s="7" t="s">
        <v>601</v>
      </c>
      <c r="B152" s="7" t="s">
        <v>603</v>
      </c>
    </row>
    <row r="153" spans="1:27" ht="12.75">
      <c r="A153" s="7" t="s">
        <v>605</v>
      </c>
      <c r="B153" s="7" t="s">
        <v>607</v>
      </c>
    </row>
    <row r="154" spans="1:27" ht="12.75">
      <c r="A154" s="3" t="s">
        <v>609</v>
      </c>
      <c r="B154" s="3" t="s">
        <v>611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2.75">
      <c r="A155" s="3" t="s">
        <v>613</v>
      </c>
      <c r="B155" s="3" t="s">
        <v>615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2.75">
      <c r="A156" s="7" t="s">
        <v>617</v>
      </c>
      <c r="B156" s="7" t="s">
        <v>619</v>
      </c>
    </row>
    <row r="157" spans="1:27" ht="12.75">
      <c r="A157" s="7" t="s">
        <v>621</v>
      </c>
      <c r="B157" s="7" t="s">
        <v>623</v>
      </c>
    </row>
    <row r="158" spans="1:27" ht="12.75">
      <c r="A158" s="7" t="s">
        <v>625</v>
      </c>
      <c r="B158" s="7" t="s">
        <v>627</v>
      </c>
    </row>
    <row r="159" spans="1:27" ht="12.75">
      <c r="A159" s="7" t="s">
        <v>629</v>
      </c>
      <c r="B159" s="7" t="s">
        <v>631</v>
      </c>
    </row>
    <row r="160" spans="1:27" ht="12.75">
      <c r="A160" s="7" t="s">
        <v>633</v>
      </c>
      <c r="B160" s="7" t="s">
        <v>635</v>
      </c>
    </row>
    <row r="161" spans="1:2" ht="12.75">
      <c r="A161" s="7" t="s">
        <v>637</v>
      </c>
      <c r="B161" s="7" t="s">
        <v>639</v>
      </c>
    </row>
    <row r="162" spans="1:2" ht="12.75">
      <c r="A162" s="7" t="s">
        <v>641</v>
      </c>
      <c r="B162" s="7" t="s">
        <v>643</v>
      </c>
    </row>
    <row r="163" spans="1:2" ht="12.75">
      <c r="A163" s="7" t="s">
        <v>645</v>
      </c>
      <c r="B163" s="7" t="s">
        <v>647</v>
      </c>
    </row>
    <row r="164" spans="1:2" ht="12.75">
      <c r="A164" s="7" t="s">
        <v>649</v>
      </c>
      <c r="B164" s="7" t="s">
        <v>651</v>
      </c>
    </row>
    <row r="165" spans="1:2" ht="12.75">
      <c r="A165" s="7" t="s">
        <v>653</v>
      </c>
      <c r="B165" s="7" t="s">
        <v>655</v>
      </c>
    </row>
    <row r="166" spans="1:2" ht="12.75">
      <c r="A166" s="7" t="s">
        <v>657</v>
      </c>
      <c r="B166" s="7" t="s">
        <v>659</v>
      </c>
    </row>
    <row r="167" spans="1:2" ht="12.75">
      <c r="A167" s="7" t="s">
        <v>661</v>
      </c>
      <c r="B167" s="7" t="s">
        <v>663</v>
      </c>
    </row>
    <row r="168" spans="1:2" ht="12.75">
      <c r="A168" s="7" t="s">
        <v>665</v>
      </c>
      <c r="B168" s="7" t="s">
        <v>667</v>
      </c>
    </row>
    <row r="169" spans="1:2" ht="12.75">
      <c r="A169" s="7" t="s">
        <v>669</v>
      </c>
      <c r="B169" s="7" t="s">
        <v>671</v>
      </c>
    </row>
    <row r="170" spans="1:2" ht="12.75">
      <c r="A170" s="7" t="s">
        <v>673</v>
      </c>
      <c r="B170" s="7" t="s">
        <v>675</v>
      </c>
    </row>
    <row r="171" spans="1:2" ht="12.75">
      <c r="A171" s="7" t="s">
        <v>677</v>
      </c>
      <c r="B171" s="7" t="s">
        <v>679</v>
      </c>
    </row>
    <row r="172" spans="1:2" ht="12.75">
      <c r="A172" s="7" t="s">
        <v>681</v>
      </c>
      <c r="B172" s="7" t="s">
        <v>683</v>
      </c>
    </row>
    <row r="173" spans="1:2" ht="12.75">
      <c r="A173" s="7" t="s">
        <v>685</v>
      </c>
      <c r="B173" s="7" t="s">
        <v>687</v>
      </c>
    </row>
    <row r="174" spans="1:2" ht="12.75">
      <c r="A174" s="7" t="s">
        <v>689</v>
      </c>
      <c r="B174" s="7" t="s">
        <v>691</v>
      </c>
    </row>
    <row r="175" spans="1:2" ht="12.75">
      <c r="A175" s="7" t="s">
        <v>693</v>
      </c>
      <c r="B175" s="7" t="s">
        <v>695</v>
      </c>
    </row>
    <row r="176" spans="1:2" ht="12.75">
      <c r="A176" s="7" t="s">
        <v>697</v>
      </c>
      <c r="B176" s="7" t="s">
        <v>699</v>
      </c>
    </row>
    <row r="177" spans="1:27" ht="12.75">
      <c r="A177" s="3" t="s">
        <v>701</v>
      </c>
      <c r="B177" s="3" t="s">
        <v>703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2.75">
      <c r="A178" s="7" t="s">
        <v>705</v>
      </c>
      <c r="B178" s="7" t="s">
        <v>707</v>
      </c>
    </row>
    <row r="179" spans="1:27" ht="12.75">
      <c r="A179" s="7" t="s">
        <v>709</v>
      </c>
      <c r="B179" s="7" t="s">
        <v>711</v>
      </c>
    </row>
    <row r="180" spans="1:27" ht="12.75">
      <c r="A180" s="7" t="s">
        <v>713</v>
      </c>
      <c r="B180" s="7" t="s">
        <v>715</v>
      </c>
    </row>
    <row r="181" spans="1:27" ht="12.75">
      <c r="A181" s="7" t="s">
        <v>717</v>
      </c>
      <c r="B181" s="7" t="s">
        <v>719</v>
      </c>
    </row>
    <row r="182" spans="1:27" ht="12.75">
      <c r="A182" s="7" t="s">
        <v>721</v>
      </c>
      <c r="B182" s="7" t="s">
        <v>723</v>
      </c>
    </row>
    <row r="183" spans="1:27" ht="12.75">
      <c r="A183" s="7" t="s">
        <v>725</v>
      </c>
      <c r="B183" s="7" t="s">
        <v>727</v>
      </c>
    </row>
    <row r="184" spans="1:27" ht="12.75">
      <c r="A184" s="7" t="s">
        <v>729</v>
      </c>
      <c r="B184" s="7" t="s">
        <v>731</v>
      </c>
    </row>
    <row r="185" spans="1:27" ht="12.75">
      <c r="A185" s="7" t="s">
        <v>733</v>
      </c>
      <c r="B185" s="7" t="s">
        <v>735</v>
      </c>
    </row>
    <row r="186" spans="1:27" ht="12.75">
      <c r="A186" s="7" t="s">
        <v>737</v>
      </c>
      <c r="B186" s="7" t="s">
        <v>739</v>
      </c>
    </row>
    <row r="187" spans="1:27" ht="12.75">
      <c r="A187" s="7" t="s">
        <v>741</v>
      </c>
      <c r="B187" s="7" t="s">
        <v>743</v>
      </c>
    </row>
    <row r="188" spans="1:27" ht="12.75">
      <c r="A188" s="7" t="s">
        <v>745</v>
      </c>
      <c r="B188" s="7" t="s">
        <v>747</v>
      </c>
    </row>
    <row r="189" spans="1:27" ht="12.75">
      <c r="A189" s="3" t="s">
        <v>749</v>
      </c>
      <c r="B189" s="3" t="s">
        <v>751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2.75">
      <c r="A190" s="7" t="s">
        <v>753</v>
      </c>
      <c r="B190" s="7" t="s">
        <v>755</v>
      </c>
    </row>
    <row r="191" spans="1:27" ht="12.75">
      <c r="A191" s="7" t="s">
        <v>757</v>
      </c>
      <c r="B191" s="7" t="s">
        <v>759</v>
      </c>
    </row>
    <row r="192" spans="1:27" ht="12.75">
      <c r="A192" s="7" t="s">
        <v>761</v>
      </c>
      <c r="B192" s="7" t="s">
        <v>763</v>
      </c>
    </row>
    <row r="193" spans="1:27" ht="12.75">
      <c r="A193" s="7" t="s">
        <v>765</v>
      </c>
      <c r="B193" s="7" t="s">
        <v>767</v>
      </c>
    </row>
    <row r="194" spans="1:27" ht="12.75">
      <c r="A194" s="7" t="s">
        <v>769</v>
      </c>
      <c r="B194" s="7" t="s">
        <v>771</v>
      </c>
    </row>
    <row r="195" spans="1:27" ht="12.75">
      <c r="A195" s="7" t="s">
        <v>773</v>
      </c>
      <c r="B195" s="7" t="s">
        <v>775</v>
      </c>
    </row>
    <row r="196" spans="1:27" ht="12.75">
      <c r="A196" s="3" t="s">
        <v>777</v>
      </c>
      <c r="B196" s="3" t="s">
        <v>779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2.75">
      <c r="A197" s="7" t="s">
        <v>781</v>
      </c>
      <c r="B197" s="7" t="s">
        <v>783</v>
      </c>
    </row>
    <row r="198" spans="1:27" ht="12.75">
      <c r="A198" s="7" t="s">
        <v>785</v>
      </c>
      <c r="B198" s="7" t="s">
        <v>787</v>
      </c>
    </row>
    <row r="199" spans="1:27" ht="12.75">
      <c r="A199" s="3" t="s">
        <v>789</v>
      </c>
      <c r="B199" s="3" t="s">
        <v>791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2.75">
      <c r="A200" s="7" t="s">
        <v>793</v>
      </c>
      <c r="B200" s="7" t="s">
        <v>795</v>
      </c>
    </row>
    <row r="201" spans="1:27" ht="12.75">
      <c r="A201" s="7" t="s">
        <v>797</v>
      </c>
      <c r="B201" s="7" t="s">
        <v>799</v>
      </c>
    </row>
    <row r="202" spans="1:27" ht="12.75">
      <c r="A202" s="7" t="s">
        <v>801</v>
      </c>
      <c r="B202" s="7" t="s">
        <v>803</v>
      </c>
    </row>
    <row r="203" spans="1:27" ht="12.75">
      <c r="A203" s="7" t="s">
        <v>805</v>
      </c>
      <c r="B203" s="7" t="s">
        <v>807</v>
      </c>
    </row>
    <row r="204" spans="1:27" ht="12.75">
      <c r="A204" s="7" t="s">
        <v>809</v>
      </c>
      <c r="B204" s="7" t="s">
        <v>811</v>
      </c>
    </row>
    <row r="205" spans="1:27" ht="12.75">
      <c r="A205" s="3" t="s">
        <v>813</v>
      </c>
      <c r="B205" s="3" t="s">
        <v>815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2.75">
      <c r="A206" s="3" t="s">
        <v>817</v>
      </c>
      <c r="B206" s="3" t="s">
        <v>819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2.75">
      <c r="A207" s="7" t="s">
        <v>821</v>
      </c>
      <c r="B207" s="7" t="s">
        <v>823</v>
      </c>
    </row>
    <row r="208" spans="1:27" ht="12.75">
      <c r="A208" s="7" t="s">
        <v>825</v>
      </c>
      <c r="B208" s="7" t="s">
        <v>827</v>
      </c>
    </row>
    <row r="209" spans="1:27" ht="12.75">
      <c r="A209" s="3" t="s">
        <v>829</v>
      </c>
      <c r="B209" s="3" t="s">
        <v>831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2.75">
      <c r="A210" s="7" t="s">
        <v>833</v>
      </c>
      <c r="B210" s="7" t="s">
        <v>835</v>
      </c>
    </row>
    <row r="211" spans="1:27" ht="12.75">
      <c r="A211" s="7" t="s">
        <v>837</v>
      </c>
      <c r="B211" s="7" t="s">
        <v>839</v>
      </c>
    </row>
    <row r="212" spans="1:27" ht="12.75">
      <c r="A212" s="7" t="s">
        <v>841</v>
      </c>
      <c r="B212" s="7" t="s">
        <v>843</v>
      </c>
    </row>
    <row r="213" spans="1:27" ht="12.75">
      <c r="A213" s="7" t="s">
        <v>845</v>
      </c>
      <c r="B213" s="7" t="s">
        <v>847</v>
      </c>
    </row>
    <row r="214" spans="1:27" ht="12.75">
      <c r="A214" s="7" t="s">
        <v>849</v>
      </c>
      <c r="B214" s="7" t="s">
        <v>851</v>
      </c>
    </row>
    <row r="215" spans="1:27" ht="12.75">
      <c r="A215" s="7" t="s">
        <v>853</v>
      </c>
      <c r="B215" s="7" t="s">
        <v>855</v>
      </c>
    </row>
    <row r="216" spans="1:27" ht="12.75">
      <c r="A216" s="7" t="s">
        <v>857</v>
      </c>
      <c r="B216" s="7" t="s">
        <v>859</v>
      </c>
    </row>
    <row r="217" spans="1:27" ht="12.75">
      <c r="A217" s="7" t="s">
        <v>861</v>
      </c>
      <c r="B217" s="7" t="s">
        <v>863</v>
      </c>
    </row>
    <row r="218" spans="1:27" ht="12.75">
      <c r="A218" s="3" t="s">
        <v>865</v>
      </c>
      <c r="B218" s="3" t="s">
        <v>867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2.75">
      <c r="A219" s="3" t="s">
        <v>869</v>
      </c>
      <c r="B219" s="3" t="s">
        <v>871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2.75">
      <c r="A220" s="7" t="s">
        <v>873</v>
      </c>
      <c r="B220" s="7" t="s">
        <v>875</v>
      </c>
    </row>
    <row r="221" spans="1:27" ht="12.75">
      <c r="A221" s="7" t="s">
        <v>877</v>
      </c>
      <c r="B221" s="7" t="s">
        <v>879</v>
      </c>
    </row>
    <row r="222" spans="1:27" ht="12.75">
      <c r="A222" s="7" t="s">
        <v>881</v>
      </c>
      <c r="B222" s="7" t="s">
        <v>883</v>
      </c>
    </row>
    <row r="223" spans="1:27" ht="12.75">
      <c r="A223" s="7" t="s">
        <v>885</v>
      </c>
      <c r="B223" s="7" t="s">
        <v>887</v>
      </c>
    </row>
    <row r="224" spans="1:27" ht="12.75">
      <c r="A224" s="7" t="s">
        <v>889</v>
      </c>
      <c r="B224" s="7" t="s">
        <v>891</v>
      </c>
    </row>
    <row r="225" spans="1:27" ht="12.75">
      <c r="A225" s="3" t="s">
        <v>893</v>
      </c>
      <c r="B225" s="3" t="s">
        <v>895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2.75">
      <c r="A226" s="7" t="s">
        <v>897</v>
      </c>
      <c r="B226" s="7" t="s">
        <v>899</v>
      </c>
    </row>
    <row r="227" spans="1:27" ht="12.75">
      <c r="A227" s="7" t="s">
        <v>901</v>
      </c>
      <c r="B227" s="7" t="s">
        <v>903</v>
      </c>
    </row>
    <row r="228" spans="1:27" ht="12.75">
      <c r="A228" s="7" t="s">
        <v>905</v>
      </c>
      <c r="B228" s="7" t="s">
        <v>907</v>
      </c>
    </row>
    <row r="229" spans="1:27" ht="12.75">
      <c r="A229" s="7" t="s">
        <v>909</v>
      </c>
      <c r="B229" s="7" t="s">
        <v>911</v>
      </c>
    </row>
    <row r="230" spans="1:27" ht="12.75">
      <c r="A230" s="3" t="s">
        <v>913</v>
      </c>
      <c r="B230" s="3" t="s">
        <v>915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2.75">
      <c r="A231" s="7" t="s">
        <v>917</v>
      </c>
      <c r="B231" s="7" t="s">
        <v>919</v>
      </c>
    </row>
    <row r="232" spans="1:27" ht="12.75">
      <c r="A232" s="7" t="s">
        <v>921</v>
      </c>
      <c r="B232" s="7" t="s">
        <v>923</v>
      </c>
    </row>
    <row r="233" spans="1:27" ht="12.75">
      <c r="A233" s="7" t="s">
        <v>925</v>
      </c>
      <c r="B233" s="7" t="s">
        <v>927</v>
      </c>
    </row>
    <row r="234" spans="1:27" ht="12.75">
      <c r="A234" s="7" t="s">
        <v>929</v>
      </c>
      <c r="B234" s="7" t="s">
        <v>931</v>
      </c>
    </row>
    <row r="235" spans="1:27" ht="12.75">
      <c r="A235" s="3" t="s">
        <v>933</v>
      </c>
      <c r="B235" s="3" t="s">
        <v>935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2.75">
      <c r="A236" s="3" t="s">
        <v>937</v>
      </c>
      <c r="B236" s="3" t="s">
        <v>939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2.75">
      <c r="A237" s="3" t="s">
        <v>941</v>
      </c>
      <c r="B237" s="3" t="s">
        <v>943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2.75">
      <c r="A238" s="3" t="s">
        <v>945</v>
      </c>
      <c r="B238" s="3" t="s">
        <v>947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2.75">
      <c r="A239" s="3" t="s">
        <v>949</v>
      </c>
      <c r="B239" s="3" t="s">
        <v>951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2.75">
      <c r="A240" s="3" t="s">
        <v>953</v>
      </c>
      <c r="B240" s="3" t="s">
        <v>955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2.75">
      <c r="A241" s="3" t="s">
        <v>957</v>
      </c>
      <c r="B241" s="3" t="s">
        <v>959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2.75">
      <c r="A242" s="7" t="s">
        <v>961</v>
      </c>
      <c r="B242" s="7" t="s">
        <v>963</v>
      </c>
    </row>
    <row r="243" spans="1:27" ht="12.75">
      <c r="A243" s="7" t="s">
        <v>965</v>
      </c>
      <c r="B243" s="7" t="s">
        <v>967</v>
      </c>
    </row>
    <row r="244" spans="1:27" ht="12.75">
      <c r="A244" s="7" t="s">
        <v>969</v>
      </c>
      <c r="B244" s="7" t="s">
        <v>971</v>
      </c>
    </row>
    <row r="245" spans="1:27" ht="12.75">
      <c r="A245" s="7" t="s">
        <v>973</v>
      </c>
      <c r="B245" s="7" t="s">
        <v>975</v>
      </c>
    </row>
    <row r="246" spans="1:27" ht="12.75">
      <c r="A246" s="7" t="s">
        <v>977</v>
      </c>
      <c r="B246" s="7" t="s">
        <v>979</v>
      </c>
    </row>
    <row r="247" spans="1:27" ht="12.75">
      <c r="A247" s="7" t="s">
        <v>981</v>
      </c>
      <c r="B247" s="7" t="s">
        <v>983</v>
      </c>
    </row>
    <row r="248" spans="1:27" ht="12.75">
      <c r="A248" s="7" t="s">
        <v>985</v>
      </c>
      <c r="B248" s="7" t="s">
        <v>987</v>
      </c>
    </row>
    <row r="249" spans="1:27" ht="12.75">
      <c r="A249" s="7" t="s">
        <v>989</v>
      </c>
      <c r="B249" s="7" t="s">
        <v>991</v>
      </c>
    </row>
    <row r="250" spans="1:27" ht="12.75">
      <c r="A250" s="3" t="s">
        <v>993</v>
      </c>
      <c r="B250" s="3" t="s">
        <v>995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2.75">
      <c r="A251" s="7" t="s">
        <v>997</v>
      </c>
      <c r="B251" s="7" t="s">
        <v>999</v>
      </c>
    </row>
    <row r="252" spans="1:27" ht="12.75">
      <c r="A252" s="7" t="s">
        <v>1001</v>
      </c>
      <c r="B252" s="7" t="s">
        <v>1003</v>
      </c>
    </row>
    <row r="253" spans="1:27" ht="12.75">
      <c r="A253" s="7" t="s">
        <v>1005</v>
      </c>
      <c r="B253" s="7" t="s">
        <v>1007</v>
      </c>
    </row>
    <row r="254" spans="1:27" ht="12.75">
      <c r="A254" s="7" t="s">
        <v>1009</v>
      </c>
      <c r="B254" s="7" t="s">
        <v>1011</v>
      </c>
    </row>
    <row r="255" spans="1:27" ht="12.75">
      <c r="A255" s="7" t="s">
        <v>1013</v>
      </c>
      <c r="B255" s="7" t="s">
        <v>1015</v>
      </c>
    </row>
    <row r="256" spans="1:27" ht="12.75">
      <c r="A256" s="7" t="s">
        <v>1017</v>
      </c>
      <c r="B256" s="7" t="s">
        <v>1019</v>
      </c>
    </row>
    <row r="257" spans="1:27" ht="12.75">
      <c r="A257" s="7" t="s">
        <v>1021</v>
      </c>
      <c r="B257" s="7" t="s">
        <v>1023</v>
      </c>
    </row>
    <row r="258" spans="1:27" ht="12.75">
      <c r="A258" s="7" t="s">
        <v>1025</v>
      </c>
      <c r="B258" s="7" t="s">
        <v>1027</v>
      </c>
    </row>
    <row r="259" spans="1:27" ht="12.75">
      <c r="A259" s="7" t="s">
        <v>1029</v>
      </c>
      <c r="B259" s="7" t="s">
        <v>1031</v>
      </c>
    </row>
    <row r="260" spans="1:27" ht="12.75">
      <c r="A260" s="7" t="s">
        <v>1033</v>
      </c>
      <c r="B260" s="7" t="s">
        <v>1035</v>
      </c>
    </row>
    <row r="261" spans="1:27" ht="12.75">
      <c r="A261" s="7" t="s">
        <v>1037</v>
      </c>
      <c r="B261" s="7" t="s">
        <v>1039</v>
      </c>
    </row>
    <row r="262" spans="1:27" ht="12.75">
      <c r="A262" s="7" t="s">
        <v>1041</v>
      </c>
      <c r="B262" s="7" t="s">
        <v>1043</v>
      </c>
    </row>
    <row r="263" spans="1:27" ht="12.75">
      <c r="A263" s="3" t="s">
        <v>1045</v>
      </c>
      <c r="B263" s="3" t="s">
        <v>1047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2.75">
      <c r="A264" s="3" t="s">
        <v>1049</v>
      </c>
      <c r="B264" s="3" t="s">
        <v>1051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2.75">
      <c r="A265" s="3" t="s">
        <v>1053</v>
      </c>
      <c r="B265" s="3" t="s">
        <v>1055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2.75">
      <c r="A266" s="3" t="s">
        <v>1057</v>
      </c>
      <c r="B266" s="3" t="s">
        <v>1059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2.75">
      <c r="A267" s="3" t="s">
        <v>1061</v>
      </c>
      <c r="B267" s="3" t="s">
        <v>1063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2.75">
      <c r="A268" s="3" t="s">
        <v>1065</v>
      </c>
      <c r="B268" s="3" t="s">
        <v>1067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2.75">
      <c r="A269" s="3" t="s">
        <v>1069</v>
      </c>
      <c r="B269" s="3" t="s">
        <v>1071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2.75">
      <c r="A270" s="3" t="s">
        <v>1073</v>
      </c>
      <c r="B270" s="3" t="s">
        <v>1075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2.75">
      <c r="A271" s="3" t="s">
        <v>1077</v>
      </c>
      <c r="B271" s="3" t="s">
        <v>1079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2.75">
      <c r="A272" s="3" t="s">
        <v>1081</v>
      </c>
      <c r="B272" s="3" t="s">
        <v>1083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2.75">
      <c r="A273" s="3" t="s">
        <v>1085</v>
      </c>
      <c r="B273" s="3" t="s">
        <v>1087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2.75">
      <c r="A274" s="3" t="s">
        <v>1089</v>
      </c>
      <c r="B274" s="3" t="s">
        <v>1091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2.75">
      <c r="A275" s="7" t="s">
        <v>1093</v>
      </c>
      <c r="B275" s="7" t="s">
        <v>1095</v>
      </c>
    </row>
    <row r="276" spans="1:27" ht="12.75">
      <c r="A276" s="7" t="s">
        <v>1097</v>
      </c>
      <c r="B276" s="7" t="s">
        <v>1099</v>
      </c>
    </row>
    <row r="277" spans="1:27" ht="12.75">
      <c r="A277" s="7" t="s">
        <v>1101</v>
      </c>
      <c r="B277" s="7" t="s">
        <v>1103</v>
      </c>
    </row>
    <row r="278" spans="1:27" ht="12.75">
      <c r="A278" s="3" t="s">
        <v>1105</v>
      </c>
      <c r="B278" s="3" t="s">
        <v>1107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2.75">
      <c r="A279" s="7" t="s">
        <v>1109</v>
      </c>
      <c r="B279" s="7" t="s">
        <v>1111</v>
      </c>
    </row>
    <row r="280" spans="1:27" ht="12.75">
      <c r="A280" s="7" t="s">
        <v>1113</v>
      </c>
      <c r="B280" s="7" t="s">
        <v>1115</v>
      </c>
    </row>
    <row r="281" spans="1:27" ht="12.75">
      <c r="A281" s="7" t="s">
        <v>1117</v>
      </c>
      <c r="B281" s="7" t="s">
        <v>1119</v>
      </c>
    </row>
    <row r="282" spans="1:27" ht="12.75">
      <c r="A282" s="7" t="s">
        <v>1121</v>
      </c>
      <c r="B282" s="7" t="s">
        <v>1123</v>
      </c>
    </row>
    <row r="283" spans="1:27" ht="12.75">
      <c r="A283" s="7" t="s">
        <v>1125</v>
      </c>
      <c r="B283" s="7" t="s">
        <v>1127</v>
      </c>
    </row>
    <row r="284" spans="1:27" ht="12.75">
      <c r="A284" s="7" t="s">
        <v>1129</v>
      </c>
      <c r="B284" s="7" t="s">
        <v>1131</v>
      </c>
    </row>
    <row r="285" spans="1:27" ht="12.75">
      <c r="A285" s="3" t="s">
        <v>1133</v>
      </c>
      <c r="B285" s="3" t="s">
        <v>1135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2.75">
      <c r="A286" s="7" t="s">
        <v>1137</v>
      </c>
      <c r="B286" s="7" t="s">
        <v>1139</v>
      </c>
    </row>
    <row r="287" spans="1:27" ht="12.75">
      <c r="A287" s="7" t="s">
        <v>1141</v>
      </c>
      <c r="B287" s="7" t="s">
        <v>1143</v>
      </c>
    </row>
    <row r="288" spans="1:27" ht="12.75">
      <c r="A288" s="7" t="s">
        <v>1145</v>
      </c>
      <c r="B288" s="7" t="s">
        <v>1147</v>
      </c>
    </row>
    <row r="289" spans="1:27" ht="12.75">
      <c r="A289" s="7" t="s">
        <v>1149</v>
      </c>
      <c r="B289" s="7" t="s">
        <v>1151</v>
      </c>
    </row>
    <row r="290" spans="1:27" ht="12.75">
      <c r="A290" s="7" t="s">
        <v>1153</v>
      </c>
      <c r="B290" s="7" t="s">
        <v>1155</v>
      </c>
    </row>
    <row r="291" spans="1:27" ht="12.75">
      <c r="A291" s="3" t="s">
        <v>1157</v>
      </c>
      <c r="B291" s="3" t="s">
        <v>1159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>
      <c r="A292" s="7" t="s">
        <v>1161</v>
      </c>
      <c r="B292" s="7" t="s">
        <v>1163</v>
      </c>
    </row>
    <row r="293" spans="1:27" ht="12.75">
      <c r="A293" s="7" t="s">
        <v>1165</v>
      </c>
      <c r="B293" s="7" t="s">
        <v>1167</v>
      </c>
    </row>
    <row r="294" spans="1:27" ht="12.75">
      <c r="A294" s="7" t="s">
        <v>1169</v>
      </c>
      <c r="B294" s="7" t="s">
        <v>1171</v>
      </c>
    </row>
    <row r="295" spans="1:27" ht="12.75">
      <c r="A295" s="3" t="s">
        <v>1173</v>
      </c>
      <c r="B295" s="3" t="s">
        <v>1175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>
      <c r="A296" s="7" t="s">
        <v>1177</v>
      </c>
      <c r="B296" s="7" t="s">
        <v>1179</v>
      </c>
    </row>
    <row r="297" spans="1:27" ht="12.75">
      <c r="A297" s="7" t="s">
        <v>1181</v>
      </c>
      <c r="B297" s="7" t="s">
        <v>1183</v>
      </c>
    </row>
    <row r="298" spans="1:27" ht="12.75">
      <c r="A298" s="7" t="s">
        <v>1185</v>
      </c>
      <c r="B298" s="7" t="s">
        <v>1187</v>
      </c>
    </row>
    <row r="299" spans="1:27" ht="12.75">
      <c r="A299" s="7" t="s">
        <v>1189</v>
      </c>
      <c r="B299" s="7" t="s">
        <v>1191</v>
      </c>
    </row>
    <row r="300" spans="1:27" ht="12.75">
      <c r="A300" s="7" t="s">
        <v>1193</v>
      </c>
      <c r="B300" s="7" t="s">
        <v>1195</v>
      </c>
    </row>
    <row r="301" spans="1:27" ht="12.75">
      <c r="A301" s="7" t="s">
        <v>1197</v>
      </c>
      <c r="B301" s="7" t="s">
        <v>1199</v>
      </c>
    </row>
    <row r="302" spans="1:27" ht="12.75">
      <c r="A302" s="7" t="s">
        <v>1201</v>
      </c>
      <c r="B302" s="7" t="s">
        <v>1203</v>
      </c>
    </row>
    <row r="303" spans="1:27" ht="12.75">
      <c r="A303" s="7" t="s">
        <v>1205</v>
      </c>
      <c r="B303" s="7" t="s">
        <v>1207</v>
      </c>
    </row>
    <row r="304" spans="1:27" ht="12.75">
      <c r="A304" s="7" t="s">
        <v>1209</v>
      </c>
      <c r="B304" s="7" t="s">
        <v>1211</v>
      </c>
    </row>
    <row r="305" spans="1:27" ht="12.75">
      <c r="A305" s="7" t="s">
        <v>1213</v>
      </c>
      <c r="B305" s="7" t="s">
        <v>1215</v>
      </c>
    </row>
    <row r="306" spans="1:27" ht="12.75">
      <c r="A306" s="7" t="s">
        <v>1217</v>
      </c>
      <c r="B306" s="7" t="s">
        <v>1219</v>
      </c>
    </row>
    <row r="307" spans="1:27" ht="12.75">
      <c r="A307" s="7" t="s">
        <v>1221</v>
      </c>
      <c r="B307" s="7" t="s">
        <v>1223</v>
      </c>
    </row>
    <row r="308" spans="1:27" ht="12.75">
      <c r="A308" s="7" t="s">
        <v>1225</v>
      </c>
      <c r="B308" s="7" t="s">
        <v>1227</v>
      </c>
    </row>
    <row r="309" spans="1:27" ht="12.75">
      <c r="A309" s="3" t="s">
        <v>1229</v>
      </c>
      <c r="B309" s="3" t="s">
        <v>1231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>
      <c r="A310" s="7" t="s">
        <v>1233</v>
      </c>
      <c r="B310" s="7" t="s">
        <v>1235</v>
      </c>
    </row>
    <row r="311" spans="1:27" ht="12.75">
      <c r="A311" s="7" t="s">
        <v>1237</v>
      </c>
      <c r="B311" s="7" t="s">
        <v>1239</v>
      </c>
    </row>
    <row r="312" spans="1:27" ht="12.75">
      <c r="A312" s="7" t="s">
        <v>1241</v>
      </c>
      <c r="B312" s="7" t="s">
        <v>1243</v>
      </c>
    </row>
    <row r="313" spans="1:27" ht="12.75">
      <c r="A313" s="7" t="s">
        <v>1245</v>
      </c>
      <c r="B313" s="7" t="s">
        <v>1247</v>
      </c>
    </row>
    <row r="314" spans="1:27" ht="12.75">
      <c r="A314" s="7" t="s">
        <v>1249</v>
      </c>
      <c r="B314" s="7" t="s">
        <v>1251</v>
      </c>
    </row>
    <row r="315" spans="1:27" ht="12.75">
      <c r="A315" s="7" t="s">
        <v>1253</v>
      </c>
      <c r="B315" s="7" t="s">
        <v>1255</v>
      </c>
    </row>
    <row r="316" spans="1:27" ht="12.75">
      <c r="A316" s="7" t="s">
        <v>1257</v>
      </c>
      <c r="B316" s="7" t="s">
        <v>1259</v>
      </c>
    </row>
    <row r="317" spans="1:27" ht="12.75">
      <c r="A317" s="7" t="s">
        <v>1261</v>
      </c>
      <c r="B317" s="7" t="s">
        <v>1263</v>
      </c>
    </row>
    <row r="318" spans="1:27" ht="12.75">
      <c r="A318" s="7" t="s">
        <v>1265</v>
      </c>
      <c r="B318" s="7" t="s">
        <v>1267</v>
      </c>
    </row>
    <row r="319" spans="1:27" ht="12.75">
      <c r="A319" s="7" t="s">
        <v>1269</v>
      </c>
      <c r="B319" s="7" t="s">
        <v>1271</v>
      </c>
    </row>
    <row r="320" spans="1:27" ht="12.75">
      <c r="A320" s="3" t="s">
        <v>1273</v>
      </c>
      <c r="B320" s="3" t="s">
        <v>1275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>
      <c r="A321" s="7" t="s">
        <v>1277</v>
      </c>
      <c r="B321" s="7" t="s">
        <v>1279</v>
      </c>
    </row>
    <row r="322" spans="1:27" ht="12.75">
      <c r="A322" s="7" t="s">
        <v>1281</v>
      </c>
      <c r="B322" s="7" t="s">
        <v>1283</v>
      </c>
    </row>
    <row r="323" spans="1:27" ht="12.75">
      <c r="A323" s="7" t="s">
        <v>1285</v>
      </c>
      <c r="B323" s="7" t="s">
        <v>1287</v>
      </c>
    </row>
    <row r="324" spans="1:27" ht="12.75">
      <c r="A324" s="3" t="s">
        <v>1289</v>
      </c>
      <c r="B324" s="3" t="s">
        <v>1291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>
      <c r="A325" s="7" t="s">
        <v>1293</v>
      </c>
      <c r="B325" s="7" t="s">
        <v>1295</v>
      </c>
    </row>
    <row r="326" spans="1:27" ht="12.75">
      <c r="A326" s="7" t="s">
        <v>1297</v>
      </c>
      <c r="B326" s="7" t="s">
        <v>1299</v>
      </c>
    </row>
    <row r="327" spans="1:27" ht="12.75">
      <c r="A327" s="3" t="s">
        <v>1301</v>
      </c>
      <c r="B327" s="3" t="s">
        <v>1303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>
      <c r="A328" s="3" t="s">
        <v>1305</v>
      </c>
      <c r="B328" s="3" t="s">
        <v>1307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>
      <c r="A329" s="7" t="s">
        <v>1309</v>
      </c>
      <c r="B329" s="7" t="s">
        <v>1311</v>
      </c>
    </row>
    <row r="330" spans="1:27" ht="12.75">
      <c r="A330" s="7" t="s">
        <v>1313</v>
      </c>
      <c r="B330" s="7" t="s">
        <v>1315</v>
      </c>
    </row>
    <row r="331" spans="1:27" ht="12.75">
      <c r="A331" s="7" t="s">
        <v>1317</v>
      </c>
      <c r="B331" s="7" t="s">
        <v>1319</v>
      </c>
    </row>
    <row r="332" spans="1:27" ht="12.75">
      <c r="A332" s="7" t="s">
        <v>1321</v>
      </c>
      <c r="B332" s="7" t="s">
        <v>1323</v>
      </c>
    </row>
    <row r="333" spans="1:27" ht="12.75">
      <c r="A333" s="7" t="s">
        <v>1325</v>
      </c>
      <c r="B333" s="7" t="s">
        <v>1327</v>
      </c>
    </row>
    <row r="334" spans="1:27" ht="12.75">
      <c r="A334" s="7" t="s">
        <v>1329</v>
      </c>
      <c r="B334" s="7" t="s">
        <v>1331</v>
      </c>
    </row>
    <row r="335" spans="1:27" ht="12.75">
      <c r="A335" s="7" t="s">
        <v>1333</v>
      </c>
      <c r="B335" s="7" t="s">
        <v>1335</v>
      </c>
    </row>
    <row r="336" spans="1:27" ht="12.75">
      <c r="A336" s="7" t="s">
        <v>1337</v>
      </c>
      <c r="B336" s="7" t="s">
        <v>1339</v>
      </c>
    </row>
    <row r="337" spans="1:27" ht="12.75">
      <c r="A337" s="3" t="s">
        <v>1341</v>
      </c>
      <c r="B337" s="3" t="s">
        <v>1343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>
      <c r="A338" s="7" t="s">
        <v>1345</v>
      </c>
      <c r="B338" s="7" t="s">
        <v>1347</v>
      </c>
    </row>
    <row r="339" spans="1:27" ht="12.75">
      <c r="A339" s="7" t="s">
        <v>1349</v>
      </c>
      <c r="B339" s="7" t="s">
        <v>1351</v>
      </c>
    </row>
    <row r="340" spans="1:27" ht="12.75">
      <c r="A340" s="7" t="s">
        <v>1353</v>
      </c>
      <c r="B340" s="7" t="s">
        <v>1355</v>
      </c>
    </row>
    <row r="341" spans="1:27" ht="12.75">
      <c r="A341" s="7" t="s">
        <v>1357</v>
      </c>
      <c r="B341" s="7" t="s">
        <v>1359</v>
      </c>
    </row>
    <row r="342" spans="1:27" ht="12.75">
      <c r="A342" s="7" t="s">
        <v>1361</v>
      </c>
      <c r="B342" s="7" t="s">
        <v>1363</v>
      </c>
    </row>
    <row r="343" spans="1:27" ht="12.75">
      <c r="A343" s="7" t="s">
        <v>1365</v>
      </c>
      <c r="B343" s="7" t="s">
        <v>1367</v>
      </c>
    </row>
    <row r="344" spans="1:27" ht="12.75">
      <c r="A344" s="7" t="s">
        <v>1369</v>
      </c>
      <c r="B344" s="7" t="s">
        <v>1371</v>
      </c>
    </row>
    <row r="345" spans="1:27" ht="12.75">
      <c r="A345" s="7" t="s">
        <v>1373</v>
      </c>
      <c r="B345" s="7" t="s">
        <v>1375</v>
      </c>
    </row>
    <row r="346" spans="1:27" ht="12.75">
      <c r="A346" s="3" t="s">
        <v>1377</v>
      </c>
      <c r="B346" s="3" t="s">
        <v>1379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>
      <c r="A347" s="3" t="s">
        <v>1381</v>
      </c>
      <c r="B347" s="3" t="s">
        <v>1383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>
      <c r="A348" s="7" t="s">
        <v>1385</v>
      </c>
      <c r="B348" s="7" t="s">
        <v>1387</v>
      </c>
    </row>
    <row r="349" spans="1:27" ht="12.75">
      <c r="A349" s="7" t="s">
        <v>1389</v>
      </c>
      <c r="B349" s="7" t="s">
        <v>1391</v>
      </c>
    </row>
    <row r="350" spans="1:27" ht="12.75">
      <c r="A350" s="7" t="s">
        <v>1393</v>
      </c>
      <c r="B350" s="7" t="s">
        <v>1395</v>
      </c>
    </row>
    <row r="351" spans="1:27" ht="12.75">
      <c r="A351" s="7" t="s">
        <v>1397</v>
      </c>
      <c r="B351" s="7" t="s">
        <v>1399</v>
      </c>
    </row>
    <row r="352" spans="1:27" ht="12.75">
      <c r="A352" s="7" t="s">
        <v>1401</v>
      </c>
      <c r="B352" s="7" t="s">
        <v>1403</v>
      </c>
    </row>
    <row r="353" spans="1:27" ht="12.75">
      <c r="A353" s="3" t="s">
        <v>1405</v>
      </c>
      <c r="B353" s="3" t="s">
        <v>1407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>
      <c r="A354" s="7" t="s">
        <v>1409</v>
      </c>
      <c r="B354" s="7" t="s">
        <v>1411</v>
      </c>
    </row>
    <row r="355" spans="1:27" ht="12.75">
      <c r="A355" s="7" t="s">
        <v>1413</v>
      </c>
      <c r="B355" s="7" t="s">
        <v>1415</v>
      </c>
    </row>
    <row r="356" spans="1:27" ht="12.75">
      <c r="A356" s="7" t="s">
        <v>1417</v>
      </c>
      <c r="B356" s="7" t="s">
        <v>1419</v>
      </c>
    </row>
    <row r="357" spans="1:27" ht="12.75">
      <c r="A357" s="7" t="s">
        <v>1421</v>
      </c>
      <c r="B357" s="7" t="s">
        <v>1423</v>
      </c>
    </row>
    <row r="358" spans="1:27" ht="12.75">
      <c r="A358" s="7" t="s">
        <v>1425</v>
      </c>
      <c r="B358" s="7" t="s">
        <v>1427</v>
      </c>
    </row>
    <row r="359" spans="1:27" ht="12.75">
      <c r="A359" s="3" t="s">
        <v>1429</v>
      </c>
      <c r="B359" s="3" t="s">
        <v>1431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>
      <c r="A360" s="3" t="s">
        <v>1433</v>
      </c>
      <c r="B360" s="3" t="s">
        <v>1435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>
      <c r="A361" s="3" t="s">
        <v>1437</v>
      </c>
      <c r="B361" s="3" t="s">
        <v>1439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>
      <c r="A362" s="7" t="s">
        <v>1441</v>
      </c>
      <c r="B362" s="7" t="s">
        <v>1443</v>
      </c>
    </row>
    <row r="363" spans="1:27" ht="12.75">
      <c r="A363" s="7" t="s">
        <v>1445</v>
      </c>
      <c r="B363" s="7" t="s">
        <v>1447</v>
      </c>
    </row>
    <row r="364" spans="1:27" ht="12.75">
      <c r="A364" s="3" t="s">
        <v>1449</v>
      </c>
      <c r="B364" s="3" t="s">
        <v>1451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>
      <c r="A365" s="7" t="s">
        <v>1453</v>
      </c>
      <c r="B365" s="7" t="s">
        <v>1455</v>
      </c>
    </row>
    <row r="366" spans="1:27" ht="12.75">
      <c r="A366" s="7" t="s">
        <v>1457</v>
      </c>
      <c r="B366" s="7" t="s">
        <v>1459</v>
      </c>
    </row>
    <row r="367" spans="1:27" ht="12.75">
      <c r="A367" s="7" t="s">
        <v>1461</v>
      </c>
      <c r="B367" s="7" t="s">
        <v>1463</v>
      </c>
    </row>
    <row r="368" spans="1:27" ht="12.75">
      <c r="A368" s="7" t="s">
        <v>1465</v>
      </c>
      <c r="B368" s="7" t="s">
        <v>1467</v>
      </c>
    </row>
    <row r="369" spans="1:27" ht="12.75">
      <c r="A369" s="3" t="s">
        <v>1469</v>
      </c>
      <c r="B369" s="3" t="s">
        <v>1471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>
      <c r="A370" s="3" t="s">
        <v>1473</v>
      </c>
      <c r="B370" s="3" t="s">
        <v>1475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>
      <c r="A371" s="7" t="s">
        <v>1477</v>
      </c>
      <c r="B371" s="7" t="s">
        <v>1479</v>
      </c>
    </row>
    <row r="372" spans="1:27" ht="12.75">
      <c r="A372" s="7" t="s">
        <v>1481</v>
      </c>
      <c r="B372" s="7" t="s">
        <v>1483</v>
      </c>
    </row>
    <row r="373" spans="1:27" ht="12.75">
      <c r="A373" s="3" t="s">
        <v>1485</v>
      </c>
      <c r="B373" s="3" t="s">
        <v>1487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>
      <c r="A374" s="3" t="s">
        <v>1489</v>
      </c>
      <c r="B374" s="3" t="s">
        <v>1491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>
      <c r="A375" s="3" t="s">
        <v>1493</v>
      </c>
      <c r="B375" s="3" t="s">
        <v>1495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>
      <c r="A376" s="3" t="s">
        <v>1497</v>
      </c>
      <c r="B376" s="3" t="s">
        <v>1499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>
      <c r="A377" s="3" t="s">
        <v>1501</v>
      </c>
      <c r="B377" s="3" t="s">
        <v>1503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>
      <c r="A378" s="7" t="s">
        <v>1505</v>
      </c>
      <c r="B378" s="7" t="s">
        <v>1507</v>
      </c>
    </row>
    <row r="379" spans="1:27" ht="12.75">
      <c r="A379" s="7" t="s">
        <v>1509</v>
      </c>
      <c r="B379" s="7" t="s">
        <v>1511</v>
      </c>
    </row>
    <row r="380" spans="1:27" ht="12.75">
      <c r="A380" s="7" t="s">
        <v>1513</v>
      </c>
      <c r="B380" s="7" t="s">
        <v>1515</v>
      </c>
    </row>
    <row r="381" spans="1:27" ht="12.75">
      <c r="A381" s="3" t="s">
        <v>1517</v>
      </c>
      <c r="B381" s="3" t="s">
        <v>1519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>
      <c r="A382" s="3" t="s">
        <v>1521</v>
      </c>
      <c r="B382" s="3" t="s">
        <v>1523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>
      <c r="A383" s="3" t="s">
        <v>1525</v>
      </c>
      <c r="B383" s="3" t="s">
        <v>1527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>
      <c r="A384" s="3" t="s">
        <v>1529</v>
      </c>
      <c r="B384" s="3" t="s">
        <v>1531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>
      <c r="A385" s="3" t="s">
        <v>1533</v>
      </c>
      <c r="B385" s="3" t="s">
        <v>1535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>
      <c r="A386" s="3" t="s">
        <v>1537</v>
      </c>
      <c r="B386" s="3" t="s">
        <v>1539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>
      <c r="A387" s="3" t="s">
        <v>1541</v>
      </c>
      <c r="B387" s="3" t="s">
        <v>1543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>
      <c r="A388" s="3" t="s">
        <v>1545</v>
      </c>
      <c r="B388" s="3" t="s">
        <v>1547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>
      <c r="A389" s="3" t="s">
        <v>1549</v>
      </c>
      <c r="B389" s="3" t="s">
        <v>1551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>
      <c r="A390" s="3" t="s">
        <v>1553</v>
      </c>
      <c r="B390" s="3" t="s">
        <v>1555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>
      <c r="A391" s="3" t="s">
        <v>1557</v>
      </c>
      <c r="B391" s="3" t="s">
        <v>1559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>
      <c r="A392" s="7" t="s">
        <v>1561</v>
      </c>
      <c r="B392" s="7" t="s">
        <v>1563</v>
      </c>
    </row>
    <row r="393" spans="1:27" ht="12.75">
      <c r="A393" s="7" t="s">
        <v>1565</v>
      </c>
      <c r="B393" s="7" t="s">
        <v>1567</v>
      </c>
    </row>
    <row r="394" spans="1:27" ht="12.75">
      <c r="A394" s="7" t="s">
        <v>1569</v>
      </c>
      <c r="B394" s="7" t="s">
        <v>1571</v>
      </c>
    </row>
    <row r="395" spans="1:27" ht="12.75">
      <c r="A395" s="7" t="s">
        <v>1573</v>
      </c>
      <c r="B395" s="7" t="s">
        <v>1575</v>
      </c>
    </row>
    <row r="396" spans="1:27" ht="12.75">
      <c r="A396" s="7" t="s">
        <v>1577</v>
      </c>
      <c r="B396" s="7" t="s">
        <v>1579</v>
      </c>
    </row>
    <row r="397" spans="1:27" ht="12.75">
      <c r="A397" s="7" t="s">
        <v>1581</v>
      </c>
      <c r="B397" s="7" t="s">
        <v>1583</v>
      </c>
    </row>
    <row r="398" spans="1:27" ht="12.75">
      <c r="A398" s="3" t="s">
        <v>1585</v>
      </c>
      <c r="B398" s="3" t="s">
        <v>1587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>
      <c r="A399" s="3" t="s">
        <v>1589</v>
      </c>
      <c r="B399" s="3" t="s">
        <v>1591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>
      <c r="A400" s="7" t="s">
        <v>1593</v>
      </c>
      <c r="B400" s="7" t="s">
        <v>1595</v>
      </c>
    </row>
    <row r="401" spans="1:27" ht="12.75">
      <c r="A401" s="7" t="s">
        <v>1597</v>
      </c>
      <c r="B401" s="7" t="s">
        <v>1599</v>
      </c>
    </row>
    <row r="402" spans="1:27" ht="12.75">
      <c r="A402" s="7" t="s">
        <v>1601</v>
      </c>
      <c r="B402" s="7" t="s">
        <v>1603</v>
      </c>
    </row>
    <row r="403" spans="1:27" ht="12.75">
      <c r="A403" s="7" t="s">
        <v>1605</v>
      </c>
      <c r="B403" s="7" t="s">
        <v>1607</v>
      </c>
    </row>
    <row r="404" spans="1:27" ht="12.75">
      <c r="A404" s="7" t="s">
        <v>1609</v>
      </c>
      <c r="B404" s="7" t="s">
        <v>1611</v>
      </c>
    </row>
    <row r="405" spans="1:27" ht="12.75">
      <c r="A405" s="7" t="s">
        <v>1613</v>
      </c>
      <c r="B405" s="7" t="s">
        <v>1615</v>
      </c>
    </row>
    <row r="406" spans="1:27" ht="12.75">
      <c r="A406" s="7" t="s">
        <v>1617</v>
      </c>
      <c r="B406" s="7" t="s">
        <v>1619</v>
      </c>
    </row>
    <row r="407" spans="1:27" ht="12.75">
      <c r="A407" s="3" t="s">
        <v>1621</v>
      </c>
      <c r="B407" s="3" t="s">
        <v>1623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>
      <c r="A408" s="7" t="s">
        <v>1625</v>
      </c>
      <c r="B408" s="7" t="s">
        <v>1627</v>
      </c>
    </row>
    <row r="409" spans="1:27" ht="12.75">
      <c r="A409" s="7" t="s">
        <v>1629</v>
      </c>
      <c r="B409" s="7" t="s">
        <v>1631</v>
      </c>
    </row>
    <row r="410" spans="1:27" ht="12.75">
      <c r="A410" s="3" t="s">
        <v>1633</v>
      </c>
      <c r="B410" s="3" t="s">
        <v>1635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>
      <c r="A411" s="7" t="s">
        <v>1637</v>
      </c>
      <c r="B411" s="7" t="s">
        <v>1639</v>
      </c>
    </row>
    <row r="412" spans="1:27" ht="12.75">
      <c r="A412" s="7" t="s">
        <v>1641</v>
      </c>
      <c r="B412" s="7" t="s">
        <v>1643</v>
      </c>
    </row>
    <row r="413" spans="1:27" ht="12.75">
      <c r="A413" s="7" t="s">
        <v>1645</v>
      </c>
      <c r="B413" s="7" t="s">
        <v>1647</v>
      </c>
    </row>
    <row r="414" spans="1:27" ht="12.75">
      <c r="A414" s="7" t="s">
        <v>1649</v>
      </c>
      <c r="B414" s="7" t="s">
        <v>1651</v>
      </c>
    </row>
    <row r="415" spans="1:27" ht="12.75">
      <c r="A415" s="7" t="s">
        <v>1653</v>
      </c>
      <c r="B415" s="7" t="s">
        <v>1655</v>
      </c>
    </row>
    <row r="416" spans="1:27" ht="12.75">
      <c r="A416" s="7" t="s">
        <v>1657</v>
      </c>
      <c r="B416" s="7" t="s">
        <v>1659</v>
      </c>
    </row>
    <row r="417" spans="1:27" ht="12.75">
      <c r="A417" s="7" t="s">
        <v>1661</v>
      </c>
      <c r="B417" s="7" t="s">
        <v>1663</v>
      </c>
    </row>
    <row r="418" spans="1:27" ht="12.75">
      <c r="A418" s="3" t="s">
        <v>1665</v>
      </c>
      <c r="B418" s="3" t="s">
        <v>1667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>
      <c r="A419" s="3" t="s">
        <v>1669</v>
      </c>
      <c r="B419" s="3" t="s">
        <v>1671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>
      <c r="A420" s="7" t="s">
        <v>1673</v>
      </c>
      <c r="B420" s="7" t="s">
        <v>1675</v>
      </c>
    </row>
    <row r="421" spans="1:27" ht="12.75">
      <c r="A421" s="7" t="s">
        <v>1677</v>
      </c>
      <c r="B421" s="7" t="s">
        <v>1679</v>
      </c>
    </row>
    <row r="422" spans="1:27" ht="12.75">
      <c r="A422" s="7" t="s">
        <v>1681</v>
      </c>
      <c r="B422" s="7" t="s">
        <v>1683</v>
      </c>
    </row>
    <row r="423" spans="1:27" ht="12.75">
      <c r="A423" s="7" t="s">
        <v>1685</v>
      </c>
      <c r="B423" s="7" t="s">
        <v>1687</v>
      </c>
    </row>
    <row r="424" spans="1:27" ht="12.75">
      <c r="A424" s="7" t="s">
        <v>1689</v>
      </c>
      <c r="B424" s="7" t="s">
        <v>1691</v>
      </c>
    </row>
    <row r="425" spans="1:27" ht="12.75">
      <c r="A425" s="7" t="s">
        <v>1693</v>
      </c>
      <c r="B425" s="7" t="s">
        <v>1695</v>
      </c>
    </row>
    <row r="426" spans="1:27" ht="12.75">
      <c r="A426" s="3" t="s">
        <v>1697</v>
      </c>
      <c r="B426" s="3" t="s">
        <v>1699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>
      <c r="A427" s="9" t="s">
        <v>1701</v>
      </c>
      <c r="B427" s="3" t="s">
        <v>1703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>
      <c r="A428" s="3" t="s">
        <v>1705</v>
      </c>
      <c r="B428" s="3" t="s">
        <v>1707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>
      <c r="A429" s="3" t="s">
        <v>1709</v>
      </c>
      <c r="B429" s="3" t="s">
        <v>1711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>
      <c r="A430" s="3" t="s">
        <v>1713</v>
      </c>
      <c r="B430" s="3" t="s">
        <v>1715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>
      <c r="A431" s="3" t="s">
        <v>1717</v>
      </c>
      <c r="B431" s="3" t="s">
        <v>1719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>
      <c r="A432" s="3" t="s">
        <v>1721</v>
      </c>
      <c r="B432" s="3" t="s">
        <v>1723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>
      <c r="A433" s="7" t="s">
        <v>1725</v>
      </c>
      <c r="B433" s="7" t="s">
        <v>1727</v>
      </c>
    </row>
    <row r="434" spans="1:27" ht="12.75">
      <c r="A434" s="7" t="s">
        <v>1729</v>
      </c>
      <c r="B434" s="7" t="s">
        <v>1731</v>
      </c>
    </row>
    <row r="435" spans="1:27" ht="12.75">
      <c r="A435" s="7" t="s">
        <v>1733</v>
      </c>
      <c r="B435" s="7" t="s">
        <v>1735</v>
      </c>
    </row>
    <row r="436" spans="1:27" ht="12.75">
      <c r="A436" s="7" t="s">
        <v>1737</v>
      </c>
      <c r="B436" s="7" t="s">
        <v>1739</v>
      </c>
    </row>
    <row r="437" spans="1:27" ht="12.75">
      <c r="A437" s="7" t="s">
        <v>1741</v>
      </c>
      <c r="B437" s="7" t="s">
        <v>1743</v>
      </c>
    </row>
    <row r="438" spans="1:27" ht="12.75">
      <c r="A438" s="7" t="s">
        <v>1745</v>
      </c>
      <c r="B438" s="7" t="s">
        <v>1747</v>
      </c>
    </row>
    <row r="439" spans="1:27" ht="12.75">
      <c r="A439" s="7" t="s">
        <v>1749</v>
      </c>
      <c r="B439" s="7" t="s">
        <v>1751</v>
      </c>
    </row>
    <row r="440" spans="1:27" ht="12.75">
      <c r="A440" s="3" t="s">
        <v>1753</v>
      </c>
      <c r="B440" s="3" t="s">
        <v>1755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>
      <c r="A441" s="3" t="s">
        <v>1757</v>
      </c>
      <c r="B441" s="3" t="s">
        <v>1759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>
      <c r="A442" s="3" t="s">
        <v>1761</v>
      </c>
      <c r="B442" s="3" t="s">
        <v>1763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>
      <c r="A443" s="7" t="s">
        <v>1765</v>
      </c>
      <c r="B443" s="7" t="s">
        <v>1767</v>
      </c>
    </row>
    <row r="444" spans="1:27" ht="12.75">
      <c r="A444" s="7" t="s">
        <v>1769</v>
      </c>
      <c r="B444" s="7" t="s">
        <v>1771</v>
      </c>
    </row>
    <row r="445" spans="1:27" ht="12.75">
      <c r="A445" s="7" t="s">
        <v>1773</v>
      </c>
      <c r="B445" s="7" t="s">
        <v>1775</v>
      </c>
    </row>
    <row r="446" spans="1:27" ht="12.75">
      <c r="A446" s="7" t="s">
        <v>1777</v>
      </c>
      <c r="B446" s="7" t="s">
        <v>1779</v>
      </c>
    </row>
    <row r="447" spans="1:27" ht="12.75">
      <c r="A447" s="7" t="s">
        <v>1781</v>
      </c>
      <c r="B447" s="7" t="s">
        <v>1783</v>
      </c>
    </row>
    <row r="448" spans="1:27" ht="12.75">
      <c r="A448" s="7" t="s">
        <v>1785</v>
      </c>
      <c r="B448" s="7" t="s">
        <v>1787</v>
      </c>
    </row>
    <row r="449" spans="1:27" ht="12.75">
      <c r="A449" s="7" t="s">
        <v>1789</v>
      </c>
      <c r="B449" s="7" t="s">
        <v>1791</v>
      </c>
    </row>
    <row r="450" spans="1:27" ht="12.75">
      <c r="A450" s="3" t="s">
        <v>1793</v>
      </c>
      <c r="B450" s="3" t="s">
        <v>1795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>
      <c r="A451" s="7" t="s">
        <v>1797</v>
      </c>
      <c r="B451" s="7" t="s">
        <v>1799</v>
      </c>
    </row>
    <row r="452" spans="1:27" ht="12.75">
      <c r="A452" s="7" t="s">
        <v>1801</v>
      </c>
      <c r="B452" s="7" t="s">
        <v>1803</v>
      </c>
    </row>
    <row r="453" spans="1:27" ht="12.75">
      <c r="A453" s="3" t="s">
        <v>1805</v>
      </c>
      <c r="B453" s="3" t="s">
        <v>1807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>
      <c r="A454" s="7" t="s">
        <v>1809</v>
      </c>
      <c r="B454" s="7" t="s">
        <v>1811</v>
      </c>
    </row>
    <row r="455" spans="1:27" ht="12.75">
      <c r="A455" s="7" t="s">
        <v>1813</v>
      </c>
      <c r="B455" s="7" t="s">
        <v>1815</v>
      </c>
    </row>
    <row r="456" spans="1:27" ht="12.75">
      <c r="A456" s="7" t="s">
        <v>1817</v>
      </c>
      <c r="B456" s="7" t="s">
        <v>1819</v>
      </c>
    </row>
    <row r="457" spans="1:27" ht="12.75">
      <c r="A457" s="7" t="s">
        <v>1821</v>
      </c>
      <c r="B457" s="7" t="s">
        <v>1823</v>
      </c>
    </row>
    <row r="458" spans="1:27" ht="12.75">
      <c r="A458" s="7" t="s">
        <v>1825</v>
      </c>
      <c r="B458" s="7" t="s">
        <v>1827</v>
      </c>
    </row>
    <row r="459" spans="1:27" ht="12.75">
      <c r="A459" s="7" t="s">
        <v>1829</v>
      </c>
      <c r="B459" s="7" t="s">
        <v>1831</v>
      </c>
    </row>
    <row r="460" spans="1:27" ht="12.75">
      <c r="A460" s="3" t="s">
        <v>1833</v>
      </c>
      <c r="B460" s="3" t="s">
        <v>1835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>
      <c r="A461" s="3" t="s">
        <v>1837</v>
      </c>
      <c r="B461" s="3" t="s">
        <v>1839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>
      <c r="A462" s="7" t="s">
        <v>1841</v>
      </c>
      <c r="B462" s="7" t="s">
        <v>1843</v>
      </c>
    </row>
    <row r="463" spans="1:27" ht="12.75">
      <c r="A463" s="7" t="s">
        <v>1845</v>
      </c>
      <c r="B463" s="7" t="s">
        <v>1847</v>
      </c>
    </row>
    <row r="464" spans="1:27" ht="12.75">
      <c r="A464" s="7" t="s">
        <v>1849</v>
      </c>
      <c r="B464" s="7" t="s">
        <v>1851</v>
      </c>
    </row>
    <row r="465" spans="1:27" ht="12.75">
      <c r="A465" s="7" t="s">
        <v>1853</v>
      </c>
      <c r="B465" s="7" t="s">
        <v>1855</v>
      </c>
    </row>
    <row r="466" spans="1:27" ht="12.75">
      <c r="A466" s="3" t="s">
        <v>1857</v>
      </c>
      <c r="B466" s="3" t="s">
        <v>1859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>
      <c r="A467" s="3" t="s">
        <v>1861</v>
      </c>
      <c r="B467" s="3" t="s">
        <v>1863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>
      <c r="A468" s="7" t="s">
        <v>1865</v>
      </c>
      <c r="B468" s="7" t="s">
        <v>1867</v>
      </c>
    </row>
    <row r="469" spans="1:27" ht="12.75">
      <c r="A469" s="7" t="s">
        <v>1869</v>
      </c>
      <c r="B469" s="7" t="s">
        <v>1871</v>
      </c>
    </row>
    <row r="470" spans="1:27" ht="12.75">
      <c r="A470" s="7" t="s">
        <v>1873</v>
      </c>
      <c r="B470" s="7" t="s">
        <v>1875</v>
      </c>
    </row>
    <row r="471" spans="1:27" ht="12.75">
      <c r="A471" s="7" t="s">
        <v>1877</v>
      </c>
      <c r="B471" s="7" t="s">
        <v>1879</v>
      </c>
    </row>
    <row r="472" spans="1:27" ht="12.75">
      <c r="A472" s="3" t="s">
        <v>1881</v>
      </c>
      <c r="B472" s="3" t="s">
        <v>1883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>
      <c r="A473" s="7" t="s">
        <v>1885</v>
      </c>
      <c r="B473" s="7" t="s">
        <v>1887</v>
      </c>
    </row>
    <row r="474" spans="1:27" ht="12.75">
      <c r="A474" s="7" t="s">
        <v>1889</v>
      </c>
      <c r="B474" s="7" t="s">
        <v>1891</v>
      </c>
    </row>
    <row r="475" spans="1:27" ht="12.75">
      <c r="A475" s="7" t="s">
        <v>1893</v>
      </c>
      <c r="B475" s="7" t="s">
        <v>1895</v>
      </c>
    </row>
    <row r="476" spans="1:27" ht="12.75">
      <c r="A476" s="7" t="s">
        <v>1897</v>
      </c>
      <c r="B476" s="7" t="s">
        <v>1899</v>
      </c>
    </row>
    <row r="477" spans="1:27" ht="12.75">
      <c r="A477" s="7" t="s">
        <v>1901</v>
      </c>
      <c r="B477" s="7" t="s">
        <v>1903</v>
      </c>
    </row>
    <row r="478" spans="1:27" ht="12.75">
      <c r="A478" s="7" t="s">
        <v>1885</v>
      </c>
      <c r="B478" s="7" t="s">
        <v>1905</v>
      </c>
    </row>
    <row r="479" spans="1:27" ht="12.75">
      <c r="A479" s="7" t="s">
        <v>1885</v>
      </c>
      <c r="B479" s="7" t="s">
        <v>1907</v>
      </c>
    </row>
    <row r="480" spans="1:27" ht="12.75">
      <c r="A480" s="3" t="s">
        <v>1909</v>
      </c>
      <c r="B480" s="3" t="s">
        <v>1911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>
      <c r="A481" s="7" t="s">
        <v>1913</v>
      </c>
      <c r="B481" s="7" t="s">
        <v>1915</v>
      </c>
    </row>
    <row r="482" spans="1:27" ht="12.75">
      <c r="A482" s="7" t="s">
        <v>1917</v>
      </c>
      <c r="B482" s="7" t="s">
        <v>1919</v>
      </c>
    </row>
    <row r="483" spans="1:27" ht="12.75">
      <c r="A483" s="7" t="s">
        <v>1921</v>
      </c>
      <c r="B483" s="7" t="s">
        <v>1923</v>
      </c>
    </row>
    <row r="484" spans="1:27" ht="12.75">
      <c r="A484" s="3" t="s">
        <v>1925</v>
      </c>
      <c r="B484" s="3" t="s">
        <v>1927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>
      <c r="A485" s="3" t="s">
        <v>1929</v>
      </c>
      <c r="B485" s="3" t="s">
        <v>1931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>
      <c r="A486" s="7" t="s">
        <v>1933</v>
      </c>
      <c r="B486" s="7" t="s">
        <v>1935</v>
      </c>
    </row>
    <row r="487" spans="1:27" ht="12.75">
      <c r="A487" s="7" t="s">
        <v>1937</v>
      </c>
      <c r="B487" s="7" t="s">
        <v>1939</v>
      </c>
    </row>
    <row r="488" spans="1:27" ht="12.75">
      <c r="A488" s="7" t="s">
        <v>1941</v>
      </c>
      <c r="B488" s="7" t="s">
        <v>1943</v>
      </c>
    </row>
    <row r="489" spans="1:27" ht="12.75">
      <c r="A489" s="7" t="s">
        <v>1945</v>
      </c>
      <c r="B489" s="7" t="s">
        <v>1947</v>
      </c>
    </row>
    <row r="490" spans="1:27" ht="12.75">
      <c r="A490" s="7" t="s">
        <v>1949</v>
      </c>
      <c r="B490" s="7" t="s">
        <v>1951</v>
      </c>
    </row>
    <row r="491" spans="1:27" ht="12.75">
      <c r="A491" s="7" t="s">
        <v>1953</v>
      </c>
      <c r="B491" s="7" t="s">
        <v>1955</v>
      </c>
    </row>
    <row r="492" spans="1:27" ht="12.75">
      <c r="A492" s="7" t="s">
        <v>1957</v>
      </c>
      <c r="B492" s="7" t="s">
        <v>1959</v>
      </c>
    </row>
    <row r="493" spans="1:27" ht="12.75">
      <c r="A493" s="3" t="s">
        <v>1961</v>
      </c>
      <c r="B493" s="3" t="s">
        <v>1963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>
      <c r="A494" s="7" t="s">
        <v>1965</v>
      </c>
      <c r="B494" s="7" t="s">
        <v>1967</v>
      </c>
    </row>
    <row r="495" spans="1:27" ht="12.75">
      <c r="A495" s="7" t="s">
        <v>1969</v>
      </c>
      <c r="B495" s="7" t="s">
        <v>1971</v>
      </c>
    </row>
    <row r="496" spans="1:27" ht="12.75">
      <c r="A496" s="7" t="s">
        <v>1973</v>
      </c>
      <c r="B496" s="7" t="s">
        <v>1975</v>
      </c>
    </row>
    <row r="497" spans="1:27" ht="12.75">
      <c r="A497" s="7" t="s">
        <v>1977</v>
      </c>
      <c r="B497" s="7" t="s">
        <v>1979</v>
      </c>
    </row>
    <row r="498" spans="1:27" ht="12.75">
      <c r="A498" s="7" t="s">
        <v>1981</v>
      </c>
      <c r="B498" s="7" t="s">
        <v>1983</v>
      </c>
    </row>
    <row r="499" spans="1:27" ht="12.75">
      <c r="A499" s="7" t="s">
        <v>1985</v>
      </c>
      <c r="B499" s="7" t="s">
        <v>1987</v>
      </c>
    </row>
    <row r="500" spans="1:27" ht="12.75">
      <c r="A500" s="7" t="s">
        <v>1989</v>
      </c>
      <c r="B500" s="7" t="s">
        <v>1991</v>
      </c>
    </row>
    <row r="501" spans="1:27" ht="12.75">
      <c r="A501" s="3" t="s">
        <v>1993</v>
      </c>
      <c r="B501" s="3" t="s">
        <v>1995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>
      <c r="A502" s="3" t="s">
        <v>1997</v>
      </c>
      <c r="B502" s="3" t="s">
        <v>1999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>
      <c r="A503" s="3" t="s">
        <v>2001</v>
      </c>
      <c r="B503" s="3" t="s">
        <v>2003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>
      <c r="A504" s="7" t="s">
        <v>2005</v>
      </c>
      <c r="B504" s="7" t="s">
        <v>2007</v>
      </c>
    </row>
    <row r="505" spans="1:27" ht="12.75">
      <c r="A505" s="3" t="s">
        <v>2009</v>
      </c>
      <c r="B505" s="3" t="s">
        <v>2011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>
      <c r="A506" s="7" t="s">
        <v>2013</v>
      </c>
      <c r="B506" s="7" t="s">
        <v>2015</v>
      </c>
    </row>
    <row r="507" spans="1:27" ht="12.75">
      <c r="A507" s="3" t="s">
        <v>2017</v>
      </c>
      <c r="B507" s="3" t="s">
        <v>2019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>
      <c r="A508" s="7" t="s">
        <v>2021</v>
      </c>
      <c r="B508" s="7" t="s">
        <v>2023</v>
      </c>
    </row>
    <row r="509" spans="1:27" ht="12.75">
      <c r="A509" s="3" t="s">
        <v>2025</v>
      </c>
      <c r="B509" s="3" t="s">
        <v>2027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>
      <c r="A510" s="3" t="s">
        <v>2029</v>
      </c>
      <c r="B510" s="3" t="s">
        <v>2031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>
      <c r="A511" s="3" t="s">
        <v>2033</v>
      </c>
      <c r="B511" s="3" t="s">
        <v>2035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>
      <c r="A512" s="7" t="s">
        <v>2037</v>
      </c>
      <c r="B512" s="7" t="s">
        <v>2039</v>
      </c>
    </row>
    <row r="513" spans="1:27" ht="12.75">
      <c r="A513" s="7" t="s">
        <v>2041</v>
      </c>
      <c r="B513" s="7" t="s">
        <v>2043</v>
      </c>
    </row>
    <row r="514" spans="1:27" ht="12.75">
      <c r="A514" s="7" t="s">
        <v>2045</v>
      </c>
      <c r="B514" s="7" t="s">
        <v>2047</v>
      </c>
    </row>
    <row r="515" spans="1:27" ht="12.75">
      <c r="A515" s="7" t="s">
        <v>2049</v>
      </c>
      <c r="B515" s="7" t="s">
        <v>2051</v>
      </c>
    </row>
    <row r="516" spans="1:27" ht="12.75">
      <c r="A516" s="3" t="s">
        <v>2053</v>
      </c>
      <c r="B516" s="3" t="s">
        <v>2055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>
      <c r="A517" s="7" t="s">
        <v>2057</v>
      </c>
      <c r="B517" s="7" t="s">
        <v>2059</v>
      </c>
    </row>
    <row r="518" spans="1:27" ht="12.75">
      <c r="A518" s="7" t="s">
        <v>2061</v>
      </c>
      <c r="B518" s="7" t="s">
        <v>2063</v>
      </c>
    </row>
    <row r="519" spans="1:27" ht="12.75">
      <c r="A519" s="7" t="s">
        <v>2065</v>
      </c>
      <c r="B519" s="7" t="s">
        <v>2067</v>
      </c>
    </row>
    <row r="520" spans="1:27" ht="12.75">
      <c r="A520" s="7" t="s">
        <v>2069</v>
      </c>
      <c r="B520" s="7" t="s">
        <v>2071</v>
      </c>
    </row>
    <row r="521" spans="1:27" ht="12.75">
      <c r="A521" s="7" t="s">
        <v>2073</v>
      </c>
      <c r="B521" s="7" t="s">
        <v>2075</v>
      </c>
    </row>
    <row r="522" spans="1:27" ht="12.75">
      <c r="A522" s="7" t="s">
        <v>2077</v>
      </c>
      <c r="B522" s="7" t="s">
        <v>2079</v>
      </c>
    </row>
    <row r="523" spans="1:27" ht="12.75">
      <c r="A523" s="7" t="s">
        <v>2081</v>
      </c>
      <c r="B523" s="7" t="s">
        <v>2083</v>
      </c>
    </row>
    <row r="524" spans="1:27" ht="12.75">
      <c r="A524" s="3" t="s">
        <v>2085</v>
      </c>
      <c r="B524" s="3" t="s">
        <v>2087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>
      <c r="A525" s="7" t="s">
        <v>2089</v>
      </c>
      <c r="B525" s="7" t="s">
        <v>2091</v>
      </c>
    </row>
    <row r="526" spans="1:27" ht="12.75">
      <c r="A526" s="7" t="s">
        <v>2093</v>
      </c>
      <c r="B526" s="7" t="s">
        <v>2095</v>
      </c>
    </row>
    <row r="527" spans="1:27" ht="12.75">
      <c r="A527" s="3" t="s">
        <v>2097</v>
      </c>
      <c r="B527" s="3" t="s">
        <v>2099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>
      <c r="A528" s="7" t="s">
        <v>2101</v>
      </c>
      <c r="B528" s="7" t="s">
        <v>2103</v>
      </c>
    </row>
    <row r="529" spans="1:27" ht="12.75">
      <c r="A529" s="7" t="s">
        <v>2105</v>
      </c>
      <c r="B529" s="7" t="s">
        <v>2107</v>
      </c>
    </row>
    <row r="530" spans="1:27" ht="12.75">
      <c r="A530" s="7" t="s">
        <v>2109</v>
      </c>
      <c r="B530" s="7" t="s">
        <v>2111</v>
      </c>
    </row>
    <row r="531" spans="1:27" ht="12.75">
      <c r="A531" s="7" t="s">
        <v>2113</v>
      </c>
      <c r="B531" s="7" t="s">
        <v>2115</v>
      </c>
    </row>
    <row r="532" spans="1:27" ht="12.75">
      <c r="A532" s="7" t="s">
        <v>2117</v>
      </c>
      <c r="B532" s="7" t="s">
        <v>2119</v>
      </c>
    </row>
    <row r="533" spans="1:27" ht="12.75">
      <c r="A533" s="3" t="s">
        <v>2121</v>
      </c>
      <c r="B533" s="3" t="s">
        <v>2123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>
      <c r="A534" s="7" t="s">
        <v>2125</v>
      </c>
      <c r="B534" s="7" t="s">
        <v>2127</v>
      </c>
    </row>
    <row r="535" spans="1:27" ht="12.75">
      <c r="A535" s="7" t="s">
        <v>2129</v>
      </c>
      <c r="B535" s="7" t="s">
        <v>2131</v>
      </c>
    </row>
    <row r="536" spans="1:27" ht="12.75">
      <c r="A536" s="7" t="s">
        <v>2133</v>
      </c>
      <c r="B536" s="7" t="s">
        <v>2135</v>
      </c>
    </row>
    <row r="537" spans="1:27" ht="12.75">
      <c r="A537" s="7" t="s">
        <v>2137</v>
      </c>
      <c r="B537" s="7" t="s">
        <v>2139</v>
      </c>
    </row>
    <row r="538" spans="1:27" ht="12.75">
      <c r="A538" s="7" t="s">
        <v>2141</v>
      </c>
      <c r="B538" s="7" t="s">
        <v>2143</v>
      </c>
    </row>
    <row r="539" spans="1:27" ht="12.75">
      <c r="A539" s="7" t="s">
        <v>2145</v>
      </c>
      <c r="B539" s="7" t="s">
        <v>2147</v>
      </c>
    </row>
    <row r="540" spans="1:27" ht="12.75">
      <c r="A540" s="7" t="s">
        <v>2149</v>
      </c>
      <c r="B540" s="7" t="s">
        <v>2151</v>
      </c>
    </row>
    <row r="541" spans="1:27" ht="12.75">
      <c r="A541" s="7" t="s">
        <v>2153</v>
      </c>
      <c r="B541" s="7" t="s">
        <v>2155</v>
      </c>
    </row>
    <row r="542" spans="1:27" ht="12.75">
      <c r="A542" s="7" t="s">
        <v>2157</v>
      </c>
      <c r="B542" s="7" t="s">
        <v>2159</v>
      </c>
    </row>
    <row r="543" spans="1:27" ht="12.75">
      <c r="A543" s="7" t="s">
        <v>2161</v>
      </c>
      <c r="B543" s="7" t="s">
        <v>2163</v>
      </c>
    </row>
    <row r="544" spans="1:27" ht="12.75">
      <c r="A544" s="3" t="s">
        <v>2165</v>
      </c>
      <c r="B544" s="3" t="s">
        <v>2167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>
      <c r="A545" s="7" t="s">
        <v>2169</v>
      </c>
      <c r="B545" s="7" t="s">
        <v>2171</v>
      </c>
    </row>
    <row r="546" spans="1:27" ht="12.75">
      <c r="A546" s="7" t="s">
        <v>2173</v>
      </c>
      <c r="B546" s="7" t="s">
        <v>2175</v>
      </c>
    </row>
    <row r="547" spans="1:27" ht="12.75">
      <c r="A547" s="7" t="s">
        <v>2177</v>
      </c>
      <c r="B547" s="7" t="s">
        <v>2179</v>
      </c>
    </row>
    <row r="548" spans="1:27" ht="12.75">
      <c r="A548" s="7" t="s">
        <v>2181</v>
      </c>
      <c r="B548" s="7" t="s">
        <v>2183</v>
      </c>
    </row>
    <row r="549" spans="1:27" ht="12.75">
      <c r="A549" s="7" t="s">
        <v>2185</v>
      </c>
      <c r="B549" s="7" t="s">
        <v>2187</v>
      </c>
    </row>
    <row r="550" spans="1:27" ht="12.75">
      <c r="A550" s="7" t="s">
        <v>2189</v>
      </c>
      <c r="B550" s="7" t="s">
        <v>2191</v>
      </c>
    </row>
    <row r="551" spans="1:27" ht="12.75">
      <c r="A551" s="7" t="s">
        <v>2193</v>
      </c>
      <c r="B551" s="7" t="s">
        <v>2195</v>
      </c>
    </row>
    <row r="552" spans="1:27" ht="12.75">
      <c r="A552" s="7" t="s">
        <v>2197</v>
      </c>
      <c r="B552" s="7" t="s">
        <v>2199</v>
      </c>
    </row>
    <row r="553" spans="1:27" ht="12.75">
      <c r="A553" s="7" t="s">
        <v>2201</v>
      </c>
      <c r="B553" s="7" t="s">
        <v>2203</v>
      </c>
    </row>
    <row r="554" spans="1:27" ht="12.75">
      <c r="A554" s="7" t="s">
        <v>2205</v>
      </c>
      <c r="B554" s="7" t="s">
        <v>2207</v>
      </c>
    </row>
    <row r="555" spans="1:27" ht="12.75">
      <c r="A555" s="3" t="s">
        <v>2209</v>
      </c>
      <c r="B555" s="3" t="s">
        <v>2211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>
      <c r="A556" s="7" t="s">
        <v>2213</v>
      </c>
      <c r="B556" s="7" t="s">
        <v>2215</v>
      </c>
    </row>
    <row r="557" spans="1:27" ht="12.75">
      <c r="A557" s="7" t="s">
        <v>2217</v>
      </c>
      <c r="B557" s="7" t="s">
        <v>2219</v>
      </c>
    </row>
    <row r="558" spans="1:27" ht="12.75">
      <c r="A558" s="3" t="s">
        <v>2221</v>
      </c>
      <c r="B558" s="3" t="s">
        <v>2223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>
      <c r="A559" s="7" t="s">
        <v>2225</v>
      </c>
      <c r="B559" s="7" t="s">
        <v>2227</v>
      </c>
    </row>
    <row r="560" spans="1:27" ht="12.75">
      <c r="A560" s="7" t="s">
        <v>2229</v>
      </c>
      <c r="B560" s="7" t="s">
        <v>2231</v>
      </c>
    </row>
    <row r="561" spans="1:27" ht="12.75">
      <c r="A561" s="7" t="s">
        <v>2233</v>
      </c>
      <c r="B561" s="7" t="s">
        <v>2235</v>
      </c>
    </row>
    <row r="562" spans="1:27" ht="12.75">
      <c r="A562" s="7" t="s">
        <v>2237</v>
      </c>
      <c r="B562" s="7" t="s">
        <v>2239</v>
      </c>
    </row>
    <row r="563" spans="1:27" ht="12.75">
      <c r="A563" s="7" t="s">
        <v>2241</v>
      </c>
      <c r="B563" s="7" t="s">
        <v>2243</v>
      </c>
    </row>
    <row r="564" spans="1:27" ht="12.75">
      <c r="A564" s="7" t="s">
        <v>2245</v>
      </c>
      <c r="B564" s="7" t="s">
        <v>2247</v>
      </c>
    </row>
    <row r="565" spans="1:27" ht="12.75">
      <c r="A565" s="7" t="s">
        <v>2249</v>
      </c>
      <c r="B565" s="7" t="s">
        <v>2251</v>
      </c>
    </row>
    <row r="566" spans="1:27" ht="12.75">
      <c r="A566" s="7" t="s">
        <v>2253</v>
      </c>
      <c r="B566" s="7" t="s">
        <v>2255</v>
      </c>
    </row>
    <row r="567" spans="1:27" ht="12.75">
      <c r="A567" s="3" t="s">
        <v>2257</v>
      </c>
      <c r="B567" s="3" t="s">
        <v>2259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>
      <c r="A568" s="7" t="s">
        <v>2261</v>
      </c>
      <c r="B568" s="7" t="s">
        <v>2263</v>
      </c>
    </row>
    <row r="569" spans="1:27" ht="12.75">
      <c r="A569" s="7" t="s">
        <v>2265</v>
      </c>
      <c r="B569" s="7" t="s">
        <v>2267</v>
      </c>
    </row>
    <row r="570" spans="1:27" ht="12.75">
      <c r="A570" s="7" t="s">
        <v>2269</v>
      </c>
      <c r="B570" s="7" t="s">
        <v>2271</v>
      </c>
    </row>
    <row r="571" spans="1:27" ht="12.75">
      <c r="A571" s="7" t="s">
        <v>2273</v>
      </c>
      <c r="B571" s="7" t="s">
        <v>2275</v>
      </c>
    </row>
    <row r="572" spans="1:27" ht="12.75">
      <c r="A572" s="7" t="s">
        <v>2277</v>
      </c>
      <c r="B572" s="7" t="s">
        <v>2279</v>
      </c>
    </row>
    <row r="573" spans="1:27" ht="12.75">
      <c r="A573" s="7" t="s">
        <v>2281</v>
      </c>
      <c r="B573" s="7" t="s">
        <v>2282</v>
      </c>
    </row>
    <row r="574" spans="1:27" ht="12.75">
      <c r="A574" s="7" t="s">
        <v>2284</v>
      </c>
      <c r="B574" s="7" t="s">
        <v>2286</v>
      </c>
    </row>
    <row r="575" spans="1:27" ht="12.75">
      <c r="A575" s="7" t="s">
        <v>2288</v>
      </c>
      <c r="B575" s="7" t="s">
        <v>2290</v>
      </c>
    </row>
    <row r="576" spans="1:27" ht="12.75">
      <c r="A576" s="7" t="s">
        <v>2292</v>
      </c>
      <c r="B576" s="7" t="s">
        <v>2294</v>
      </c>
    </row>
    <row r="577" spans="1:27" ht="12.75">
      <c r="A577" s="7" t="s">
        <v>2296</v>
      </c>
      <c r="B577" s="7" t="s">
        <v>2298</v>
      </c>
    </row>
    <row r="578" spans="1:27" ht="12.75">
      <c r="A578" s="7" t="s">
        <v>2300</v>
      </c>
      <c r="B578" s="7" t="s">
        <v>2302</v>
      </c>
    </row>
    <row r="579" spans="1:27" ht="12.75">
      <c r="A579" s="3" t="s">
        <v>2304</v>
      </c>
      <c r="B579" s="3" t="s">
        <v>2306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2.75">
      <c r="A580" s="7" t="s">
        <v>2308</v>
      </c>
      <c r="B580" s="7" t="s">
        <v>2310</v>
      </c>
    </row>
    <row r="581" spans="1:27" ht="12.75">
      <c r="A581" s="7" t="s">
        <v>2312</v>
      </c>
      <c r="B581" s="7" t="s">
        <v>2314</v>
      </c>
    </row>
    <row r="582" spans="1:27" ht="12.75">
      <c r="A582" s="7" t="s">
        <v>2316</v>
      </c>
      <c r="B582" s="7" t="s">
        <v>2318</v>
      </c>
    </row>
    <row r="583" spans="1:27" ht="12.75">
      <c r="A583" s="7" t="s">
        <v>2320</v>
      </c>
      <c r="B583" s="7" t="s">
        <v>2322</v>
      </c>
    </row>
    <row r="584" spans="1:27" ht="12.75">
      <c r="A584" s="7" t="s">
        <v>2324</v>
      </c>
      <c r="B584" s="7" t="s">
        <v>2326</v>
      </c>
    </row>
    <row r="585" spans="1:27" ht="12.75">
      <c r="A585" s="7" t="s">
        <v>2328</v>
      </c>
      <c r="B585" s="7" t="s">
        <v>2330</v>
      </c>
    </row>
    <row r="586" spans="1:27" ht="12.75">
      <c r="A586" s="7" t="s">
        <v>2332</v>
      </c>
      <c r="B586" s="7" t="s">
        <v>2334</v>
      </c>
    </row>
    <row r="587" spans="1:27" ht="12.75">
      <c r="A587" s="7" t="s">
        <v>2336</v>
      </c>
      <c r="B587" s="7" t="s">
        <v>2338</v>
      </c>
    </row>
    <row r="588" spans="1:27" ht="12.75">
      <c r="A588" s="7" t="s">
        <v>2340</v>
      </c>
      <c r="B588" s="7" t="s">
        <v>2342</v>
      </c>
    </row>
    <row r="589" spans="1:27" ht="12.75">
      <c r="A589" s="7" t="s">
        <v>2344</v>
      </c>
      <c r="B589" s="7" t="s">
        <v>2346</v>
      </c>
    </row>
    <row r="590" spans="1:27" ht="12.75">
      <c r="A590" s="7" t="s">
        <v>2348</v>
      </c>
      <c r="B590" s="7" t="s">
        <v>2350</v>
      </c>
    </row>
    <row r="591" spans="1:27" ht="12.75">
      <c r="A591" s="7" t="s">
        <v>2352</v>
      </c>
      <c r="B591" s="7" t="s">
        <v>2354</v>
      </c>
    </row>
    <row r="592" spans="1:27" ht="12.75">
      <c r="A592" s="7" t="s">
        <v>2356</v>
      </c>
      <c r="B592" s="7" t="s">
        <v>2358</v>
      </c>
    </row>
    <row r="593" spans="1:27" ht="12.75">
      <c r="A593" s="7" t="s">
        <v>2360</v>
      </c>
      <c r="B593" s="7" t="s">
        <v>2362</v>
      </c>
    </row>
    <row r="594" spans="1:27" ht="12.75">
      <c r="A594" s="7" t="s">
        <v>2364</v>
      </c>
      <c r="B594" s="7" t="s">
        <v>2366</v>
      </c>
    </row>
    <row r="595" spans="1:27" ht="12.75">
      <c r="A595" s="3" t="s">
        <v>2368</v>
      </c>
      <c r="B595" s="3" t="s">
        <v>2370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>
      <c r="A596" s="3" t="s">
        <v>2372</v>
      </c>
      <c r="B596" s="3" t="s">
        <v>2374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>
      <c r="A597" s="7" t="s">
        <v>2376</v>
      </c>
      <c r="B597" s="7" t="s">
        <v>2378</v>
      </c>
    </row>
    <row r="598" spans="1:27" ht="12.75">
      <c r="A598" s="7" t="s">
        <v>2380</v>
      </c>
      <c r="B598" s="7" t="s">
        <v>2382</v>
      </c>
    </row>
    <row r="599" spans="1:27" ht="12.75">
      <c r="A599" s="7" t="s">
        <v>2384</v>
      </c>
      <c r="B599" s="7" t="s">
        <v>2386</v>
      </c>
    </row>
    <row r="600" spans="1:27" ht="12.75">
      <c r="A600" s="7" t="s">
        <v>2388</v>
      </c>
      <c r="B600" s="7" t="s">
        <v>2390</v>
      </c>
    </row>
    <row r="601" spans="1:27" ht="12.75">
      <c r="A601" s="7" t="s">
        <v>2392</v>
      </c>
      <c r="B601" s="7" t="s">
        <v>2394</v>
      </c>
    </row>
    <row r="602" spans="1:27" ht="12.75">
      <c r="A602" s="7" t="s">
        <v>2396</v>
      </c>
      <c r="B602" s="7" t="s">
        <v>2398</v>
      </c>
    </row>
    <row r="603" spans="1:27" ht="12.75">
      <c r="A603" s="7" t="s">
        <v>2400</v>
      </c>
      <c r="B603" s="7" t="s">
        <v>2402</v>
      </c>
    </row>
    <row r="604" spans="1:27" ht="12.75">
      <c r="A604" s="3" t="s">
        <v>2404</v>
      </c>
      <c r="B604" s="3" t="s">
        <v>2406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>
      <c r="A605" s="7" t="s">
        <v>2408</v>
      </c>
      <c r="B605" s="7" t="s">
        <v>2410</v>
      </c>
    </row>
    <row r="606" spans="1:27" ht="12.75">
      <c r="A606" s="7" t="s">
        <v>2412</v>
      </c>
      <c r="B606" s="7" t="s">
        <v>2414</v>
      </c>
    </row>
    <row r="607" spans="1:27" ht="12.75">
      <c r="A607" s="7" t="s">
        <v>2416</v>
      </c>
      <c r="B607" s="7" t="s">
        <v>2418</v>
      </c>
    </row>
    <row r="608" spans="1:27" ht="12.75">
      <c r="A608" s="7" t="s">
        <v>2420</v>
      </c>
      <c r="B608" s="7" t="s">
        <v>2422</v>
      </c>
    </row>
    <row r="609" spans="1:27" ht="12.75">
      <c r="A609" s="7" t="s">
        <v>2424</v>
      </c>
      <c r="B609" s="7" t="s">
        <v>2426</v>
      </c>
    </row>
    <row r="610" spans="1:27" ht="12.75">
      <c r="A610" s="7" t="s">
        <v>2428</v>
      </c>
      <c r="B610" s="7" t="s">
        <v>2430</v>
      </c>
    </row>
    <row r="611" spans="1:27" ht="12.75">
      <c r="A611" s="7" t="s">
        <v>2432</v>
      </c>
      <c r="B611" s="7" t="s">
        <v>2434</v>
      </c>
    </row>
    <row r="612" spans="1:27" ht="12.75">
      <c r="A612" s="3" t="s">
        <v>2436</v>
      </c>
      <c r="B612" s="3" t="s">
        <v>2438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2.75">
      <c r="A613" s="7" t="s">
        <v>2440</v>
      </c>
      <c r="B613" s="7" t="s">
        <v>2442</v>
      </c>
    </row>
    <row r="614" spans="1:27" ht="12.75">
      <c r="A614" s="7" t="s">
        <v>2444</v>
      </c>
      <c r="B614" s="7" t="s">
        <v>2446</v>
      </c>
    </row>
    <row r="615" spans="1:27" ht="12.75">
      <c r="A615" s="7" t="s">
        <v>2448</v>
      </c>
      <c r="B615" s="7" t="s">
        <v>2450</v>
      </c>
    </row>
    <row r="616" spans="1:27" ht="12.75">
      <c r="A616" s="7" t="s">
        <v>2452</v>
      </c>
      <c r="B616" s="7" t="s">
        <v>2454</v>
      </c>
    </row>
    <row r="617" spans="1:27" ht="12.75">
      <c r="A617" s="7" t="s">
        <v>2456</v>
      </c>
      <c r="B617" s="7" t="s">
        <v>2458</v>
      </c>
    </row>
    <row r="618" spans="1:27" ht="12.75">
      <c r="A618" s="7" t="s">
        <v>2460</v>
      </c>
      <c r="B618" s="7" t="s">
        <v>2462</v>
      </c>
    </row>
    <row r="619" spans="1:27" ht="12.75">
      <c r="A619" s="3" t="s">
        <v>2464</v>
      </c>
      <c r="B619" s="3" t="s">
        <v>2466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2.75">
      <c r="A620" s="7" t="s">
        <v>2468</v>
      </c>
      <c r="B620" s="7" t="s">
        <v>2470</v>
      </c>
    </row>
    <row r="621" spans="1:27" ht="12.75">
      <c r="A621" s="7" t="s">
        <v>2472</v>
      </c>
      <c r="B621" s="7" t="s">
        <v>2474</v>
      </c>
    </row>
    <row r="622" spans="1:27" ht="12.75">
      <c r="A622" s="7" t="s">
        <v>2476</v>
      </c>
      <c r="B622" s="7" t="s">
        <v>2478</v>
      </c>
    </row>
    <row r="623" spans="1:27" ht="12.75">
      <c r="A623" s="7" t="s">
        <v>2480</v>
      </c>
      <c r="B623" s="7" t="s">
        <v>2482</v>
      </c>
    </row>
    <row r="624" spans="1:27" ht="12.75">
      <c r="A624" s="7" t="s">
        <v>2484</v>
      </c>
      <c r="B624" s="7" t="s">
        <v>2486</v>
      </c>
    </row>
    <row r="625" spans="1:27" ht="12.75">
      <c r="A625" s="7" t="s">
        <v>2488</v>
      </c>
      <c r="B625" s="7" t="s">
        <v>2490</v>
      </c>
    </row>
    <row r="626" spans="1:27" ht="12.75">
      <c r="A626" s="3" t="s">
        <v>2492</v>
      </c>
      <c r="B626" s="3" t="s">
        <v>2494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2.75">
      <c r="A627" s="3" t="s">
        <v>2496</v>
      </c>
      <c r="B627" s="3" t="s">
        <v>2498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2.75">
      <c r="A628" s="7" t="s">
        <v>2500</v>
      </c>
      <c r="B628" s="7" t="s">
        <v>2502</v>
      </c>
    </row>
    <row r="629" spans="1:27" ht="12.75">
      <c r="A629" s="7" t="s">
        <v>2504</v>
      </c>
      <c r="B629" s="7" t="s">
        <v>2506</v>
      </c>
    </row>
    <row r="630" spans="1:27" ht="12.75">
      <c r="A630" s="7" t="s">
        <v>2508</v>
      </c>
      <c r="B630" s="7" t="s">
        <v>2510</v>
      </c>
    </row>
    <row r="631" spans="1:27" ht="12.75">
      <c r="A631" s="7" t="s">
        <v>2512</v>
      </c>
      <c r="B631" s="7" t="s">
        <v>2514</v>
      </c>
    </row>
    <row r="632" spans="1:27" ht="12.75">
      <c r="A632" s="7" t="s">
        <v>2516</v>
      </c>
      <c r="B632" s="7" t="s">
        <v>2518</v>
      </c>
    </row>
    <row r="633" spans="1:27" ht="12.75">
      <c r="A633" s="7" t="s">
        <v>2520</v>
      </c>
      <c r="B633" s="7" t="s">
        <v>2522</v>
      </c>
    </row>
    <row r="634" spans="1:27" ht="12.75">
      <c r="A634" s="7" t="s">
        <v>2524</v>
      </c>
      <c r="B634" s="7" t="s">
        <v>2526</v>
      </c>
    </row>
    <row r="635" spans="1:27" ht="12.75">
      <c r="A635" s="7" t="s">
        <v>2528</v>
      </c>
      <c r="B635" s="7" t="s">
        <v>2530</v>
      </c>
    </row>
    <row r="636" spans="1:27" ht="12.75">
      <c r="A636" s="7" t="s">
        <v>2532</v>
      </c>
      <c r="B636" s="7" t="s">
        <v>2534</v>
      </c>
    </row>
    <row r="637" spans="1:27" ht="12.75">
      <c r="A637" s="7" t="s">
        <v>2536</v>
      </c>
      <c r="B637" s="7" t="s">
        <v>2538</v>
      </c>
    </row>
    <row r="638" spans="1:27" ht="12.75">
      <c r="A638" s="7" t="s">
        <v>2540</v>
      </c>
      <c r="B638" s="7" t="s">
        <v>2542</v>
      </c>
    </row>
    <row r="639" spans="1:27" ht="12.75">
      <c r="A639" s="7" t="s">
        <v>2544</v>
      </c>
      <c r="B639" s="7" t="s">
        <v>2546</v>
      </c>
    </row>
    <row r="640" spans="1:27" ht="12.75">
      <c r="A640" s="7" t="s">
        <v>2548</v>
      </c>
      <c r="B640" s="7" t="s">
        <v>2550</v>
      </c>
    </row>
    <row r="641" spans="1:27" ht="12.75">
      <c r="A641" s="3" t="s">
        <v>2552</v>
      </c>
      <c r="B641" s="3" t="s">
        <v>2554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2.75">
      <c r="A642" s="7" t="s">
        <v>2556</v>
      </c>
      <c r="B642" s="7" t="s">
        <v>2558</v>
      </c>
    </row>
    <row r="643" spans="1:27" ht="12.75">
      <c r="A643" s="7" t="s">
        <v>2560</v>
      </c>
      <c r="B643" s="7" t="s">
        <v>2562</v>
      </c>
    </row>
    <row r="644" spans="1:27" ht="12.75">
      <c r="A644" s="7" t="s">
        <v>2564</v>
      </c>
      <c r="B644" s="7" t="s">
        <v>2566</v>
      </c>
    </row>
    <row r="645" spans="1:27" ht="12.75">
      <c r="A645" s="7" t="s">
        <v>2568</v>
      </c>
      <c r="B645" s="7" t="s">
        <v>2570</v>
      </c>
    </row>
    <row r="646" spans="1:27" ht="12.75">
      <c r="A646" s="7" t="s">
        <v>2572</v>
      </c>
      <c r="B646" s="7" t="s">
        <v>2574</v>
      </c>
    </row>
    <row r="647" spans="1:27" ht="12.75">
      <c r="A647" s="7" t="s">
        <v>2576</v>
      </c>
      <c r="B647" s="7" t="s">
        <v>2578</v>
      </c>
    </row>
    <row r="648" spans="1:27" ht="12.75">
      <c r="A648" s="7" t="s">
        <v>2580</v>
      </c>
      <c r="B648" s="7" t="s">
        <v>2582</v>
      </c>
    </row>
    <row r="649" spans="1:27" ht="12.75">
      <c r="A649" s="7" t="s">
        <v>2584</v>
      </c>
      <c r="B649" s="7" t="s">
        <v>2586</v>
      </c>
    </row>
    <row r="650" spans="1:27" ht="12.75">
      <c r="A650" s="7" t="s">
        <v>2588</v>
      </c>
      <c r="B650" s="7" t="s">
        <v>2590</v>
      </c>
    </row>
    <row r="651" spans="1:27" ht="12.75">
      <c r="A651" s="3" t="s">
        <v>2592</v>
      </c>
      <c r="B651" s="3" t="s">
        <v>2594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2.75">
      <c r="A652" s="7" t="s">
        <v>2596</v>
      </c>
      <c r="B652" s="7" t="s">
        <v>2598</v>
      </c>
    </row>
    <row r="653" spans="1:27" ht="12.75">
      <c r="A653" s="7" t="s">
        <v>2600</v>
      </c>
      <c r="B653" s="7" t="s">
        <v>2602</v>
      </c>
    </row>
    <row r="654" spans="1:27" ht="12.75">
      <c r="A654" s="7" t="s">
        <v>2604</v>
      </c>
      <c r="B654" s="7" t="s">
        <v>2606</v>
      </c>
    </row>
    <row r="655" spans="1:27" ht="12.75">
      <c r="A655" s="7" t="s">
        <v>2608</v>
      </c>
      <c r="B655" s="7" t="s">
        <v>2610</v>
      </c>
    </row>
    <row r="656" spans="1:27" ht="12.75">
      <c r="A656" s="7" t="s">
        <v>2612</v>
      </c>
      <c r="B656" s="7" t="s">
        <v>2614</v>
      </c>
    </row>
    <row r="657" spans="1:27" ht="12.75">
      <c r="A657" s="7" t="s">
        <v>2616</v>
      </c>
      <c r="B657" s="7" t="s">
        <v>2618</v>
      </c>
    </row>
    <row r="658" spans="1:27" ht="12.75">
      <c r="A658" s="7" t="s">
        <v>2620</v>
      </c>
      <c r="B658" s="7" t="s">
        <v>2622</v>
      </c>
    </row>
    <row r="659" spans="1:27" ht="12.75">
      <c r="A659" s="7" t="s">
        <v>2624</v>
      </c>
      <c r="B659" s="7" t="s">
        <v>2626</v>
      </c>
    </row>
    <row r="660" spans="1:27" ht="12.75">
      <c r="A660" s="7" t="s">
        <v>2628</v>
      </c>
      <c r="B660" s="7" t="s">
        <v>2630</v>
      </c>
    </row>
    <row r="661" spans="1:27" ht="12.75">
      <c r="A661" s="3" t="s">
        <v>2632</v>
      </c>
      <c r="B661" s="3" t="s">
        <v>2634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2.75">
      <c r="A662" s="7" t="s">
        <v>2636</v>
      </c>
      <c r="B662" s="7" t="s">
        <v>2638</v>
      </c>
    </row>
    <row r="663" spans="1:27" ht="12.75">
      <c r="A663" s="7" t="s">
        <v>2640</v>
      </c>
      <c r="B663" s="7" t="s">
        <v>2642</v>
      </c>
    </row>
    <row r="664" spans="1:27" ht="12.75">
      <c r="A664" s="7" t="s">
        <v>2644</v>
      </c>
      <c r="B664" s="7" t="s">
        <v>2646</v>
      </c>
    </row>
    <row r="665" spans="1:27" ht="12.75">
      <c r="A665" s="7" t="s">
        <v>2648</v>
      </c>
      <c r="B665" s="7" t="s">
        <v>2650</v>
      </c>
    </row>
    <row r="666" spans="1:27" ht="12.75">
      <c r="A666" s="7" t="s">
        <v>2652</v>
      </c>
      <c r="B666" s="7" t="s">
        <v>2654</v>
      </c>
    </row>
    <row r="667" spans="1:27" ht="12.75">
      <c r="A667" s="7" t="s">
        <v>2656</v>
      </c>
      <c r="B667" s="7" t="s">
        <v>2658</v>
      </c>
    </row>
    <row r="668" spans="1:27" ht="12.75">
      <c r="A668" s="7" t="s">
        <v>2660</v>
      </c>
      <c r="B668" s="7" t="s">
        <v>2662</v>
      </c>
    </row>
    <row r="669" spans="1:27" ht="12.75">
      <c r="A669" s="7" t="s">
        <v>2664</v>
      </c>
      <c r="B669" s="7" t="s">
        <v>2666</v>
      </c>
    </row>
    <row r="670" spans="1:27" ht="12.75">
      <c r="A670" s="7" t="s">
        <v>2668</v>
      </c>
      <c r="B670" s="7" t="s">
        <v>2670</v>
      </c>
    </row>
    <row r="671" spans="1:27" ht="12.75">
      <c r="A671" s="3" t="s">
        <v>2672</v>
      </c>
      <c r="B671" s="3" t="s">
        <v>2674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2.75">
      <c r="A672" s="3" t="s">
        <v>2676</v>
      </c>
      <c r="B672" s="3" t="s">
        <v>2678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2.75">
      <c r="A673" s="3" t="s">
        <v>2680</v>
      </c>
      <c r="B673" s="3" t="s">
        <v>2682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2.75">
      <c r="A674" s="3" t="s">
        <v>2684</v>
      </c>
      <c r="B674" s="3" t="s">
        <v>2686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2.75">
      <c r="A675" s="3" t="s">
        <v>2688</v>
      </c>
      <c r="B675" s="3" t="s">
        <v>2690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2.75">
      <c r="A676" s="3" t="s">
        <v>2692</v>
      </c>
      <c r="B676" s="3" t="s">
        <v>2694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2.75">
      <c r="A677" s="3" t="s">
        <v>2696</v>
      </c>
      <c r="B677" s="3" t="s">
        <v>2698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2.75">
      <c r="A678" s="3" t="s">
        <v>2700</v>
      </c>
      <c r="B678" s="3" t="s">
        <v>2702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2.75">
      <c r="A679" s="3" t="s">
        <v>2704</v>
      </c>
      <c r="B679" s="3" t="s">
        <v>2706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2.75">
      <c r="A680" s="3" t="s">
        <v>2708</v>
      </c>
      <c r="B680" s="3" t="s">
        <v>2710</v>
      </c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2.75">
      <c r="A681" s="7" t="s">
        <v>2712</v>
      </c>
      <c r="B681" s="7" t="s">
        <v>2714</v>
      </c>
    </row>
    <row r="682" spans="1:27" ht="12.75">
      <c r="A682" s="7" t="s">
        <v>2716</v>
      </c>
      <c r="B682" s="7" t="s">
        <v>2718</v>
      </c>
    </row>
    <row r="683" spans="1:27" ht="12.75">
      <c r="A683" s="7" t="s">
        <v>2720</v>
      </c>
      <c r="B683" s="7" t="s">
        <v>2722</v>
      </c>
    </row>
    <row r="684" spans="1:27" ht="12.75">
      <c r="A684" s="7" t="s">
        <v>2724</v>
      </c>
      <c r="B684" s="7" t="s">
        <v>2726</v>
      </c>
    </row>
    <row r="685" spans="1:27" ht="12.75">
      <c r="A685" s="3" t="s">
        <v>2728</v>
      </c>
      <c r="B685" s="3" t="s">
        <v>2730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2.75">
      <c r="A686" s="7" t="s">
        <v>2732</v>
      </c>
      <c r="B686" s="7" t="s">
        <v>2734</v>
      </c>
    </row>
    <row r="687" spans="1:27" ht="12.75">
      <c r="A687" s="3" t="s">
        <v>2736</v>
      </c>
      <c r="B687" s="3" t="s">
        <v>2738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2.75">
      <c r="A688" s="7" t="s">
        <v>2740</v>
      </c>
      <c r="B688" s="7" t="s">
        <v>2742</v>
      </c>
    </row>
    <row r="689" spans="1:27" ht="12.75">
      <c r="A689" s="3" t="s">
        <v>2744</v>
      </c>
      <c r="B689" s="3" t="s">
        <v>2746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2.75">
      <c r="A690" s="7" t="s">
        <v>2740</v>
      </c>
      <c r="B690" s="7" t="s">
        <v>2748</v>
      </c>
    </row>
    <row r="691" spans="1:27" ht="12.75">
      <c r="A691" s="3" t="s">
        <v>2750</v>
      </c>
      <c r="B691" s="3" t="s">
        <v>2752</v>
      </c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2.75">
      <c r="A692" s="3" t="s">
        <v>2754</v>
      </c>
      <c r="B692" s="3" t="s">
        <v>2756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2.75">
      <c r="A693" s="7" t="s">
        <v>2758</v>
      </c>
      <c r="B693" s="7" t="s">
        <v>2760</v>
      </c>
    </row>
    <row r="694" spans="1:27" ht="12.75">
      <c r="A694" s="7" t="s">
        <v>2762</v>
      </c>
      <c r="B694" s="7" t="s">
        <v>2764</v>
      </c>
    </row>
    <row r="695" spans="1:27" ht="12.75">
      <c r="A695" s="3" t="s">
        <v>2766</v>
      </c>
      <c r="B695" s="3" t="s">
        <v>2768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2.75">
      <c r="A696" s="3" t="s">
        <v>2770</v>
      </c>
      <c r="B696" s="3" t="s">
        <v>2772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2.75">
      <c r="A697" s="3" t="s">
        <v>2774</v>
      </c>
      <c r="B697" s="3" t="s">
        <v>2776</v>
      </c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2.75">
      <c r="A698" s="3" t="s">
        <v>2778</v>
      </c>
      <c r="B698" s="3" t="s">
        <v>2780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2.75">
      <c r="A699" s="7" t="s">
        <v>2782</v>
      </c>
      <c r="B699" s="7" t="s">
        <v>2784</v>
      </c>
    </row>
    <row r="700" spans="1:27" ht="12.75">
      <c r="A700" s="7" t="s">
        <v>2786</v>
      </c>
      <c r="B700" s="7" t="s">
        <v>2788</v>
      </c>
    </row>
    <row r="701" spans="1:27" ht="12.75">
      <c r="A701" s="7" t="s">
        <v>2790</v>
      </c>
      <c r="B701" s="7" t="s">
        <v>2792</v>
      </c>
    </row>
    <row r="702" spans="1:27" ht="12.75">
      <c r="A702" s="7" t="s">
        <v>2794</v>
      </c>
      <c r="B702" s="7" t="s">
        <v>2796</v>
      </c>
    </row>
    <row r="703" spans="1:27" ht="12.75">
      <c r="A703" s="7" t="s">
        <v>2798</v>
      </c>
      <c r="B703" s="7" t="s">
        <v>2800</v>
      </c>
    </row>
    <row r="704" spans="1:27" ht="12.75">
      <c r="A704" s="7" t="s">
        <v>2802</v>
      </c>
      <c r="B704" s="7" t="s">
        <v>2804</v>
      </c>
    </row>
    <row r="705" spans="1:27" ht="12.75">
      <c r="A705" s="7" t="s">
        <v>2806</v>
      </c>
      <c r="B705" s="7" t="s">
        <v>2808</v>
      </c>
    </row>
    <row r="706" spans="1:27" ht="12.75">
      <c r="A706" s="7" t="s">
        <v>2810</v>
      </c>
      <c r="B706" s="7" t="s">
        <v>2812</v>
      </c>
    </row>
    <row r="707" spans="1:27" ht="12.75">
      <c r="A707" s="7" t="s">
        <v>2814</v>
      </c>
      <c r="B707" s="7" t="s">
        <v>2816</v>
      </c>
    </row>
    <row r="708" spans="1:27" ht="12.75">
      <c r="A708" s="7" t="s">
        <v>2818</v>
      </c>
      <c r="B708" s="7" t="s">
        <v>2820</v>
      </c>
    </row>
    <row r="709" spans="1:27" ht="12.75">
      <c r="A709" s="3" t="s">
        <v>2822</v>
      </c>
      <c r="B709" s="3" t="s">
        <v>2824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2.75">
      <c r="A710" s="3" t="s">
        <v>2826</v>
      </c>
      <c r="B710" s="3" t="s">
        <v>2828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2.75">
      <c r="A711" s="3" t="s">
        <v>2830</v>
      </c>
      <c r="B711" s="3" t="s">
        <v>2832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2.75">
      <c r="A712" s="3" t="s">
        <v>2834</v>
      </c>
      <c r="B712" s="3" t="s">
        <v>2836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2.75">
      <c r="A713" s="3" t="s">
        <v>2838</v>
      </c>
      <c r="B713" s="3" t="s">
        <v>2840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2.75">
      <c r="A714" s="3" t="s">
        <v>2842</v>
      </c>
      <c r="B714" s="3" t="s">
        <v>2844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2.75">
      <c r="A715" s="3" t="s">
        <v>2846</v>
      </c>
      <c r="B715" s="3" t="s">
        <v>2848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2.75">
      <c r="A716" s="3" t="s">
        <v>2850</v>
      </c>
      <c r="B716" s="3" t="s">
        <v>2852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2.75">
      <c r="A717" s="3" t="s">
        <v>2854</v>
      </c>
      <c r="B717" s="3" t="s">
        <v>2856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2.75">
      <c r="A718" s="3" t="s">
        <v>2858</v>
      </c>
      <c r="B718" s="3" t="s">
        <v>2860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2.75">
      <c r="A719" s="3" t="s">
        <v>2862</v>
      </c>
      <c r="B719" s="3" t="s">
        <v>2864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2.75">
      <c r="A720" s="3" t="s">
        <v>2866</v>
      </c>
      <c r="B720" s="3" t="s">
        <v>2868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>
      <c r="A721" s="3" t="s">
        <v>2870</v>
      </c>
      <c r="B721" s="3" t="s">
        <v>2872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>
      <c r="A722" s="7" t="s">
        <v>2874</v>
      </c>
      <c r="B722" s="7" t="s">
        <v>2876</v>
      </c>
    </row>
    <row r="723" spans="1:27" ht="12.75">
      <c r="A723" s="7" t="s">
        <v>2878</v>
      </c>
      <c r="B723" s="7" t="s">
        <v>2880</v>
      </c>
    </row>
    <row r="724" spans="1:27" ht="12.75">
      <c r="A724" s="7" t="s">
        <v>2882</v>
      </c>
      <c r="B724" s="7" t="s">
        <v>2884</v>
      </c>
    </row>
    <row r="725" spans="1:27" ht="18" customHeight="1">
      <c r="A725" s="3" t="s">
        <v>2886</v>
      </c>
      <c r="B725" s="3" t="s">
        <v>2888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>
      <c r="A726" s="7" t="s">
        <v>2890</v>
      </c>
      <c r="B726" s="7" t="s">
        <v>2892</v>
      </c>
    </row>
    <row r="727" spans="1:27" ht="12.75">
      <c r="A727" s="7" t="s">
        <v>2894</v>
      </c>
      <c r="B727" s="7" t="s">
        <v>2896</v>
      </c>
    </row>
    <row r="728" spans="1:27" ht="12.75">
      <c r="A728" s="7" t="s">
        <v>2898</v>
      </c>
      <c r="B728" s="7" t="s">
        <v>2900</v>
      </c>
    </row>
    <row r="729" spans="1:27" ht="12.75">
      <c r="A729" s="7" t="s">
        <v>2902</v>
      </c>
      <c r="B729" s="7" t="s">
        <v>2904</v>
      </c>
    </row>
    <row r="730" spans="1:27" ht="18" customHeight="1">
      <c r="A730" s="3" t="s">
        <v>2906</v>
      </c>
      <c r="B730" s="3" t="s">
        <v>2908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>
      <c r="A731" s="7" t="s">
        <v>2910</v>
      </c>
      <c r="B731" s="7" t="s">
        <v>2912</v>
      </c>
    </row>
    <row r="732" spans="1:27" ht="12.75">
      <c r="A732" s="7" t="s">
        <v>2914</v>
      </c>
      <c r="B732" s="7" t="s">
        <v>2916</v>
      </c>
    </row>
    <row r="733" spans="1:27" ht="12.75">
      <c r="A733" s="7" t="s">
        <v>2918</v>
      </c>
      <c r="B733" s="7" t="s">
        <v>2920</v>
      </c>
    </row>
    <row r="734" spans="1:27" ht="12.75">
      <c r="A734" s="7" t="s">
        <v>2922</v>
      </c>
      <c r="B734" s="7" t="s">
        <v>2924</v>
      </c>
    </row>
    <row r="735" spans="1:27" ht="12.75">
      <c r="A735" s="7" t="s">
        <v>2926</v>
      </c>
      <c r="B735" s="7" t="s">
        <v>2928</v>
      </c>
    </row>
    <row r="736" spans="1:27" ht="18" customHeight="1">
      <c r="A736" s="3" t="s">
        <v>2930</v>
      </c>
      <c r="B736" s="3" t="s">
        <v>2932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>
      <c r="A737" s="7" t="s">
        <v>2934</v>
      </c>
      <c r="B737" s="7" t="s">
        <v>2936</v>
      </c>
    </row>
    <row r="738" spans="1:27" ht="12.75">
      <c r="A738" s="7" t="s">
        <v>2938</v>
      </c>
      <c r="B738" s="7" t="s">
        <v>2940</v>
      </c>
    </row>
    <row r="739" spans="1:27" ht="12.75">
      <c r="A739" s="7" t="s">
        <v>2942</v>
      </c>
      <c r="B739" s="7" t="s">
        <v>2944</v>
      </c>
    </row>
    <row r="740" spans="1:27" ht="12.75">
      <c r="A740" s="7" t="s">
        <v>2946</v>
      </c>
      <c r="B740" s="7" t="s">
        <v>2948</v>
      </c>
    </row>
    <row r="741" spans="1:27" ht="12.75">
      <c r="A741" s="7" t="s">
        <v>2950</v>
      </c>
      <c r="B741" s="7" t="s">
        <v>2952</v>
      </c>
    </row>
    <row r="742" spans="1:27" ht="12.75">
      <c r="A742" s="7" t="s">
        <v>2954</v>
      </c>
      <c r="B742" s="7" t="s">
        <v>2956</v>
      </c>
    </row>
    <row r="743" spans="1:27" ht="12.75">
      <c r="A743" s="7" t="s">
        <v>2958</v>
      </c>
      <c r="B743" s="7" t="s">
        <v>2960</v>
      </c>
    </row>
    <row r="744" spans="1:27" ht="18" customHeight="1">
      <c r="A744" s="3" t="s">
        <v>2962</v>
      </c>
      <c r="B744" s="3" t="s">
        <v>2964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>
      <c r="A745" s="7" t="s">
        <v>2966</v>
      </c>
      <c r="B745" s="7" t="s">
        <v>2968</v>
      </c>
    </row>
    <row r="746" spans="1:27" ht="12.75">
      <c r="A746" s="7" t="s">
        <v>2962</v>
      </c>
      <c r="B746" s="7" t="s">
        <v>2970</v>
      </c>
    </row>
    <row r="747" spans="1:27" ht="12.75">
      <c r="A747" s="7" t="s">
        <v>2972</v>
      </c>
      <c r="B747" s="7" t="s">
        <v>2974</v>
      </c>
    </row>
    <row r="748" spans="1:27" ht="12.75">
      <c r="A748" s="7" t="s">
        <v>2976</v>
      </c>
      <c r="B748" s="7" t="s">
        <v>2978</v>
      </c>
    </row>
    <row r="749" spans="1:27" ht="12.75">
      <c r="A749" s="7" t="s">
        <v>2980</v>
      </c>
      <c r="B749" s="7" t="s">
        <v>2982</v>
      </c>
    </row>
    <row r="750" spans="1:27" ht="12.75">
      <c r="A750" s="7" t="s">
        <v>2984</v>
      </c>
      <c r="B750" s="7" t="s">
        <v>2986</v>
      </c>
    </row>
    <row r="751" spans="1:27" ht="12.75">
      <c r="A751" s="7" t="s">
        <v>2988</v>
      </c>
      <c r="B751" s="7" t="s">
        <v>2990</v>
      </c>
    </row>
    <row r="752" spans="1:27" ht="12.75">
      <c r="A752" s="7" t="s">
        <v>2992</v>
      </c>
      <c r="B752" s="7" t="s">
        <v>2994</v>
      </c>
    </row>
    <row r="753" spans="1:27" ht="12.75">
      <c r="A753" s="7" t="s">
        <v>2996</v>
      </c>
      <c r="B753" s="7" t="s">
        <v>2998</v>
      </c>
    </row>
    <row r="754" spans="1:27" ht="12.75">
      <c r="A754" s="7" t="s">
        <v>3000</v>
      </c>
      <c r="B754" s="7" t="s">
        <v>3002</v>
      </c>
    </row>
    <row r="755" spans="1:27" ht="12.75">
      <c r="A755" s="7" t="s">
        <v>3004</v>
      </c>
      <c r="B755" s="7" t="s">
        <v>3006</v>
      </c>
    </row>
    <row r="756" spans="1:27" ht="18" customHeight="1">
      <c r="A756" s="3" t="s">
        <v>3008</v>
      </c>
      <c r="B756" s="3" t="s">
        <v>3010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>
      <c r="A757" s="7" t="s">
        <v>3012</v>
      </c>
      <c r="B757" s="7" t="s">
        <v>3014</v>
      </c>
    </row>
    <row r="758" spans="1:27" ht="12.75">
      <c r="A758" s="7" t="s">
        <v>3016</v>
      </c>
      <c r="B758" s="7" t="s">
        <v>3018</v>
      </c>
    </row>
    <row r="759" spans="1:27" ht="12.75">
      <c r="A759" s="7" t="s">
        <v>3020</v>
      </c>
      <c r="B759" s="7" t="s">
        <v>3022</v>
      </c>
    </row>
    <row r="760" spans="1:27" ht="12.75">
      <c r="A760" s="7" t="s">
        <v>3024</v>
      </c>
      <c r="B760" s="7" t="s">
        <v>3026</v>
      </c>
    </row>
    <row r="761" spans="1:27" ht="12.75">
      <c r="A761" s="7" t="s">
        <v>3028</v>
      </c>
      <c r="B761" s="7" t="s">
        <v>3030</v>
      </c>
    </row>
    <row r="762" spans="1:27" ht="12.75">
      <c r="A762" s="7" t="s">
        <v>3032</v>
      </c>
      <c r="B762" s="7" t="s">
        <v>3034</v>
      </c>
    </row>
    <row r="763" spans="1:27" ht="12.75">
      <c r="A763" s="7" t="s">
        <v>3036</v>
      </c>
      <c r="B763" s="7" t="s">
        <v>3038</v>
      </c>
    </row>
    <row r="764" spans="1:27" ht="12.75">
      <c r="A764" s="7" t="s">
        <v>3040</v>
      </c>
      <c r="B764" s="7" t="s">
        <v>3042</v>
      </c>
    </row>
    <row r="765" spans="1:27" ht="12.75">
      <c r="A765" s="7" t="s">
        <v>3044</v>
      </c>
      <c r="B765" s="7" t="s">
        <v>3046</v>
      </c>
    </row>
    <row r="766" spans="1:27" ht="12.75">
      <c r="A766" s="7" t="s">
        <v>3048</v>
      </c>
      <c r="B766" s="7" t="s">
        <v>3050</v>
      </c>
    </row>
    <row r="767" spans="1:27" ht="12.75">
      <c r="A767" s="7" t="s">
        <v>3052</v>
      </c>
      <c r="B767" s="7" t="s">
        <v>3054</v>
      </c>
    </row>
    <row r="768" spans="1:27" ht="12.75">
      <c r="A768" s="7" t="s">
        <v>3056</v>
      </c>
      <c r="B768" s="7" t="s">
        <v>3058</v>
      </c>
    </row>
    <row r="769" spans="1:27" ht="12.75">
      <c r="A769" s="7" t="s">
        <v>3060</v>
      </c>
      <c r="B769" s="7" t="s">
        <v>3062</v>
      </c>
    </row>
    <row r="770" spans="1:27" ht="12.75">
      <c r="A770" s="7" t="s">
        <v>3064</v>
      </c>
      <c r="B770" s="7" t="s">
        <v>3066</v>
      </c>
    </row>
    <row r="771" spans="1:27" ht="12.75">
      <c r="A771" s="7" t="s">
        <v>3068</v>
      </c>
      <c r="B771" s="7" t="s">
        <v>3070</v>
      </c>
    </row>
    <row r="772" spans="1:27" ht="12.75">
      <c r="A772" s="7" t="s">
        <v>3072</v>
      </c>
      <c r="B772" s="7" t="s">
        <v>3074</v>
      </c>
    </row>
    <row r="773" spans="1:27" ht="12.75">
      <c r="A773" s="7" t="s">
        <v>3076</v>
      </c>
      <c r="B773" s="7" t="s">
        <v>3078</v>
      </c>
    </row>
    <row r="774" spans="1:27" ht="18" customHeight="1">
      <c r="A774" s="3" t="s">
        <v>3080</v>
      </c>
      <c r="B774" s="3" t="s">
        <v>3082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>
      <c r="A775" s="7" t="s">
        <v>3084</v>
      </c>
      <c r="B775" s="7" t="s">
        <v>3086</v>
      </c>
    </row>
    <row r="776" spans="1:27" ht="12.75">
      <c r="A776" s="7" t="s">
        <v>3088</v>
      </c>
      <c r="B776" s="7" t="s">
        <v>3090</v>
      </c>
    </row>
    <row r="777" spans="1:27" ht="12.75">
      <c r="A777" s="7" t="s">
        <v>3092</v>
      </c>
      <c r="B777" s="7" t="s">
        <v>3094</v>
      </c>
    </row>
    <row r="778" spans="1:27" ht="12.75">
      <c r="A778" s="7" t="s">
        <v>3096</v>
      </c>
      <c r="B778" s="7" t="s">
        <v>3098</v>
      </c>
    </row>
    <row r="779" spans="1:27" ht="12.75">
      <c r="A779" s="7" t="s">
        <v>3100</v>
      </c>
      <c r="B779" s="7" t="s">
        <v>3102</v>
      </c>
    </row>
    <row r="780" spans="1:27" ht="18" customHeight="1">
      <c r="A780" s="3" t="s">
        <v>3104</v>
      </c>
      <c r="B780" s="3" t="s">
        <v>3106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>
      <c r="A781" s="7" t="s">
        <v>3108</v>
      </c>
      <c r="B781" s="7" t="s">
        <v>3110</v>
      </c>
    </row>
    <row r="782" spans="1:27" ht="12.75">
      <c r="A782" s="7" t="s">
        <v>3112</v>
      </c>
      <c r="B782" s="7" t="s">
        <v>3114</v>
      </c>
    </row>
    <row r="783" spans="1:27" ht="12.75">
      <c r="A783" s="7" t="s">
        <v>3116</v>
      </c>
      <c r="B783" s="7" t="s">
        <v>3118</v>
      </c>
    </row>
    <row r="784" spans="1:27" ht="12.75">
      <c r="A784" s="7" t="s">
        <v>3120</v>
      </c>
      <c r="B784" s="7" t="s">
        <v>3122</v>
      </c>
    </row>
    <row r="785" spans="1:27" ht="18" customHeight="1">
      <c r="A785" s="3" t="s">
        <v>3124</v>
      </c>
      <c r="B785" s="3" t="s">
        <v>3126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>
      <c r="A786" s="7" t="s">
        <v>3128</v>
      </c>
      <c r="B786" s="7" t="s">
        <v>3130</v>
      </c>
    </row>
    <row r="787" spans="1:27" ht="12.75">
      <c r="A787" s="7" t="s">
        <v>3132</v>
      </c>
      <c r="B787" s="7" t="s">
        <v>3134</v>
      </c>
    </row>
    <row r="788" spans="1:27" ht="12.75">
      <c r="A788" s="7" t="s">
        <v>3136</v>
      </c>
      <c r="B788" s="7" t="s">
        <v>3138</v>
      </c>
    </row>
    <row r="789" spans="1:27" ht="12.75">
      <c r="A789" s="7" t="s">
        <v>3140</v>
      </c>
      <c r="B789" s="7" t="s">
        <v>3142</v>
      </c>
    </row>
    <row r="790" spans="1:27" ht="12.75">
      <c r="A790" s="7" t="s">
        <v>3144</v>
      </c>
      <c r="B790" s="7" t="s">
        <v>3146</v>
      </c>
    </row>
    <row r="791" spans="1:27" ht="12.75">
      <c r="A791" s="7" t="s">
        <v>3148</v>
      </c>
      <c r="B791" s="7" t="s">
        <v>3150</v>
      </c>
    </row>
    <row r="792" spans="1:27" ht="18" customHeight="1">
      <c r="A792" s="3" t="s">
        <v>3152</v>
      </c>
      <c r="B792" s="3" t="s">
        <v>3154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>
      <c r="A793" s="7" t="s">
        <v>3156</v>
      </c>
      <c r="B793" s="7" t="s">
        <v>3158</v>
      </c>
    </row>
    <row r="794" spans="1:27" ht="12.75">
      <c r="A794" s="7" t="s">
        <v>3160</v>
      </c>
      <c r="B794" s="7" t="s">
        <v>3162</v>
      </c>
    </row>
    <row r="795" spans="1:27" ht="12.75">
      <c r="A795" s="7" t="s">
        <v>3164</v>
      </c>
      <c r="B795" s="7" t="s">
        <v>3166</v>
      </c>
    </row>
    <row r="796" spans="1:27" ht="12.75">
      <c r="A796" s="7" t="s">
        <v>3168</v>
      </c>
      <c r="B796" s="7" t="s">
        <v>3170</v>
      </c>
    </row>
    <row r="797" spans="1:27" ht="12.75">
      <c r="A797" s="7" t="s">
        <v>3172</v>
      </c>
      <c r="B797" s="7" t="s">
        <v>3174</v>
      </c>
    </row>
    <row r="798" spans="1:27" ht="12.75">
      <c r="A798" s="7" t="s">
        <v>3176</v>
      </c>
      <c r="B798" s="7" t="s">
        <v>3178</v>
      </c>
    </row>
    <row r="799" spans="1:27" ht="12.75">
      <c r="A799" s="7" t="s">
        <v>3180</v>
      </c>
      <c r="B799" s="7" t="s">
        <v>3182</v>
      </c>
    </row>
    <row r="800" spans="1:27" ht="12.75">
      <c r="A800" s="7" t="s">
        <v>3184</v>
      </c>
      <c r="B800" s="7" t="s">
        <v>3186</v>
      </c>
    </row>
    <row r="801" spans="1:27" ht="12.75">
      <c r="A801" s="7" t="s">
        <v>3188</v>
      </c>
      <c r="B801" s="7" t="s">
        <v>3190</v>
      </c>
    </row>
    <row r="802" spans="1:27" ht="12.75">
      <c r="A802" s="7" t="s">
        <v>3192</v>
      </c>
      <c r="B802" s="7" t="s">
        <v>3194</v>
      </c>
    </row>
    <row r="803" spans="1:27" ht="12.75">
      <c r="A803" s="7" t="s">
        <v>3196</v>
      </c>
      <c r="B803" s="7" t="s">
        <v>3198</v>
      </c>
    </row>
    <row r="804" spans="1:27" ht="18" customHeight="1">
      <c r="A804" s="3" t="s">
        <v>3200</v>
      </c>
      <c r="B804" s="3" t="s">
        <v>3202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8" customHeight="1">
      <c r="A805" s="3" t="s">
        <v>3204</v>
      </c>
      <c r="B805" s="3" t="s">
        <v>3206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>
      <c r="A806" s="7" t="s">
        <v>3208</v>
      </c>
      <c r="B806" s="7" t="s">
        <v>3210</v>
      </c>
    </row>
    <row r="807" spans="1:27" ht="12.75">
      <c r="A807" s="7" t="s">
        <v>3212</v>
      </c>
      <c r="B807" s="7" t="s">
        <v>3214</v>
      </c>
    </row>
    <row r="808" spans="1:27" ht="12.75">
      <c r="A808" s="7" t="s">
        <v>3216</v>
      </c>
      <c r="B808" s="7" t="s">
        <v>3218</v>
      </c>
    </row>
    <row r="809" spans="1:27" ht="12.75">
      <c r="A809" s="7" t="s">
        <v>3220</v>
      </c>
      <c r="B809" s="7" t="s">
        <v>3222</v>
      </c>
    </row>
    <row r="810" spans="1:27" ht="12.75">
      <c r="A810" s="7" t="s">
        <v>3224</v>
      </c>
      <c r="B810" s="7" t="s">
        <v>3226</v>
      </c>
    </row>
    <row r="811" spans="1:27" ht="12.75">
      <c r="A811" s="7" t="s">
        <v>3228</v>
      </c>
      <c r="B811" s="7" t="s">
        <v>3230</v>
      </c>
    </row>
    <row r="812" spans="1:27" ht="18" customHeight="1">
      <c r="A812" s="3" t="s">
        <v>3232</v>
      </c>
      <c r="B812" s="3" t="s">
        <v>3234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>
      <c r="A813" s="7" t="s">
        <v>3236</v>
      </c>
      <c r="B813" s="7" t="s">
        <v>3238</v>
      </c>
    </row>
    <row r="814" spans="1:27" ht="12.75">
      <c r="A814" s="7" t="s">
        <v>3240</v>
      </c>
      <c r="B814" s="7" t="s">
        <v>3242</v>
      </c>
    </row>
    <row r="815" spans="1:27" ht="12.75">
      <c r="A815" s="7" t="s">
        <v>3244</v>
      </c>
      <c r="B815" s="7" t="s">
        <v>3246</v>
      </c>
    </row>
    <row r="816" spans="1:27" ht="12.75">
      <c r="A816" s="7" t="s">
        <v>3248</v>
      </c>
      <c r="B816" s="7" t="s">
        <v>3250</v>
      </c>
    </row>
    <row r="817" spans="1:27" ht="12.75">
      <c r="A817" s="7" t="s">
        <v>3252</v>
      </c>
      <c r="B817" s="7" t="s">
        <v>3254</v>
      </c>
    </row>
    <row r="818" spans="1:27" ht="12.75">
      <c r="A818" s="7" t="s">
        <v>3256</v>
      </c>
      <c r="B818" s="7" t="s">
        <v>3258</v>
      </c>
    </row>
    <row r="819" spans="1:27" ht="12.75">
      <c r="A819" s="7" t="s">
        <v>3260</v>
      </c>
      <c r="B819" s="7" t="s">
        <v>3262</v>
      </c>
    </row>
    <row r="820" spans="1:27" ht="12.75">
      <c r="A820" s="7" t="s">
        <v>3264</v>
      </c>
      <c r="B820" s="7" t="s">
        <v>3266</v>
      </c>
    </row>
    <row r="821" spans="1:27" ht="12.75">
      <c r="A821" s="7" t="s">
        <v>3268</v>
      </c>
      <c r="B821" s="7" t="s">
        <v>3270</v>
      </c>
    </row>
    <row r="822" spans="1:27" ht="12.75">
      <c r="A822" s="7" t="s">
        <v>3272</v>
      </c>
      <c r="B822" s="7" t="s">
        <v>3274</v>
      </c>
    </row>
    <row r="823" spans="1:27" ht="18" customHeight="1">
      <c r="A823" s="3" t="s">
        <v>3276</v>
      </c>
      <c r="B823" s="3" t="s">
        <v>3278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>
      <c r="A824" s="7" t="s">
        <v>3280</v>
      </c>
      <c r="B824" s="7" t="s">
        <v>3282</v>
      </c>
    </row>
    <row r="825" spans="1:27" ht="12.75">
      <c r="A825" s="7" t="s">
        <v>3284</v>
      </c>
      <c r="B825" s="7" t="s">
        <v>3286</v>
      </c>
    </row>
    <row r="826" spans="1:27" ht="12.75">
      <c r="A826" s="7" t="s">
        <v>3288</v>
      </c>
      <c r="B826" s="7" t="s">
        <v>3290</v>
      </c>
    </row>
    <row r="827" spans="1:27" ht="12.75">
      <c r="A827" s="7" t="s">
        <v>3292</v>
      </c>
      <c r="B827" s="7" t="s">
        <v>3294</v>
      </c>
    </row>
    <row r="828" spans="1:27" ht="12.75">
      <c r="A828" s="7" t="s">
        <v>3296</v>
      </c>
      <c r="B828" s="7" t="s">
        <v>3298</v>
      </c>
    </row>
    <row r="829" spans="1:27" ht="12.75">
      <c r="A829" s="7" t="s">
        <v>3300</v>
      </c>
      <c r="B829" s="7" t="s">
        <v>3302</v>
      </c>
    </row>
    <row r="830" spans="1:27" ht="18" customHeight="1">
      <c r="A830" s="3" t="s">
        <v>3304</v>
      </c>
      <c r="B830" s="3" t="s">
        <v>3306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8" customHeight="1">
      <c r="A831" s="3" t="s">
        <v>3308</v>
      </c>
      <c r="B831" s="3" t="s">
        <v>3310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>
      <c r="A832" s="7" t="s">
        <v>3312</v>
      </c>
      <c r="B832" s="7" t="s">
        <v>3314</v>
      </c>
    </row>
    <row r="833" spans="1:27" ht="12.75">
      <c r="A833" s="7" t="s">
        <v>3316</v>
      </c>
      <c r="B833" s="7" t="s">
        <v>3318</v>
      </c>
    </row>
    <row r="834" spans="1:27" ht="12.75">
      <c r="A834" s="7" t="s">
        <v>3320</v>
      </c>
      <c r="B834" s="7" t="s">
        <v>3322</v>
      </c>
    </row>
    <row r="835" spans="1:27" ht="12.75">
      <c r="A835" s="7" t="s">
        <v>3324</v>
      </c>
      <c r="B835" s="7" t="s">
        <v>3326</v>
      </c>
    </row>
    <row r="836" spans="1:27" ht="12.75">
      <c r="A836" s="7" t="s">
        <v>3328</v>
      </c>
      <c r="B836" s="7" t="s">
        <v>3330</v>
      </c>
    </row>
    <row r="837" spans="1:27" ht="12.75">
      <c r="A837" s="7" t="s">
        <v>3332</v>
      </c>
      <c r="B837" s="7" t="s">
        <v>3334</v>
      </c>
    </row>
    <row r="838" spans="1:27" ht="12.75">
      <c r="A838" s="7" t="s">
        <v>3336</v>
      </c>
      <c r="B838" s="7" t="s">
        <v>3338</v>
      </c>
    </row>
    <row r="839" spans="1:27" ht="12.75">
      <c r="A839" s="7" t="s">
        <v>3340</v>
      </c>
      <c r="B839" s="7" t="s">
        <v>3342</v>
      </c>
    </row>
    <row r="840" spans="1:27" ht="12.75">
      <c r="A840" s="7" t="s">
        <v>3344</v>
      </c>
      <c r="B840" s="7" t="s">
        <v>3346</v>
      </c>
    </row>
    <row r="841" spans="1:27" ht="12.75">
      <c r="A841" s="7" t="s">
        <v>3348</v>
      </c>
      <c r="B841" s="7" t="s">
        <v>3350</v>
      </c>
    </row>
    <row r="842" spans="1:27" ht="12.75">
      <c r="A842" s="7" t="s">
        <v>3352</v>
      </c>
      <c r="B842" s="7" t="s">
        <v>3354</v>
      </c>
    </row>
    <row r="843" spans="1:27" ht="12.75">
      <c r="A843" s="7" t="s">
        <v>3356</v>
      </c>
      <c r="B843" s="7" t="s">
        <v>3358</v>
      </c>
    </row>
    <row r="844" spans="1:27" ht="18" customHeight="1">
      <c r="A844" s="3" t="s">
        <v>3360</v>
      </c>
      <c r="B844" s="3" t="s">
        <v>3362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>
      <c r="A845" s="7" t="s">
        <v>3364</v>
      </c>
      <c r="B845" s="7" t="s">
        <v>3366</v>
      </c>
    </row>
    <row r="846" spans="1:27" ht="12.75">
      <c r="A846" s="7" t="s">
        <v>3368</v>
      </c>
      <c r="B846" s="7" t="s">
        <v>3370</v>
      </c>
    </row>
    <row r="847" spans="1:27" ht="12.75">
      <c r="A847" s="7" t="s">
        <v>3372</v>
      </c>
      <c r="B847" s="7" t="s">
        <v>3374</v>
      </c>
    </row>
    <row r="848" spans="1:27" ht="12.75">
      <c r="A848" s="7" t="s">
        <v>3376</v>
      </c>
      <c r="B848" s="7" t="s">
        <v>3378</v>
      </c>
    </row>
    <row r="849" spans="1:27" ht="12.75">
      <c r="A849" s="7" t="s">
        <v>3380</v>
      </c>
      <c r="B849" s="7" t="s">
        <v>3382</v>
      </c>
    </row>
    <row r="850" spans="1:27" ht="12.75">
      <c r="A850" s="7" t="s">
        <v>3384</v>
      </c>
      <c r="B850" s="7" t="s">
        <v>3386</v>
      </c>
    </row>
    <row r="851" spans="1:27" ht="12.75">
      <c r="A851" s="7" t="s">
        <v>3388</v>
      </c>
      <c r="B851" s="7" t="s">
        <v>3390</v>
      </c>
    </row>
    <row r="852" spans="1:27" ht="12.75">
      <c r="A852" s="7" t="s">
        <v>3392</v>
      </c>
      <c r="B852" s="7" t="s">
        <v>3394</v>
      </c>
    </row>
    <row r="853" spans="1:27" ht="12.75">
      <c r="A853" s="7" t="s">
        <v>3396</v>
      </c>
      <c r="B853" s="7" t="s">
        <v>3398</v>
      </c>
    </row>
    <row r="854" spans="1:27" ht="12.75">
      <c r="A854" s="7" t="s">
        <v>3400</v>
      </c>
      <c r="B854" s="7" t="s">
        <v>3402</v>
      </c>
    </row>
    <row r="855" spans="1:27" ht="12.75">
      <c r="A855" s="7" t="s">
        <v>3404</v>
      </c>
      <c r="B855" s="7" t="s">
        <v>3406</v>
      </c>
    </row>
    <row r="856" spans="1:27" ht="12.75">
      <c r="A856" s="7" t="s">
        <v>3408</v>
      </c>
      <c r="B856" s="7" t="s">
        <v>3410</v>
      </c>
    </row>
    <row r="857" spans="1:27" ht="12.75">
      <c r="A857" s="7" t="s">
        <v>3412</v>
      </c>
      <c r="B857" s="7" t="s">
        <v>3414</v>
      </c>
    </row>
    <row r="858" spans="1:27" ht="12.75">
      <c r="A858" s="7" t="s">
        <v>3416</v>
      </c>
      <c r="B858" s="7" t="s">
        <v>3418</v>
      </c>
    </row>
    <row r="859" spans="1:27" ht="18" customHeight="1">
      <c r="A859" s="3" t="s">
        <v>3420</v>
      </c>
      <c r="B859" s="3" t="s">
        <v>3422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>
      <c r="A860" s="7" t="s">
        <v>3424</v>
      </c>
      <c r="B860" s="7" t="s">
        <v>3426</v>
      </c>
    </row>
    <row r="861" spans="1:27" ht="12.75">
      <c r="A861" s="7" t="s">
        <v>3428</v>
      </c>
      <c r="B861" s="7" t="s">
        <v>3430</v>
      </c>
    </row>
    <row r="862" spans="1:27" ht="12.75">
      <c r="A862" s="7" t="s">
        <v>3432</v>
      </c>
      <c r="B862" s="7" t="s">
        <v>3434</v>
      </c>
    </row>
    <row r="863" spans="1:27" ht="12.75">
      <c r="A863" s="7" t="s">
        <v>3436</v>
      </c>
      <c r="B863" s="7" t="s">
        <v>3438</v>
      </c>
    </row>
    <row r="864" spans="1:27" ht="12.75">
      <c r="A864" s="7" t="s">
        <v>3440</v>
      </c>
      <c r="B864" s="7" t="s">
        <v>3442</v>
      </c>
    </row>
    <row r="865" spans="1:27" ht="12.75">
      <c r="A865" s="7" t="s">
        <v>3444</v>
      </c>
      <c r="B865" s="7" t="s">
        <v>3446</v>
      </c>
    </row>
    <row r="866" spans="1:27" ht="18" customHeight="1">
      <c r="A866" s="3" t="s">
        <v>3448</v>
      </c>
      <c r="B866" s="3" t="s">
        <v>3450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>
      <c r="A867" s="7" t="s">
        <v>3452</v>
      </c>
      <c r="B867" s="7" t="s">
        <v>3454</v>
      </c>
    </row>
    <row r="868" spans="1:27" ht="12.75">
      <c r="A868" s="7" t="s">
        <v>3456</v>
      </c>
      <c r="B868" s="7" t="s">
        <v>3458</v>
      </c>
    </row>
    <row r="869" spans="1:27" ht="12.75">
      <c r="A869" s="7" t="s">
        <v>3460</v>
      </c>
      <c r="B869" s="7" t="s">
        <v>3462</v>
      </c>
    </row>
    <row r="870" spans="1:27" ht="12.75">
      <c r="A870" s="7" t="s">
        <v>3464</v>
      </c>
      <c r="B870" s="7" t="s">
        <v>3466</v>
      </c>
    </row>
    <row r="871" spans="1:27" ht="12.75">
      <c r="A871" s="7" t="s">
        <v>3468</v>
      </c>
      <c r="B871" s="7" t="s">
        <v>3470</v>
      </c>
    </row>
    <row r="872" spans="1:27" ht="12.75">
      <c r="A872" s="7" t="s">
        <v>3472</v>
      </c>
      <c r="B872" s="7" t="s">
        <v>3474</v>
      </c>
    </row>
    <row r="873" spans="1:27" ht="12.75">
      <c r="A873" s="7" t="s">
        <v>3476</v>
      </c>
      <c r="B873" s="7" t="s">
        <v>3478</v>
      </c>
    </row>
    <row r="874" spans="1:27" ht="12.75">
      <c r="A874" s="7" t="s">
        <v>3480</v>
      </c>
      <c r="B874" s="7" t="s">
        <v>3482</v>
      </c>
    </row>
    <row r="875" spans="1:27" ht="12.75">
      <c r="A875" s="7" t="s">
        <v>3484</v>
      </c>
      <c r="B875" s="7" t="s">
        <v>3486</v>
      </c>
    </row>
    <row r="876" spans="1:27" ht="12.75">
      <c r="A876" s="7" t="s">
        <v>3488</v>
      </c>
      <c r="B876" s="7" t="s">
        <v>3490</v>
      </c>
    </row>
    <row r="877" spans="1:27" ht="12.75">
      <c r="A877" s="7" t="s">
        <v>3492</v>
      </c>
      <c r="B877" s="7" t="s">
        <v>3494</v>
      </c>
    </row>
    <row r="878" spans="1:27" ht="12.75">
      <c r="A878" s="7" t="s">
        <v>3496</v>
      </c>
      <c r="B878" s="7" t="s">
        <v>3498</v>
      </c>
    </row>
    <row r="879" spans="1:27" ht="18" customHeight="1">
      <c r="A879" s="3" t="s">
        <v>3500</v>
      </c>
      <c r="B879" s="3" t="s">
        <v>3502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>
      <c r="A880" s="7" t="s">
        <v>3504</v>
      </c>
      <c r="B880" s="7" t="s">
        <v>3506</v>
      </c>
    </row>
    <row r="881" spans="1:27" ht="12.75">
      <c r="A881" s="7" t="s">
        <v>3508</v>
      </c>
      <c r="B881" s="7" t="s">
        <v>3510</v>
      </c>
    </row>
    <row r="882" spans="1:27" ht="12.75">
      <c r="A882" s="7" t="s">
        <v>3512</v>
      </c>
      <c r="B882" s="7" t="s">
        <v>3514</v>
      </c>
    </row>
    <row r="883" spans="1:27" ht="12.75">
      <c r="A883" s="7" t="s">
        <v>3516</v>
      </c>
      <c r="B883" s="7" t="s">
        <v>3518</v>
      </c>
    </row>
    <row r="884" spans="1:27" ht="12.75">
      <c r="A884" s="7" t="s">
        <v>3520</v>
      </c>
      <c r="B884" s="7" t="s">
        <v>3522</v>
      </c>
    </row>
    <row r="885" spans="1:27" ht="12.75">
      <c r="A885" s="7" t="s">
        <v>3524</v>
      </c>
      <c r="B885" s="7" t="s">
        <v>3526</v>
      </c>
    </row>
    <row r="886" spans="1:27" ht="12.75">
      <c r="A886" s="7" t="s">
        <v>3528</v>
      </c>
      <c r="B886" s="7" t="s">
        <v>3530</v>
      </c>
    </row>
    <row r="887" spans="1:27" ht="12.75">
      <c r="A887" s="7" t="s">
        <v>3532</v>
      </c>
      <c r="B887" s="7" t="s">
        <v>3534</v>
      </c>
    </row>
    <row r="888" spans="1:27" ht="18" customHeight="1">
      <c r="A888" s="3" t="s">
        <v>3536</v>
      </c>
      <c r="B888" s="3" t="s">
        <v>3538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>
      <c r="A889" s="7" t="s">
        <v>3540</v>
      </c>
      <c r="B889" s="7" t="s">
        <v>3542</v>
      </c>
    </row>
    <row r="890" spans="1:27" ht="12.75">
      <c r="A890" s="7" t="s">
        <v>3544</v>
      </c>
      <c r="B890" s="7" t="s">
        <v>3546</v>
      </c>
    </row>
    <row r="891" spans="1:27" ht="12.75">
      <c r="A891" s="7" t="s">
        <v>3548</v>
      </c>
      <c r="B891" s="7" t="s">
        <v>3550</v>
      </c>
    </row>
    <row r="892" spans="1:27" ht="12.75">
      <c r="A892" s="7" t="s">
        <v>3552</v>
      </c>
      <c r="B892" s="7" t="s">
        <v>3554</v>
      </c>
    </row>
    <row r="893" spans="1:27" ht="12.75">
      <c r="A893" s="7" t="s">
        <v>3556</v>
      </c>
      <c r="B893" s="7" t="s">
        <v>3558</v>
      </c>
    </row>
    <row r="894" spans="1:27" ht="12.75">
      <c r="A894" s="7" t="s">
        <v>3560</v>
      </c>
      <c r="B894" s="7" t="s">
        <v>3562</v>
      </c>
    </row>
    <row r="895" spans="1:27" ht="12.75">
      <c r="A895" s="7" t="s">
        <v>3564</v>
      </c>
      <c r="B895" s="7" t="s">
        <v>3566</v>
      </c>
    </row>
    <row r="896" spans="1:27" ht="12.75">
      <c r="A896" s="7" t="s">
        <v>3568</v>
      </c>
      <c r="B896" s="7" t="s">
        <v>3570</v>
      </c>
    </row>
    <row r="897" spans="1:27" ht="18" customHeight="1">
      <c r="A897" s="3" t="s">
        <v>3572</v>
      </c>
      <c r="B897" s="3" t="s">
        <v>3574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>
      <c r="A898" s="7" t="s">
        <v>3576</v>
      </c>
      <c r="B898" s="7" t="s">
        <v>3578</v>
      </c>
    </row>
    <row r="899" spans="1:27" ht="12.75">
      <c r="A899" s="7" t="s">
        <v>3580</v>
      </c>
      <c r="B899" s="7" t="s">
        <v>3582</v>
      </c>
    </row>
    <row r="900" spans="1:27" ht="12.75">
      <c r="A900" s="7" t="s">
        <v>3584</v>
      </c>
      <c r="B900" s="7" t="s">
        <v>3586</v>
      </c>
    </row>
    <row r="901" spans="1:27" ht="12.75">
      <c r="A901" s="7" t="s">
        <v>3588</v>
      </c>
      <c r="B901" s="7" t="s">
        <v>3590</v>
      </c>
    </row>
    <row r="902" spans="1:27" ht="12.75">
      <c r="A902" s="7" t="s">
        <v>3592</v>
      </c>
      <c r="B902" s="7" t="s">
        <v>3594</v>
      </c>
    </row>
    <row r="903" spans="1:27" ht="12.75">
      <c r="A903" s="7" t="s">
        <v>3596</v>
      </c>
      <c r="B903" s="7" t="s">
        <v>3598</v>
      </c>
    </row>
    <row r="904" spans="1:27" ht="12.75">
      <c r="A904" s="7" t="s">
        <v>3600</v>
      </c>
      <c r="B904" s="7" t="s">
        <v>3602</v>
      </c>
    </row>
    <row r="905" spans="1:27" ht="12.75">
      <c r="A905" s="7" t="s">
        <v>3604</v>
      </c>
      <c r="B905" s="7" t="s">
        <v>3606</v>
      </c>
    </row>
    <row r="906" spans="1:27" ht="12.75">
      <c r="A906" s="7" t="s">
        <v>3608</v>
      </c>
      <c r="B906" s="7" t="s">
        <v>3610</v>
      </c>
    </row>
    <row r="907" spans="1:27" ht="12.75">
      <c r="A907" s="7" t="s">
        <v>3612</v>
      </c>
      <c r="B907" s="7" t="s">
        <v>3614</v>
      </c>
    </row>
    <row r="908" spans="1:27" ht="18" customHeight="1">
      <c r="A908" s="3" t="s">
        <v>3616</v>
      </c>
      <c r="B908" s="3" t="s">
        <v>3618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>
      <c r="A909" s="7" t="s">
        <v>3620</v>
      </c>
      <c r="B909" s="7" t="s">
        <v>3622</v>
      </c>
    </row>
    <row r="910" spans="1:27" ht="12.75">
      <c r="A910" s="7" t="s">
        <v>3624</v>
      </c>
      <c r="B910" s="7" t="s">
        <v>3626</v>
      </c>
    </row>
    <row r="911" spans="1:27" ht="12.75">
      <c r="A911" s="7" t="s">
        <v>3628</v>
      </c>
      <c r="B911" s="7" t="s">
        <v>3630</v>
      </c>
    </row>
    <row r="912" spans="1:27" ht="12.75">
      <c r="A912" s="7" t="s">
        <v>3632</v>
      </c>
      <c r="B912" s="7" t="s">
        <v>3634</v>
      </c>
    </row>
    <row r="913" spans="1:27" ht="12.75">
      <c r="A913" s="7" t="s">
        <v>3636</v>
      </c>
      <c r="B913" s="7" t="s">
        <v>3638</v>
      </c>
    </row>
    <row r="914" spans="1:27" ht="12.75">
      <c r="A914" s="7" t="s">
        <v>3640</v>
      </c>
      <c r="B914" s="7" t="s">
        <v>3642</v>
      </c>
    </row>
    <row r="915" spans="1:27" ht="12.75">
      <c r="A915" s="7" t="s">
        <v>3644</v>
      </c>
      <c r="B915" s="7" t="s">
        <v>3646</v>
      </c>
    </row>
    <row r="916" spans="1:27" ht="12.75">
      <c r="A916" s="7" t="s">
        <v>3648</v>
      </c>
      <c r="B916" s="7" t="s">
        <v>3650</v>
      </c>
    </row>
    <row r="917" spans="1:27" ht="12.75">
      <c r="A917" s="7" t="s">
        <v>3652</v>
      </c>
      <c r="B917" s="7" t="s">
        <v>3654</v>
      </c>
    </row>
    <row r="918" spans="1:27" ht="12.75">
      <c r="A918" s="7" t="s">
        <v>3656</v>
      </c>
      <c r="B918" s="7" t="s">
        <v>3658</v>
      </c>
    </row>
    <row r="919" spans="1:27" ht="12.75">
      <c r="A919" s="7" t="s">
        <v>3660</v>
      </c>
      <c r="B919" s="7" t="s">
        <v>3662</v>
      </c>
    </row>
    <row r="920" spans="1:27" ht="12.75">
      <c r="A920" s="7" t="s">
        <v>3664</v>
      </c>
      <c r="B920" s="7" t="s">
        <v>3666</v>
      </c>
    </row>
    <row r="921" spans="1:27" ht="12.75">
      <c r="A921" s="7" t="s">
        <v>3668</v>
      </c>
      <c r="B921" s="7" t="s">
        <v>3670</v>
      </c>
    </row>
    <row r="922" spans="1:27" ht="12.75">
      <c r="A922" s="7" t="s">
        <v>3672</v>
      </c>
      <c r="B922" s="7" t="s">
        <v>3674</v>
      </c>
    </row>
    <row r="923" spans="1:27" ht="12.75">
      <c r="A923" s="7" t="s">
        <v>3676</v>
      </c>
      <c r="B923" s="7" t="s">
        <v>3678</v>
      </c>
    </row>
    <row r="924" spans="1:27" ht="12.75">
      <c r="A924" s="7" t="s">
        <v>3680</v>
      </c>
      <c r="B924" s="7" t="s">
        <v>3682</v>
      </c>
    </row>
    <row r="925" spans="1:27" ht="12.75">
      <c r="A925" s="7" t="s">
        <v>3684</v>
      </c>
      <c r="B925" s="7" t="s">
        <v>3686</v>
      </c>
    </row>
    <row r="926" spans="1:27" ht="12.75">
      <c r="A926" s="7" t="s">
        <v>3688</v>
      </c>
      <c r="B926" s="7" t="s">
        <v>3690</v>
      </c>
    </row>
    <row r="927" spans="1:27" ht="18" customHeight="1">
      <c r="A927" s="3" t="s">
        <v>3692</v>
      </c>
      <c r="B927" s="3" t="s">
        <v>3694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2.75">
      <c r="A928" s="7" t="s">
        <v>3696</v>
      </c>
      <c r="B928" s="7" t="s">
        <v>3698</v>
      </c>
    </row>
    <row r="929" spans="1:2" ht="12.75">
      <c r="A929" s="7" t="s">
        <v>3700</v>
      </c>
      <c r="B929" s="7" t="s">
        <v>3702</v>
      </c>
    </row>
    <row r="930" spans="1:2" ht="12.75">
      <c r="A930" s="7" t="s">
        <v>3704</v>
      </c>
      <c r="B930" s="7" t="s">
        <v>3706</v>
      </c>
    </row>
    <row r="931" spans="1:2" ht="12.75">
      <c r="A931" s="7" t="s">
        <v>3708</v>
      </c>
      <c r="B931" s="7" t="s">
        <v>3710</v>
      </c>
    </row>
    <row r="932" spans="1:2" ht="12.75">
      <c r="A932" s="7" t="s">
        <v>3712</v>
      </c>
      <c r="B932" s="7" t="s">
        <v>3714</v>
      </c>
    </row>
    <row r="933" spans="1:2" ht="12.75">
      <c r="A933" s="7" t="s">
        <v>3716</v>
      </c>
      <c r="B933" s="7" t="s">
        <v>3718</v>
      </c>
    </row>
    <row r="934" spans="1:2" ht="12.75">
      <c r="A934" s="7" t="s">
        <v>3720</v>
      </c>
      <c r="B934" s="7" t="s">
        <v>3722</v>
      </c>
    </row>
    <row r="935" spans="1:2" ht="12.75">
      <c r="A935" s="7" t="s">
        <v>3724</v>
      </c>
      <c r="B935" s="7" t="s">
        <v>3726</v>
      </c>
    </row>
    <row r="936" spans="1:2" ht="12.75">
      <c r="A936" s="7" t="s">
        <v>3728</v>
      </c>
      <c r="B936" s="7" t="s">
        <v>3730</v>
      </c>
    </row>
    <row r="937" spans="1:2" ht="12.75">
      <c r="A937" s="7" t="s">
        <v>3732</v>
      </c>
      <c r="B937" s="7" t="s">
        <v>3734</v>
      </c>
    </row>
    <row r="938" spans="1:2" ht="12.75">
      <c r="A938" s="7" t="s">
        <v>3736</v>
      </c>
      <c r="B938" s="7" t="s">
        <v>3738</v>
      </c>
    </row>
    <row r="939" spans="1:2" ht="12.75">
      <c r="A939" s="7" t="s">
        <v>3740</v>
      </c>
      <c r="B939" s="7" t="s">
        <v>3742</v>
      </c>
    </row>
    <row r="940" spans="1:2" ht="12.75">
      <c r="A940" s="7" t="s">
        <v>3744</v>
      </c>
      <c r="B940" s="7" t="s">
        <v>3746</v>
      </c>
    </row>
    <row r="941" spans="1:2" ht="12.75">
      <c r="A941" s="7" t="s">
        <v>3748</v>
      </c>
      <c r="B941" s="7" t="s">
        <v>3750</v>
      </c>
    </row>
    <row r="942" spans="1:2" ht="12.75">
      <c r="A942" s="7" t="s">
        <v>3752</v>
      </c>
      <c r="B942" s="7" t="s">
        <v>3754</v>
      </c>
    </row>
    <row r="943" spans="1:2" ht="12.75">
      <c r="A943" s="7" t="s">
        <v>3756</v>
      </c>
      <c r="B943" s="7" t="s">
        <v>3758</v>
      </c>
    </row>
    <row r="944" spans="1:2" ht="12.75">
      <c r="A944" s="7" t="s">
        <v>3760</v>
      </c>
      <c r="B944" s="7" t="s">
        <v>3762</v>
      </c>
    </row>
    <row r="945" spans="1:27" ht="12.75">
      <c r="A945" s="7" t="s">
        <v>3764</v>
      </c>
      <c r="B945" s="7" t="s">
        <v>3766</v>
      </c>
    </row>
    <row r="946" spans="1:27" ht="12.75">
      <c r="A946" s="7" t="s">
        <v>3768</v>
      </c>
      <c r="B946" s="7" t="s">
        <v>3770</v>
      </c>
    </row>
    <row r="947" spans="1:27" ht="12.75">
      <c r="A947" s="7" t="s">
        <v>3772</v>
      </c>
      <c r="B947" s="7" t="s">
        <v>3774</v>
      </c>
    </row>
    <row r="948" spans="1:27" ht="12.75">
      <c r="A948" s="7" t="s">
        <v>3776</v>
      </c>
      <c r="B948" s="7" t="s">
        <v>3778</v>
      </c>
    </row>
    <row r="949" spans="1:27" ht="12.75">
      <c r="A949" s="7" t="s">
        <v>3780</v>
      </c>
      <c r="B949" s="7" t="s">
        <v>3782</v>
      </c>
    </row>
    <row r="950" spans="1:27" ht="12.75">
      <c r="A950" s="7" t="s">
        <v>3784</v>
      </c>
      <c r="B950" s="7" t="s">
        <v>3786</v>
      </c>
    </row>
    <row r="951" spans="1:27" ht="12.75">
      <c r="A951" s="7" t="s">
        <v>3788</v>
      </c>
      <c r="B951" s="7" t="s">
        <v>3790</v>
      </c>
    </row>
    <row r="952" spans="1:27" ht="12.75">
      <c r="A952" s="7" t="s">
        <v>3792</v>
      </c>
      <c r="B952" s="7" t="s">
        <v>3794</v>
      </c>
    </row>
    <row r="953" spans="1:27" ht="12.75">
      <c r="A953" s="7" t="s">
        <v>3796</v>
      </c>
      <c r="B953" s="7" t="s">
        <v>3798</v>
      </c>
    </row>
    <row r="954" spans="1:27" ht="18" customHeight="1">
      <c r="A954" s="3" t="s">
        <v>3800</v>
      </c>
      <c r="B954" s="3" t="s">
        <v>3802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2.75">
      <c r="A955" s="7" t="s">
        <v>3804</v>
      </c>
      <c r="B955" s="7" t="s">
        <v>3806</v>
      </c>
    </row>
    <row r="956" spans="1:27" ht="12.75">
      <c r="A956" s="7" t="s">
        <v>3808</v>
      </c>
      <c r="B956" s="7" t="s">
        <v>3810</v>
      </c>
    </row>
    <row r="957" spans="1:27" ht="12.75">
      <c r="A957" s="7" t="s">
        <v>3812</v>
      </c>
      <c r="B957" s="7" t="s">
        <v>3814</v>
      </c>
    </row>
    <row r="958" spans="1:27" ht="12.75">
      <c r="A958" s="7" t="s">
        <v>3816</v>
      </c>
      <c r="B958" s="7" t="s">
        <v>3818</v>
      </c>
    </row>
    <row r="959" spans="1:27" ht="12.75">
      <c r="A959" s="7" t="s">
        <v>3820</v>
      </c>
      <c r="B959" s="7" t="s">
        <v>3822</v>
      </c>
    </row>
    <row r="960" spans="1:27" ht="12.75">
      <c r="A960" s="7" t="s">
        <v>3824</v>
      </c>
      <c r="B960" s="7" t="s">
        <v>3826</v>
      </c>
    </row>
    <row r="961" spans="1:27" ht="12.75">
      <c r="A961" s="7" t="s">
        <v>3828</v>
      </c>
      <c r="B961" s="7" t="s">
        <v>3830</v>
      </c>
    </row>
    <row r="962" spans="1:27" ht="12.75">
      <c r="A962" s="7" t="s">
        <v>3832</v>
      </c>
      <c r="B962" s="7" t="s">
        <v>3834</v>
      </c>
    </row>
    <row r="963" spans="1:27" ht="12.75">
      <c r="A963" s="7" t="s">
        <v>3836</v>
      </c>
      <c r="B963" s="7" t="s">
        <v>3838</v>
      </c>
    </row>
    <row r="964" spans="1:27" ht="12.75">
      <c r="A964" s="7" t="s">
        <v>3840</v>
      </c>
      <c r="B964" s="7" t="s">
        <v>3842</v>
      </c>
    </row>
    <row r="965" spans="1:27" ht="12.75">
      <c r="A965" s="7" t="s">
        <v>3844</v>
      </c>
      <c r="B965" s="7" t="s">
        <v>3846</v>
      </c>
    </row>
    <row r="966" spans="1:27" ht="12.75">
      <c r="A966" s="7" t="s">
        <v>3848</v>
      </c>
      <c r="B966" s="7" t="s">
        <v>3850</v>
      </c>
    </row>
    <row r="967" spans="1:27" ht="12.75">
      <c r="A967" s="7" t="s">
        <v>3852</v>
      </c>
      <c r="B967" s="7" t="s">
        <v>3854</v>
      </c>
    </row>
    <row r="968" spans="1:27" ht="12.75">
      <c r="A968" s="7" t="s">
        <v>3856</v>
      </c>
      <c r="B968" s="7" t="s">
        <v>3858</v>
      </c>
    </row>
    <row r="969" spans="1:27" ht="12.75">
      <c r="A969" s="7" t="s">
        <v>3860</v>
      </c>
      <c r="B969" s="7" t="s">
        <v>3862</v>
      </c>
    </row>
    <row r="970" spans="1:27" ht="12.75">
      <c r="A970" s="7" t="s">
        <v>3864</v>
      </c>
      <c r="B970" s="7" t="s">
        <v>3866</v>
      </c>
    </row>
    <row r="971" spans="1:27" ht="18" customHeight="1">
      <c r="A971" s="3" t="s">
        <v>3868</v>
      </c>
      <c r="B971" s="3" t="s">
        <v>3870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2.75">
      <c r="A972" s="7" t="s">
        <v>3872</v>
      </c>
      <c r="B972" s="7" t="s">
        <v>3874</v>
      </c>
    </row>
    <row r="973" spans="1:27" ht="12.75">
      <c r="A973" s="7" t="s">
        <v>3876</v>
      </c>
      <c r="B973" s="7" t="s">
        <v>3878</v>
      </c>
    </row>
    <row r="974" spans="1:27" ht="12.75">
      <c r="A974" s="7" t="s">
        <v>3880</v>
      </c>
      <c r="B974" s="7" t="s">
        <v>3882</v>
      </c>
    </row>
    <row r="975" spans="1:27" ht="12.75">
      <c r="A975" s="7" t="s">
        <v>3884</v>
      </c>
      <c r="B975" s="7" t="s">
        <v>3886</v>
      </c>
    </row>
    <row r="976" spans="1:27" ht="12.75">
      <c r="A976" s="7" t="s">
        <v>3888</v>
      </c>
      <c r="B976" s="7" t="s">
        <v>3890</v>
      </c>
    </row>
    <row r="977" spans="1:27" ht="12.75">
      <c r="A977" s="7" t="s">
        <v>3892</v>
      </c>
      <c r="B977" s="7" t="s">
        <v>3894</v>
      </c>
    </row>
    <row r="978" spans="1:27" ht="12.75">
      <c r="A978" s="7" t="s">
        <v>3896</v>
      </c>
      <c r="B978" s="7" t="s">
        <v>3898</v>
      </c>
    </row>
    <row r="979" spans="1:27" ht="12.75">
      <c r="A979" s="7" t="s">
        <v>3900</v>
      </c>
      <c r="B979" s="7" t="s">
        <v>3902</v>
      </c>
    </row>
    <row r="980" spans="1:27" ht="12.75">
      <c r="A980" s="7" t="s">
        <v>3904</v>
      </c>
      <c r="B980" s="7" t="s">
        <v>3906</v>
      </c>
    </row>
    <row r="981" spans="1:27" ht="12.75">
      <c r="A981" s="7" t="s">
        <v>3908</v>
      </c>
      <c r="B981" s="7" t="s">
        <v>3910</v>
      </c>
    </row>
    <row r="982" spans="1:27" ht="12.75">
      <c r="A982" s="7" t="s">
        <v>3912</v>
      </c>
      <c r="B982" s="7" t="s">
        <v>3914</v>
      </c>
    </row>
    <row r="983" spans="1:27" ht="12.75">
      <c r="A983" s="7" t="s">
        <v>3916</v>
      </c>
      <c r="B983" s="7" t="s">
        <v>3918</v>
      </c>
    </row>
    <row r="984" spans="1:27" ht="18" customHeight="1">
      <c r="A984" s="3" t="s">
        <v>3920</v>
      </c>
      <c r="B984" s="3" t="s">
        <v>3922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2.75">
      <c r="A985" s="7" t="s">
        <v>3924</v>
      </c>
      <c r="B985" s="7" t="s">
        <v>3926</v>
      </c>
    </row>
    <row r="986" spans="1:27" ht="12.75">
      <c r="A986" s="7" t="s">
        <v>3928</v>
      </c>
      <c r="B986" s="7" t="s">
        <v>3930</v>
      </c>
    </row>
    <row r="987" spans="1:27" ht="12.75">
      <c r="A987" s="7" t="s">
        <v>3932</v>
      </c>
      <c r="B987" s="7" t="s">
        <v>3934</v>
      </c>
    </row>
    <row r="988" spans="1:27" ht="18" customHeight="1">
      <c r="A988" s="3" t="s">
        <v>3936</v>
      </c>
      <c r="B988" s="3" t="s">
        <v>3938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2.75">
      <c r="A989" s="7" t="s">
        <v>3940</v>
      </c>
      <c r="B989" s="7" t="s">
        <v>3942</v>
      </c>
    </row>
    <row r="990" spans="1:27" ht="12.75">
      <c r="A990" s="7" t="s">
        <v>3944</v>
      </c>
      <c r="B990" s="7" t="s">
        <v>3946</v>
      </c>
    </row>
    <row r="991" spans="1:27" ht="12.75">
      <c r="A991" s="7" t="s">
        <v>3948</v>
      </c>
      <c r="B991" s="7" t="s">
        <v>3950</v>
      </c>
    </row>
    <row r="992" spans="1:27" ht="18" customHeight="1">
      <c r="A992" s="3" t="s">
        <v>3952</v>
      </c>
      <c r="B992" s="3" t="s">
        <v>3954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8" customHeight="1">
      <c r="A993" s="3" t="s">
        <v>3956</v>
      </c>
      <c r="B993" s="3" t="s">
        <v>3958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2.75">
      <c r="A994" s="7" t="s">
        <v>3960</v>
      </c>
      <c r="B994" s="7" t="s">
        <v>3962</v>
      </c>
    </row>
    <row r="995" spans="1:27" ht="12.75">
      <c r="A995" s="7" t="s">
        <v>3964</v>
      </c>
      <c r="B995" s="7" t="s">
        <v>3966</v>
      </c>
    </row>
    <row r="996" spans="1:27" ht="12.75">
      <c r="A996" s="7" t="s">
        <v>3968</v>
      </c>
      <c r="B996" s="7" t="s">
        <v>3970</v>
      </c>
    </row>
    <row r="997" spans="1:27" ht="18" customHeight="1">
      <c r="A997" s="3" t="s">
        <v>3972</v>
      </c>
      <c r="B997" s="3" t="s">
        <v>3974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2.75">
      <c r="A998" s="7" t="s">
        <v>3976</v>
      </c>
      <c r="B998" s="7" t="s">
        <v>3978</v>
      </c>
    </row>
    <row r="999" spans="1:27" ht="12.75">
      <c r="A999" s="7" t="s">
        <v>3980</v>
      </c>
      <c r="B999" s="7" t="s">
        <v>3982</v>
      </c>
    </row>
    <row r="1000" spans="1:27" ht="12.75">
      <c r="A1000" s="7" t="s">
        <v>3984</v>
      </c>
      <c r="B1000" s="7" t="s">
        <v>3986</v>
      </c>
    </row>
    <row r="1001" spans="1:27" ht="18" customHeight="1">
      <c r="A1001" s="3" t="s">
        <v>3988</v>
      </c>
      <c r="B1001" s="3" t="s">
        <v>3990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ht="18" customHeight="1">
      <c r="A1002" s="3" t="s">
        <v>3992</v>
      </c>
      <c r="B1002" s="3" t="s">
        <v>3994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ht="12.75">
      <c r="A1003" s="7" t="s">
        <v>3996</v>
      </c>
      <c r="B1003" s="7" t="s">
        <v>3998</v>
      </c>
    </row>
    <row r="1004" spans="1:27" ht="12.75">
      <c r="A1004" s="7" t="s">
        <v>4000</v>
      </c>
      <c r="B1004" s="7" t="s">
        <v>4002</v>
      </c>
    </row>
    <row r="1005" spans="1:27" ht="18" customHeight="1">
      <c r="A1005" s="3" t="s">
        <v>4004</v>
      </c>
      <c r="B1005" s="3" t="s">
        <v>4006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ht="12.75">
      <c r="A1006" s="7" t="s">
        <v>4008</v>
      </c>
      <c r="B1006" s="7" t="s">
        <v>4010</v>
      </c>
    </row>
    <row r="1007" spans="1:27" ht="12.75">
      <c r="A1007" s="7" t="s">
        <v>4012</v>
      </c>
      <c r="B1007" s="7" t="s">
        <v>4014</v>
      </c>
    </row>
    <row r="1008" spans="1:27" ht="18" customHeight="1">
      <c r="A1008" s="3" t="s">
        <v>4016</v>
      </c>
      <c r="B1008" s="3" t="s">
        <v>4018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spans="1:27" ht="12.75">
      <c r="A1009" s="3" t="s">
        <v>4020</v>
      </c>
      <c r="B1009" s="3" t="s">
        <v>4022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spans="1:27" ht="12.75">
      <c r="A1010" s="7" t="s">
        <v>4024</v>
      </c>
      <c r="B1010" s="7" t="s">
        <v>4026</v>
      </c>
    </row>
    <row r="1011" spans="1:27" ht="12.75">
      <c r="A1011" s="7" t="s">
        <v>4028</v>
      </c>
      <c r="B1011" s="7" t="s">
        <v>4030</v>
      </c>
    </row>
    <row r="1012" spans="1:27" ht="12.75">
      <c r="A1012" s="7" t="s">
        <v>4032</v>
      </c>
      <c r="B1012" s="7" t="s">
        <v>4034</v>
      </c>
    </row>
    <row r="1013" spans="1:27" ht="12.75">
      <c r="A1013" s="3" t="s">
        <v>4036</v>
      </c>
      <c r="B1013" s="3" t="s">
        <v>4038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spans="1:27" ht="12.75">
      <c r="A1014" s="7" t="s">
        <v>4040</v>
      </c>
      <c r="B1014" s="7" t="s">
        <v>4042</v>
      </c>
    </row>
    <row r="1015" spans="1:27" ht="12.75">
      <c r="A1015" s="7" t="s">
        <v>4044</v>
      </c>
      <c r="B1015" s="7" t="s">
        <v>4046</v>
      </c>
    </row>
    <row r="1016" spans="1:27" ht="12.75">
      <c r="A1016" s="3" t="s">
        <v>4048</v>
      </c>
      <c r="B1016" s="3" t="s">
        <v>4050</v>
      </c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spans="1:27" ht="12.75">
      <c r="A1017" s="7" t="s">
        <v>4052</v>
      </c>
      <c r="B1017" s="7" t="s">
        <v>4054</v>
      </c>
    </row>
    <row r="1018" spans="1:27" ht="12.75">
      <c r="A1018" s="7" t="s">
        <v>4056</v>
      </c>
      <c r="B1018" s="7" t="s">
        <v>4058</v>
      </c>
    </row>
    <row r="1019" spans="1:27" ht="12.75">
      <c r="A1019" s="7"/>
      <c r="B1019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17"/>
  <sheetViews>
    <sheetView workbookViewId="0"/>
  </sheetViews>
  <sheetFormatPr defaultColWidth="12.5703125" defaultRowHeight="15.75" customHeight="1"/>
  <cols>
    <col min="1" max="1" width="28.7109375" customWidth="1"/>
  </cols>
  <sheetData>
    <row r="1" spans="1:6">
      <c r="E1" s="10"/>
      <c r="F1" s="10"/>
    </row>
    <row r="2" spans="1:6">
      <c r="A2" s="3" t="s">
        <v>4060</v>
      </c>
      <c r="D2" s="7" t="s">
        <v>4061</v>
      </c>
      <c r="E2" s="10" t="s">
        <v>4062</v>
      </c>
      <c r="F2" s="10" t="s">
        <v>4063</v>
      </c>
    </row>
    <row r="3" spans="1:6">
      <c r="A3" s="7" t="s">
        <v>4064</v>
      </c>
      <c r="B3" s="11"/>
      <c r="C3" s="12" t="s">
        <v>4065</v>
      </c>
      <c r="D3" s="10">
        <v>50</v>
      </c>
      <c r="E3" s="10">
        <v>182</v>
      </c>
      <c r="F3" s="10">
        <v>68</v>
      </c>
    </row>
    <row r="4" spans="1:6">
      <c r="A4" s="7" t="s">
        <v>4066</v>
      </c>
      <c r="B4" s="13"/>
      <c r="C4" s="12" t="s">
        <v>4067</v>
      </c>
      <c r="D4" s="10">
        <v>32</v>
      </c>
      <c r="E4" s="10">
        <v>150</v>
      </c>
      <c r="F4" s="10">
        <v>242</v>
      </c>
    </row>
    <row r="5" spans="1:6">
      <c r="B5" s="14"/>
      <c r="C5" s="12" t="s">
        <v>4068</v>
      </c>
      <c r="D5" s="10">
        <v>0</v>
      </c>
      <c r="E5" s="10">
        <v>30</v>
      </c>
      <c r="F5" s="10">
        <v>120</v>
      </c>
    </row>
    <row r="6" spans="1:6">
      <c r="B6" s="15"/>
      <c r="C6" s="12" t="s">
        <v>4069</v>
      </c>
      <c r="D6" s="10">
        <v>58</v>
      </c>
      <c r="E6" s="10">
        <v>98</v>
      </c>
      <c r="F6" s="10">
        <v>68</v>
      </c>
    </row>
    <row r="7" spans="1:6">
      <c r="A7" s="7" t="s">
        <v>4070</v>
      </c>
      <c r="B7" s="16"/>
      <c r="C7" s="12" t="s">
        <v>4071</v>
      </c>
      <c r="D7" s="10">
        <v>208</v>
      </c>
      <c r="E7" s="10">
        <v>188</v>
      </c>
      <c r="F7" s="10">
        <v>128</v>
      </c>
    </row>
    <row r="8" spans="1:6">
      <c r="B8" s="17"/>
      <c r="C8" s="12" t="s">
        <v>4072</v>
      </c>
      <c r="D8" s="10">
        <v>88</v>
      </c>
      <c r="E8" s="10">
        <v>44</v>
      </c>
      <c r="F8" s="10">
        <v>88</v>
      </c>
    </row>
    <row r="9" spans="1:6">
      <c r="A9" s="7" t="s">
        <v>4073</v>
      </c>
      <c r="B9" s="18"/>
      <c r="C9" s="12" t="s">
        <v>4074</v>
      </c>
      <c r="D9" s="10">
        <v>48</v>
      </c>
      <c r="E9" s="10">
        <v>48</v>
      </c>
      <c r="F9" s="10">
        <v>48</v>
      </c>
    </row>
    <row r="10" spans="1:6">
      <c r="A10" s="7" t="s">
        <v>4075</v>
      </c>
      <c r="B10" s="19"/>
      <c r="C10" s="12" t="s">
        <v>4076</v>
      </c>
      <c r="D10" s="10">
        <v>252</v>
      </c>
      <c r="E10" s="10">
        <v>178</v>
      </c>
      <c r="F10" s="10">
        <v>0</v>
      </c>
    </row>
    <row r="11" spans="1:6">
      <c r="B11" s="20"/>
      <c r="C11" s="7" t="s">
        <v>4077</v>
      </c>
      <c r="D11" s="7">
        <v>224</v>
      </c>
      <c r="E11" s="7">
        <v>90</v>
      </c>
      <c r="F11" s="7">
        <v>78</v>
      </c>
    </row>
    <row r="12" spans="1:6">
      <c r="B12" s="21"/>
      <c r="C12" s="7" t="s">
        <v>4078</v>
      </c>
      <c r="D12" s="7">
        <v>244</v>
      </c>
      <c r="E12" s="7">
        <v>124</v>
      </c>
      <c r="F12" s="7">
        <v>0</v>
      </c>
    </row>
    <row r="17" spans="3:6">
      <c r="C17" s="7" t="s">
        <v>4079</v>
      </c>
      <c r="D17" s="7">
        <v>255</v>
      </c>
      <c r="E17" s="7">
        <v>0</v>
      </c>
      <c r="F17" s="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1:K51"/>
  <sheetViews>
    <sheetView workbookViewId="0"/>
  </sheetViews>
  <sheetFormatPr defaultColWidth="12.5703125" defaultRowHeight="15.75" customHeight="1"/>
  <cols>
    <col min="2" max="2" width="39.140625" customWidth="1"/>
  </cols>
  <sheetData>
    <row r="1" spans="2:11" ht="15.75" customHeight="1">
      <c r="D1" s="22" t="s">
        <v>4080</v>
      </c>
      <c r="E1" s="22" t="s">
        <v>4081</v>
      </c>
      <c r="F1" s="22" t="s">
        <v>4082</v>
      </c>
      <c r="G1" s="22" t="s">
        <v>4083</v>
      </c>
      <c r="J1" s="7" t="s">
        <v>4084</v>
      </c>
      <c r="K1" s="7" t="s">
        <v>4085</v>
      </c>
    </row>
    <row r="2" spans="2:11" ht="15.75" customHeight="1">
      <c r="B2" s="22"/>
      <c r="C2" s="22"/>
      <c r="D2" s="22" t="s">
        <v>4062</v>
      </c>
      <c r="E2" s="22" t="s">
        <v>4086</v>
      </c>
      <c r="F2" s="22" t="s">
        <v>4087</v>
      </c>
      <c r="G2" s="22" t="s">
        <v>4083</v>
      </c>
      <c r="H2" s="22"/>
      <c r="I2" s="22"/>
      <c r="J2" s="22" t="s">
        <v>4088</v>
      </c>
      <c r="K2" s="23">
        <v>9</v>
      </c>
    </row>
    <row r="3" spans="2:11" ht="15.75" customHeight="1">
      <c r="B3" s="22" t="s">
        <v>4089</v>
      </c>
      <c r="C3" s="22" t="s">
        <v>4090</v>
      </c>
      <c r="D3" s="23">
        <v>1</v>
      </c>
      <c r="E3" s="23">
        <v>1</v>
      </c>
      <c r="F3" s="23">
        <v>1</v>
      </c>
      <c r="G3" s="23">
        <v>1</v>
      </c>
      <c r="H3" s="22"/>
      <c r="I3" s="22"/>
      <c r="J3" s="22" t="s">
        <v>4091</v>
      </c>
      <c r="K3" s="23">
        <v>8</v>
      </c>
    </row>
    <row r="4" spans="2:11" ht="15.75" customHeight="1">
      <c r="B4" s="22" t="s">
        <v>4092</v>
      </c>
      <c r="C4" s="22" t="s">
        <v>4093</v>
      </c>
      <c r="D4" s="23">
        <v>3</v>
      </c>
      <c r="E4" s="23">
        <v>3</v>
      </c>
      <c r="F4" s="23">
        <v>3</v>
      </c>
      <c r="G4" s="23">
        <v>27</v>
      </c>
      <c r="H4" s="22"/>
      <c r="I4" s="22"/>
      <c r="J4" s="22" t="s">
        <v>4094</v>
      </c>
      <c r="K4" s="23">
        <v>10</v>
      </c>
    </row>
    <row r="5" spans="2:11" ht="15.75" customHeight="1">
      <c r="B5" s="22" t="s">
        <v>4095</v>
      </c>
      <c r="C5" s="22" t="s">
        <v>4096</v>
      </c>
      <c r="D5" s="23">
        <v>3</v>
      </c>
      <c r="E5" s="23">
        <v>3</v>
      </c>
      <c r="F5" s="23">
        <v>3</v>
      </c>
      <c r="G5" s="23">
        <v>27</v>
      </c>
      <c r="H5" s="22"/>
      <c r="I5" s="22"/>
      <c r="J5" s="22" t="s">
        <v>4097</v>
      </c>
      <c r="K5" s="23">
        <v>10</v>
      </c>
    </row>
    <row r="6" spans="2:11" ht="15.75" customHeight="1">
      <c r="B6" s="22" t="s">
        <v>4098</v>
      </c>
      <c r="C6" s="22" t="s">
        <v>4099</v>
      </c>
      <c r="D6" s="23">
        <v>2</v>
      </c>
      <c r="E6" s="23">
        <v>3</v>
      </c>
      <c r="F6" s="23">
        <v>3</v>
      </c>
      <c r="G6" s="23">
        <v>18</v>
      </c>
      <c r="H6" s="22"/>
      <c r="I6" s="22"/>
      <c r="J6" s="22" t="s">
        <v>4100</v>
      </c>
      <c r="K6" s="23">
        <v>10</v>
      </c>
    </row>
    <row r="7" spans="2:11" ht="15.75" customHeight="1">
      <c r="B7" s="22" t="s">
        <v>4101</v>
      </c>
      <c r="C7" s="22" t="s">
        <v>4102</v>
      </c>
      <c r="D7" s="23">
        <v>3</v>
      </c>
      <c r="E7" s="23">
        <v>3</v>
      </c>
      <c r="F7" s="23">
        <v>3</v>
      </c>
      <c r="G7" s="23">
        <v>27</v>
      </c>
      <c r="H7" s="22"/>
      <c r="I7" s="22"/>
      <c r="J7" s="22" t="s">
        <v>4103</v>
      </c>
      <c r="K7" s="23">
        <v>9</v>
      </c>
    </row>
    <row r="8" spans="2:11" ht="15.75" customHeight="1">
      <c r="B8" s="22" t="s">
        <v>4104</v>
      </c>
      <c r="C8" s="22" t="s">
        <v>4105</v>
      </c>
      <c r="D8" s="23">
        <v>3</v>
      </c>
      <c r="E8" s="23">
        <v>4</v>
      </c>
      <c r="F8" s="23">
        <v>3</v>
      </c>
      <c r="G8" s="23">
        <v>36</v>
      </c>
      <c r="H8" s="22"/>
      <c r="I8" s="22"/>
      <c r="J8" s="22" t="s">
        <v>4106</v>
      </c>
      <c r="K8" s="23">
        <v>8</v>
      </c>
    </row>
    <row r="9" spans="2:11" ht="15.75" customHeight="1">
      <c r="B9" s="22" t="s">
        <v>4107</v>
      </c>
      <c r="C9" s="22" t="s">
        <v>4108</v>
      </c>
      <c r="D9" s="23">
        <v>5</v>
      </c>
      <c r="E9" s="23">
        <v>4</v>
      </c>
      <c r="F9" s="23">
        <v>5</v>
      </c>
      <c r="G9" s="23">
        <v>100</v>
      </c>
      <c r="H9" s="22"/>
      <c r="I9" s="22"/>
      <c r="J9" s="22" t="s">
        <v>4109</v>
      </c>
      <c r="K9" s="23">
        <v>8</v>
      </c>
    </row>
    <row r="10" spans="2:11" ht="15.75" customHeight="1">
      <c r="B10" s="22" t="s">
        <v>4110</v>
      </c>
      <c r="C10" s="22" t="s">
        <v>4111</v>
      </c>
      <c r="D10" s="23">
        <v>5</v>
      </c>
      <c r="E10" s="23">
        <v>4</v>
      </c>
      <c r="F10" s="23">
        <v>5</v>
      </c>
      <c r="G10" s="23">
        <v>100</v>
      </c>
      <c r="H10" s="22"/>
      <c r="I10" s="22"/>
      <c r="J10" s="22" t="s">
        <v>4112</v>
      </c>
      <c r="K10" s="23">
        <v>7</v>
      </c>
    </row>
    <row r="11" spans="2:11" ht="15.75" customHeight="1">
      <c r="B11" s="22" t="s">
        <v>4113</v>
      </c>
      <c r="C11" s="22" t="s">
        <v>4114</v>
      </c>
      <c r="D11" s="23">
        <v>5</v>
      </c>
      <c r="E11" s="23">
        <v>5</v>
      </c>
      <c r="F11" s="23">
        <v>5</v>
      </c>
      <c r="G11" s="23">
        <v>125</v>
      </c>
      <c r="H11" s="22"/>
      <c r="I11" s="22"/>
      <c r="J11" s="22" t="s">
        <v>4115</v>
      </c>
      <c r="K11" s="23">
        <v>7</v>
      </c>
    </row>
    <row r="12" spans="2:11" ht="15.75" customHeight="1">
      <c r="B12" s="22" t="s">
        <v>4116</v>
      </c>
      <c r="C12" s="22" t="s">
        <v>4117</v>
      </c>
      <c r="D12" s="23">
        <v>5</v>
      </c>
      <c r="E12" s="23">
        <v>5</v>
      </c>
      <c r="F12" s="23">
        <v>5</v>
      </c>
      <c r="G12" s="23">
        <v>125</v>
      </c>
      <c r="H12" s="22"/>
      <c r="I12" s="22"/>
      <c r="J12" s="22" t="s">
        <v>4118</v>
      </c>
      <c r="K12" s="23">
        <v>7</v>
      </c>
    </row>
    <row r="13" spans="2:11" ht="15.75" customHeight="1">
      <c r="B13" s="22" t="s">
        <v>4119</v>
      </c>
      <c r="C13" s="22" t="s">
        <v>4120</v>
      </c>
      <c r="D13" s="23">
        <v>5</v>
      </c>
      <c r="E13" s="23">
        <v>5</v>
      </c>
      <c r="F13" s="23">
        <v>5</v>
      </c>
      <c r="G13" s="23">
        <v>125</v>
      </c>
      <c r="H13" s="22"/>
      <c r="I13" s="22"/>
      <c r="J13" s="22" t="s">
        <v>4121</v>
      </c>
      <c r="K13" s="23">
        <v>3</v>
      </c>
    </row>
    <row r="14" spans="2:11" ht="15.75" customHeight="1">
      <c r="B14" s="22" t="s">
        <v>4122</v>
      </c>
      <c r="C14" s="22" t="s">
        <v>4123</v>
      </c>
      <c r="D14" s="23">
        <v>2</v>
      </c>
      <c r="E14" s="23">
        <v>2</v>
      </c>
      <c r="F14" s="23">
        <v>2</v>
      </c>
      <c r="G14" s="23">
        <v>8</v>
      </c>
      <c r="H14" s="22"/>
      <c r="I14" s="22"/>
      <c r="J14" s="22" t="s">
        <v>4124</v>
      </c>
      <c r="K14" s="23">
        <v>6</v>
      </c>
    </row>
    <row r="15" spans="2:11" ht="15.75" customHeight="1">
      <c r="B15" s="22" t="s">
        <v>4125</v>
      </c>
      <c r="C15" s="22" t="s">
        <v>4126</v>
      </c>
      <c r="D15" s="23">
        <v>3</v>
      </c>
      <c r="E15" s="23">
        <v>3</v>
      </c>
      <c r="F15" s="23">
        <v>3</v>
      </c>
      <c r="G15" s="23">
        <v>27</v>
      </c>
      <c r="H15" s="22"/>
      <c r="I15" s="22"/>
      <c r="J15" s="22" t="s">
        <v>4127</v>
      </c>
      <c r="K15" s="23">
        <v>4</v>
      </c>
    </row>
    <row r="16" spans="2:11" ht="15.75" customHeight="1">
      <c r="B16" s="22" t="s">
        <v>4128</v>
      </c>
      <c r="C16" s="22" t="s">
        <v>4129</v>
      </c>
      <c r="D16" s="23">
        <v>3</v>
      </c>
      <c r="E16" s="23">
        <v>3</v>
      </c>
      <c r="F16" s="23">
        <v>3</v>
      </c>
      <c r="G16" s="23">
        <v>27</v>
      </c>
      <c r="H16" s="22"/>
      <c r="I16" s="22"/>
      <c r="J16" s="22" t="s">
        <v>4130</v>
      </c>
      <c r="K16" s="23">
        <v>8</v>
      </c>
    </row>
    <row r="17" spans="2:11" ht="15.75" customHeight="1">
      <c r="B17" s="22" t="s">
        <v>4131</v>
      </c>
      <c r="C17" s="22" t="s">
        <v>4132</v>
      </c>
      <c r="D17" s="23">
        <v>4</v>
      </c>
      <c r="E17" s="23">
        <v>4</v>
      </c>
      <c r="F17" s="23">
        <v>3</v>
      </c>
      <c r="G17" s="23">
        <v>48</v>
      </c>
      <c r="H17" s="22"/>
      <c r="I17" s="22"/>
      <c r="J17" s="22" t="s">
        <v>4133</v>
      </c>
      <c r="K17" s="23">
        <v>0</v>
      </c>
    </row>
    <row r="18" spans="2:11" ht="15.75" customHeight="1">
      <c r="B18" s="22" t="s">
        <v>4134</v>
      </c>
      <c r="C18" s="22" t="s">
        <v>4135</v>
      </c>
      <c r="D18" s="23">
        <v>0</v>
      </c>
      <c r="E18" s="23">
        <v>0</v>
      </c>
      <c r="F18" s="23">
        <v>0</v>
      </c>
      <c r="G18" s="23">
        <v>0</v>
      </c>
      <c r="H18" s="22"/>
      <c r="I18" s="22"/>
      <c r="J18" s="22" t="s">
        <v>4136</v>
      </c>
      <c r="K18" s="23">
        <v>7</v>
      </c>
    </row>
    <row r="19" spans="2:11" ht="15.75" customHeight="1">
      <c r="B19" s="22" t="s">
        <v>4137</v>
      </c>
      <c r="C19" s="22" t="s">
        <v>4138</v>
      </c>
      <c r="D19" s="23">
        <v>3</v>
      </c>
      <c r="E19" s="23">
        <v>3</v>
      </c>
      <c r="F19" s="23">
        <v>3</v>
      </c>
      <c r="G19" s="23">
        <v>27</v>
      </c>
      <c r="H19" s="22"/>
      <c r="I19" s="22"/>
      <c r="J19" s="22" t="s">
        <v>4139</v>
      </c>
      <c r="K19" s="23">
        <v>9</v>
      </c>
    </row>
    <row r="20" spans="2:11" ht="15.75" customHeight="1">
      <c r="B20" s="22" t="s">
        <v>4140</v>
      </c>
      <c r="C20" s="22" t="s">
        <v>4141</v>
      </c>
      <c r="D20" s="23">
        <v>1</v>
      </c>
      <c r="E20" s="23">
        <v>1</v>
      </c>
      <c r="F20" s="23">
        <v>1</v>
      </c>
      <c r="G20" s="23">
        <v>1</v>
      </c>
      <c r="H20" s="22"/>
      <c r="I20" s="22"/>
      <c r="J20" s="22" t="s">
        <v>4142</v>
      </c>
      <c r="K20" s="23">
        <v>5</v>
      </c>
    </row>
    <row r="21" spans="2:11" ht="15.75" customHeight="1">
      <c r="B21" s="22" t="s">
        <v>4143</v>
      </c>
      <c r="C21" s="22" t="s">
        <v>4144</v>
      </c>
      <c r="D21" s="23">
        <v>3</v>
      </c>
      <c r="E21" s="23">
        <v>3</v>
      </c>
      <c r="F21" s="23">
        <v>3</v>
      </c>
      <c r="G21" s="23">
        <v>27</v>
      </c>
      <c r="H21" s="22"/>
      <c r="I21" s="22"/>
      <c r="J21" s="22" t="s">
        <v>4145</v>
      </c>
      <c r="K21" s="23">
        <v>6</v>
      </c>
    </row>
    <row r="22" spans="2:11" ht="15.75" customHeight="1">
      <c r="B22" s="22" t="s">
        <v>4146</v>
      </c>
      <c r="C22" s="22" t="s">
        <v>4147</v>
      </c>
      <c r="D22" s="23">
        <v>3</v>
      </c>
      <c r="E22" s="23">
        <v>2</v>
      </c>
      <c r="F22" s="23">
        <v>3</v>
      </c>
      <c r="G22" s="23">
        <v>18</v>
      </c>
      <c r="H22" s="22"/>
      <c r="I22" s="22"/>
      <c r="J22" s="22" t="s">
        <v>4148</v>
      </c>
      <c r="K22" s="23">
        <v>6</v>
      </c>
    </row>
    <row r="23" spans="2:11" ht="15.75" customHeight="1">
      <c r="B23" s="22"/>
      <c r="C23" s="22"/>
      <c r="D23" s="22"/>
      <c r="E23" s="22"/>
      <c r="F23" s="22"/>
      <c r="G23" s="22"/>
      <c r="H23" s="22"/>
      <c r="I23" s="22"/>
      <c r="J23" s="22" t="s">
        <v>4149</v>
      </c>
      <c r="K23" s="23">
        <v>2</v>
      </c>
    </row>
    <row r="24" spans="2:11" ht="15.75" customHeight="1">
      <c r="B24" s="22"/>
      <c r="C24" s="22"/>
      <c r="D24" s="22"/>
      <c r="E24" s="22"/>
      <c r="F24" s="22"/>
      <c r="G24" s="22"/>
      <c r="H24" s="22"/>
      <c r="I24" s="22"/>
      <c r="J24" s="22" t="s">
        <v>4150</v>
      </c>
      <c r="K24" s="23">
        <v>10</v>
      </c>
    </row>
    <row r="25" spans="2:11" ht="15.75" customHeight="1">
      <c r="B25" s="22"/>
      <c r="C25" s="22"/>
      <c r="D25" s="22"/>
      <c r="E25" s="22"/>
      <c r="F25" s="22"/>
      <c r="G25" s="22"/>
      <c r="H25" s="22"/>
      <c r="I25" s="22"/>
      <c r="J25" s="22" t="s">
        <v>4151</v>
      </c>
      <c r="K25" s="23">
        <v>8</v>
      </c>
    </row>
    <row r="26" spans="2:11" ht="15.75" customHeight="1">
      <c r="B26" s="22"/>
      <c r="C26" s="22"/>
      <c r="D26" s="22"/>
      <c r="E26" s="22"/>
      <c r="F26" s="22"/>
      <c r="G26" s="22"/>
      <c r="H26" s="22"/>
      <c r="I26" s="22"/>
      <c r="J26" s="22" t="s">
        <v>4152</v>
      </c>
      <c r="K26" s="23">
        <v>8</v>
      </c>
    </row>
    <row r="27" spans="2:11" ht="15.75" customHeight="1">
      <c r="B27" s="22"/>
      <c r="C27" s="22"/>
      <c r="D27" s="22"/>
      <c r="E27" s="22"/>
      <c r="F27" s="22"/>
      <c r="G27" s="22"/>
      <c r="H27" s="22"/>
      <c r="I27" s="22"/>
      <c r="J27" s="22" t="s">
        <v>4153</v>
      </c>
      <c r="K27" s="23">
        <v>0</v>
      </c>
    </row>
    <row r="28" spans="2:11" ht="15.75" customHeight="1">
      <c r="B28" s="22"/>
      <c r="C28" s="22"/>
      <c r="D28" s="22"/>
      <c r="E28" s="22"/>
      <c r="F28" s="22"/>
      <c r="G28" s="22"/>
      <c r="H28" s="22"/>
      <c r="I28" s="22"/>
      <c r="J28" s="22" t="s">
        <v>4154</v>
      </c>
      <c r="K28" s="23">
        <v>0</v>
      </c>
    </row>
    <row r="29" spans="2:11" ht="15.75" customHeight="1">
      <c r="B29" s="22"/>
      <c r="C29" s="22"/>
      <c r="D29" s="22"/>
      <c r="E29" s="22"/>
      <c r="F29" s="22"/>
      <c r="G29" s="22"/>
      <c r="H29" s="22"/>
      <c r="I29" s="22"/>
      <c r="J29" s="22"/>
      <c r="K29" s="22"/>
    </row>
    <row r="32" spans="2:11" ht="15.75" customHeight="1">
      <c r="C32" s="22"/>
      <c r="D32" s="23"/>
    </row>
    <row r="33" spans="3:4" ht="15.75" customHeight="1">
      <c r="C33" s="22"/>
      <c r="D33" s="23"/>
    </row>
    <row r="34" spans="3:4" ht="15.75" customHeight="1">
      <c r="C34" s="22"/>
      <c r="D34" s="23"/>
    </row>
    <row r="35" spans="3:4" ht="15.75" customHeight="1">
      <c r="C35" s="22"/>
      <c r="D35" s="23"/>
    </row>
    <row r="36" spans="3:4" ht="15.75" customHeight="1">
      <c r="C36" s="22"/>
      <c r="D36" s="23"/>
    </row>
    <row r="37" spans="3:4" ht="15">
      <c r="C37" s="22"/>
      <c r="D37" s="23"/>
    </row>
    <row r="38" spans="3:4" ht="15">
      <c r="C38" s="22"/>
      <c r="D38" s="23"/>
    </row>
    <row r="39" spans="3:4" ht="15">
      <c r="C39" s="22"/>
      <c r="D39" s="23"/>
    </row>
    <row r="40" spans="3:4" ht="15">
      <c r="C40" s="22"/>
      <c r="D40" s="23"/>
    </row>
    <row r="41" spans="3:4" ht="15">
      <c r="C41" s="22"/>
      <c r="D41" s="23"/>
    </row>
    <row r="42" spans="3:4" ht="15">
      <c r="C42" s="22"/>
      <c r="D42" s="23"/>
    </row>
    <row r="43" spans="3:4" ht="15">
      <c r="C43" s="22"/>
      <c r="D43" s="23"/>
    </row>
    <row r="44" spans="3:4" ht="15">
      <c r="C44" s="22"/>
      <c r="D44" s="23"/>
    </row>
    <row r="45" spans="3:4" ht="15">
      <c r="C45" s="22"/>
      <c r="D45" s="23"/>
    </row>
    <row r="46" spans="3:4" ht="15">
      <c r="C46" s="22"/>
      <c r="D46" s="23"/>
    </row>
    <row r="47" spans="3:4" ht="15">
      <c r="C47" s="22"/>
      <c r="D47" s="23"/>
    </row>
    <row r="48" spans="3:4" ht="15">
      <c r="C48" s="22"/>
      <c r="D48" s="23"/>
    </row>
    <row r="49" spans="3:4" ht="15">
      <c r="C49" s="22"/>
      <c r="D49" s="23"/>
    </row>
    <row r="50" spans="3:4" ht="15">
      <c r="C50" s="22"/>
      <c r="D50" s="23"/>
    </row>
    <row r="51" spans="3:4" ht="15">
      <c r="C51" s="22"/>
      <c r="D51" s="2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9:G21"/>
  <sheetViews>
    <sheetView workbookViewId="0"/>
  </sheetViews>
  <sheetFormatPr defaultColWidth="12.5703125" defaultRowHeight="15.75" customHeight="1"/>
  <sheetData>
    <row r="9" spans="1:7">
      <c r="A9" s="7">
        <v>40</v>
      </c>
    </row>
    <row r="11" spans="1:7">
      <c r="G11" s="7" t="s">
        <v>4155</v>
      </c>
    </row>
    <row r="12" spans="1:7">
      <c r="G12" s="7" t="s">
        <v>4156</v>
      </c>
    </row>
    <row r="13" spans="1:7">
      <c r="G13" s="7" t="s">
        <v>4157</v>
      </c>
    </row>
    <row r="14" spans="1:7">
      <c r="B14" s="7" t="s">
        <v>4158</v>
      </c>
      <c r="C14" s="7" t="s">
        <v>4159</v>
      </c>
      <c r="D14" s="7" t="str">
        <f t="shared" ref="D14:D17" si="0">B14&amp;"-"&amp;C14</f>
        <v>E1D-imagens e videos</v>
      </c>
      <c r="G14" s="7" t="s">
        <v>4160</v>
      </c>
    </row>
    <row r="15" spans="1:7">
      <c r="B15" s="7" t="s">
        <v>4161</v>
      </c>
      <c r="C15" s="7" t="s">
        <v>4162</v>
      </c>
      <c r="D15" s="7" t="str">
        <f t="shared" si="0"/>
        <v>E2D-pranchas e detalhamentos</v>
      </c>
      <c r="G15" s="7" t="s">
        <v>4163</v>
      </c>
    </row>
    <row r="16" spans="1:7">
      <c r="B16" s="24" t="s">
        <v>4164</v>
      </c>
      <c r="C16" s="7" t="s">
        <v>4165</v>
      </c>
      <c r="D16" s="7" t="str">
        <f t="shared" si="0"/>
        <v>E3D-modelos de construção virtual</v>
      </c>
      <c r="G16" s="7" t="s">
        <v>4166</v>
      </c>
    </row>
    <row r="17" spans="2:7">
      <c r="B17" s="7" t="s">
        <v>4167</v>
      </c>
      <c r="C17" s="7" t="s">
        <v>4168</v>
      </c>
      <c r="D17" s="7" t="str">
        <f t="shared" si="0"/>
        <v>GVC-construcao conectada</v>
      </c>
      <c r="G17" s="7" t="s">
        <v>4169</v>
      </c>
    </row>
    <row r="18" spans="2:7">
      <c r="G18" s="7" t="s">
        <v>4170</v>
      </c>
    </row>
    <row r="19" spans="2:7">
      <c r="G19" s="7" t="s">
        <v>4171</v>
      </c>
    </row>
    <row r="20" spans="2:7">
      <c r="G20" s="7" t="s">
        <v>4172</v>
      </c>
    </row>
    <row r="21" spans="2:7">
      <c r="G21" s="7" t="s">
        <v>4173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AI726"/>
  <sheetViews>
    <sheetView workbookViewId="0"/>
  </sheetViews>
  <sheetFormatPr defaultColWidth="12.5703125" defaultRowHeight="15.75" customHeight="1"/>
  <cols>
    <col min="1" max="1" width="21" customWidth="1"/>
    <col min="2" max="7" width="18.140625" hidden="1" customWidth="1"/>
    <col min="8" max="8" width="20.42578125" customWidth="1"/>
    <col min="9" max="9" width="57.42578125" customWidth="1"/>
    <col min="10" max="10" width="56.28515625" customWidth="1"/>
    <col min="11" max="11" width="26.28515625" customWidth="1"/>
    <col min="12" max="12" width="14.7109375" customWidth="1"/>
    <col min="13" max="13" width="35.85546875" customWidth="1"/>
    <col min="14" max="14" width="23.42578125" customWidth="1"/>
    <col min="15" max="15" width="17.42578125" customWidth="1"/>
    <col min="16" max="16" width="23.28515625" customWidth="1"/>
    <col min="17" max="17" width="27.28515625" customWidth="1"/>
    <col min="18" max="18" width="24.5703125" customWidth="1"/>
    <col min="19" max="19" width="20.85546875" customWidth="1"/>
    <col min="20" max="23" width="17.42578125" customWidth="1"/>
    <col min="24" max="24" width="79.28515625" customWidth="1"/>
    <col min="25" max="25" width="8.140625" customWidth="1"/>
    <col min="26" max="26" width="39.85546875" customWidth="1"/>
    <col min="29" max="29" width="42.42578125" customWidth="1"/>
    <col min="30" max="30" width="68.140625" customWidth="1"/>
    <col min="31" max="31" width="50.28515625" customWidth="1"/>
  </cols>
  <sheetData>
    <row r="1" spans="1:32" ht="12.75">
      <c r="A1" s="25" t="s">
        <v>0</v>
      </c>
      <c r="B1" s="26" t="s">
        <v>4174</v>
      </c>
      <c r="C1" s="26" t="s">
        <v>4175</v>
      </c>
      <c r="D1" s="26" t="s">
        <v>4176</v>
      </c>
      <c r="E1" s="26" t="s">
        <v>4177</v>
      </c>
      <c r="F1" s="26" t="s">
        <v>4178</v>
      </c>
      <c r="G1" s="26" t="s">
        <v>4179</v>
      </c>
      <c r="H1" s="27" t="s">
        <v>0</v>
      </c>
      <c r="I1" s="27" t="s">
        <v>1</v>
      </c>
      <c r="J1" s="28" t="s">
        <v>4180</v>
      </c>
      <c r="K1" s="29" t="s">
        <v>4181</v>
      </c>
      <c r="L1" s="30" t="s">
        <v>4182</v>
      </c>
      <c r="M1" s="31" t="s">
        <v>4183</v>
      </c>
      <c r="N1" s="32" t="s">
        <v>4184</v>
      </c>
      <c r="O1" s="32" t="s">
        <v>4185</v>
      </c>
      <c r="P1" s="32" t="s">
        <v>4186</v>
      </c>
      <c r="Q1" s="33" t="s">
        <v>4187</v>
      </c>
      <c r="R1" s="33" t="s">
        <v>4188</v>
      </c>
      <c r="S1" s="33" t="s">
        <v>4189</v>
      </c>
      <c r="T1" s="33" t="s">
        <v>4190</v>
      </c>
      <c r="U1" s="34" t="s">
        <v>4191</v>
      </c>
      <c r="W1" s="7" t="s">
        <v>4192</v>
      </c>
      <c r="AF1" s="35"/>
    </row>
    <row r="2" spans="1:32" ht="12.75">
      <c r="A2" s="36" t="s">
        <v>4193</v>
      </c>
      <c r="B2" s="37">
        <f ca="1">IFERROR(__xludf.DUMMYFUNCTION("SPLIT(RIGHT(A2,17),"" "")"),0)</f>
        <v>0</v>
      </c>
      <c r="C2" s="37">
        <f ca="1">IFERROR(__xludf.DUMMYFUNCTION("""COMPUTED_VALUE"""),0)</f>
        <v>0</v>
      </c>
      <c r="D2" s="37">
        <f ca="1">IFERROR(__xludf.DUMMYFUNCTION("""COMPUTED_VALUE"""),0)</f>
        <v>0</v>
      </c>
      <c r="E2" s="37">
        <f ca="1">IFERROR(__xludf.DUMMYFUNCTION("""COMPUTED_VALUE"""),0)</f>
        <v>0</v>
      </c>
      <c r="F2" s="37">
        <f ca="1">IFERROR(__xludf.DUMMYFUNCTION("""COMPUTED_VALUE"""),0)</f>
        <v>0</v>
      </c>
      <c r="G2" s="37">
        <f ca="1">IFERROR(__xludf.DUMMYFUNCTION("""COMPUTED_VALUE"""),0)</f>
        <v>0</v>
      </c>
      <c r="H2" s="38" t="s">
        <v>4194</v>
      </c>
      <c r="I2" s="38" t="s">
        <v>4195</v>
      </c>
      <c r="J2" s="39" t="str">
        <f ca="1">IFERROR(__xludf.DUMMYFUNCTION("JOIN("": "",H2,I2)"),"3E-00-00-00-00-00-00: Elementos de entorno")</f>
        <v>3E-00-00-00-00-00-00: Elementos de entorno</v>
      </c>
      <c r="K2" s="40"/>
      <c r="L2" s="41">
        <v>2</v>
      </c>
      <c r="M2" s="42"/>
      <c r="N2" s="43"/>
      <c r="O2" s="43"/>
      <c r="P2" s="43"/>
      <c r="Q2" s="44">
        <v>5</v>
      </c>
      <c r="R2" s="44">
        <v>3</v>
      </c>
      <c r="S2" s="44">
        <v>4</v>
      </c>
      <c r="T2" s="44">
        <v>0</v>
      </c>
      <c r="U2" s="45" t="b">
        <f t="array" aca="1" ref="U2:U726" ca="1">ISNUMBER(_xludf.XMATCH(H2:H726,FoundCodes,0))</f>
        <v>0</v>
      </c>
      <c r="W2" s="7" t="str">
        <f t="shared" ref="W2:W3" si="0">MID(H2, 1, FIND("-", H2, FIND("-", H2)+1)-1)</f>
        <v>3E-00</v>
      </c>
      <c r="X2" s="12" t="s">
        <v>4196</v>
      </c>
      <c r="Y2" s="10">
        <v>0</v>
      </c>
      <c r="Z2" s="7" t="str">
        <f t="shared" ref="Z2:Z3" si="1">SUBSTITUTE(I2, "Elementos de ", "")</f>
        <v>entorno</v>
      </c>
    </row>
    <row r="3" spans="1:32" ht="12.75">
      <c r="A3" s="36" t="s">
        <v>3</v>
      </c>
      <c r="B3" s="37">
        <f ca="1">IFERROR(__xludf.DUMMYFUNCTION("SPLIT(RIGHT(A3,17),"" "")"),2)</f>
        <v>2</v>
      </c>
      <c r="C3" s="37">
        <f ca="1">IFERROR(__xludf.DUMMYFUNCTION("""COMPUTED_VALUE"""),0)</f>
        <v>0</v>
      </c>
      <c r="D3" s="37">
        <f ca="1">IFERROR(__xludf.DUMMYFUNCTION("""COMPUTED_VALUE"""),0)</f>
        <v>0</v>
      </c>
      <c r="E3" s="37">
        <f ca="1">IFERROR(__xludf.DUMMYFUNCTION("""COMPUTED_VALUE"""),0)</f>
        <v>0</v>
      </c>
      <c r="F3" s="37">
        <f ca="1">IFERROR(__xludf.DUMMYFUNCTION("""COMPUTED_VALUE"""),0)</f>
        <v>0</v>
      </c>
      <c r="G3" s="37">
        <f ca="1">IFERROR(__xludf.DUMMYFUNCTION("""COMPUTED_VALUE"""),0)</f>
        <v>0</v>
      </c>
      <c r="H3" s="38" t="s">
        <v>4197</v>
      </c>
      <c r="I3" s="38" t="s">
        <v>4</v>
      </c>
      <c r="J3" s="39" t="str">
        <f ca="1">IFERROR(__xludf.DUMMYFUNCTION("JOIN("": "",H3,I3)"),"3E-02-00-00-00-00-00: Elementos de manejo do terreno")</f>
        <v>3E-02-00-00-00-00-00: Elementos de manejo do terreno</v>
      </c>
      <c r="K3" s="40"/>
      <c r="L3" s="41">
        <v>2</v>
      </c>
      <c r="M3" s="42"/>
      <c r="N3" s="43"/>
      <c r="O3" s="43"/>
      <c r="P3" s="43"/>
      <c r="Q3" s="44">
        <v>8</v>
      </c>
      <c r="R3" s="44">
        <v>2</v>
      </c>
      <c r="S3" s="44">
        <v>2</v>
      </c>
      <c r="T3" s="44">
        <v>2</v>
      </c>
      <c r="U3" s="46" t="b">
        <f ca="1"/>
        <v>0</v>
      </c>
      <c r="W3" s="7" t="str">
        <f t="shared" si="0"/>
        <v>3E-02</v>
      </c>
      <c r="X3" s="12" t="s">
        <v>4198</v>
      </c>
      <c r="Y3" s="10">
        <v>2</v>
      </c>
      <c r="Z3" s="7" t="str">
        <f t="shared" si="1"/>
        <v>manejo do terreno</v>
      </c>
    </row>
    <row r="4" spans="1:32" ht="12.75" hidden="1">
      <c r="A4" s="47" t="s">
        <v>5</v>
      </c>
      <c r="B4" s="48">
        <f ca="1">IFERROR(__xludf.DUMMYFUNCTION("SPLIT(RIGHT(A4,17),"" "")"),2)</f>
        <v>2</v>
      </c>
      <c r="C4" s="48">
        <f ca="1">IFERROR(__xludf.DUMMYFUNCTION("""COMPUTED_VALUE"""),2)</f>
        <v>2</v>
      </c>
      <c r="D4" s="48">
        <f ca="1">IFERROR(__xludf.DUMMYFUNCTION("""COMPUTED_VALUE"""),0)</f>
        <v>0</v>
      </c>
      <c r="E4" s="48">
        <f ca="1">IFERROR(__xludf.DUMMYFUNCTION("""COMPUTED_VALUE"""),0)</f>
        <v>0</v>
      </c>
      <c r="F4" s="48">
        <f ca="1">IFERROR(__xludf.DUMMYFUNCTION("""COMPUTED_VALUE"""),0)</f>
        <v>0</v>
      </c>
      <c r="G4" s="48">
        <f ca="1">IFERROR(__xludf.DUMMYFUNCTION("""COMPUTED_VALUE"""),0)</f>
        <v>0</v>
      </c>
      <c r="H4" s="49" t="s">
        <v>6</v>
      </c>
      <c r="I4" s="49" t="s">
        <v>7</v>
      </c>
      <c r="J4" s="50" t="str">
        <f ca="1">IFERROR(__xludf.DUMMYFUNCTION("JOIN("": "",H4,I4)"),"3E-02-02-00-00-00-00: Elementos de terrapleno")</f>
        <v>3E-02-02-00-00-00-00: Elementos de terrapleno</v>
      </c>
      <c r="K4" s="51"/>
      <c r="L4" s="52">
        <v>3</v>
      </c>
      <c r="M4" s="53"/>
      <c r="N4" s="53"/>
      <c r="O4" s="53"/>
      <c r="P4" s="53"/>
      <c r="Q4" s="54"/>
      <c r="R4" s="54"/>
      <c r="S4" s="54"/>
      <c r="T4" s="55">
        <v>4</v>
      </c>
      <c r="U4" s="45" t="b">
        <f ca="1"/>
        <v>0</v>
      </c>
      <c r="X4" s="12" t="s">
        <v>4199</v>
      </c>
      <c r="Y4" s="10">
        <v>4</v>
      </c>
    </row>
    <row r="5" spans="1:32" ht="12.75" hidden="1">
      <c r="A5" s="56" t="s">
        <v>9</v>
      </c>
      <c r="B5" s="57">
        <f ca="1">IFERROR(__xludf.DUMMYFUNCTION("SPLIT(RIGHT(A5,17),"" "")"),2)</f>
        <v>2</v>
      </c>
      <c r="C5" s="58">
        <f ca="1">IFERROR(__xludf.DUMMYFUNCTION("""COMPUTED_VALUE"""),2)</f>
        <v>2</v>
      </c>
      <c r="D5" s="58">
        <f ca="1">IFERROR(__xludf.DUMMYFUNCTION("""COMPUTED_VALUE"""),2)</f>
        <v>2</v>
      </c>
      <c r="E5" s="58">
        <f ca="1">IFERROR(__xludf.DUMMYFUNCTION("""COMPUTED_VALUE"""),0)</f>
        <v>0</v>
      </c>
      <c r="F5" s="58">
        <f ca="1">IFERROR(__xludf.DUMMYFUNCTION("""COMPUTED_VALUE"""),0)</f>
        <v>0</v>
      </c>
      <c r="G5" s="58">
        <f ca="1">IFERROR(__xludf.DUMMYFUNCTION("""COMPUTED_VALUE"""),0)</f>
        <v>0</v>
      </c>
      <c r="H5" s="59" t="s">
        <v>10</v>
      </c>
      <c r="I5" s="59" t="s">
        <v>11</v>
      </c>
      <c r="J5" s="60" t="str">
        <f ca="1">IFERROR(__xludf.DUMMYFUNCTION("JOIN("": "",H5,I5)"),"3E-02-02-02-00-00-00: Solo")</f>
        <v>3E-02-02-02-00-00-00: Solo</v>
      </c>
      <c r="K5" s="61"/>
      <c r="L5" s="62">
        <v>4</v>
      </c>
      <c r="M5" s="59"/>
      <c r="N5" s="59"/>
      <c r="O5" s="59"/>
      <c r="P5" s="59"/>
      <c r="Q5" s="63"/>
      <c r="R5" s="63"/>
      <c r="S5" s="63"/>
      <c r="T5" s="64">
        <v>6</v>
      </c>
      <c r="U5" s="46" t="b">
        <f ca="1"/>
        <v>0</v>
      </c>
      <c r="X5" s="12" t="s">
        <v>4200</v>
      </c>
      <c r="Y5" s="10">
        <v>6</v>
      </c>
    </row>
    <row r="6" spans="1:32" ht="12.75" hidden="1">
      <c r="A6" s="56" t="s">
        <v>13</v>
      </c>
      <c r="B6" s="57">
        <f ca="1">IFERROR(__xludf.DUMMYFUNCTION("SPLIT(RIGHT(A6,17),"" "")"),2)</f>
        <v>2</v>
      </c>
      <c r="C6" s="58">
        <f ca="1">IFERROR(__xludf.DUMMYFUNCTION("""COMPUTED_VALUE"""),2)</f>
        <v>2</v>
      </c>
      <c r="D6" s="58">
        <f ca="1">IFERROR(__xludf.DUMMYFUNCTION("""COMPUTED_VALUE"""),4)</f>
        <v>4</v>
      </c>
      <c r="E6" s="58">
        <f ca="1">IFERROR(__xludf.DUMMYFUNCTION("""COMPUTED_VALUE"""),0)</f>
        <v>0</v>
      </c>
      <c r="F6" s="58">
        <f ca="1">IFERROR(__xludf.DUMMYFUNCTION("""COMPUTED_VALUE"""),0)</f>
        <v>0</v>
      </c>
      <c r="G6" s="58">
        <f ca="1">IFERROR(__xludf.DUMMYFUNCTION("""COMPUTED_VALUE"""),0)</f>
        <v>0</v>
      </c>
      <c r="H6" s="59" t="s">
        <v>14</v>
      </c>
      <c r="I6" s="59" t="s">
        <v>15</v>
      </c>
      <c r="J6" s="60" t="str">
        <f ca="1">IFERROR(__xludf.DUMMYFUNCTION("JOIN("": "",H6,I6)"),"3E-02-02-04-00-00-00: Camada de solo orgânico")</f>
        <v>3E-02-02-04-00-00-00: Camada de solo orgânico</v>
      </c>
      <c r="K6" s="61"/>
      <c r="L6" s="62">
        <v>4</v>
      </c>
      <c r="M6" s="59"/>
      <c r="N6" s="59"/>
      <c r="O6" s="59"/>
      <c r="P6" s="59"/>
      <c r="Q6" s="63"/>
      <c r="R6" s="63"/>
      <c r="S6" s="63"/>
      <c r="T6" s="64">
        <v>8</v>
      </c>
      <c r="U6" s="45" t="b">
        <f ca="1"/>
        <v>0</v>
      </c>
      <c r="X6" s="12" t="s">
        <v>4201</v>
      </c>
      <c r="Y6" s="10">
        <v>8</v>
      </c>
    </row>
    <row r="7" spans="1:32" ht="12.75" hidden="1">
      <c r="A7" s="56" t="s">
        <v>17</v>
      </c>
      <c r="B7" s="57">
        <f ca="1">IFERROR(__xludf.DUMMYFUNCTION("SPLIT(RIGHT(A7,17),"" "")"),2)</f>
        <v>2</v>
      </c>
      <c r="C7" s="58">
        <f ca="1">IFERROR(__xludf.DUMMYFUNCTION("""COMPUTED_VALUE"""),2)</f>
        <v>2</v>
      </c>
      <c r="D7" s="58">
        <f ca="1">IFERROR(__xludf.DUMMYFUNCTION("""COMPUTED_VALUE"""),6)</f>
        <v>6</v>
      </c>
      <c r="E7" s="58">
        <f ca="1">IFERROR(__xludf.DUMMYFUNCTION("""COMPUTED_VALUE"""),0)</f>
        <v>0</v>
      </c>
      <c r="F7" s="58">
        <f ca="1">IFERROR(__xludf.DUMMYFUNCTION("""COMPUTED_VALUE"""),0)</f>
        <v>0</v>
      </c>
      <c r="G7" s="58">
        <f ca="1">IFERROR(__xludf.DUMMYFUNCTION("""COMPUTED_VALUE"""),0)</f>
        <v>0</v>
      </c>
      <c r="H7" s="59" t="s">
        <v>18</v>
      </c>
      <c r="I7" s="59" t="s">
        <v>19</v>
      </c>
      <c r="J7" s="60" t="str">
        <f ca="1">IFERROR(__xludf.DUMMYFUNCTION("JOIN("": "",H7,I7)"),"3E-02-02-06-00-00-00: Platô")</f>
        <v>3E-02-02-06-00-00-00: Platô</v>
      </c>
      <c r="K7" s="61"/>
      <c r="L7" s="62">
        <v>4</v>
      </c>
      <c r="M7" s="59"/>
      <c r="N7" s="59"/>
      <c r="O7" s="59"/>
      <c r="P7" s="59"/>
      <c r="Q7" s="63"/>
      <c r="R7" s="63"/>
      <c r="S7" s="63"/>
      <c r="T7" s="64">
        <v>10</v>
      </c>
      <c r="U7" s="46" t="b">
        <f ca="1"/>
        <v>0</v>
      </c>
      <c r="X7" s="12" t="s">
        <v>4202</v>
      </c>
      <c r="Y7" s="10">
        <v>10</v>
      </c>
    </row>
    <row r="8" spans="1:32" ht="12.75" hidden="1">
      <c r="A8" s="56" t="s">
        <v>21</v>
      </c>
      <c r="B8" s="57">
        <f ca="1">IFERROR(__xludf.DUMMYFUNCTION("SPLIT(RIGHT(A8,17),"" "")"),2)</f>
        <v>2</v>
      </c>
      <c r="C8" s="58">
        <f ca="1">IFERROR(__xludf.DUMMYFUNCTION("""COMPUTED_VALUE"""),2)</f>
        <v>2</v>
      </c>
      <c r="D8" s="58">
        <f ca="1">IFERROR(__xludf.DUMMYFUNCTION("""COMPUTED_VALUE"""),8)</f>
        <v>8</v>
      </c>
      <c r="E8" s="58">
        <f ca="1">IFERROR(__xludf.DUMMYFUNCTION("""COMPUTED_VALUE"""),0)</f>
        <v>0</v>
      </c>
      <c r="F8" s="58">
        <f ca="1">IFERROR(__xludf.DUMMYFUNCTION("""COMPUTED_VALUE"""),0)</f>
        <v>0</v>
      </c>
      <c r="G8" s="58">
        <f ca="1">IFERROR(__xludf.DUMMYFUNCTION("""COMPUTED_VALUE"""),0)</f>
        <v>0</v>
      </c>
      <c r="H8" s="59" t="s">
        <v>22</v>
      </c>
      <c r="I8" s="59" t="s">
        <v>23</v>
      </c>
      <c r="J8" s="60" t="str">
        <f ca="1">IFERROR(__xludf.DUMMYFUNCTION("JOIN("": "",H8,I8)"),"3E-02-02-08-00-00-00: Faixa terraplanada")</f>
        <v>3E-02-02-08-00-00-00: Faixa terraplanada</v>
      </c>
      <c r="K8" s="61"/>
      <c r="L8" s="62">
        <v>4</v>
      </c>
      <c r="M8" s="59"/>
      <c r="N8" s="59"/>
      <c r="O8" s="59"/>
      <c r="P8" s="59"/>
      <c r="Q8" s="63"/>
      <c r="R8" s="63"/>
      <c r="S8" s="63"/>
      <c r="T8" s="64">
        <v>12</v>
      </c>
      <c r="U8" s="45" t="b">
        <f ca="1"/>
        <v>0</v>
      </c>
      <c r="X8" s="12" t="s">
        <v>4203</v>
      </c>
      <c r="Y8" s="10">
        <v>12</v>
      </c>
    </row>
    <row r="9" spans="1:32" ht="12.75" hidden="1">
      <c r="A9" s="47" t="s">
        <v>25</v>
      </c>
      <c r="B9" s="48">
        <f ca="1">IFERROR(__xludf.DUMMYFUNCTION("SPLIT(RIGHT(A9,17),"" "")"),2)</f>
        <v>2</v>
      </c>
      <c r="C9" s="48">
        <f ca="1">IFERROR(__xludf.DUMMYFUNCTION("""COMPUTED_VALUE"""),4)</f>
        <v>4</v>
      </c>
      <c r="D9" s="48">
        <f ca="1">IFERROR(__xludf.DUMMYFUNCTION("""COMPUTED_VALUE"""),0)</f>
        <v>0</v>
      </c>
      <c r="E9" s="48">
        <f ca="1">IFERROR(__xludf.DUMMYFUNCTION("""COMPUTED_VALUE"""),0)</f>
        <v>0</v>
      </c>
      <c r="F9" s="48">
        <f ca="1">IFERROR(__xludf.DUMMYFUNCTION("""COMPUTED_VALUE"""),0)</f>
        <v>0</v>
      </c>
      <c r="G9" s="48">
        <f ca="1">IFERROR(__xludf.DUMMYFUNCTION("""COMPUTED_VALUE"""),0)</f>
        <v>0</v>
      </c>
      <c r="H9" s="49" t="s">
        <v>26</v>
      </c>
      <c r="I9" s="49" t="s">
        <v>27</v>
      </c>
      <c r="J9" s="50" t="str">
        <f ca="1">IFERROR(__xludf.DUMMYFUNCTION("JOIN("": "",H9,I9)"),"3E-02-04-00-00-00-00: Elementos de contenção")</f>
        <v>3E-02-04-00-00-00-00: Elementos de contenção</v>
      </c>
      <c r="K9" s="51"/>
      <c r="L9" s="52">
        <v>3</v>
      </c>
      <c r="M9" s="53"/>
      <c r="N9" s="53"/>
      <c r="O9" s="53"/>
      <c r="P9" s="53"/>
      <c r="Q9" s="54"/>
      <c r="R9" s="54"/>
      <c r="S9" s="54"/>
      <c r="T9" s="55">
        <v>6</v>
      </c>
      <c r="U9" s="46" t="b">
        <f ca="1"/>
        <v>0</v>
      </c>
      <c r="X9" s="12" t="s">
        <v>4204</v>
      </c>
      <c r="Y9" s="10">
        <v>6</v>
      </c>
    </row>
    <row r="10" spans="1:32" ht="12.75" hidden="1">
      <c r="A10" s="56" t="s">
        <v>29</v>
      </c>
      <c r="B10" s="57">
        <f ca="1">IFERROR(__xludf.DUMMYFUNCTION("SPLIT(RIGHT(A10,17),"" "")"),2)</f>
        <v>2</v>
      </c>
      <c r="C10" s="58">
        <f ca="1">IFERROR(__xludf.DUMMYFUNCTION("""COMPUTED_VALUE"""),4)</f>
        <v>4</v>
      </c>
      <c r="D10" s="58">
        <f ca="1">IFERROR(__xludf.DUMMYFUNCTION("""COMPUTED_VALUE"""),2)</f>
        <v>2</v>
      </c>
      <c r="E10" s="58">
        <f ca="1">IFERROR(__xludf.DUMMYFUNCTION("""COMPUTED_VALUE"""),0)</f>
        <v>0</v>
      </c>
      <c r="F10" s="58">
        <f ca="1">IFERROR(__xludf.DUMMYFUNCTION("""COMPUTED_VALUE"""),0)</f>
        <v>0</v>
      </c>
      <c r="G10" s="58">
        <f ca="1">IFERROR(__xludf.DUMMYFUNCTION("""COMPUTED_VALUE"""),0)</f>
        <v>0</v>
      </c>
      <c r="H10" s="59" t="s">
        <v>30</v>
      </c>
      <c r="I10" s="59" t="s">
        <v>31</v>
      </c>
      <c r="J10" s="60" t="str">
        <f ca="1">IFERROR(__xludf.DUMMYFUNCTION("JOIN("": "",H10,I10)"),"3E-02-04-02-00-00-00: Muro de arrimo")</f>
        <v>3E-02-04-02-00-00-00: Muro de arrimo</v>
      </c>
      <c r="K10" s="61"/>
      <c r="L10" s="62">
        <v>4</v>
      </c>
      <c r="M10" s="59"/>
      <c r="N10" s="59"/>
      <c r="O10" s="59"/>
      <c r="P10" s="59"/>
      <c r="Q10" s="63"/>
      <c r="R10" s="63"/>
      <c r="S10" s="63"/>
      <c r="T10" s="64">
        <v>8</v>
      </c>
      <c r="U10" s="45" t="b">
        <f ca="1"/>
        <v>0</v>
      </c>
      <c r="X10" s="12" t="s">
        <v>4205</v>
      </c>
      <c r="Y10" s="10">
        <v>8</v>
      </c>
    </row>
    <row r="11" spans="1:32" ht="12.75" hidden="1">
      <c r="A11" s="65" t="s">
        <v>33</v>
      </c>
      <c r="B11" s="66">
        <f ca="1">IFERROR(__xludf.DUMMYFUNCTION("SPLIT(RIGHT(A11,17),"" "")"),2)</f>
        <v>2</v>
      </c>
      <c r="C11" s="67">
        <f ca="1">IFERROR(__xludf.DUMMYFUNCTION("""COMPUTED_VALUE"""),4)</f>
        <v>4</v>
      </c>
      <c r="D11" s="67">
        <f ca="1">IFERROR(__xludf.DUMMYFUNCTION("""COMPUTED_VALUE"""),2)</f>
        <v>2</v>
      </c>
      <c r="E11" s="67">
        <f ca="1">IFERROR(__xludf.DUMMYFUNCTION("""COMPUTED_VALUE"""),2)</f>
        <v>2</v>
      </c>
      <c r="F11" s="67">
        <f ca="1">IFERROR(__xludf.DUMMYFUNCTION("""COMPUTED_VALUE"""),0)</f>
        <v>0</v>
      </c>
      <c r="G11" s="67">
        <f ca="1">IFERROR(__xludf.DUMMYFUNCTION("""COMPUTED_VALUE"""),0)</f>
        <v>0</v>
      </c>
      <c r="H11" s="68" t="s">
        <v>34</v>
      </c>
      <c r="I11" s="68" t="s">
        <v>35</v>
      </c>
      <c r="J11" s="69" t="str">
        <f ca="1">IFERROR(__xludf.DUMMYFUNCTION("JOIN("": "",H11,I11)"),"3E-02-04-02-02-00-00: Muro de arrimo por gravidade")</f>
        <v>3E-02-04-02-02-00-00: Muro de arrimo por gravidade</v>
      </c>
      <c r="K11" s="70"/>
      <c r="L11" s="71">
        <v>5</v>
      </c>
      <c r="M11" s="68"/>
      <c r="N11" s="68"/>
      <c r="O11" s="68"/>
      <c r="P11" s="68"/>
      <c r="Q11" s="72"/>
      <c r="R11" s="72"/>
      <c r="S11" s="72"/>
      <c r="T11" s="73">
        <v>10</v>
      </c>
      <c r="U11" s="46" t="b">
        <f ca="1"/>
        <v>0</v>
      </c>
      <c r="X11" s="12" t="s">
        <v>4206</v>
      </c>
      <c r="Y11" s="10">
        <v>10</v>
      </c>
    </row>
    <row r="12" spans="1:32" ht="12.75" hidden="1">
      <c r="A12" s="65" t="s">
        <v>37</v>
      </c>
      <c r="B12" s="66">
        <f ca="1">IFERROR(__xludf.DUMMYFUNCTION("SPLIT(RIGHT(A12,17),"" "")"),2)</f>
        <v>2</v>
      </c>
      <c r="C12" s="67">
        <f ca="1">IFERROR(__xludf.DUMMYFUNCTION("""COMPUTED_VALUE"""),4)</f>
        <v>4</v>
      </c>
      <c r="D12" s="67">
        <f ca="1">IFERROR(__xludf.DUMMYFUNCTION("""COMPUTED_VALUE"""),2)</f>
        <v>2</v>
      </c>
      <c r="E12" s="67">
        <f ca="1">IFERROR(__xludf.DUMMYFUNCTION("""COMPUTED_VALUE"""),4)</f>
        <v>4</v>
      </c>
      <c r="F12" s="67">
        <f ca="1">IFERROR(__xludf.DUMMYFUNCTION("""COMPUTED_VALUE"""),0)</f>
        <v>0</v>
      </c>
      <c r="G12" s="67">
        <f ca="1">IFERROR(__xludf.DUMMYFUNCTION("""COMPUTED_VALUE"""),0)</f>
        <v>0</v>
      </c>
      <c r="H12" s="68" t="s">
        <v>38</v>
      </c>
      <c r="I12" s="68" t="s">
        <v>39</v>
      </c>
      <c r="J12" s="69" t="str">
        <f ca="1">IFERROR(__xludf.DUMMYFUNCTION("JOIN("": "",H12,I12)"),"3E-02-04-02-04-00-00: Muro de arrimo por flexão")</f>
        <v>3E-02-04-02-04-00-00: Muro de arrimo por flexão</v>
      </c>
      <c r="K12" s="70"/>
      <c r="L12" s="71">
        <v>5</v>
      </c>
      <c r="M12" s="68"/>
      <c r="N12" s="68"/>
      <c r="O12" s="68"/>
      <c r="P12" s="68"/>
      <c r="Q12" s="72"/>
      <c r="R12" s="72"/>
      <c r="S12" s="72"/>
      <c r="T12" s="73">
        <v>12</v>
      </c>
      <c r="U12" s="45" t="b">
        <f ca="1"/>
        <v>0</v>
      </c>
      <c r="X12" s="12" t="s">
        <v>4207</v>
      </c>
      <c r="Y12" s="10">
        <v>12</v>
      </c>
    </row>
    <row r="13" spans="1:32" ht="12.75" hidden="1">
      <c r="A13" s="65" t="s">
        <v>41</v>
      </c>
      <c r="B13" s="66">
        <f ca="1">IFERROR(__xludf.DUMMYFUNCTION("SPLIT(RIGHT(A13,17),"" "")"),2)</f>
        <v>2</v>
      </c>
      <c r="C13" s="67">
        <f ca="1">IFERROR(__xludf.DUMMYFUNCTION("""COMPUTED_VALUE"""),4)</f>
        <v>4</v>
      </c>
      <c r="D13" s="67">
        <f ca="1">IFERROR(__xludf.DUMMYFUNCTION("""COMPUTED_VALUE"""),2)</f>
        <v>2</v>
      </c>
      <c r="E13" s="67">
        <f ca="1">IFERROR(__xludf.DUMMYFUNCTION("""COMPUTED_VALUE"""),6)</f>
        <v>6</v>
      </c>
      <c r="F13" s="67">
        <f ca="1">IFERROR(__xludf.DUMMYFUNCTION("""COMPUTED_VALUE"""),0)</f>
        <v>0</v>
      </c>
      <c r="G13" s="67">
        <f ca="1">IFERROR(__xludf.DUMMYFUNCTION("""COMPUTED_VALUE"""),0)</f>
        <v>0</v>
      </c>
      <c r="H13" s="68" t="s">
        <v>42</v>
      </c>
      <c r="I13" s="68" t="s">
        <v>43</v>
      </c>
      <c r="J13" s="69" t="str">
        <f ca="1">IFERROR(__xludf.DUMMYFUNCTION("JOIN("": "",H13,I13)"),"3E-02-04-02-06-00-00: Muro de gabião")</f>
        <v>3E-02-04-02-06-00-00: Muro de gabião</v>
      </c>
      <c r="K13" s="70"/>
      <c r="L13" s="71">
        <v>5</v>
      </c>
      <c r="M13" s="68"/>
      <c r="N13" s="68"/>
      <c r="O13" s="68"/>
      <c r="P13" s="68"/>
      <c r="Q13" s="72"/>
      <c r="R13" s="72"/>
      <c r="S13" s="72"/>
      <c r="T13" s="73">
        <v>14</v>
      </c>
      <c r="U13" s="46" t="b">
        <f ca="1"/>
        <v>0</v>
      </c>
      <c r="X13" s="12" t="s">
        <v>4208</v>
      </c>
      <c r="Y13" s="10">
        <v>14</v>
      </c>
    </row>
    <row r="14" spans="1:32" ht="12.75" hidden="1">
      <c r="A14" s="65" t="s">
        <v>45</v>
      </c>
      <c r="B14" s="66">
        <f ca="1">IFERROR(__xludf.DUMMYFUNCTION("SPLIT(RIGHT(A14,17),"" "")"),2)</f>
        <v>2</v>
      </c>
      <c r="C14" s="67">
        <f ca="1">IFERROR(__xludf.DUMMYFUNCTION("""COMPUTED_VALUE"""),4)</f>
        <v>4</v>
      </c>
      <c r="D14" s="67">
        <f ca="1">IFERROR(__xludf.DUMMYFUNCTION("""COMPUTED_VALUE"""),2)</f>
        <v>2</v>
      </c>
      <c r="E14" s="67">
        <f ca="1">IFERROR(__xludf.DUMMYFUNCTION("""COMPUTED_VALUE"""),8)</f>
        <v>8</v>
      </c>
      <c r="F14" s="67">
        <f ca="1">IFERROR(__xludf.DUMMYFUNCTION("""COMPUTED_VALUE"""),0)</f>
        <v>0</v>
      </c>
      <c r="G14" s="67">
        <f ca="1">IFERROR(__xludf.DUMMYFUNCTION("""COMPUTED_VALUE"""),0)</f>
        <v>0</v>
      </c>
      <c r="H14" s="68" t="s">
        <v>46</v>
      </c>
      <c r="I14" s="68" t="s">
        <v>47</v>
      </c>
      <c r="J14" s="69" t="str">
        <f ca="1">IFERROR(__xludf.DUMMYFUNCTION("JOIN("": "",H14,I14)"),"3E-02-04-02-08-00-00: Muro de flexão")</f>
        <v>3E-02-04-02-08-00-00: Muro de flexão</v>
      </c>
      <c r="K14" s="70"/>
      <c r="L14" s="71">
        <v>5</v>
      </c>
      <c r="M14" s="68"/>
      <c r="N14" s="68"/>
      <c r="O14" s="68"/>
      <c r="P14" s="68"/>
      <c r="Q14" s="72"/>
      <c r="R14" s="72"/>
      <c r="S14" s="72"/>
      <c r="T14" s="73">
        <v>16</v>
      </c>
      <c r="U14" s="45" t="b">
        <f ca="1"/>
        <v>0</v>
      </c>
      <c r="X14" s="12" t="s">
        <v>4209</v>
      </c>
      <c r="Y14" s="10">
        <v>16</v>
      </c>
    </row>
    <row r="15" spans="1:32" ht="12.75" hidden="1">
      <c r="A15" s="56" t="s">
        <v>49</v>
      </c>
      <c r="B15" s="57">
        <f ca="1">IFERROR(__xludf.DUMMYFUNCTION("SPLIT(RIGHT(A15,17),"" "")"),2)</f>
        <v>2</v>
      </c>
      <c r="C15" s="58">
        <f ca="1">IFERROR(__xludf.DUMMYFUNCTION("""COMPUTED_VALUE"""),4)</f>
        <v>4</v>
      </c>
      <c r="D15" s="58">
        <f ca="1">IFERROR(__xludf.DUMMYFUNCTION("""COMPUTED_VALUE"""),4)</f>
        <v>4</v>
      </c>
      <c r="E15" s="58">
        <f ca="1">IFERROR(__xludf.DUMMYFUNCTION("""COMPUTED_VALUE"""),0)</f>
        <v>0</v>
      </c>
      <c r="F15" s="58">
        <f ca="1">IFERROR(__xludf.DUMMYFUNCTION("""COMPUTED_VALUE"""),0)</f>
        <v>0</v>
      </c>
      <c r="G15" s="58">
        <f ca="1">IFERROR(__xludf.DUMMYFUNCTION("""COMPUTED_VALUE"""),0)</f>
        <v>0</v>
      </c>
      <c r="H15" s="59" t="s">
        <v>50</v>
      </c>
      <c r="I15" s="59" t="s">
        <v>51</v>
      </c>
      <c r="J15" s="60" t="str">
        <f ca="1">IFERROR(__xludf.DUMMYFUNCTION("JOIN("": "",H15,I15)"),"3E-02-04-04-00-00-00: Solo grampeado")</f>
        <v>3E-02-04-04-00-00-00: Solo grampeado</v>
      </c>
      <c r="K15" s="61"/>
      <c r="L15" s="62">
        <v>4</v>
      </c>
      <c r="M15" s="59"/>
      <c r="N15" s="59"/>
      <c r="O15" s="59"/>
      <c r="P15" s="59"/>
      <c r="Q15" s="63"/>
      <c r="R15" s="63"/>
      <c r="S15" s="63"/>
      <c r="T15" s="64">
        <v>10</v>
      </c>
      <c r="U15" s="46" t="b">
        <f ca="1"/>
        <v>0</v>
      </c>
      <c r="X15" s="12" t="s">
        <v>4210</v>
      </c>
      <c r="Y15" s="10">
        <v>10</v>
      </c>
    </row>
    <row r="16" spans="1:32" ht="12.75" hidden="1">
      <c r="A16" s="56" t="s">
        <v>53</v>
      </c>
      <c r="B16" s="57">
        <f ca="1">IFERROR(__xludf.DUMMYFUNCTION("SPLIT(RIGHT(A16,17),"" "")"),2)</f>
        <v>2</v>
      </c>
      <c r="C16" s="58">
        <f ca="1">IFERROR(__xludf.DUMMYFUNCTION("""COMPUTED_VALUE"""),4)</f>
        <v>4</v>
      </c>
      <c r="D16" s="58">
        <f ca="1">IFERROR(__xludf.DUMMYFUNCTION("""COMPUTED_VALUE"""),6)</f>
        <v>6</v>
      </c>
      <c r="E16" s="58">
        <f ca="1">IFERROR(__xludf.DUMMYFUNCTION("""COMPUTED_VALUE"""),0)</f>
        <v>0</v>
      </c>
      <c r="F16" s="58">
        <f ca="1">IFERROR(__xludf.DUMMYFUNCTION("""COMPUTED_VALUE"""),0)</f>
        <v>0</v>
      </c>
      <c r="G16" s="58">
        <f ca="1">IFERROR(__xludf.DUMMYFUNCTION("""COMPUTED_VALUE"""),0)</f>
        <v>0</v>
      </c>
      <c r="H16" s="59" t="s">
        <v>54</v>
      </c>
      <c r="I16" s="59" t="s">
        <v>55</v>
      </c>
      <c r="J16" s="60" t="str">
        <f ca="1">IFERROR(__xludf.DUMMYFUNCTION("JOIN("": "",H16,I16)"),"3E-02-04-06-00-00-00: Cortina de contenção")</f>
        <v>3E-02-04-06-00-00-00: Cortina de contenção</v>
      </c>
      <c r="K16" s="61"/>
      <c r="L16" s="62">
        <v>4</v>
      </c>
      <c r="M16" s="59"/>
      <c r="N16" s="59"/>
      <c r="O16" s="59"/>
      <c r="P16" s="59"/>
      <c r="Q16" s="63"/>
      <c r="R16" s="63"/>
      <c r="S16" s="63"/>
      <c r="T16" s="64">
        <v>12</v>
      </c>
      <c r="U16" s="45" t="b">
        <f ca="1"/>
        <v>0</v>
      </c>
      <c r="X16" s="12" t="s">
        <v>4211</v>
      </c>
      <c r="Y16" s="10">
        <v>12</v>
      </c>
    </row>
    <row r="17" spans="1:25" ht="12.75" hidden="1">
      <c r="A17" s="65" t="s">
        <v>57</v>
      </c>
      <c r="B17" s="66">
        <f ca="1">IFERROR(__xludf.DUMMYFUNCTION("SPLIT(RIGHT(A17,17),"" "")"),2)</f>
        <v>2</v>
      </c>
      <c r="C17" s="67">
        <f ca="1">IFERROR(__xludf.DUMMYFUNCTION("""COMPUTED_VALUE"""),4)</f>
        <v>4</v>
      </c>
      <c r="D17" s="67">
        <f ca="1">IFERROR(__xludf.DUMMYFUNCTION("""COMPUTED_VALUE"""),6)</f>
        <v>6</v>
      </c>
      <c r="E17" s="67">
        <f ca="1">IFERROR(__xludf.DUMMYFUNCTION("""COMPUTED_VALUE"""),2)</f>
        <v>2</v>
      </c>
      <c r="F17" s="67">
        <f ca="1">IFERROR(__xludf.DUMMYFUNCTION("""COMPUTED_VALUE"""),0)</f>
        <v>0</v>
      </c>
      <c r="G17" s="67">
        <f ca="1">IFERROR(__xludf.DUMMYFUNCTION("""COMPUTED_VALUE"""),0)</f>
        <v>0</v>
      </c>
      <c r="H17" s="68" t="s">
        <v>58</v>
      </c>
      <c r="I17" s="68" t="s">
        <v>59</v>
      </c>
      <c r="J17" s="69" t="str">
        <f ca="1">IFERROR(__xludf.DUMMYFUNCTION("JOIN("": "",H17,I17)"),"3E-02-04-06-02-00-00: Contenção escorada")</f>
        <v>3E-02-04-06-02-00-00: Contenção escorada</v>
      </c>
      <c r="K17" s="70"/>
      <c r="L17" s="71">
        <v>5</v>
      </c>
      <c r="M17" s="68"/>
      <c r="N17" s="68"/>
      <c r="O17" s="68"/>
      <c r="P17" s="68"/>
      <c r="Q17" s="72"/>
      <c r="R17" s="72"/>
      <c r="S17" s="72"/>
      <c r="T17" s="73">
        <v>14</v>
      </c>
      <c r="U17" s="46" t="b">
        <f ca="1"/>
        <v>0</v>
      </c>
      <c r="X17" s="12" t="s">
        <v>4212</v>
      </c>
      <c r="Y17" s="10">
        <v>14</v>
      </c>
    </row>
    <row r="18" spans="1:25" ht="12.75" hidden="1">
      <c r="A18" s="65" t="s">
        <v>61</v>
      </c>
      <c r="B18" s="66">
        <f ca="1">IFERROR(__xludf.DUMMYFUNCTION("SPLIT(RIGHT(A18,17),"" "")"),2)</f>
        <v>2</v>
      </c>
      <c r="C18" s="67">
        <f ca="1">IFERROR(__xludf.DUMMYFUNCTION("""COMPUTED_VALUE"""),4)</f>
        <v>4</v>
      </c>
      <c r="D18" s="67">
        <f ca="1">IFERROR(__xludf.DUMMYFUNCTION("""COMPUTED_VALUE"""),6)</f>
        <v>6</v>
      </c>
      <c r="E18" s="67">
        <f ca="1">IFERROR(__xludf.DUMMYFUNCTION("""COMPUTED_VALUE"""),4)</f>
        <v>4</v>
      </c>
      <c r="F18" s="67">
        <f ca="1">IFERROR(__xludf.DUMMYFUNCTION("""COMPUTED_VALUE"""),0)</f>
        <v>0</v>
      </c>
      <c r="G18" s="67">
        <f ca="1">IFERROR(__xludf.DUMMYFUNCTION("""COMPUTED_VALUE"""),0)</f>
        <v>0</v>
      </c>
      <c r="H18" s="68" t="s">
        <v>62</v>
      </c>
      <c r="I18" s="68" t="s">
        <v>63</v>
      </c>
      <c r="J18" s="69" t="str">
        <f ca="1">IFERROR(__xludf.DUMMYFUNCTION("JOIN("": "",H18,I18)"),"3E-02-04-06-04-00-00: Contenção não escorada")</f>
        <v>3E-02-04-06-04-00-00: Contenção não escorada</v>
      </c>
      <c r="K18" s="70"/>
      <c r="L18" s="71">
        <v>5</v>
      </c>
      <c r="M18" s="68"/>
      <c r="N18" s="68"/>
      <c r="O18" s="68"/>
      <c r="P18" s="68"/>
      <c r="Q18" s="72"/>
      <c r="R18" s="72"/>
      <c r="S18" s="72"/>
      <c r="T18" s="73">
        <v>16</v>
      </c>
      <c r="U18" s="45" t="b">
        <f ca="1"/>
        <v>0</v>
      </c>
      <c r="X18" s="12" t="s">
        <v>4213</v>
      </c>
      <c r="Y18" s="10">
        <v>16</v>
      </c>
    </row>
    <row r="19" spans="1:25" ht="12.75" hidden="1">
      <c r="A19" s="65" t="s">
        <v>65</v>
      </c>
      <c r="B19" s="66">
        <f ca="1">IFERROR(__xludf.DUMMYFUNCTION("SPLIT(RIGHT(A19,17),"" "")"),2)</f>
        <v>2</v>
      </c>
      <c r="C19" s="67">
        <f ca="1">IFERROR(__xludf.DUMMYFUNCTION("""COMPUTED_VALUE"""),4)</f>
        <v>4</v>
      </c>
      <c r="D19" s="67">
        <f ca="1">IFERROR(__xludf.DUMMYFUNCTION("""COMPUTED_VALUE"""),6)</f>
        <v>6</v>
      </c>
      <c r="E19" s="67">
        <f ca="1">IFERROR(__xludf.DUMMYFUNCTION("""COMPUTED_VALUE"""),6)</f>
        <v>6</v>
      </c>
      <c r="F19" s="67">
        <f ca="1">IFERROR(__xludf.DUMMYFUNCTION("""COMPUTED_VALUE"""),0)</f>
        <v>0</v>
      </c>
      <c r="G19" s="67">
        <f ca="1">IFERROR(__xludf.DUMMYFUNCTION("""COMPUTED_VALUE"""),0)</f>
        <v>0</v>
      </c>
      <c r="H19" s="68" t="s">
        <v>66</v>
      </c>
      <c r="I19" s="68" t="s">
        <v>67</v>
      </c>
      <c r="J19" s="69" t="str">
        <f ca="1">IFERROR(__xludf.DUMMYFUNCTION("JOIN("": "",H19,I19)"),"3E-02-04-06-06-00-00: Berma")</f>
        <v>3E-02-04-06-06-00-00: Berma</v>
      </c>
      <c r="K19" s="70"/>
      <c r="L19" s="71">
        <v>5</v>
      </c>
      <c r="M19" s="68"/>
      <c r="N19" s="68"/>
      <c r="O19" s="68"/>
      <c r="P19" s="68"/>
      <c r="Q19" s="72"/>
      <c r="R19" s="72"/>
      <c r="S19" s="72"/>
      <c r="T19" s="73">
        <v>18</v>
      </c>
      <c r="U19" s="46" t="b">
        <f ca="1"/>
        <v>0</v>
      </c>
      <c r="X19" s="12" t="s">
        <v>4214</v>
      </c>
      <c r="Y19" s="10">
        <v>18</v>
      </c>
    </row>
    <row r="20" spans="1:25" ht="12.75" hidden="1">
      <c r="A20" s="65" t="s">
        <v>69</v>
      </c>
      <c r="B20" s="66">
        <f ca="1">IFERROR(__xludf.DUMMYFUNCTION("SPLIT(RIGHT(A20,17),"" "")"),2)</f>
        <v>2</v>
      </c>
      <c r="C20" s="67">
        <f ca="1">IFERROR(__xludf.DUMMYFUNCTION("""COMPUTED_VALUE"""),4)</f>
        <v>4</v>
      </c>
      <c r="D20" s="67">
        <f ca="1">IFERROR(__xludf.DUMMYFUNCTION("""COMPUTED_VALUE"""),6)</f>
        <v>6</v>
      </c>
      <c r="E20" s="67">
        <f ca="1">IFERROR(__xludf.DUMMYFUNCTION("""COMPUTED_VALUE"""),8)</f>
        <v>8</v>
      </c>
      <c r="F20" s="67">
        <f ca="1">IFERROR(__xludf.DUMMYFUNCTION("""COMPUTED_VALUE"""),0)</f>
        <v>0</v>
      </c>
      <c r="G20" s="67">
        <f ca="1">IFERROR(__xludf.DUMMYFUNCTION("""COMPUTED_VALUE"""),0)</f>
        <v>0</v>
      </c>
      <c r="H20" s="68" t="s">
        <v>70</v>
      </c>
      <c r="I20" s="68" t="s">
        <v>71</v>
      </c>
      <c r="J20" s="69" t="str">
        <f ca="1">IFERROR(__xludf.DUMMYFUNCTION("JOIN("": "",H20,I20)"),"3E-02-04-06-08-00-00: Cortina de contenção com pranchão")</f>
        <v>3E-02-04-06-08-00-00: Cortina de contenção com pranchão</v>
      </c>
      <c r="K20" s="70"/>
      <c r="L20" s="71">
        <v>5</v>
      </c>
      <c r="M20" s="68"/>
      <c r="N20" s="68"/>
      <c r="O20" s="68"/>
      <c r="P20" s="68"/>
      <c r="Q20" s="72"/>
      <c r="R20" s="72"/>
      <c r="S20" s="72"/>
      <c r="T20" s="73">
        <v>20</v>
      </c>
      <c r="U20" s="45" t="b">
        <f ca="1"/>
        <v>0</v>
      </c>
      <c r="X20" s="12" t="s">
        <v>4215</v>
      </c>
      <c r="Y20" s="10">
        <v>20</v>
      </c>
    </row>
    <row r="21" spans="1:25" ht="12.75" hidden="1">
      <c r="A21" s="65" t="s">
        <v>73</v>
      </c>
      <c r="B21" s="66">
        <f ca="1">IFERROR(__xludf.DUMMYFUNCTION("SPLIT(RIGHT(A21,17),"" "")"),2)</f>
        <v>2</v>
      </c>
      <c r="C21" s="67">
        <f ca="1">IFERROR(__xludf.DUMMYFUNCTION("""COMPUTED_VALUE"""),4)</f>
        <v>4</v>
      </c>
      <c r="D21" s="67">
        <f ca="1">IFERROR(__xludf.DUMMYFUNCTION("""COMPUTED_VALUE"""),6)</f>
        <v>6</v>
      </c>
      <c r="E21" s="67">
        <f ca="1">IFERROR(__xludf.DUMMYFUNCTION("""COMPUTED_VALUE"""),10)</f>
        <v>10</v>
      </c>
      <c r="F21" s="67">
        <f ca="1">IFERROR(__xludf.DUMMYFUNCTION("""COMPUTED_VALUE"""),0)</f>
        <v>0</v>
      </c>
      <c r="G21" s="67">
        <f ca="1">IFERROR(__xludf.DUMMYFUNCTION("""COMPUTED_VALUE"""),0)</f>
        <v>0</v>
      </c>
      <c r="H21" s="68" t="s">
        <v>74</v>
      </c>
      <c r="I21" s="68" t="s">
        <v>75</v>
      </c>
      <c r="J21" s="69" t="str">
        <f ca="1">IFERROR(__xludf.DUMMYFUNCTION("JOIN("": "",H21,I21)"),"3E-02-04-06-10-00-00: Cortina de contenção com estacas justapostas")</f>
        <v>3E-02-04-06-10-00-00: Cortina de contenção com estacas justapostas</v>
      </c>
      <c r="K21" s="70"/>
      <c r="L21" s="71">
        <v>5</v>
      </c>
      <c r="M21" s="68"/>
      <c r="N21" s="68"/>
      <c r="O21" s="68"/>
      <c r="P21" s="68"/>
      <c r="Q21" s="72"/>
      <c r="R21" s="72"/>
      <c r="S21" s="72"/>
      <c r="T21" s="73">
        <v>22</v>
      </c>
      <c r="U21" s="46" t="b">
        <f ca="1"/>
        <v>0</v>
      </c>
      <c r="X21" s="12" t="s">
        <v>4216</v>
      </c>
      <c r="Y21" s="10">
        <v>22</v>
      </c>
    </row>
    <row r="22" spans="1:25" ht="12.75" hidden="1">
      <c r="A22" s="65" t="s">
        <v>77</v>
      </c>
      <c r="B22" s="66">
        <f ca="1">IFERROR(__xludf.DUMMYFUNCTION("SPLIT(RIGHT(A22,17),"" "")"),2)</f>
        <v>2</v>
      </c>
      <c r="C22" s="67">
        <f ca="1">IFERROR(__xludf.DUMMYFUNCTION("""COMPUTED_VALUE"""),4)</f>
        <v>4</v>
      </c>
      <c r="D22" s="67">
        <f ca="1">IFERROR(__xludf.DUMMYFUNCTION("""COMPUTED_VALUE"""),6)</f>
        <v>6</v>
      </c>
      <c r="E22" s="67">
        <f ca="1">IFERROR(__xludf.DUMMYFUNCTION("""COMPUTED_VALUE"""),12)</f>
        <v>12</v>
      </c>
      <c r="F22" s="67">
        <f ca="1">IFERROR(__xludf.DUMMYFUNCTION("""COMPUTED_VALUE"""),0)</f>
        <v>0</v>
      </c>
      <c r="G22" s="67">
        <f ca="1">IFERROR(__xludf.DUMMYFUNCTION("""COMPUTED_VALUE"""),0)</f>
        <v>0</v>
      </c>
      <c r="H22" s="68" t="s">
        <v>78</v>
      </c>
      <c r="I22" s="68" t="s">
        <v>79</v>
      </c>
      <c r="J22" s="69" t="str">
        <f ca="1">IFERROR(__xludf.DUMMYFUNCTION("JOIN("": "",H22,I22)"),"3E-02-04-06-12-00-00: Cortina de contenção com parede diafragma")</f>
        <v>3E-02-04-06-12-00-00: Cortina de contenção com parede diafragma</v>
      </c>
      <c r="K22" s="70"/>
      <c r="L22" s="71">
        <v>5</v>
      </c>
      <c r="M22" s="68"/>
      <c r="N22" s="68"/>
      <c r="O22" s="68"/>
      <c r="P22" s="68"/>
      <c r="Q22" s="72"/>
      <c r="R22" s="72"/>
      <c r="S22" s="72"/>
      <c r="T22" s="73">
        <v>24</v>
      </c>
      <c r="U22" s="45" t="b">
        <f ca="1"/>
        <v>0</v>
      </c>
      <c r="X22" s="12" t="s">
        <v>4217</v>
      </c>
      <c r="Y22" s="10">
        <v>24</v>
      </c>
    </row>
    <row r="23" spans="1:25" ht="12.75" hidden="1">
      <c r="A23" s="47" t="s">
        <v>81</v>
      </c>
      <c r="B23" s="48">
        <f ca="1">IFERROR(__xludf.DUMMYFUNCTION("SPLIT(RIGHT(A23,17),"" "")"),2)</f>
        <v>2</v>
      </c>
      <c r="C23" s="48">
        <f ca="1">IFERROR(__xludf.DUMMYFUNCTION("""COMPUTED_VALUE"""),6)</f>
        <v>6</v>
      </c>
      <c r="D23" s="48">
        <f ca="1">IFERROR(__xludf.DUMMYFUNCTION("""COMPUTED_VALUE"""),0)</f>
        <v>0</v>
      </c>
      <c r="E23" s="48">
        <f ca="1">IFERROR(__xludf.DUMMYFUNCTION("""COMPUTED_VALUE"""),0)</f>
        <v>0</v>
      </c>
      <c r="F23" s="48">
        <f ca="1">IFERROR(__xludf.DUMMYFUNCTION("""COMPUTED_VALUE"""),0)</f>
        <v>0</v>
      </c>
      <c r="G23" s="48">
        <f ca="1">IFERROR(__xludf.DUMMYFUNCTION("""COMPUTED_VALUE"""),0)</f>
        <v>0</v>
      </c>
      <c r="H23" s="49" t="s">
        <v>82</v>
      </c>
      <c r="I23" s="49" t="s">
        <v>83</v>
      </c>
      <c r="J23" s="50" t="str">
        <f ca="1">IFERROR(__xludf.DUMMYFUNCTION("JOIN("": "",H23,I23)"),"3E-02-06-00-00-00-00: Elementos de talude")</f>
        <v>3E-02-06-00-00-00-00: Elementos de talude</v>
      </c>
      <c r="K23" s="51"/>
      <c r="L23" s="52">
        <v>3</v>
      </c>
      <c r="M23" s="53"/>
      <c r="N23" s="53"/>
      <c r="O23" s="53"/>
      <c r="P23" s="53"/>
      <c r="Q23" s="54"/>
      <c r="R23" s="54"/>
      <c r="S23" s="54"/>
      <c r="T23" s="55">
        <v>8</v>
      </c>
      <c r="U23" s="46" t="b">
        <f ca="1"/>
        <v>0</v>
      </c>
      <c r="X23" s="12" t="s">
        <v>4218</v>
      </c>
      <c r="Y23" s="10">
        <v>8</v>
      </c>
    </row>
    <row r="24" spans="1:25" ht="12.75" hidden="1">
      <c r="A24" s="56" t="s">
        <v>85</v>
      </c>
      <c r="B24" s="57">
        <f ca="1">IFERROR(__xludf.DUMMYFUNCTION("SPLIT(RIGHT(A24,17),"" "")"),2)</f>
        <v>2</v>
      </c>
      <c r="C24" s="58">
        <f ca="1">IFERROR(__xludf.DUMMYFUNCTION("""COMPUTED_VALUE"""),6)</f>
        <v>6</v>
      </c>
      <c r="D24" s="58">
        <f ca="1">IFERROR(__xludf.DUMMYFUNCTION("""COMPUTED_VALUE"""),2)</f>
        <v>2</v>
      </c>
      <c r="E24" s="58">
        <f ca="1">IFERROR(__xludf.DUMMYFUNCTION("""COMPUTED_VALUE"""),0)</f>
        <v>0</v>
      </c>
      <c r="F24" s="58">
        <f ca="1">IFERROR(__xludf.DUMMYFUNCTION("""COMPUTED_VALUE"""),0)</f>
        <v>0</v>
      </c>
      <c r="G24" s="58">
        <f ca="1">IFERROR(__xludf.DUMMYFUNCTION("""COMPUTED_VALUE"""),0)</f>
        <v>0</v>
      </c>
      <c r="H24" s="59" t="s">
        <v>86</v>
      </c>
      <c r="I24" s="59" t="s">
        <v>87</v>
      </c>
      <c r="J24" s="60" t="str">
        <f ca="1">IFERROR(__xludf.DUMMYFUNCTION("JOIN("": "",H24,I24)"),"3E-02-06-02-00-00-00: Talude escalonado")</f>
        <v>3E-02-06-02-00-00-00: Talude escalonado</v>
      </c>
      <c r="K24" s="61"/>
      <c r="L24" s="62">
        <v>4</v>
      </c>
      <c r="M24" s="59"/>
      <c r="N24" s="59"/>
      <c r="O24" s="59"/>
      <c r="P24" s="59"/>
      <c r="Q24" s="63"/>
      <c r="R24" s="63"/>
      <c r="S24" s="63"/>
      <c r="T24" s="64">
        <v>10</v>
      </c>
      <c r="U24" s="45" t="b">
        <f ca="1"/>
        <v>0</v>
      </c>
      <c r="X24" s="12" t="s">
        <v>4219</v>
      </c>
      <c r="Y24" s="10">
        <v>10</v>
      </c>
    </row>
    <row r="25" spans="1:25" ht="12.75" hidden="1">
      <c r="A25" s="56" t="s">
        <v>89</v>
      </c>
      <c r="B25" s="57">
        <f ca="1">IFERROR(__xludf.DUMMYFUNCTION("SPLIT(RIGHT(A25,17),"" "")"),2)</f>
        <v>2</v>
      </c>
      <c r="C25" s="58">
        <f ca="1">IFERROR(__xludf.DUMMYFUNCTION("""COMPUTED_VALUE"""),6)</f>
        <v>6</v>
      </c>
      <c r="D25" s="58">
        <f ca="1">IFERROR(__xludf.DUMMYFUNCTION("""COMPUTED_VALUE"""),4)</f>
        <v>4</v>
      </c>
      <c r="E25" s="58">
        <f ca="1">IFERROR(__xludf.DUMMYFUNCTION("""COMPUTED_VALUE"""),0)</f>
        <v>0</v>
      </c>
      <c r="F25" s="58">
        <f ca="1">IFERROR(__xludf.DUMMYFUNCTION("""COMPUTED_VALUE"""),0)</f>
        <v>0</v>
      </c>
      <c r="G25" s="58">
        <f ca="1">IFERROR(__xludf.DUMMYFUNCTION("""COMPUTED_VALUE"""),0)</f>
        <v>0</v>
      </c>
      <c r="H25" s="59" t="s">
        <v>90</v>
      </c>
      <c r="I25" s="59" t="s">
        <v>91</v>
      </c>
      <c r="J25" s="60" t="str">
        <f ca="1">IFERROR(__xludf.DUMMYFUNCTION("JOIN("": "",H25,I25)"),"3E-02-06-04-00-00-00: Coroamento do talude")</f>
        <v>3E-02-06-04-00-00-00: Coroamento do talude</v>
      </c>
      <c r="K25" s="61"/>
      <c r="L25" s="62">
        <v>4</v>
      </c>
      <c r="M25" s="59"/>
      <c r="N25" s="59"/>
      <c r="O25" s="59"/>
      <c r="P25" s="59"/>
      <c r="Q25" s="63"/>
      <c r="R25" s="63"/>
      <c r="S25" s="63"/>
      <c r="T25" s="64">
        <v>12</v>
      </c>
      <c r="U25" s="46" t="b">
        <f ca="1"/>
        <v>0</v>
      </c>
      <c r="X25" s="12" t="s">
        <v>4220</v>
      </c>
      <c r="Y25" s="10">
        <v>12</v>
      </c>
    </row>
    <row r="26" spans="1:25" ht="12.75" hidden="1">
      <c r="A26" s="56" t="s">
        <v>93</v>
      </c>
      <c r="B26" s="57">
        <f ca="1">IFERROR(__xludf.DUMMYFUNCTION("SPLIT(RIGHT(A26,17),"" "")"),2)</f>
        <v>2</v>
      </c>
      <c r="C26" s="58">
        <f ca="1">IFERROR(__xludf.DUMMYFUNCTION("""COMPUTED_VALUE"""),6)</f>
        <v>6</v>
      </c>
      <c r="D26" s="58">
        <f ca="1">IFERROR(__xludf.DUMMYFUNCTION("""COMPUTED_VALUE"""),6)</f>
        <v>6</v>
      </c>
      <c r="E26" s="58">
        <f ca="1">IFERROR(__xludf.DUMMYFUNCTION("""COMPUTED_VALUE"""),0)</f>
        <v>0</v>
      </c>
      <c r="F26" s="58">
        <f ca="1">IFERROR(__xludf.DUMMYFUNCTION("""COMPUTED_VALUE"""),0)</f>
        <v>0</v>
      </c>
      <c r="G26" s="58">
        <f ca="1">IFERROR(__xludf.DUMMYFUNCTION("""COMPUTED_VALUE"""),0)</f>
        <v>0</v>
      </c>
      <c r="H26" s="59" t="s">
        <v>94</v>
      </c>
      <c r="I26" s="59" t="s">
        <v>95</v>
      </c>
      <c r="J26" s="60" t="str">
        <f ca="1">IFERROR(__xludf.DUMMYFUNCTION("JOIN("": "",H26,I26)"),"3E-02-06-06-00-00-00: Pé do talude")</f>
        <v>3E-02-06-06-00-00-00: Pé do talude</v>
      </c>
      <c r="K26" s="61"/>
      <c r="L26" s="62">
        <v>4</v>
      </c>
      <c r="M26" s="59"/>
      <c r="N26" s="59"/>
      <c r="O26" s="59"/>
      <c r="P26" s="59"/>
      <c r="Q26" s="63"/>
      <c r="R26" s="63"/>
      <c r="S26" s="63"/>
      <c r="T26" s="64">
        <v>14</v>
      </c>
      <c r="U26" s="45" t="b">
        <f ca="1"/>
        <v>0</v>
      </c>
      <c r="X26" s="12" t="s">
        <v>4221</v>
      </c>
      <c r="Y26" s="10">
        <v>14</v>
      </c>
    </row>
    <row r="27" spans="1:25" ht="12.75" hidden="1">
      <c r="A27" s="47" t="s">
        <v>97</v>
      </c>
      <c r="B27" s="48">
        <f ca="1">IFERROR(__xludf.DUMMYFUNCTION("SPLIT(RIGHT(A27,17),"" "")"),2)</f>
        <v>2</v>
      </c>
      <c r="C27" s="48">
        <f ca="1">IFERROR(__xludf.DUMMYFUNCTION("""COMPUTED_VALUE"""),8)</f>
        <v>8</v>
      </c>
      <c r="D27" s="48">
        <f ca="1">IFERROR(__xludf.DUMMYFUNCTION("""COMPUTED_VALUE"""),0)</f>
        <v>0</v>
      </c>
      <c r="E27" s="48">
        <f ca="1">IFERROR(__xludf.DUMMYFUNCTION("""COMPUTED_VALUE"""),0)</f>
        <v>0</v>
      </c>
      <c r="F27" s="48">
        <f ca="1">IFERROR(__xludf.DUMMYFUNCTION("""COMPUTED_VALUE"""),0)</f>
        <v>0</v>
      </c>
      <c r="G27" s="48">
        <f ca="1">IFERROR(__xludf.DUMMYFUNCTION("""COMPUTED_VALUE"""),0)</f>
        <v>0</v>
      </c>
      <c r="H27" s="49" t="s">
        <v>98</v>
      </c>
      <c r="I27" s="49" t="s">
        <v>99</v>
      </c>
      <c r="J27" s="50" t="str">
        <f ca="1">IFERROR(__xludf.DUMMYFUNCTION("JOIN("": "",H27,I27)"),"3E-02-08-00-00-00-00: Elementos de aterro")</f>
        <v>3E-02-08-00-00-00-00: Elementos de aterro</v>
      </c>
      <c r="K27" s="51"/>
      <c r="L27" s="52">
        <v>3</v>
      </c>
      <c r="M27" s="53"/>
      <c r="N27" s="53"/>
      <c r="O27" s="53"/>
      <c r="P27" s="53"/>
      <c r="Q27" s="54"/>
      <c r="R27" s="54"/>
      <c r="S27" s="54"/>
      <c r="T27" s="55">
        <v>10</v>
      </c>
      <c r="U27" s="46" t="b">
        <f ca="1"/>
        <v>0</v>
      </c>
      <c r="X27" s="12" t="s">
        <v>4222</v>
      </c>
      <c r="Y27" s="10">
        <v>10</v>
      </c>
    </row>
    <row r="28" spans="1:25" ht="12.75" hidden="1">
      <c r="A28" s="56" t="s">
        <v>101</v>
      </c>
      <c r="B28" s="57">
        <f ca="1">IFERROR(__xludf.DUMMYFUNCTION("SPLIT(RIGHT(A28,17),"" "")"),2)</f>
        <v>2</v>
      </c>
      <c r="C28" s="58">
        <f ca="1">IFERROR(__xludf.DUMMYFUNCTION("""COMPUTED_VALUE"""),8)</f>
        <v>8</v>
      </c>
      <c r="D28" s="58">
        <f ca="1">IFERROR(__xludf.DUMMYFUNCTION("""COMPUTED_VALUE"""),2)</f>
        <v>2</v>
      </c>
      <c r="E28" s="58">
        <f ca="1">IFERROR(__xludf.DUMMYFUNCTION("""COMPUTED_VALUE"""),0)</f>
        <v>0</v>
      </c>
      <c r="F28" s="58">
        <f ca="1">IFERROR(__xludf.DUMMYFUNCTION("""COMPUTED_VALUE"""),0)</f>
        <v>0</v>
      </c>
      <c r="G28" s="58">
        <f ca="1">IFERROR(__xludf.DUMMYFUNCTION("""COMPUTED_VALUE"""),0)</f>
        <v>0</v>
      </c>
      <c r="H28" s="59" t="s">
        <v>102</v>
      </c>
      <c r="I28" s="59" t="s">
        <v>103</v>
      </c>
      <c r="J28" s="60" t="str">
        <f ca="1">IFERROR(__xludf.DUMMYFUNCTION("JOIN("": "",H28,I28)"),"3E-02-08-02-00-00-00: Corte do aterro")</f>
        <v>3E-02-08-02-00-00-00: Corte do aterro</v>
      </c>
      <c r="K28" s="61"/>
      <c r="L28" s="62">
        <v>4</v>
      </c>
      <c r="M28" s="59"/>
      <c r="N28" s="59"/>
      <c r="O28" s="59"/>
      <c r="P28" s="59"/>
      <c r="Q28" s="63"/>
      <c r="R28" s="63"/>
      <c r="S28" s="63"/>
      <c r="T28" s="64">
        <v>12</v>
      </c>
      <c r="U28" s="45" t="b">
        <f ca="1"/>
        <v>0</v>
      </c>
      <c r="X28" s="12" t="s">
        <v>4223</v>
      </c>
      <c r="Y28" s="10">
        <v>12</v>
      </c>
    </row>
    <row r="29" spans="1:25" ht="12.75" hidden="1">
      <c r="A29" s="65" t="s">
        <v>105</v>
      </c>
      <c r="B29" s="66">
        <f ca="1">IFERROR(__xludf.DUMMYFUNCTION("SPLIT(RIGHT(A29,17),"" "")"),2)</f>
        <v>2</v>
      </c>
      <c r="C29" s="67">
        <f ca="1">IFERROR(__xludf.DUMMYFUNCTION("""COMPUTED_VALUE"""),8)</f>
        <v>8</v>
      </c>
      <c r="D29" s="67">
        <f ca="1">IFERROR(__xludf.DUMMYFUNCTION("""COMPUTED_VALUE"""),2)</f>
        <v>2</v>
      </c>
      <c r="E29" s="67">
        <f ca="1">IFERROR(__xludf.DUMMYFUNCTION("""COMPUTED_VALUE"""),2)</f>
        <v>2</v>
      </c>
      <c r="F29" s="67">
        <f ca="1">IFERROR(__xludf.DUMMYFUNCTION("""COMPUTED_VALUE"""),0)</f>
        <v>0</v>
      </c>
      <c r="G29" s="67">
        <f ca="1">IFERROR(__xludf.DUMMYFUNCTION("""COMPUTED_VALUE"""),0)</f>
        <v>0</v>
      </c>
      <c r="H29" s="68" t="s">
        <v>106</v>
      </c>
      <c r="I29" s="68" t="s">
        <v>107</v>
      </c>
      <c r="J29" s="69" t="str">
        <f ca="1">IFERROR(__xludf.DUMMYFUNCTION("JOIN("": "",H29,I29)"),"3E-02-08-02-02-00-00: Pé do corte")</f>
        <v>3E-02-08-02-02-00-00: Pé do corte</v>
      </c>
      <c r="K29" s="70"/>
      <c r="L29" s="71">
        <v>5</v>
      </c>
      <c r="M29" s="68"/>
      <c r="N29" s="68"/>
      <c r="O29" s="68"/>
      <c r="P29" s="68"/>
      <c r="Q29" s="72"/>
      <c r="R29" s="72"/>
      <c r="S29" s="72"/>
      <c r="T29" s="73">
        <v>14</v>
      </c>
      <c r="U29" s="46" t="b">
        <f ca="1"/>
        <v>0</v>
      </c>
      <c r="X29" s="12" t="s">
        <v>4224</v>
      </c>
      <c r="Y29" s="10">
        <v>14</v>
      </c>
    </row>
    <row r="30" spans="1:25" ht="12.75" hidden="1">
      <c r="A30" s="56" t="s">
        <v>109</v>
      </c>
      <c r="B30" s="57">
        <f ca="1">IFERROR(__xludf.DUMMYFUNCTION("SPLIT(RIGHT(A30,17),"" "")"),2)</f>
        <v>2</v>
      </c>
      <c r="C30" s="58">
        <f ca="1">IFERROR(__xludf.DUMMYFUNCTION("""COMPUTED_VALUE"""),8)</f>
        <v>8</v>
      </c>
      <c r="D30" s="58">
        <f ca="1">IFERROR(__xludf.DUMMYFUNCTION("""COMPUTED_VALUE"""),4)</f>
        <v>4</v>
      </c>
      <c r="E30" s="58">
        <f ca="1">IFERROR(__xludf.DUMMYFUNCTION("""COMPUTED_VALUE"""),0)</f>
        <v>0</v>
      </c>
      <c r="F30" s="58">
        <f ca="1">IFERROR(__xludf.DUMMYFUNCTION("""COMPUTED_VALUE"""),0)</f>
        <v>0</v>
      </c>
      <c r="G30" s="58">
        <f ca="1">IFERROR(__xludf.DUMMYFUNCTION("""COMPUTED_VALUE"""),0)</f>
        <v>0</v>
      </c>
      <c r="H30" s="59" t="s">
        <v>110</v>
      </c>
      <c r="I30" s="59" t="s">
        <v>111</v>
      </c>
      <c r="J30" s="60" t="str">
        <f ca="1">IFERROR(__xludf.DUMMYFUNCTION("JOIN("": "",H30,I30)"),"3E-02-08-04-00-00-00: Aterro")</f>
        <v>3E-02-08-04-00-00-00: Aterro</v>
      </c>
      <c r="K30" s="61"/>
      <c r="L30" s="62">
        <v>4</v>
      </c>
      <c r="M30" s="59"/>
      <c r="N30" s="59"/>
      <c r="O30" s="59"/>
      <c r="P30" s="59"/>
      <c r="Q30" s="63"/>
      <c r="R30" s="63"/>
      <c r="S30" s="63"/>
      <c r="T30" s="64">
        <v>14</v>
      </c>
      <c r="U30" s="45" t="b">
        <f ca="1"/>
        <v>0</v>
      </c>
      <c r="X30" s="12" t="s">
        <v>4225</v>
      </c>
      <c r="Y30" s="10">
        <v>14</v>
      </c>
    </row>
    <row r="31" spans="1:25" ht="12.75" hidden="1">
      <c r="A31" s="65" t="s">
        <v>113</v>
      </c>
      <c r="B31" s="66">
        <f ca="1">IFERROR(__xludf.DUMMYFUNCTION("SPLIT(RIGHT(A31,17),"" "")"),2)</f>
        <v>2</v>
      </c>
      <c r="C31" s="67">
        <f ca="1">IFERROR(__xludf.DUMMYFUNCTION("""COMPUTED_VALUE"""),8)</f>
        <v>8</v>
      </c>
      <c r="D31" s="67">
        <f ca="1">IFERROR(__xludf.DUMMYFUNCTION("""COMPUTED_VALUE"""),4)</f>
        <v>4</v>
      </c>
      <c r="E31" s="67">
        <f ca="1">IFERROR(__xludf.DUMMYFUNCTION("""COMPUTED_VALUE"""),2)</f>
        <v>2</v>
      </c>
      <c r="F31" s="67">
        <f ca="1">IFERROR(__xludf.DUMMYFUNCTION("""COMPUTED_VALUE"""),0)</f>
        <v>0</v>
      </c>
      <c r="G31" s="67">
        <f ca="1">IFERROR(__xludf.DUMMYFUNCTION("""COMPUTED_VALUE"""),0)</f>
        <v>0</v>
      </c>
      <c r="H31" s="68" t="s">
        <v>114</v>
      </c>
      <c r="I31" s="68" t="s">
        <v>115</v>
      </c>
      <c r="J31" s="69" t="str">
        <f ca="1">IFERROR(__xludf.DUMMYFUNCTION("JOIN("": "",H31,I31)"),"3E-02-08-04-02-00-00: Aterro sobre solo inconsistente")</f>
        <v>3E-02-08-04-02-00-00: Aterro sobre solo inconsistente</v>
      </c>
      <c r="K31" s="70"/>
      <c r="L31" s="71">
        <v>5</v>
      </c>
      <c r="M31" s="68"/>
      <c r="N31" s="68"/>
      <c r="O31" s="68"/>
      <c r="P31" s="68"/>
      <c r="Q31" s="72"/>
      <c r="R31" s="72"/>
      <c r="S31" s="72"/>
      <c r="T31" s="73">
        <v>16</v>
      </c>
      <c r="U31" s="46" t="b">
        <f ca="1"/>
        <v>0</v>
      </c>
      <c r="X31" s="12" t="s">
        <v>4226</v>
      </c>
      <c r="Y31" s="10">
        <v>16</v>
      </c>
    </row>
    <row r="32" spans="1:25" ht="12.75" hidden="1">
      <c r="A32" s="65" t="s">
        <v>117</v>
      </c>
      <c r="B32" s="66">
        <f ca="1">IFERROR(__xludf.DUMMYFUNCTION("SPLIT(RIGHT(A32,17),"" "")"),2)</f>
        <v>2</v>
      </c>
      <c r="C32" s="67">
        <f ca="1">IFERROR(__xludf.DUMMYFUNCTION("""COMPUTED_VALUE"""),8)</f>
        <v>8</v>
      </c>
      <c r="D32" s="67">
        <f ca="1">IFERROR(__xludf.DUMMYFUNCTION("""COMPUTED_VALUE"""),4)</f>
        <v>4</v>
      </c>
      <c r="E32" s="67">
        <f ca="1">IFERROR(__xludf.DUMMYFUNCTION("""COMPUTED_VALUE"""),4)</f>
        <v>4</v>
      </c>
      <c r="F32" s="67">
        <f ca="1">IFERROR(__xludf.DUMMYFUNCTION("""COMPUTED_VALUE"""),0)</f>
        <v>0</v>
      </c>
      <c r="G32" s="67">
        <f ca="1">IFERROR(__xludf.DUMMYFUNCTION("""COMPUTED_VALUE"""),0)</f>
        <v>0</v>
      </c>
      <c r="H32" s="68" t="s">
        <v>118</v>
      </c>
      <c r="I32" s="68" t="s">
        <v>119</v>
      </c>
      <c r="J32" s="69" t="str">
        <f ca="1">IFERROR(__xludf.DUMMYFUNCTION("JOIN("": "",H32,I32)"),"3E-02-08-04-04-00-00: Berma de equilíbrio do aterro")</f>
        <v>3E-02-08-04-04-00-00: Berma de equilíbrio do aterro</v>
      </c>
      <c r="K32" s="70"/>
      <c r="L32" s="71">
        <v>5</v>
      </c>
      <c r="M32" s="68"/>
      <c r="N32" s="68"/>
      <c r="O32" s="68"/>
      <c r="P32" s="68"/>
      <c r="Q32" s="72"/>
      <c r="R32" s="72"/>
      <c r="S32" s="72"/>
      <c r="T32" s="73">
        <v>18</v>
      </c>
      <c r="U32" s="45" t="b">
        <f ca="1"/>
        <v>0</v>
      </c>
      <c r="X32" s="12" t="s">
        <v>4227</v>
      </c>
      <c r="Y32" s="10">
        <v>18</v>
      </c>
    </row>
    <row r="33" spans="1:26" ht="12.75" hidden="1">
      <c r="A33" s="65" t="s">
        <v>121</v>
      </c>
      <c r="B33" s="66">
        <f ca="1">IFERROR(__xludf.DUMMYFUNCTION("SPLIT(RIGHT(A33,17),"" "")"),2)</f>
        <v>2</v>
      </c>
      <c r="C33" s="67">
        <f ca="1">IFERROR(__xludf.DUMMYFUNCTION("""COMPUTED_VALUE"""),8)</f>
        <v>8</v>
      </c>
      <c r="D33" s="67">
        <f ca="1">IFERROR(__xludf.DUMMYFUNCTION("""COMPUTED_VALUE"""),4)</f>
        <v>4</v>
      </c>
      <c r="E33" s="67">
        <f ca="1">IFERROR(__xludf.DUMMYFUNCTION("""COMPUTED_VALUE"""),6)</f>
        <v>6</v>
      </c>
      <c r="F33" s="67">
        <f ca="1">IFERROR(__xludf.DUMMYFUNCTION("""COMPUTED_VALUE"""),0)</f>
        <v>0</v>
      </c>
      <c r="G33" s="67">
        <f ca="1">IFERROR(__xludf.DUMMYFUNCTION("""COMPUTED_VALUE"""),0)</f>
        <v>0</v>
      </c>
      <c r="H33" s="68" t="s">
        <v>122</v>
      </c>
      <c r="I33" s="68" t="s">
        <v>123</v>
      </c>
      <c r="J33" s="69" t="str">
        <f ca="1">IFERROR(__xludf.DUMMYFUNCTION("JOIN("": "",H33,I33)"),"3E-02-08-04-06-00-00: Crista do aterro")</f>
        <v>3E-02-08-04-06-00-00: Crista do aterro</v>
      </c>
      <c r="K33" s="70"/>
      <c r="L33" s="71">
        <v>5</v>
      </c>
      <c r="M33" s="68"/>
      <c r="N33" s="68"/>
      <c r="O33" s="68"/>
      <c r="P33" s="68"/>
      <c r="Q33" s="72"/>
      <c r="R33" s="72"/>
      <c r="S33" s="72"/>
      <c r="T33" s="73">
        <v>20</v>
      </c>
      <c r="U33" s="46" t="b">
        <f ca="1"/>
        <v>0</v>
      </c>
      <c r="X33" s="12" t="s">
        <v>4228</v>
      </c>
      <c r="Y33" s="10">
        <v>20</v>
      </c>
    </row>
    <row r="34" spans="1:26" ht="12.75" hidden="1">
      <c r="A34" s="65" t="s">
        <v>125</v>
      </c>
      <c r="B34" s="66">
        <f ca="1">IFERROR(__xludf.DUMMYFUNCTION("SPLIT(RIGHT(A34,17),"" "")"),2)</f>
        <v>2</v>
      </c>
      <c r="C34" s="67">
        <f ca="1">IFERROR(__xludf.DUMMYFUNCTION("""COMPUTED_VALUE"""),8)</f>
        <v>8</v>
      </c>
      <c r="D34" s="67">
        <f ca="1">IFERROR(__xludf.DUMMYFUNCTION("""COMPUTED_VALUE"""),4)</f>
        <v>4</v>
      </c>
      <c r="E34" s="67">
        <f ca="1">IFERROR(__xludf.DUMMYFUNCTION("""COMPUTED_VALUE"""),8)</f>
        <v>8</v>
      </c>
      <c r="F34" s="67">
        <f ca="1">IFERROR(__xludf.DUMMYFUNCTION("""COMPUTED_VALUE"""),0)</f>
        <v>0</v>
      </c>
      <c r="G34" s="67">
        <f ca="1">IFERROR(__xludf.DUMMYFUNCTION("""COMPUTED_VALUE"""),0)</f>
        <v>0</v>
      </c>
      <c r="H34" s="68" t="s">
        <v>126</v>
      </c>
      <c r="I34" s="68" t="s">
        <v>127</v>
      </c>
      <c r="J34" s="69" t="str">
        <f ca="1">IFERROR(__xludf.DUMMYFUNCTION("JOIN("": "",H34,I34)"),"3E-02-08-04-08-00-00: Pé do aterro")</f>
        <v>3E-02-08-04-08-00-00: Pé do aterro</v>
      </c>
      <c r="K34" s="70"/>
      <c r="L34" s="71">
        <v>5</v>
      </c>
      <c r="M34" s="68"/>
      <c r="N34" s="68"/>
      <c r="O34" s="68"/>
      <c r="P34" s="68"/>
      <c r="Q34" s="72"/>
      <c r="R34" s="72"/>
      <c r="S34" s="72"/>
      <c r="T34" s="73">
        <v>22</v>
      </c>
      <c r="U34" s="45" t="b">
        <f ca="1"/>
        <v>0</v>
      </c>
      <c r="X34" s="12" t="s">
        <v>4229</v>
      </c>
      <c r="Y34" s="10">
        <v>22</v>
      </c>
    </row>
    <row r="35" spans="1:26" ht="12.75" hidden="1">
      <c r="A35" s="65" t="s">
        <v>129</v>
      </c>
      <c r="B35" s="66">
        <f ca="1">IFERROR(__xludf.DUMMYFUNCTION("SPLIT(RIGHT(A35,17),"" "")"),2)</f>
        <v>2</v>
      </c>
      <c r="C35" s="67">
        <f ca="1">IFERROR(__xludf.DUMMYFUNCTION("""COMPUTED_VALUE"""),8)</f>
        <v>8</v>
      </c>
      <c r="D35" s="67">
        <f ca="1">IFERROR(__xludf.DUMMYFUNCTION("""COMPUTED_VALUE"""),4)</f>
        <v>4</v>
      </c>
      <c r="E35" s="67">
        <f ca="1">IFERROR(__xludf.DUMMYFUNCTION("""COMPUTED_VALUE"""),10)</f>
        <v>10</v>
      </c>
      <c r="F35" s="67">
        <f ca="1">IFERROR(__xludf.DUMMYFUNCTION("""COMPUTED_VALUE"""),0)</f>
        <v>0</v>
      </c>
      <c r="G35" s="67">
        <f ca="1">IFERROR(__xludf.DUMMYFUNCTION("""COMPUTED_VALUE"""),0)</f>
        <v>0</v>
      </c>
      <c r="H35" s="68" t="s">
        <v>130</v>
      </c>
      <c r="I35" s="68" t="s">
        <v>131</v>
      </c>
      <c r="J35" s="69" t="str">
        <f ca="1">IFERROR(__xludf.DUMMYFUNCTION("JOIN("": "",H35,I35)"),"3E-02-08-04-10-00-00: Corpo do aterro")</f>
        <v>3E-02-08-04-10-00-00: Corpo do aterro</v>
      </c>
      <c r="K35" s="70"/>
      <c r="L35" s="71">
        <v>5</v>
      </c>
      <c r="M35" s="68"/>
      <c r="N35" s="68"/>
      <c r="O35" s="68"/>
      <c r="P35" s="68"/>
      <c r="Q35" s="72"/>
      <c r="R35" s="72"/>
      <c r="S35" s="72"/>
      <c r="T35" s="73">
        <v>24</v>
      </c>
      <c r="U35" s="46" t="b">
        <f ca="1"/>
        <v>0</v>
      </c>
      <c r="X35" s="12" t="s">
        <v>4230</v>
      </c>
      <c r="Y35" s="10">
        <v>24</v>
      </c>
    </row>
    <row r="36" spans="1:26" ht="12.75" hidden="1">
      <c r="A36" s="47" t="s">
        <v>133</v>
      </c>
      <c r="B36" s="48">
        <f ca="1">IFERROR(__xludf.DUMMYFUNCTION("SPLIT(RIGHT(A36,17),"" "")"),2)</f>
        <v>2</v>
      </c>
      <c r="C36" s="48">
        <f ca="1">IFERROR(__xludf.DUMMYFUNCTION("""COMPUTED_VALUE"""),10)</f>
        <v>10</v>
      </c>
      <c r="D36" s="48">
        <f ca="1">IFERROR(__xludf.DUMMYFUNCTION("""COMPUTED_VALUE"""),0)</f>
        <v>0</v>
      </c>
      <c r="E36" s="48">
        <f ca="1">IFERROR(__xludf.DUMMYFUNCTION("""COMPUTED_VALUE"""),0)</f>
        <v>0</v>
      </c>
      <c r="F36" s="48">
        <f ca="1">IFERROR(__xludf.DUMMYFUNCTION("""COMPUTED_VALUE"""),0)</f>
        <v>0</v>
      </c>
      <c r="G36" s="48">
        <f ca="1">IFERROR(__xludf.DUMMYFUNCTION("""COMPUTED_VALUE"""),0)</f>
        <v>0</v>
      </c>
      <c r="H36" s="49" t="s">
        <v>134</v>
      </c>
      <c r="I36" s="49" t="s">
        <v>135</v>
      </c>
      <c r="J36" s="50" t="str">
        <f ca="1">IFERROR(__xludf.DUMMYFUNCTION("JOIN("": "",H36,I36)"),"3E-02-10-00-00-00-00: Elementos para delimitação de implantação")</f>
        <v>3E-02-10-00-00-00-00: Elementos para delimitação de implantação</v>
      </c>
      <c r="K36" s="51"/>
      <c r="L36" s="52">
        <v>3</v>
      </c>
      <c r="M36" s="53"/>
      <c r="N36" s="53"/>
      <c r="O36" s="53"/>
      <c r="P36" s="53"/>
      <c r="Q36" s="54"/>
      <c r="R36" s="54"/>
      <c r="S36" s="54"/>
      <c r="T36" s="55">
        <v>12</v>
      </c>
      <c r="U36" s="45" t="b">
        <f ca="1"/>
        <v>0</v>
      </c>
      <c r="X36" s="12" t="s">
        <v>4231</v>
      </c>
      <c r="Y36" s="10">
        <v>12</v>
      </c>
    </row>
    <row r="37" spans="1:26" ht="12.75" hidden="1">
      <c r="A37" s="56" t="s">
        <v>137</v>
      </c>
      <c r="B37" s="57">
        <f ca="1">IFERROR(__xludf.DUMMYFUNCTION("SPLIT(RIGHT(A37,17),"" "")"),2)</f>
        <v>2</v>
      </c>
      <c r="C37" s="58">
        <f ca="1">IFERROR(__xludf.DUMMYFUNCTION("""COMPUTED_VALUE"""),10)</f>
        <v>10</v>
      </c>
      <c r="D37" s="58">
        <f ca="1">IFERROR(__xludf.DUMMYFUNCTION("""COMPUTED_VALUE"""),2)</f>
        <v>2</v>
      </c>
      <c r="E37" s="58">
        <f ca="1">IFERROR(__xludf.DUMMYFUNCTION("""COMPUTED_VALUE"""),0)</f>
        <v>0</v>
      </c>
      <c r="F37" s="58">
        <f ca="1">IFERROR(__xludf.DUMMYFUNCTION("""COMPUTED_VALUE"""),0)</f>
        <v>0</v>
      </c>
      <c r="G37" s="58">
        <f ca="1">IFERROR(__xludf.DUMMYFUNCTION("""COMPUTED_VALUE"""),0)</f>
        <v>0</v>
      </c>
      <c r="H37" s="59" t="s">
        <v>138</v>
      </c>
      <c r="I37" s="59" t="s">
        <v>139</v>
      </c>
      <c r="J37" s="60" t="str">
        <f ca="1">IFERROR(__xludf.DUMMYFUNCTION("JOIN("": "",H37,I37)"),"3E-02-10-02-00-00-00: Cerca para delimitação de implantação")</f>
        <v>3E-02-10-02-00-00-00: Cerca para delimitação de implantação</v>
      </c>
      <c r="K37" s="61"/>
      <c r="L37" s="62">
        <v>4</v>
      </c>
      <c r="M37" s="59"/>
      <c r="N37" s="59"/>
      <c r="O37" s="59"/>
      <c r="P37" s="59"/>
      <c r="Q37" s="63"/>
      <c r="R37" s="63"/>
      <c r="S37" s="63"/>
      <c r="T37" s="64">
        <v>14</v>
      </c>
      <c r="U37" s="46" t="b">
        <f ca="1"/>
        <v>0</v>
      </c>
      <c r="X37" s="12" t="s">
        <v>4232</v>
      </c>
      <c r="Y37" s="10">
        <v>14</v>
      </c>
    </row>
    <row r="38" spans="1:26" ht="12.75" hidden="1">
      <c r="A38" s="56" t="s">
        <v>141</v>
      </c>
      <c r="B38" s="57">
        <f ca="1">IFERROR(__xludf.DUMMYFUNCTION("SPLIT(RIGHT(A38,17),"" "")"),2)</f>
        <v>2</v>
      </c>
      <c r="C38" s="58">
        <f ca="1">IFERROR(__xludf.DUMMYFUNCTION("""COMPUTED_VALUE"""),10)</f>
        <v>10</v>
      </c>
      <c r="D38" s="58">
        <f ca="1">IFERROR(__xludf.DUMMYFUNCTION("""COMPUTED_VALUE"""),4)</f>
        <v>4</v>
      </c>
      <c r="E38" s="58">
        <f ca="1">IFERROR(__xludf.DUMMYFUNCTION("""COMPUTED_VALUE"""),0)</f>
        <v>0</v>
      </c>
      <c r="F38" s="58">
        <f ca="1">IFERROR(__xludf.DUMMYFUNCTION("""COMPUTED_VALUE"""),0)</f>
        <v>0</v>
      </c>
      <c r="G38" s="58">
        <f ca="1">IFERROR(__xludf.DUMMYFUNCTION("""COMPUTED_VALUE"""),0)</f>
        <v>0</v>
      </c>
      <c r="H38" s="59" t="s">
        <v>142</v>
      </c>
      <c r="I38" s="59" t="s">
        <v>143</v>
      </c>
      <c r="J38" s="60" t="str">
        <f ca="1">IFERROR(__xludf.DUMMYFUNCTION("JOIN("": "",H38,I38)"),"3E-02-10-04-00-00-00: Muro para delimitação de implantação")</f>
        <v>3E-02-10-04-00-00-00: Muro para delimitação de implantação</v>
      </c>
      <c r="K38" s="61"/>
      <c r="L38" s="62">
        <v>4</v>
      </c>
      <c r="M38" s="59"/>
      <c r="N38" s="59"/>
      <c r="O38" s="59"/>
      <c r="P38" s="59"/>
      <c r="Q38" s="63"/>
      <c r="R38" s="63"/>
      <c r="S38" s="63"/>
      <c r="T38" s="64">
        <v>16</v>
      </c>
      <c r="U38" s="45" t="b">
        <f ca="1"/>
        <v>0</v>
      </c>
      <c r="X38" s="12" t="s">
        <v>4233</v>
      </c>
      <c r="Y38" s="10">
        <v>16</v>
      </c>
    </row>
    <row r="39" spans="1:26" ht="12.75" hidden="1">
      <c r="A39" s="56" t="s">
        <v>145</v>
      </c>
      <c r="B39" s="57">
        <f ca="1">IFERROR(__xludf.DUMMYFUNCTION("SPLIT(RIGHT(A39,17),"" "")"),2)</f>
        <v>2</v>
      </c>
      <c r="C39" s="58">
        <f ca="1">IFERROR(__xludf.DUMMYFUNCTION("""COMPUTED_VALUE"""),10)</f>
        <v>10</v>
      </c>
      <c r="D39" s="58">
        <f ca="1">IFERROR(__xludf.DUMMYFUNCTION("""COMPUTED_VALUE"""),6)</f>
        <v>6</v>
      </c>
      <c r="E39" s="58">
        <f ca="1">IFERROR(__xludf.DUMMYFUNCTION("""COMPUTED_VALUE"""),0)</f>
        <v>0</v>
      </c>
      <c r="F39" s="58">
        <f ca="1">IFERROR(__xludf.DUMMYFUNCTION("""COMPUTED_VALUE"""),0)</f>
        <v>0</v>
      </c>
      <c r="G39" s="58">
        <f ca="1">IFERROR(__xludf.DUMMYFUNCTION("""COMPUTED_VALUE"""),0)</f>
        <v>0</v>
      </c>
      <c r="H39" s="59" t="s">
        <v>146</v>
      </c>
      <c r="I39" s="59" t="s">
        <v>147</v>
      </c>
      <c r="J39" s="60" t="str">
        <f ca="1">IFERROR(__xludf.DUMMYFUNCTION("JOIN("": "",H39,I39)"),"3E-02-10-06-00-00-00: Mureta para delimitação de implantação")</f>
        <v>3E-02-10-06-00-00-00: Mureta para delimitação de implantação</v>
      </c>
      <c r="K39" s="61"/>
      <c r="L39" s="62">
        <v>4</v>
      </c>
      <c r="M39" s="59"/>
      <c r="N39" s="59"/>
      <c r="O39" s="59"/>
      <c r="P39" s="59"/>
      <c r="Q39" s="63"/>
      <c r="R39" s="63"/>
      <c r="S39" s="63"/>
      <c r="T39" s="64">
        <v>18</v>
      </c>
      <c r="U39" s="46" t="b">
        <f ca="1"/>
        <v>0</v>
      </c>
      <c r="X39" s="12" t="s">
        <v>4234</v>
      </c>
      <c r="Y39" s="10">
        <v>18</v>
      </c>
    </row>
    <row r="40" spans="1:26" ht="12.75" hidden="1">
      <c r="A40" s="47" t="s">
        <v>149</v>
      </c>
      <c r="B40" s="48">
        <f ca="1">IFERROR(__xludf.DUMMYFUNCTION("SPLIT(RIGHT(A40,17),"" "")"),2)</f>
        <v>2</v>
      </c>
      <c r="C40" s="48">
        <f ca="1">IFERROR(__xludf.DUMMYFUNCTION("""COMPUTED_VALUE"""),12)</f>
        <v>12</v>
      </c>
      <c r="D40" s="48">
        <f ca="1">IFERROR(__xludf.DUMMYFUNCTION("""COMPUTED_VALUE"""),0)</f>
        <v>0</v>
      </c>
      <c r="E40" s="48">
        <f ca="1">IFERROR(__xludf.DUMMYFUNCTION("""COMPUTED_VALUE"""),0)</f>
        <v>0</v>
      </c>
      <c r="F40" s="48">
        <f ca="1">IFERROR(__xludf.DUMMYFUNCTION("""COMPUTED_VALUE"""),0)</f>
        <v>0</v>
      </c>
      <c r="G40" s="48">
        <f ca="1">IFERROR(__xludf.DUMMYFUNCTION("""COMPUTED_VALUE"""),0)</f>
        <v>0</v>
      </c>
      <c r="H40" s="49" t="s">
        <v>150</v>
      </c>
      <c r="I40" s="49" t="s">
        <v>151</v>
      </c>
      <c r="J40" s="50" t="str">
        <f ca="1">IFERROR(__xludf.DUMMYFUNCTION("JOIN("": "",H40,I40)"),"3E-02-12-00-00-00-00: Elementos de plantio")</f>
        <v>3E-02-12-00-00-00-00: Elementos de plantio</v>
      </c>
      <c r="K40" s="51"/>
      <c r="L40" s="52">
        <v>3</v>
      </c>
      <c r="M40" s="53"/>
      <c r="N40" s="53"/>
      <c r="O40" s="53"/>
      <c r="P40" s="53"/>
      <c r="Q40" s="54"/>
      <c r="R40" s="54"/>
      <c r="S40" s="54"/>
      <c r="T40" s="55">
        <v>14</v>
      </c>
      <c r="U40" s="45" t="b">
        <f ca="1"/>
        <v>0</v>
      </c>
      <c r="X40" s="12" t="s">
        <v>4235</v>
      </c>
      <c r="Y40" s="10">
        <v>14</v>
      </c>
    </row>
    <row r="41" spans="1:26" ht="12.75" hidden="1">
      <c r="A41" s="56" t="s">
        <v>153</v>
      </c>
      <c r="B41" s="57">
        <f ca="1">IFERROR(__xludf.DUMMYFUNCTION("SPLIT(RIGHT(A41,17),"" "")"),2)</f>
        <v>2</v>
      </c>
      <c r="C41" s="58">
        <f ca="1">IFERROR(__xludf.DUMMYFUNCTION("""COMPUTED_VALUE"""),12)</f>
        <v>12</v>
      </c>
      <c r="D41" s="58">
        <f ca="1">IFERROR(__xludf.DUMMYFUNCTION("""COMPUTED_VALUE"""),2)</f>
        <v>2</v>
      </c>
      <c r="E41" s="58">
        <f ca="1">IFERROR(__xludf.DUMMYFUNCTION("""COMPUTED_VALUE"""),0)</f>
        <v>0</v>
      </c>
      <c r="F41" s="58">
        <f ca="1">IFERROR(__xludf.DUMMYFUNCTION("""COMPUTED_VALUE"""),0)</f>
        <v>0</v>
      </c>
      <c r="G41" s="58">
        <f ca="1">IFERROR(__xludf.DUMMYFUNCTION("""COMPUTED_VALUE"""),0)</f>
        <v>0</v>
      </c>
      <c r="H41" s="59" t="s">
        <v>154</v>
      </c>
      <c r="I41" s="59" t="s">
        <v>155</v>
      </c>
      <c r="J41" s="60" t="str">
        <f ca="1">IFERROR(__xludf.DUMMYFUNCTION("JOIN("": "",H41,I41)"),"3E-02-12-02-00-00-00: Gramas")</f>
        <v>3E-02-12-02-00-00-00: Gramas</v>
      </c>
      <c r="K41" s="61"/>
      <c r="L41" s="62">
        <v>4</v>
      </c>
      <c r="M41" s="59"/>
      <c r="N41" s="59"/>
      <c r="O41" s="59"/>
      <c r="P41" s="59"/>
      <c r="Q41" s="63"/>
      <c r="R41" s="63"/>
      <c r="S41" s="63"/>
      <c r="T41" s="64">
        <v>16</v>
      </c>
      <c r="U41" s="46" t="b">
        <f ca="1"/>
        <v>0</v>
      </c>
      <c r="X41" s="12" t="s">
        <v>4236</v>
      </c>
      <c r="Y41" s="10">
        <v>16</v>
      </c>
    </row>
    <row r="42" spans="1:26" ht="12.75" hidden="1">
      <c r="A42" s="56" t="s">
        <v>157</v>
      </c>
      <c r="B42" s="57">
        <f ca="1">IFERROR(__xludf.DUMMYFUNCTION("SPLIT(RIGHT(A42,17),"" "")"),2)</f>
        <v>2</v>
      </c>
      <c r="C42" s="58">
        <f ca="1">IFERROR(__xludf.DUMMYFUNCTION("""COMPUTED_VALUE"""),12)</f>
        <v>12</v>
      </c>
      <c r="D42" s="58">
        <f ca="1">IFERROR(__xludf.DUMMYFUNCTION("""COMPUTED_VALUE"""),4)</f>
        <v>4</v>
      </c>
      <c r="E42" s="58">
        <f ca="1">IFERROR(__xludf.DUMMYFUNCTION("""COMPUTED_VALUE"""),0)</f>
        <v>0</v>
      </c>
      <c r="F42" s="58">
        <f ca="1">IFERROR(__xludf.DUMMYFUNCTION("""COMPUTED_VALUE"""),0)</f>
        <v>0</v>
      </c>
      <c r="G42" s="58">
        <f ca="1">IFERROR(__xludf.DUMMYFUNCTION("""COMPUTED_VALUE"""),0)</f>
        <v>0</v>
      </c>
      <c r="H42" s="59" t="s">
        <v>158</v>
      </c>
      <c r="I42" s="59" t="s">
        <v>159</v>
      </c>
      <c r="J42" s="60" t="str">
        <f ca="1">IFERROR(__xludf.DUMMYFUNCTION("JOIN("": "",H42,I42)"),"3E-02-12-04-00-00-00: Mudas")</f>
        <v>3E-02-12-04-00-00-00: Mudas</v>
      </c>
      <c r="K42" s="61"/>
      <c r="L42" s="62">
        <v>4</v>
      </c>
      <c r="M42" s="59"/>
      <c r="N42" s="59"/>
      <c r="O42" s="59"/>
      <c r="P42" s="59"/>
      <c r="Q42" s="63"/>
      <c r="R42" s="63"/>
      <c r="S42" s="63"/>
      <c r="T42" s="64">
        <v>18</v>
      </c>
      <c r="U42" s="45" t="b">
        <f ca="1"/>
        <v>0</v>
      </c>
      <c r="X42" s="12" t="s">
        <v>4237</v>
      </c>
      <c r="Y42" s="10">
        <v>18</v>
      </c>
    </row>
    <row r="43" spans="1:26" ht="12.75" hidden="1">
      <c r="A43" s="56" t="s">
        <v>161</v>
      </c>
      <c r="B43" s="57">
        <f ca="1">IFERROR(__xludf.DUMMYFUNCTION("SPLIT(RIGHT(A43,17),"" "")"),2)</f>
        <v>2</v>
      </c>
      <c r="C43" s="58">
        <f ca="1">IFERROR(__xludf.DUMMYFUNCTION("""COMPUTED_VALUE"""),12)</f>
        <v>12</v>
      </c>
      <c r="D43" s="58">
        <f ca="1">IFERROR(__xludf.DUMMYFUNCTION("""COMPUTED_VALUE"""),6)</f>
        <v>6</v>
      </c>
      <c r="E43" s="58">
        <f ca="1">IFERROR(__xludf.DUMMYFUNCTION("""COMPUTED_VALUE"""),0)</f>
        <v>0</v>
      </c>
      <c r="F43" s="58">
        <f ca="1">IFERROR(__xludf.DUMMYFUNCTION("""COMPUTED_VALUE"""),0)</f>
        <v>0</v>
      </c>
      <c r="G43" s="58">
        <f ca="1">IFERROR(__xludf.DUMMYFUNCTION("""COMPUTED_VALUE"""),0)</f>
        <v>0</v>
      </c>
      <c r="H43" s="59" t="s">
        <v>162</v>
      </c>
      <c r="I43" s="59" t="s">
        <v>163</v>
      </c>
      <c r="J43" s="60" t="str">
        <f ca="1">IFERROR(__xludf.DUMMYFUNCTION("JOIN("": "",H43,I43)"),"3E-02-12-06-00-00-00: Vegetação de pequeno porte")</f>
        <v>3E-02-12-06-00-00-00: Vegetação de pequeno porte</v>
      </c>
      <c r="K43" s="61"/>
      <c r="L43" s="62">
        <v>4</v>
      </c>
      <c r="M43" s="59"/>
      <c r="N43" s="59"/>
      <c r="O43" s="59"/>
      <c r="P43" s="59"/>
      <c r="Q43" s="63"/>
      <c r="R43" s="63"/>
      <c r="S43" s="63"/>
      <c r="T43" s="64">
        <v>20</v>
      </c>
      <c r="U43" s="46" t="b">
        <f ca="1"/>
        <v>0</v>
      </c>
      <c r="X43" s="12" t="s">
        <v>4238</v>
      </c>
      <c r="Y43" s="10">
        <v>20</v>
      </c>
    </row>
    <row r="44" spans="1:26" ht="12.75" hidden="1">
      <c r="A44" s="56" t="s">
        <v>165</v>
      </c>
      <c r="B44" s="57">
        <f ca="1">IFERROR(__xludf.DUMMYFUNCTION("SPLIT(RIGHT(A44,17),"" "")"),2)</f>
        <v>2</v>
      </c>
      <c r="C44" s="58">
        <f ca="1">IFERROR(__xludf.DUMMYFUNCTION("""COMPUTED_VALUE"""),12)</f>
        <v>12</v>
      </c>
      <c r="D44" s="58">
        <f ca="1">IFERROR(__xludf.DUMMYFUNCTION("""COMPUTED_VALUE"""),8)</f>
        <v>8</v>
      </c>
      <c r="E44" s="58">
        <f ca="1">IFERROR(__xludf.DUMMYFUNCTION("""COMPUTED_VALUE"""),0)</f>
        <v>0</v>
      </c>
      <c r="F44" s="58">
        <f ca="1">IFERROR(__xludf.DUMMYFUNCTION("""COMPUTED_VALUE"""),0)</f>
        <v>0</v>
      </c>
      <c r="G44" s="58">
        <f ca="1">IFERROR(__xludf.DUMMYFUNCTION("""COMPUTED_VALUE"""),0)</f>
        <v>0</v>
      </c>
      <c r="H44" s="59" t="s">
        <v>166</v>
      </c>
      <c r="I44" s="59" t="s">
        <v>167</v>
      </c>
      <c r="J44" s="60" t="str">
        <f ca="1">IFERROR(__xludf.DUMMYFUNCTION("JOIN("": "",H44,I44)"),"3E-02-12-08-00-00-00: Vegetação de médio porte")</f>
        <v>3E-02-12-08-00-00-00: Vegetação de médio porte</v>
      </c>
      <c r="K44" s="61"/>
      <c r="L44" s="62">
        <v>4</v>
      </c>
      <c r="M44" s="59"/>
      <c r="N44" s="59"/>
      <c r="O44" s="59"/>
      <c r="P44" s="59"/>
      <c r="Q44" s="63"/>
      <c r="R44" s="63"/>
      <c r="S44" s="63"/>
      <c r="T44" s="64">
        <v>22</v>
      </c>
      <c r="U44" s="45" t="b">
        <f ca="1"/>
        <v>0</v>
      </c>
      <c r="X44" s="12" t="s">
        <v>4239</v>
      </c>
      <c r="Y44" s="10">
        <v>22</v>
      </c>
    </row>
    <row r="45" spans="1:26" ht="12.75" hidden="1">
      <c r="A45" s="56" t="s">
        <v>169</v>
      </c>
      <c r="B45" s="57">
        <f ca="1">IFERROR(__xludf.DUMMYFUNCTION("SPLIT(RIGHT(A45,17),"" "")"),2)</f>
        <v>2</v>
      </c>
      <c r="C45" s="58">
        <f ca="1">IFERROR(__xludf.DUMMYFUNCTION("""COMPUTED_VALUE"""),12)</f>
        <v>12</v>
      </c>
      <c r="D45" s="58">
        <f ca="1">IFERROR(__xludf.DUMMYFUNCTION("""COMPUTED_VALUE"""),10)</f>
        <v>10</v>
      </c>
      <c r="E45" s="58">
        <f ca="1">IFERROR(__xludf.DUMMYFUNCTION("""COMPUTED_VALUE"""),0)</f>
        <v>0</v>
      </c>
      <c r="F45" s="58">
        <f ca="1">IFERROR(__xludf.DUMMYFUNCTION("""COMPUTED_VALUE"""),0)</f>
        <v>0</v>
      </c>
      <c r="G45" s="58">
        <f ca="1">IFERROR(__xludf.DUMMYFUNCTION("""COMPUTED_VALUE"""),0)</f>
        <v>0</v>
      </c>
      <c r="H45" s="59" t="s">
        <v>170</v>
      </c>
      <c r="I45" s="59" t="s">
        <v>171</v>
      </c>
      <c r="J45" s="60" t="str">
        <f ca="1">IFERROR(__xludf.DUMMYFUNCTION("JOIN("": "",H45,I45)"),"3E-02-12-10-00-00-00: Vegetação de grande porte")</f>
        <v>3E-02-12-10-00-00-00: Vegetação de grande porte</v>
      </c>
      <c r="K45" s="61"/>
      <c r="L45" s="62">
        <v>4</v>
      </c>
      <c r="M45" s="59"/>
      <c r="N45" s="59"/>
      <c r="O45" s="59"/>
      <c r="P45" s="59"/>
      <c r="Q45" s="63"/>
      <c r="R45" s="63"/>
      <c r="S45" s="63"/>
      <c r="T45" s="64">
        <v>24</v>
      </c>
      <c r="U45" s="46" t="b">
        <f ca="1"/>
        <v>0</v>
      </c>
      <c r="X45" s="12" t="s">
        <v>4240</v>
      </c>
      <c r="Y45" s="10">
        <v>24</v>
      </c>
    </row>
    <row r="46" spans="1:26" ht="12.75">
      <c r="A46" s="36" t="s">
        <v>173</v>
      </c>
      <c r="B46" s="37">
        <f ca="1">IFERROR(__xludf.DUMMYFUNCTION("SPLIT(RIGHT(A46,17),"" "")"),4)</f>
        <v>4</v>
      </c>
      <c r="C46" s="37">
        <f ca="1">IFERROR(__xludf.DUMMYFUNCTION("""COMPUTED_VALUE"""),0)</f>
        <v>0</v>
      </c>
      <c r="D46" s="37">
        <f ca="1">IFERROR(__xludf.DUMMYFUNCTION("""COMPUTED_VALUE"""),0)</f>
        <v>0</v>
      </c>
      <c r="E46" s="37">
        <f ca="1">IFERROR(__xludf.DUMMYFUNCTION("""COMPUTED_VALUE"""),0)</f>
        <v>0</v>
      </c>
      <c r="F46" s="37">
        <f ca="1">IFERROR(__xludf.DUMMYFUNCTION("""COMPUTED_VALUE"""),0)</f>
        <v>0</v>
      </c>
      <c r="G46" s="37">
        <f ca="1">IFERROR(__xludf.DUMMYFUNCTION("""COMPUTED_VALUE"""),0)</f>
        <v>0</v>
      </c>
      <c r="H46" s="38" t="s">
        <v>174</v>
      </c>
      <c r="I46" s="38" t="s">
        <v>175</v>
      </c>
      <c r="J46" s="39" t="str">
        <f ca="1">IFERROR(__xludf.DUMMYFUNCTION("JOIN("": "",H46,I46)"),"3E-04-00-00-00-00-00: Elementos de canteiro de obra")</f>
        <v>3E-04-00-00-00-00-00: Elementos de canteiro de obra</v>
      </c>
      <c r="K46" s="40"/>
      <c r="L46" s="41">
        <v>2</v>
      </c>
      <c r="M46" s="42"/>
      <c r="N46" s="43"/>
      <c r="O46" s="43"/>
      <c r="P46" s="43"/>
      <c r="Q46" s="44">
        <v>7</v>
      </c>
      <c r="R46" s="44">
        <v>6</v>
      </c>
      <c r="S46" s="44">
        <v>3</v>
      </c>
      <c r="T46" s="44">
        <v>4</v>
      </c>
      <c r="U46" s="45" t="b">
        <f ca="1"/>
        <v>0</v>
      </c>
      <c r="W46" s="7" t="str">
        <f>MID(H46, 1, FIND("-", H46, FIND("-", H46)+1)-1)</f>
        <v>3E-04</v>
      </c>
      <c r="X46" s="12" t="s">
        <v>4241</v>
      </c>
      <c r="Y46" s="10">
        <v>4</v>
      </c>
      <c r="Z46" s="7" t="str">
        <f>SUBSTITUTE(I46, "Elementos de ", "")</f>
        <v>canteiro de obra</v>
      </c>
    </row>
    <row r="47" spans="1:26" ht="12.75" hidden="1">
      <c r="A47" s="47" t="s">
        <v>177</v>
      </c>
      <c r="B47" s="48">
        <f ca="1">IFERROR(__xludf.DUMMYFUNCTION("SPLIT(RIGHT(A47,17),"" "")"),4)</f>
        <v>4</v>
      </c>
      <c r="C47" s="48">
        <f ca="1">IFERROR(__xludf.DUMMYFUNCTION("""COMPUTED_VALUE"""),2)</f>
        <v>2</v>
      </c>
      <c r="D47" s="48">
        <f ca="1">IFERROR(__xludf.DUMMYFUNCTION("""COMPUTED_VALUE"""),0)</f>
        <v>0</v>
      </c>
      <c r="E47" s="48">
        <f ca="1">IFERROR(__xludf.DUMMYFUNCTION("""COMPUTED_VALUE"""),0)</f>
        <v>0</v>
      </c>
      <c r="F47" s="48">
        <f ca="1">IFERROR(__xludf.DUMMYFUNCTION("""COMPUTED_VALUE"""),0)</f>
        <v>0</v>
      </c>
      <c r="G47" s="48">
        <f ca="1">IFERROR(__xludf.DUMMYFUNCTION("""COMPUTED_VALUE"""),0)</f>
        <v>0</v>
      </c>
      <c r="H47" s="49" t="s">
        <v>178</v>
      </c>
      <c r="I47" s="49" t="s">
        <v>179</v>
      </c>
      <c r="J47" s="50" t="str">
        <f ca="1">IFERROR(__xludf.DUMMYFUNCTION("JOIN("": "",H47,I47)"),"3E-04-02-00-00-00-00: Elementos de ancoragem temporária")</f>
        <v>3E-04-02-00-00-00-00: Elementos de ancoragem temporária</v>
      </c>
      <c r="K47" s="51"/>
      <c r="L47" s="52">
        <v>3</v>
      </c>
      <c r="M47" s="53"/>
      <c r="N47" s="53"/>
      <c r="O47" s="53"/>
      <c r="P47" s="53"/>
      <c r="Q47" s="54"/>
      <c r="R47" s="54"/>
      <c r="S47" s="54"/>
      <c r="T47" s="55">
        <v>6</v>
      </c>
      <c r="U47" s="46" t="b">
        <f ca="1"/>
        <v>0</v>
      </c>
      <c r="X47" s="12" t="s">
        <v>4242</v>
      </c>
      <c r="Y47" s="10">
        <v>6</v>
      </c>
    </row>
    <row r="48" spans="1:26" ht="12.75" hidden="1">
      <c r="A48" s="47" t="s">
        <v>181</v>
      </c>
      <c r="B48" s="48">
        <f ca="1">IFERROR(__xludf.DUMMYFUNCTION("SPLIT(RIGHT(A48,17),"" "")"),4)</f>
        <v>4</v>
      </c>
      <c r="C48" s="48">
        <f ca="1">IFERROR(__xludf.DUMMYFUNCTION("""COMPUTED_VALUE"""),4)</f>
        <v>4</v>
      </c>
      <c r="D48" s="48">
        <f ca="1">IFERROR(__xludf.DUMMYFUNCTION("""COMPUTED_VALUE"""),0)</f>
        <v>0</v>
      </c>
      <c r="E48" s="48">
        <f ca="1">IFERROR(__xludf.DUMMYFUNCTION("""COMPUTED_VALUE"""),0)</f>
        <v>0</v>
      </c>
      <c r="F48" s="48">
        <f ca="1">IFERROR(__xludf.DUMMYFUNCTION("""COMPUTED_VALUE"""),0)</f>
        <v>0</v>
      </c>
      <c r="G48" s="48">
        <f ca="1">IFERROR(__xludf.DUMMYFUNCTION("""COMPUTED_VALUE"""),0)</f>
        <v>0</v>
      </c>
      <c r="H48" s="49" t="s">
        <v>182</v>
      </c>
      <c r="I48" s="49" t="s">
        <v>183</v>
      </c>
      <c r="J48" s="50" t="str">
        <f ca="1">IFERROR(__xludf.DUMMYFUNCTION("JOIN("": "",H48,I48)"),"3E-04-04-00-00-00-00: Elementos de cimbramento")</f>
        <v>3E-04-04-00-00-00-00: Elementos de cimbramento</v>
      </c>
      <c r="K48" s="51"/>
      <c r="L48" s="52">
        <v>3</v>
      </c>
      <c r="M48" s="53"/>
      <c r="N48" s="53"/>
      <c r="O48" s="53"/>
      <c r="P48" s="53"/>
      <c r="Q48" s="54"/>
      <c r="R48" s="54"/>
      <c r="S48" s="54"/>
      <c r="T48" s="55">
        <v>8</v>
      </c>
      <c r="U48" s="45" t="b">
        <f ca="1"/>
        <v>0</v>
      </c>
      <c r="X48" s="12" t="s">
        <v>4243</v>
      </c>
      <c r="Y48" s="10">
        <v>8</v>
      </c>
    </row>
    <row r="49" spans="1:26" ht="12.75" hidden="1">
      <c r="A49" s="47" t="s">
        <v>185</v>
      </c>
      <c r="B49" s="48">
        <f ca="1">IFERROR(__xludf.DUMMYFUNCTION("SPLIT(RIGHT(A49,17),"" "")"),4)</f>
        <v>4</v>
      </c>
      <c r="C49" s="48">
        <f ca="1">IFERROR(__xludf.DUMMYFUNCTION("""COMPUTED_VALUE"""),6)</f>
        <v>6</v>
      </c>
      <c r="D49" s="48">
        <f ca="1">IFERROR(__xludf.DUMMYFUNCTION("""COMPUTED_VALUE"""),0)</f>
        <v>0</v>
      </c>
      <c r="E49" s="48">
        <f ca="1">IFERROR(__xludf.DUMMYFUNCTION("""COMPUTED_VALUE"""),0)</f>
        <v>0</v>
      </c>
      <c r="F49" s="48">
        <f ca="1">IFERROR(__xludf.DUMMYFUNCTION("""COMPUTED_VALUE"""),0)</f>
        <v>0</v>
      </c>
      <c r="G49" s="48">
        <f ca="1">IFERROR(__xludf.DUMMYFUNCTION("""COMPUTED_VALUE"""),0)</f>
        <v>0</v>
      </c>
      <c r="H49" s="49" t="s">
        <v>186</v>
      </c>
      <c r="I49" s="49" t="s">
        <v>187</v>
      </c>
      <c r="J49" s="50" t="str">
        <f ca="1">IFERROR(__xludf.DUMMYFUNCTION("JOIN("": "",H49,I49)"),"3E-04-06-00-00-00-00: Elementos de escoramento")</f>
        <v>3E-04-06-00-00-00-00: Elementos de escoramento</v>
      </c>
      <c r="K49" s="51"/>
      <c r="L49" s="52">
        <v>3</v>
      </c>
      <c r="M49" s="53"/>
      <c r="N49" s="53"/>
      <c r="O49" s="53"/>
      <c r="P49" s="53"/>
      <c r="Q49" s="54"/>
      <c r="R49" s="54"/>
      <c r="S49" s="54"/>
      <c r="T49" s="55">
        <v>10</v>
      </c>
      <c r="U49" s="46" t="b">
        <f ca="1"/>
        <v>0</v>
      </c>
      <c r="X49" s="12" t="s">
        <v>4244</v>
      </c>
      <c r="Y49" s="10">
        <v>10</v>
      </c>
    </row>
    <row r="50" spans="1:26" ht="12.75" hidden="1">
      <c r="A50" s="47" t="s">
        <v>189</v>
      </c>
      <c r="B50" s="48">
        <f ca="1">IFERROR(__xludf.DUMMYFUNCTION("SPLIT(RIGHT(A50,17),"" "")"),4)</f>
        <v>4</v>
      </c>
      <c r="C50" s="48">
        <f ca="1">IFERROR(__xludf.DUMMYFUNCTION("""COMPUTED_VALUE"""),8)</f>
        <v>8</v>
      </c>
      <c r="D50" s="48">
        <f ca="1">IFERROR(__xludf.DUMMYFUNCTION("""COMPUTED_VALUE"""),0)</f>
        <v>0</v>
      </c>
      <c r="E50" s="48">
        <f ca="1">IFERROR(__xludf.DUMMYFUNCTION("""COMPUTED_VALUE"""),0)</f>
        <v>0</v>
      </c>
      <c r="F50" s="48">
        <f ca="1">IFERROR(__xludf.DUMMYFUNCTION("""COMPUTED_VALUE"""),0)</f>
        <v>0</v>
      </c>
      <c r="G50" s="48">
        <f ca="1">IFERROR(__xludf.DUMMYFUNCTION("""COMPUTED_VALUE"""),0)</f>
        <v>0</v>
      </c>
      <c r="H50" s="49" t="s">
        <v>190</v>
      </c>
      <c r="I50" s="49" t="s">
        <v>191</v>
      </c>
      <c r="J50" s="50" t="str">
        <f ca="1">IFERROR(__xludf.DUMMYFUNCTION("JOIN("": "",H50,I50)"),"3E-04-08-00-00-00-00: Elementos de marcação")</f>
        <v>3E-04-08-00-00-00-00: Elementos de marcação</v>
      </c>
      <c r="K50" s="51"/>
      <c r="L50" s="52">
        <v>3</v>
      </c>
      <c r="M50" s="53"/>
      <c r="N50" s="53"/>
      <c r="O50" s="53"/>
      <c r="P50" s="53"/>
      <c r="Q50" s="54"/>
      <c r="R50" s="54"/>
      <c r="S50" s="54"/>
      <c r="T50" s="55">
        <v>12</v>
      </c>
      <c r="U50" s="45" t="b">
        <f ca="1"/>
        <v>0</v>
      </c>
      <c r="X50" s="12" t="s">
        <v>4245</v>
      </c>
      <c r="Y50" s="10">
        <v>12</v>
      </c>
    </row>
    <row r="51" spans="1:26" ht="12.75" hidden="1">
      <c r="A51" s="47" t="s">
        <v>193</v>
      </c>
      <c r="B51" s="48">
        <f ca="1">IFERROR(__xludf.DUMMYFUNCTION("SPLIT(RIGHT(A51,17),"" "")"),4)</f>
        <v>4</v>
      </c>
      <c r="C51" s="48">
        <f ca="1">IFERROR(__xludf.DUMMYFUNCTION("""COMPUTED_VALUE"""),10)</f>
        <v>10</v>
      </c>
      <c r="D51" s="48">
        <f ca="1">IFERROR(__xludf.DUMMYFUNCTION("""COMPUTED_VALUE"""),0)</f>
        <v>0</v>
      </c>
      <c r="E51" s="48">
        <f ca="1">IFERROR(__xludf.DUMMYFUNCTION("""COMPUTED_VALUE"""),0)</f>
        <v>0</v>
      </c>
      <c r="F51" s="48">
        <f ca="1">IFERROR(__xludf.DUMMYFUNCTION("""COMPUTED_VALUE"""),0)</f>
        <v>0</v>
      </c>
      <c r="G51" s="48">
        <f ca="1">IFERROR(__xludf.DUMMYFUNCTION("""COMPUTED_VALUE"""),0)</f>
        <v>0</v>
      </c>
      <c r="H51" s="49" t="s">
        <v>194</v>
      </c>
      <c r="I51" s="49" t="s">
        <v>195</v>
      </c>
      <c r="J51" s="50" t="str">
        <f ca="1">IFERROR(__xludf.DUMMYFUNCTION("JOIN("": "",H51,I51)"),"3E-04-10-00-00-00-00: Elementos de manejo de resíduos")</f>
        <v>3E-04-10-00-00-00-00: Elementos de manejo de resíduos</v>
      </c>
      <c r="K51" s="51"/>
      <c r="L51" s="52">
        <v>3</v>
      </c>
      <c r="M51" s="53"/>
      <c r="N51" s="53"/>
      <c r="O51" s="53"/>
      <c r="P51" s="53"/>
      <c r="Q51" s="54"/>
      <c r="R51" s="54"/>
      <c r="S51" s="54"/>
      <c r="T51" s="55">
        <v>14</v>
      </c>
      <c r="U51" s="46" t="b">
        <f ca="1"/>
        <v>0</v>
      </c>
      <c r="X51" s="12" t="s">
        <v>4246</v>
      </c>
      <c r="Y51" s="10">
        <v>14</v>
      </c>
    </row>
    <row r="52" spans="1:26" ht="12.75" hidden="1">
      <c r="A52" s="56" t="s">
        <v>197</v>
      </c>
      <c r="B52" s="58"/>
      <c r="C52" s="58"/>
      <c r="D52" s="58"/>
      <c r="E52" s="58"/>
      <c r="F52" s="58"/>
      <c r="G52" s="58"/>
      <c r="H52" s="59" t="s">
        <v>198</v>
      </c>
      <c r="I52" s="59" t="s">
        <v>199</v>
      </c>
      <c r="J52" s="60" t="str">
        <f ca="1">IFERROR(__xludf.DUMMYFUNCTION("JOIN("": "",H52,I52)"),"3E-04-10-02-00-00-00: Elementos de acondicionamento de resíduos")</f>
        <v>3E-04-10-02-00-00-00: Elementos de acondicionamento de resíduos</v>
      </c>
      <c r="K52" s="61"/>
      <c r="L52" s="62">
        <v>4</v>
      </c>
      <c r="M52" s="59"/>
      <c r="N52" s="59"/>
      <c r="O52" s="59"/>
      <c r="P52" s="59"/>
      <c r="Q52" s="63"/>
      <c r="R52" s="63"/>
      <c r="S52" s="63"/>
      <c r="T52" s="64">
        <v>16</v>
      </c>
      <c r="U52" s="45" t="b">
        <f ca="1"/>
        <v>0</v>
      </c>
      <c r="X52" s="12" t="s">
        <v>4247</v>
      </c>
      <c r="Y52" s="10">
        <v>16</v>
      </c>
    </row>
    <row r="53" spans="1:26" ht="12.75">
      <c r="A53" s="36" t="s">
        <v>201</v>
      </c>
      <c r="B53" s="37"/>
      <c r="C53" s="37"/>
      <c r="D53" s="37"/>
      <c r="E53" s="37"/>
      <c r="F53" s="37"/>
      <c r="G53" s="37"/>
      <c r="H53" s="38" t="s">
        <v>202</v>
      </c>
      <c r="I53" s="38" t="s">
        <v>203</v>
      </c>
      <c r="J53" s="39" t="str">
        <f ca="1">IFERROR(__xludf.DUMMYFUNCTION("JOIN("": "",H53,I53)"),"3E-06-00-00-00-00-00: Elementos de drenagem")</f>
        <v>3E-06-00-00-00-00-00: Elementos de drenagem</v>
      </c>
      <c r="K53" s="40"/>
      <c r="L53" s="41">
        <v>2</v>
      </c>
      <c r="M53" s="42"/>
      <c r="N53" s="43"/>
      <c r="O53" s="43"/>
      <c r="P53" s="43"/>
      <c r="Q53" s="44">
        <v>6</v>
      </c>
      <c r="R53" s="44">
        <v>8</v>
      </c>
      <c r="S53" s="44">
        <v>4</v>
      </c>
      <c r="T53" s="44">
        <v>6</v>
      </c>
      <c r="U53" s="46" t="b">
        <f ca="1"/>
        <v>0</v>
      </c>
      <c r="W53" s="7" t="str">
        <f>MID(H53, 1, FIND("-", H53, FIND("-", H53)+1)-1)</f>
        <v>3E-06</v>
      </c>
      <c r="X53" s="12" t="s">
        <v>4248</v>
      </c>
      <c r="Y53" s="10">
        <v>6</v>
      </c>
      <c r="Z53" s="7" t="str">
        <f>SUBSTITUTE(I53, "Elementos de ", "")</f>
        <v>drenagem</v>
      </c>
    </row>
    <row r="54" spans="1:26" ht="12.75" hidden="1">
      <c r="A54" s="47" t="s">
        <v>205</v>
      </c>
      <c r="B54" s="48"/>
      <c r="C54" s="48"/>
      <c r="D54" s="48"/>
      <c r="E54" s="48"/>
      <c r="F54" s="48"/>
      <c r="G54" s="48"/>
      <c r="H54" s="49" t="s">
        <v>206</v>
      </c>
      <c r="I54" s="49" t="s">
        <v>207</v>
      </c>
      <c r="J54" s="50" t="str">
        <f ca="1">IFERROR(__xludf.DUMMYFUNCTION("JOIN("": "",H54,I54)"),"3E-06-02-00-00-00-00: Elementos de drenagem de transposição de talvegues")</f>
        <v>3E-06-02-00-00-00-00: Elementos de drenagem de transposição de talvegues</v>
      </c>
      <c r="K54" s="51"/>
      <c r="L54" s="52">
        <v>3</v>
      </c>
      <c r="M54" s="53"/>
      <c r="N54" s="53"/>
      <c r="O54" s="53"/>
      <c r="P54" s="53"/>
      <c r="Q54" s="54"/>
      <c r="R54" s="54"/>
      <c r="S54" s="54"/>
      <c r="T54" s="55">
        <v>8</v>
      </c>
      <c r="U54" s="45" t="b">
        <f ca="1"/>
        <v>0</v>
      </c>
      <c r="X54" s="12" t="s">
        <v>4249</v>
      </c>
      <c r="Y54" s="10">
        <v>8</v>
      </c>
    </row>
    <row r="55" spans="1:26" ht="12.75" hidden="1">
      <c r="A55" s="56" t="s">
        <v>209</v>
      </c>
      <c r="B55" s="58"/>
      <c r="C55" s="58"/>
      <c r="D55" s="58"/>
      <c r="E55" s="58"/>
      <c r="F55" s="58"/>
      <c r="G55" s="58"/>
      <c r="H55" s="59" t="s">
        <v>210</v>
      </c>
      <c r="I55" s="59" t="s">
        <v>211</v>
      </c>
      <c r="J55" s="60" t="str">
        <f ca="1">IFERROR(__xludf.DUMMYFUNCTION("JOIN("": "",H55,I55)"),"3E-06-02-02-00-00-00: Bueiro para transposição de talvegues")</f>
        <v>3E-06-02-02-00-00-00: Bueiro para transposição de talvegues</v>
      </c>
      <c r="K55" s="61"/>
      <c r="L55" s="62">
        <v>4</v>
      </c>
      <c r="M55" s="59"/>
      <c r="N55" s="59"/>
      <c r="O55" s="59"/>
      <c r="P55" s="59"/>
      <c r="Q55" s="63"/>
      <c r="R55" s="63"/>
      <c r="S55" s="63"/>
      <c r="T55" s="64">
        <v>10</v>
      </c>
      <c r="U55" s="46" t="b">
        <f ca="1"/>
        <v>0</v>
      </c>
      <c r="X55" s="12" t="s">
        <v>4250</v>
      </c>
      <c r="Y55" s="10">
        <v>10</v>
      </c>
    </row>
    <row r="56" spans="1:26" ht="12.75" hidden="1">
      <c r="A56" s="56" t="s">
        <v>213</v>
      </c>
      <c r="B56" s="58"/>
      <c r="C56" s="58"/>
      <c r="D56" s="58"/>
      <c r="E56" s="58"/>
      <c r="F56" s="58"/>
      <c r="G56" s="58"/>
      <c r="H56" s="59" t="s">
        <v>214</v>
      </c>
      <c r="I56" s="59" t="s">
        <v>215</v>
      </c>
      <c r="J56" s="60" t="str">
        <f ca="1">IFERROR(__xludf.DUMMYFUNCTION("JOIN("": "",H56,I56)"),"3E-06-02-04-00-00-00: Pontilhão para transposição de talvegues")</f>
        <v>3E-06-02-04-00-00-00: Pontilhão para transposição de talvegues</v>
      </c>
      <c r="K56" s="61"/>
      <c r="L56" s="62">
        <v>4</v>
      </c>
      <c r="M56" s="59"/>
      <c r="N56" s="59"/>
      <c r="O56" s="59"/>
      <c r="P56" s="59"/>
      <c r="Q56" s="63"/>
      <c r="R56" s="63"/>
      <c r="S56" s="63"/>
      <c r="T56" s="64">
        <v>12</v>
      </c>
      <c r="U56" s="45" t="b">
        <f ca="1"/>
        <v>0</v>
      </c>
      <c r="X56" s="12" t="s">
        <v>4251</v>
      </c>
      <c r="Y56" s="10">
        <v>12</v>
      </c>
    </row>
    <row r="57" spans="1:26" ht="12.75" hidden="1">
      <c r="A57" s="56" t="s">
        <v>217</v>
      </c>
      <c r="B57" s="58"/>
      <c r="C57" s="58"/>
      <c r="D57" s="58"/>
      <c r="E57" s="58"/>
      <c r="F57" s="58"/>
      <c r="G57" s="58"/>
      <c r="H57" s="59" t="s">
        <v>218</v>
      </c>
      <c r="I57" s="59" t="s">
        <v>219</v>
      </c>
      <c r="J57" s="60" t="str">
        <f ca="1">IFERROR(__xludf.DUMMYFUNCTION("JOIN("": "",H57,I57)"),"3E-06-02-06-00-00-00: Ponte para transposição de talvegues")</f>
        <v>3E-06-02-06-00-00-00: Ponte para transposição de talvegues</v>
      </c>
      <c r="K57" s="61"/>
      <c r="L57" s="62">
        <v>4</v>
      </c>
      <c r="M57" s="59"/>
      <c r="N57" s="59"/>
      <c r="O57" s="59"/>
      <c r="P57" s="59"/>
      <c r="Q57" s="63"/>
      <c r="R57" s="63"/>
      <c r="S57" s="63"/>
      <c r="T57" s="64">
        <v>14</v>
      </c>
      <c r="U57" s="46" t="b">
        <f ca="1"/>
        <v>0</v>
      </c>
      <c r="X57" s="12" t="s">
        <v>4252</v>
      </c>
      <c r="Y57" s="10">
        <v>14</v>
      </c>
    </row>
    <row r="58" spans="1:26" ht="12.75" hidden="1">
      <c r="A58" s="47" t="s">
        <v>221</v>
      </c>
      <c r="B58" s="48"/>
      <c r="C58" s="48"/>
      <c r="D58" s="48"/>
      <c r="E58" s="48"/>
      <c r="F58" s="48"/>
      <c r="G58" s="48"/>
      <c r="H58" s="49" t="s">
        <v>222</v>
      </c>
      <c r="I58" s="49" t="s">
        <v>223</v>
      </c>
      <c r="J58" s="50" t="str">
        <f ca="1">IFERROR(__xludf.DUMMYFUNCTION("JOIN("": "",H58,I58)"),"3E-06-04-00-00-00-00: Elementos de drenagem superficial")</f>
        <v>3E-06-04-00-00-00-00: Elementos de drenagem superficial</v>
      </c>
      <c r="K58" s="51"/>
      <c r="L58" s="52">
        <v>3</v>
      </c>
      <c r="M58" s="53"/>
      <c r="N58" s="53"/>
      <c r="O58" s="53"/>
      <c r="P58" s="53"/>
      <c r="Q58" s="54"/>
      <c r="R58" s="54"/>
      <c r="S58" s="54"/>
      <c r="T58" s="55">
        <v>10</v>
      </c>
      <c r="U58" s="45" t="b">
        <f ca="1"/>
        <v>0</v>
      </c>
      <c r="X58" s="12" t="s">
        <v>4253</v>
      </c>
      <c r="Y58" s="10">
        <v>10</v>
      </c>
    </row>
    <row r="59" spans="1:26" ht="12.75" hidden="1">
      <c r="A59" s="56" t="s">
        <v>225</v>
      </c>
      <c r="B59" s="58"/>
      <c r="C59" s="58"/>
      <c r="D59" s="58"/>
      <c r="E59" s="58"/>
      <c r="F59" s="58"/>
      <c r="G59" s="58"/>
      <c r="H59" s="59" t="s">
        <v>226</v>
      </c>
      <c r="I59" s="59" t="s">
        <v>227</v>
      </c>
      <c r="J59" s="60" t="str">
        <f ca="1">IFERROR(__xludf.DUMMYFUNCTION("JOIN("": "",H59,I59)"),"3E-06-04-02-00-00-00: Valeta de proteção de corte")</f>
        <v>3E-06-04-02-00-00-00: Valeta de proteção de corte</v>
      </c>
      <c r="K59" s="61"/>
      <c r="L59" s="62">
        <v>4</v>
      </c>
      <c r="M59" s="59"/>
      <c r="N59" s="59"/>
      <c r="O59" s="59"/>
      <c r="P59" s="59"/>
      <c r="Q59" s="63"/>
      <c r="R59" s="63"/>
      <c r="S59" s="63"/>
      <c r="T59" s="64">
        <v>12</v>
      </c>
      <c r="U59" s="46" t="b">
        <f ca="1"/>
        <v>0</v>
      </c>
      <c r="X59" s="12" t="s">
        <v>4254</v>
      </c>
      <c r="Y59" s="10">
        <v>12</v>
      </c>
    </row>
    <row r="60" spans="1:26" ht="12.75" hidden="1">
      <c r="A60" s="56" t="s">
        <v>229</v>
      </c>
      <c r="B60" s="58"/>
      <c r="C60" s="58"/>
      <c r="D60" s="58"/>
      <c r="E60" s="58"/>
      <c r="F60" s="58"/>
      <c r="G60" s="58"/>
      <c r="H60" s="59" t="s">
        <v>230</v>
      </c>
      <c r="I60" s="59" t="s">
        <v>231</v>
      </c>
      <c r="J60" s="60" t="str">
        <f ca="1">IFERROR(__xludf.DUMMYFUNCTION("JOIN("": "",H60,I60)"),"3E-06-04-04-00-00-00: Valeta de proteção de aterro")</f>
        <v>3E-06-04-04-00-00-00: Valeta de proteção de aterro</v>
      </c>
      <c r="K60" s="61"/>
      <c r="L60" s="62">
        <v>4</v>
      </c>
      <c r="M60" s="59"/>
      <c r="N60" s="59"/>
      <c r="O60" s="59"/>
      <c r="P60" s="59"/>
      <c r="Q60" s="63"/>
      <c r="R60" s="63"/>
      <c r="S60" s="63"/>
      <c r="T60" s="64">
        <v>14</v>
      </c>
      <c r="U60" s="45" t="b">
        <f ca="1"/>
        <v>0</v>
      </c>
      <c r="X60" s="12" t="s">
        <v>4255</v>
      </c>
      <c r="Y60" s="10">
        <v>14</v>
      </c>
    </row>
    <row r="61" spans="1:26" ht="12.75" hidden="1">
      <c r="A61" s="56" t="s">
        <v>233</v>
      </c>
      <c r="B61" s="58"/>
      <c r="C61" s="58"/>
      <c r="D61" s="58"/>
      <c r="E61" s="58"/>
      <c r="F61" s="58"/>
      <c r="G61" s="58"/>
      <c r="H61" s="59" t="s">
        <v>234</v>
      </c>
      <c r="I61" s="59" t="s">
        <v>235</v>
      </c>
      <c r="J61" s="60" t="str">
        <f ca="1">IFERROR(__xludf.DUMMYFUNCTION("JOIN("": "",H61,I61)"),"3E-06-04-06-00-00-00: Valeta de canteiro central")</f>
        <v>3E-06-04-06-00-00-00: Valeta de canteiro central</v>
      </c>
      <c r="K61" s="61"/>
      <c r="L61" s="62">
        <v>4</v>
      </c>
      <c r="M61" s="59"/>
      <c r="N61" s="59"/>
      <c r="O61" s="59"/>
      <c r="P61" s="59"/>
      <c r="Q61" s="63"/>
      <c r="R61" s="63"/>
      <c r="S61" s="63"/>
      <c r="T61" s="64">
        <v>16</v>
      </c>
      <c r="U61" s="46" t="b">
        <f ca="1"/>
        <v>0</v>
      </c>
      <c r="X61" s="12" t="s">
        <v>4256</v>
      </c>
      <c r="Y61" s="10">
        <v>16</v>
      </c>
    </row>
    <row r="62" spans="1:26" ht="12.75" hidden="1">
      <c r="A62" s="56" t="s">
        <v>237</v>
      </c>
      <c r="B62" s="58"/>
      <c r="C62" s="58"/>
      <c r="D62" s="58"/>
      <c r="E62" s="58"/>
      <c r="F62" s="58"/>
      <c r="G62" s="58"/>
      <c r="H62" s="59" t="s">
        <v>238</v>
      </c>
      <c r="I62" s="59" t="s">
        <v>239</v>
      </c>
      <c r="J62" s="60" t="str">
        <f ca="1">IFERROR(__xludf.DUMMYFUNCTION("JOIN("": "",H62,I62)"),"3E-06-04-08-00-00-00: Sarjeta de corte")</f>
        <v>3E-06-04-08-00-00-00: Sarjeta de corte</v>
      </c>
      <c r="K62" s="61"/>
      <c r="L62" s="62">
        <v>4</v>
      </c>
      <c r="M62" s="59"/>
      <c r="N62" s="59"/>
      <c r="O62" s="59"/>
      <c r="P62" s="59"/>
      <c r="Q62" s="63"/>
      <c r="R62" s="63"/>
      <c r="S62" s="63"/>
      <c r="T62" s="64">
        <v>18</v>
      </c>
      <c r="U62" s="45" t="b">
        <f ca="1"/>
        <v>0</v>
      </c>
      <c r="X62" s="12" t="s">
        <v>4257</v>
      </c>
      <c r="Y62" s="10">
        <v>18</v>
      </c>
    </row>
    <row r="63" spans="1:26" ht="12.75" hidden="1">
      <c r="A63" s="56" t="s">
        <v>241</v>
      </c>
      <c r="B63" s="58"/>
      <c r="C63" s="58"/>
      <c r="D63" s="58"/>
      <c r="E63" s="58"/>
      <c r="F63" s="58"/>
      <c r="G63" s="58"/>
      <c r="H63" s="59" t="s">
        <v>242</v>
      </c>
      <c r="I63" s="59" t="s">
        <v>243</v>
      </c>
      <c r="J63" s="60" t="str">
        <f ca="1">IFERROR(__xludf.DUMMYFUNCTION("JOIN("": "",H63,I63)"),"3E-06-04-10-00-00-00: Sarjeta de aterro")</f>
        <v>3E-06-04-10-00-00-00: Sarjeta de aterro</v>
      </c>
      <c r="K63" s="61"/>
      <c r="L63" s="62">
        <v>4</v>
      </c>
      <c r="M63" s="59"/>
      <c r="N63" s="59"/>
      <c r="O63" s="59"/>
      <c r="P63" s="59"/>
      <c r="Q63" s="63"/>
      <c r="R63" s="63"/>
      <c r="S63" s="63"/>
      <c r="T63" s="64">
        <v>20</v>
      </c>
      <c r="U63" s="46" t="b">
        <f ca="1"/>
        <v>0</v>
      </c>
      <c r="X63" s="12" t="s">
        <v>4258</v>
      </c>
      <c r="Y63" s="10">
        <v>20</v>
      </c>
    </row>
    <row r="64" spans="1:26" ht="12.75" hidden="1">
      <c r="A64" s="56" t="s">
        <v>245</v>
      </c>
      <c r="B64" s="58"/>
      <c r="C64" s="58"/>
      <c r="D64" s="58"/>
      <c r="E64" s="58"/>
      <c r="F64" s="58"/>
      <c r="G64" s="58"/>
      <c r="H64" s="59" t="s">
        <v>246</v>
      </c>
      <c r="I64" s="59" t="s">
        <v>247</v>
      </c>
      <c r="J64" s="60" t="str">
        <f ca="1">IFERROR(__xludf.DUMMYFUNCTION("JOIN("": "",H64,I64)"),"3E-06-04-12-00-00-00: Descida d'água")</f>
        <v>3E-06-04-12-00-00-00: Descida d'água</v>
      </c>
      <c r="K64" s="61"/>
      <c r="L64" s="62">
        <v>4</v>
      </c>
      <c r="M64" s="59"/>
      <c r="N64" s="59"/>
      <c r="O64" s="59"/>
      <c r="P64" s="59"/>
      <c r="Q64" s="63"/>
      <c r="R64" s="63"/>
      <c r="S64" s="63"/>
      <c r="T64" s="64">
        <v>22</v>
      </c>
      <c r="U64" s="45" t="b">
        <f ca="1"/>
        <v>0</v>
      </c>
      <c r="X64" s="12" t="s">
        <v>4259</v>
      </c>
      <c r="Y64" s="10">
        <v>22</v>
      </c>
    </row>
    <row r="65" spans="1:25" ht="12.75" hidden="1">
      <c r="A65" s="56" t="s">
        <v>249</v>
      </c>
      <c r="B65" s="58"/>
      <c r="C65" s="58"/>
      <c r="D65" s="58"/>
      <c r="E65" s="58"/>
      <c r="F65" s="58"/>
      <c r="G65" s="58"/>
      <c r="H65" s="59" t="s">
        <v>250</v>
      </c>
      <c r="I65" s="59" t="s">
        <v>251</v>
      </c>
      <c r="J65" s="60" t="str">
        <f ca="1">IFERROR(__xludf.DUMMYFUNCTION("JOIN("": "",H65,I65)"),"3E-06-04-14-00-00-00: Saída d'água")</f>
        <v>3E-06-04-14-00-00-00: Saída d'água</v>
      </c>
      <c r="K65" s="61"/>
      <c r="L65" s="62">
        <v>4</v>
      </c>
      <c r="M65" s="59"/>
      <c r="N65" s="59"/>
      <c r="O65" s="59"/>
      <c r="P65" s="59"/>
      <c r="Q65" s="63"/>
      <c r="R65" s="63"/>
      <c r="S65" s="63"/>
      <c r="T65" s="64">
        <v>24</v>
      </c>
      <c r="U65" s="46" t="b">
        <f ca="1"/>
        <v>0</v>
      </c>
      <c r="X65" s="12" t="s">
        <v>4260</v>
      </c>
      <c r="Y65" s="10">
        <v>24</v>
      </c>
    </row>
    <row r="66" spans="1:25" ht="12.75" hidden="1">
      <c r="A66" s="56" t="s">
        <v>253</v>
      </c>
      <c r="B66" s="58"/>
      <c r="C66" s="58"/>
      <c r="D66" s="58"/>
      <c r="E66" s="58"/>
      <c r="F66" s="58"/>
      <c r="G66" s="58"/>
      <c r="H66" s="59" t="s">
        <v>254</v>
      </c>
      <c r="I66" s="59" t="s">
        <v>255</v>
      </c>
      <c r="J66" s="60" t="str">
        <f ca="1">IFERROR(__xludf.DUMMYFUNCTION("JOIN("": "",H66,I66)"),"3E-06-04-16-00-00-00: Caixa coletora de drenagem superficial")</f>
        <v>3E-06-04-16-00-00-00: Caixa coletora de drenagem superficial</v>
      </c>
      <c r="K66" s="61"/>
      <c r="L66" s="62">
        <v>4</v>
      </c>
      <c r="M66" s="59"/>
      <c r="N66" s="59"/>
      <c r="O66" s="59"/>
      <c r="P66" s="59"/>
      <c r="Q66" s="63"/>
      <c r="R66" s="63"/>
      <c r="S66" s="63"/>
      <c r="T66" s="64">
        <v>26</v>
      </c>
      <c r="U66" s="45" t="b">
        <f ca="1"/>
        <v>0</v>
      </c>
      <c r="X66" s="12" t="s">
        <v>4261</v>
      </c>
      <c r="Y66" s="10">
        <v>26</v>
      </c>
    </row>
    <row r="67" spans="1:25" ht="12.75" hidden="1">
      <c r="A67" s="56" t="s">
        <v>257</v>
      </c>
      <c r="B67" s="58"/>
      <c r="C67" s="58"/>
      <c r="D67" s="58"/>
      <c r="E67" s="58"/>
      <c r="F67" s="58"/>
      <c r="G67" s="58"/>
      <c r="H67" s="59" t="s">
        <v>258</v>
      </c>
      <c r="I67" s="59" t="s">
        <v>259</v>
      </c>
      <c r="J67" s="60" t="str">
        <f ca="1">IFERROR(__xludf.DUMMYFUNCTION("JOIN("": "",H67,I67)"),"3E-06-04-18-00-00-00: Bueiro de greide")</f>
        <v>3E-06-04-18-00-00-00: Bueiro de greide</v>
      </c>
      <c r="K67" s="61"/>
      <c r="L67" s="62">
        <v>4</v>
      </c>
      <c r="M67" s="59"/>
      <c r="N67" s="59"/>
      <c r="O67" s="59"/>
      <c r="P67" s="59"/>
      <c r="Q67" s="63"/>
      <c r="R67" s="63"/>
      <c r="S67" s="63"/>
      <c r="T67" s="64">
        <v>28</v>
      </c>
      <c r="U67" s="46" t="b">
        <f ca="1"/>
        <v>0</v>
      </c>
      <c r="X67" s="12" t="s">
        <v>4262</v>
      </c>
      <c r="Y67" s="10">
        <v>28</v>
      </c>
    </row>
    <row r="68" spans="1:25" ht="12.75" hidden="1">
      <c r="A68" s="56" t="s">
        <v>261</v>
      </c>
      <c r="B68" s="58"/>
      <c r="C68" s="58"/>
      <c r="D68" s="58"/>
      <c r="E68" s="58"/>
      <c r="F68" s="58"/>
      <c r="G68" s="58"/>
      <c r="H68" s="59" t="s">
        <v>262</v>
      </c>
      <c r="I68" s="59" t="s">
        <v>263</v>
      </c>
      <c r="J68" s="60" t="str">
        <f ca="1">IFERROR(__xludf.DUMMYFUNCTION("JOIN("": "",H68,I68)"),"3E-06-04-20-00-00-00: Dissipador de energia de drenagem superficial")</f>
        <v>3E-06-04-20-00-00-00: Dissipador de energia de drenagem superficial</v>
      </c>
      <c r="K68" s="61"/>
      <c r="L68" s="62">
        <v>4</v>
      </c>
      <c r="M68" s="59"/>
      <c r="N68" s="59"/>
      <c r="O68" s="59"/>
      <c r="P68" s="59"/>
      <c r="Q68" s="63"/>
      <c r="R68" s="63"/>
      <c r="S68" s="63"/>
      <c r="T68" s="64">
        <v>30</v>
      </c>
      <c r="U68" s="45" t="b">
        <f ca="1"/>
        <v>0</v>
      </c>
      <c r="X68" s="12" t="s">
        <v>4263</v>
      </c>
      <c r="Y68" s="10">
        <v>30</v>
      </c>
    </row>
    <row r="69" spans="1:25" ht="12.75" hidden="1">
      <c r="A69" s="65" t="s">
        <v>265</v>
      </c>
      <c r="B69" s="67"/>
      <c r="C69" s="67"/>
      <c r="D69" s="67"/>
      <c r="E69" s="67"/>
      <c r="F69" s="67"/>
      <c r="G69" s="67"/>
      <c r="H69" s="68" t="s">
        <v>266</v>
      </c>
      <c r="I69" s="68" t="s">
        <v>267</v>
      </c>
      <c r="J69" s="69" t="str">
        <f ca="1">IFERROR(__xludf.DUMMYFUNCTION("JOIN("": "",H69,I69)"),"3E-06-04-20-02-00-00: Bacia de amortecimento")</f>
        <v>3E-06-04-20-02-00-00: Bacia de amortecimento</v>
      </c>
      <c r="K69" s="70"/>
      <c r="L69" s="71">
        <v>5</v>
      </c>
      <c r="M69" s="68"/>
      <c r="N69" s="68"/>
      <c r="O69" s="68"/>
      <c r="P69" s="68"/>
      <c r="Q69" s="72"/>
      <c r="R69" s="72"/>
      <c r="S69" s="72"/>
      <c r="T69" s="73">
        <v>32</v>
      </c>
      <c r="U69" s="46" t="b">
        <f ca="1"/>
        <v>0</v>
      </c>
      <c r="X69" s="12" t="s">
        <v>4264</v>
      </c>
      <c r="Y69" s="10">
        <v>32</v>
      </c>
    </row>
    <row r="70" spans="1:25" ht="12.75" hidden="1">
      <c r="A70" s="65" t="s">
        <v>269</v>
      </c>
      <c r="B70" s="67"/>
      <c r="C70" s="67"/>
      <c r="D70" s="67"/>
      <c r="E70" s="67"/>
      <c r="F70" s="67"/>
      <c r="G70" s="67"/>
      <c r="H70" s="68" t="s">
        <v>270</v>
      </c>
      <c r="I70" s="68" t="s">
        <v>271</v>
      </c>
      <c r="J70" s="69" t="str">
        <f ca="1">IFERROR(__xludf.DUMMYFUNCTION("JOIN("": "",H70,I70)"),"3E-06-04-20-04-00-00: Dissipador contínuo")</f>
        <v>3E-06-04-20-04-00-00: Dissipador contínuo</v>
      </c>
      <c r="K70" s="70"/>
      <c r="L70" s="71">
        <v>5</v>
      </c>
      <c r="M70" s="68"/>
      <c r="N70" s="68"/>
      <c r="O70" s="68"/>
      <c r="P70" s="68"/>
      <c r="Q70" s="72"/>
      <c r="R70" s="72"/>
      <c r="S70" s="72"/>
      <c r="T70" s="73">
        <v>34</v>
      </c>
      <c r="U70" s="45" t="b">
        <f ca="1"/>
        <v>0</v>
      </c>
      <c r="X70" s="12" t="s">
        <v>4265</v>
      </c>
      <c r="Y70" s="10">
        <v>34</v>
      </c>
    </row>
    <row r="71" spans="1:25" ht="12.75" hidden="1">
      <c r="A71" s="56" t="s">
        <v>273</v>
      </c>
      <c r="B71" s="58"/>
      <c r="C71" s="58"/>
      <c r="D71" s="58"/>
      <c r="E71" s="58"/>
      <c r="F71" s="58"/>
      <c r="G71" s="58"/>
      <c r="H71" s="59" t="s">
        <v>274</v>
      </c>
      <c r="I71" s="59" t="s">
        <v>275</v>
      </c>
      <c r="J71" s="60" t="str">
        <f ca="1">IFERROR(__xludf.DUMMYFUNCTION("JOIN("": "",H71,I71)"),"3E-06-04-22-00-00-00: Corta-rios")</f>
        <v>3E-06-04-22-00-00-00: Corta-rios</v>
      </c>
      <c r="K71" s="61"/>
      <c r="L71" s="62">
        <v>4</v>
      </c>
      <c r="M71" s="59"/>
      <c r="N71" s="59"/>
      <c r="O71" s="59"/>
      <c r="P71" s="59"/>
      <c r="Q71" s="63"/>
      <c r="R71" s="63"/>
      <c r="S71" s="63"/>
      <c r="T71" s="64">
        <v>32</v>
      </c>
      <c r="U71" s="46" t="b">
        <f ca="1"/>
        <v>0</v>
      </c>
      <c r="X71" s="12" t="s">
        <v>4266</v>
      </c>
      <c r="Y71" s="10">
        <v>32</v>
      </c>
    </row>
    <row r="72" spans="1:25" ht="12.75" hidden="1">
      <c r="A72" s="56" t="s">
        <v>277</v>
      </c>
      <c r="B72" s="58"/>
      <c r="C72" s="58"/>
      <c r="D72" s="58"/>
      <c r="E72" s="58"/>
      <c r="F72" s="58"/>
      <c r="G72" s="58"/>
      <c r="H72" s="59" t="s">
        <v>278</v>
      </c>
      <c r="I72" s="59" t="s">
        <v>279</v>
      </c>
      <c r="J72" s="60" t="str">
        <f ca="1">IFERROR(__xludf.DUMMYFUNCTION("JOIN("": "",H72,I72)"),"3E-06-04-24-00-00-00: Dreno de alívio de muros de arrimo")</f>
        <v>3E-06-04-24-00-00-00: Dreno de alívio de muros de arrimo</v>
      </c>
      <c r="K72" s="61"/>
      <c r="L72" s="62">
        <v>4</v>
      </c>
      <c r="M72" s="59"/>
      <c r="N72" s="59"/>
      <c r="O72" s="59"/>
      <c r="P72" s="59"/>
      <c r="Q72" s="63"/>
      <c r="R72" s="63"/>
      <c r="S72" s="63"/>
      <c r="T72" s="64">
        <v>34</v>
      </c>
      <c r="U72" s="45" t="b">
        <f ca="1"/>
        <v>0</v>
      </c>
      <c r="X72" s="12" t="s">
        <v>4267</v>
      </c>
      <c r="Y72" s="10">
        <v>34</v>
      </c>
    </row>
    <row r="73" spans="1:25" ht="12.75" hidden="1">
      <c r="A73" s="47" t="s">
        <v>281</v>
      </c>
      <c r="B73" s="48"/>
      <c r="C73" s="48"/>
      <c r="D73" s="48"/>
      <c r="E73" s="48"/>
      <c r="F73" s="48"/>
      <c r="G73" s="48"/>
      <c r="H73" s="49" t="s">
        <v>282</v>
      </c>
      <c r="I73" s="49" t="s">
        <v>283</v>
      </c>
      <c r="J73" s="50" t="str">
        <f ca="1">IFERROR(__xludf.DUMMYFUNCTION("JOIN("": "",H73,I73)"),"3E-06-06-00-00-00-00: Elementos de drenagem do pavimento")</f>
        <v>3E-06-06-00-00-00-00: Elementos de drenagem do pavimento</v>
      </c>
      <c r="K73" s="51"/>
      <c r="L73" s="52">
        <v>3</v>
      </c>
      <c r="M73" s="53"/>
      <c r="N73" s="53"/>
      <c r="O73" s="53"/>
      <c r="P73" s="53"/>
      <c r="Q73" s="54"/>
      <c r="R73" s="54"/>
      <c r="S73" s="54"/>
      <c r="T73" s="55">
        <v>12</v>
      </c>
      <c r="U73" s="46" t="b">
        <f ca="1"/>
        <v>0</v>
      </c>
      <c r="X73" s="12" t="s">
        <v>4268</v>
      </c>
      <c r="Y73" s="10">
        <v>12</v>
      </c>
    </row>
    <row r="74" spans="1:25" ht="12.75" hidden="1">
      <c r="A74" s="56" t="s">
        <v>285</v>
      </c>
      <c r="B74" s="58"/>
      <c r="C74" s="58"/>
      <c r="D74" s="58"/>
      <c r="E74" s="58"/>
      <c r="F74" s="58"/>
      <c r="G74" s="58"/>
      <c r="H74" s="59" t="s">
        <v>286</v>
      </c>
      <c r="I74" s="59" t="s">
        <v>287</v>
      </c>
      <c r="J74" s="60" t="str">
        <f ca="1">IFERROR(__xludf.DUMMYFUNCTION("JOIN("": "",H74,I74)"),"3E-06-06-02-00-00-00: Camada drenante")</f>
        <v>3E-06-06-02-00-00-00: Camada drenante</v>
      </c>
      <c r="K74" s="61"/>
      <c r="L74" s="62">
        <v>4</v>
      </c>
      <c r="M74" s="59"/>
      <c r="N74" s="59"/>
      <c r="O74" s="59"/>
      <c r="P74" s="59"/>
      <c r="Q74" s="63"/>
      <c r="R74" s="63"/>
      <c r="S74" s="63"/>
      <c r="T74" s="64">
        <v>14</v>
      </c>
      <c r="U74" s="45" t="b">
        <f ca="1"/>
        <v>0</v>
      </c>
      <c r="X74" s="12" t="s">
        <v>4269</v>
      </c>
      <c r="Y74" s="10">
        <v>14</v>
      </c>
    </row>
    <row r="75" spans="1:25" ht="12.75" hidden="1">
      <c r="A75" s="56" t="s">
        <v>289</v>
      </c>
      <c r="B75" s="58"/>
      <c r="C75" s="58"/>
      <c r="D75" s="58"/>
      <c r="E75" s="58"/>
      <c r="F75" s="58"/>
      <c r="G75" s="58"/>
      <c r="H75" s="59" t="s">
        <v>290</v>
      </c>
      <c r="I75" s="59" t="s">
        <v>291</v>
      </c>
      <c r="J75" s="60" t="str">
        <f ca="1">IFERROR(__xludf.DUMMYFUNCTION("JOIN("": "",H75,I75)"),"3E-06-06-04-00-00-00: Dreno raso longitudinal")</f>
        <v>3E-06-06-04-00-00-00: Dreno raso longitudinal</v>
      </c>
      <c r="K75" s="61"/>
      <c r="L75" s="62">
        <v>4</v>
      </c>
      <c r="M75" s="59"/>
      <c r="N75" s="59"/>
      <c r="O75" s="59"/>
      <c r="P75" s="59"/>
      <c r="Q75" s="63"/>
      <c r="R75" s="63"/>
      <c r="S75" s="63"/>
      <c r="T75" s="64">
        <v>16</v>
      </c>
      <c r="U75" s="46" t="b">
        <f ca="1"/>
        <v>0</v>
      </c>
      <c r="X75" s="12" t="s">
        <v>4270</v>
      </c>
      <c r="Y75" s="10">
        <v>16</v>
      </c>
    </row>
    <row r="76" spans="1:25" ht="12.75" hidden="1">
      <c r="A76" s="56" t="s">
        <v>293</v>
      </c>
      <c r="B76" s="58"/>
      <c r="C76" s="58"/>
      <c r="D76" s="58"/>
      <c r="E76" s="58"/>
      <c r="F76" s="58"/>
      <c r="G76" s="58"/>
      <c r="H76" s="59" t="s">
        <v>294</v>
      </c>
      <c r="I76" s="59" t="s">
        <v>295</v>
      </c>
      <c r="J76" s="60" t="str">
        <f ca="1">IFERROR(__xludf.DUMMYFUNCTION("JOIN("": "",H76,I76)"),"3E-06-06-06-00-00-00: Dreno lateral de base")</f>
        <v>3E-06-06-06-00-00-00: Dreno lateral de base</v>
      </c>
      <c r="K76" s="61"/>
      <c r="L76" s="62">
        <v>4</v>
      </c>
      <c r="M76" s="59"/>
      <c r="N76" s="59"/>
      <c r="O76" s="59"/>
      <c r="P76" s="59"/>
      <c r="Q76" s="63"/>
      <c r="R76" s="63"/>
      <c r="S76" s="63"/>
      <c r="T76" s="64">
        <v>18</v>
      </c>
      <c r="U76" s="45" t="b">
        <f ca="1"/>
        <v>0</v>
      </c>
      <c r="X76" s="12" t="s">
        <v>4271</v>
      </c>
      <c r="Y76" s="10">
        <v>18</v>
      </c>
    </row>
    <row r="77" spans="1:25" ht="12.75" hidden="1">
      <c r="A77" s="56" t="s">
        <v>297</v>
      </c>
      <c r="B77" s="58"/>
      <c r="C77" s="58"/>
      <c r="D77" s="58"/>
      <c r="E77" s="58"/>
      <c r="F77" s="58"/>
      <c r="G77" s="58"/>
      <c r="H77" s="59" t="s">
        <v>298</v>
      </c>
      <c r="I77" s="59" t="s">
        <v>299</v>
      </c>
      <c r="J77" s="60" t="str">
        <f ca="1">IFERROR(__xludf.DUMMYFUNCTION("JOIN("": "",H77,I77)"),"3E-06-06-08-00-00-00: Dreno transversal")</f>
        <v>3E-06-06-08-00-00-00: Dreno transversal</v>
      </c>
      <c r="K77" s="61"/>
      <c r="L77" s="62">
        <v>4</v>
      </c>
      <c r="M77" s="59"/>
      <c r="N77" s="59"/>
      <c r="O77" s="59"/>
      <c r="P77" s="59"/>
      <c r="Q77" s="63"/>
      <c r="R77" s="63"/>
      <c r="S77" s="63"/>
      <c r="T77" s="64">
        <v>20</v>
      </c>
      <c r="U77" s="46" t="b">
        <f ca="1"/>
        <v>0</v>
      </c>
      <c r="X77" s="12" t="s">
        <v>4272</v>
      </c>
      <c r="Y77" s="10">
        <v>20</v>
      </c>
    </row>
    <row r="78" spans="1:25" ht="12.75" hidden="1">
      <c r="A78" s="47" t="s">
        <v>301</v>
      </c>
      <c r="B78" s="48"/>
      <c r="C78" s="48"/>
      <c r="D78" s="48"/>
      <c r="E78" s="48"/>
      <c r="F78" s="48"/>
      <c r="G78" s="48"/>
      <c r="H78" s="49" t="s">
        <v>302</v>
      </c>
      <c r="I78" s="49" t="s">
        <v>303</v>
      </c>
      <c r="J78" s="50" t="str">
        <f ca="1">IFERROR(__xludf.DUMMYFUNCTION("JOIN("": "",H78,I78)"),"3E-06-08-00-00-00-00: Elementos de drenagem subterrânea ou profunda")</f>
        <v>3E-06-08-00-00-00-00: Elementos de drenagem subterrânea ou profunda</v>
      </c>
      <c r="K78" s="51"/>
      <c r="L78" s="52">
        <v>3</v>
      </c>
      <c r="M78" s="53"/>
      <c r="N78" s="53"/>
      <c r="O78" s="53"/>
      <c r="P78" s="53"/>
      <c r="Q78" s="54"/>
      <c r="R78" s="54"/>
      <c r="S78" s="54"/>
      <c r="T78" s="55">
        <v>14</v>
      </c>
      <c r="U78" s="45" t="b">
        <f ca="1"/>
        <v>0</v>
      </c>
      <c r="X78" s="12" t="s">
        <v>4273</v>
      </c>
      <c r="Y78" s="10">
        <v>14</v>
      </c>
    </row>
    <row r="79" spans="1:25" ht="12.75" hidden="1">
      <c r="A79" s="56" t="s">
        <v>305</v>
      </c>
      <c r="B79" s="58"/>
      <c r="C79" s="58"/>
      <c r="D79" s="58"/>
      <c r="E79" s="58"/>
      <c r="F79" s="58"/>
      <c r="G79" s="58"/>
      <c r="H79" s="59" t="s">
        <v>306</v>
      </c>
      <c r="I79" s="59" t="s">
        <v>307</v>
      </c>
      <c r="J79" s="60" t="str">
        <f ca="1">IFERROR(__xludf.DUMMYFUNCTION("JOIN("": "",H79,I79)"),"3E-06-08-02-00-00-00: Dreno profundo")</f>
        <v>3E-06-08-02-00-00-00: Dreno profundo</v>
      </c>
      <c r="K79" s="61"/>
      <c r="L79" s="62">
        <v>4</v>
      </c>
      <c r="M79" s="59"/>
      <c r="N79" s="59"/>
      <c r="O79" s="59"/>
      <c r="P79" s="59"/>
      <c r="Q79" s="63"/>
      <c r="R79" s="63"/>
      <c r="S79" s="63"/>
      <c r="T79" s="64">
        <v>16</v>
      </c>
      <c r="U79" s="46" t="b">
        <f ca="1"/>
        <v>0</v>
      </c>
      <c r="X79" s="12" t="s">
        <v>4274</v>
      </c>
      <c r="Y79" s="10">
        <v>16</v>
      </c>
    </row>
    <row r="80" spans="1:25" ht="12.75" hidden="1">
      <c r="A80" s="65" t="s">
        <v>309</v>
      </c>
      <c r="B80" s="67"/>
      <c r="C80" s="67"/>
      <c r="D80" s="67"/>
      <c r="E80" s="67"/>
      <c r="F80" s="67"/>
      <c r="G80" s="67"/>
      <c r="H80" s="68" t="s">
        <v>310</v>
      </c>
      <c r="I80" s="68" t="s">
        <v>311</v>
      </c>
      <c r="J80" s="69" t="str">
        <f ca="1">IFERROR(__xludf.DUMMYFUNCTION("JOIN("": "",H80,I80)"),"3E-06-08-02-02-00-00: Dreno profundo contínuo")</f>
        <v>3E-06-08-02-02-00-00: Dreno profundo contínuo</v>
      </c>
      <c r="K80" s="70"/>
      <c r="L80" s="71">
        <v>5</v>
      </c>
      <c r="M80" s="68"/>
      <c r="N80" s="68"/>
      <c r="O80" s="68"/>
      <c r="P80" s="68"/>
      <c r="Q80" s="72"/>
      <c r="R80" s="72"/>
      <c r="S80" s="72"/>
      <c r="T80" s="73">
        <v>18</v>
      </c>
      <c r="U80" s="45" t="b">
        <f ca="1"/>
        <v>0</v>
      </c>
      <c r="X80" s="12" t="s">
        <v>4275</v>
      </c>
      <c r="Y80" s="10">
        <v>18</v>
      </c>
    </row>
    <row r="81" spans="1:26" ht="12.75" hidden="1">
      <c r="A81" s="65" t="s">
        <v>313</v>
      </c>
      <c r="B81" s="67"/>
      <c r="C81" s="67"/>
      <c r="D81" s="67"/>
      <c r="E81" s="67"/>
      <c r="F81" s="67"/>
      <c r="G81" s="67"/>
      <c r="H81" s="68" t="s">
        <v>314</v>
      </c>
      <c r="I81" s="68" t="s">
        <v>315</v>
      </c>
      <c r="J81" s="69" t="str">
        <f ca="1">IFERROR(__xludf.DUMMYFUNCTION("JOIN("": "",H81,I81)"),"3E-06-08-02-04-00-00: Dreno profundo descontínuo")</f>
        <v>3E-06-08-02-04-00-00: Dreno profundo descontínuo</v>
      </c>
      <c r="K81" s="70"/>
      <c r="L81" s="71">
        <v>5</v>
      </c>
      <c r="M81" s="68"/>
      <c r="N81" s="68"/>
      <c r="O81" s="68"/>
      <c r="P81" s="68"/>
      <c r="Q81" s="72"/>
      <c r="R81" s="72"/>
      <c r="S81" s="72"/>
      <c r="T81" s="73">
        <v>20</v>
      </c>
      <c r="U81" s="46" t="b">
        <f ca="1"/>
        <v>0</v>
      </c>
      <c r="X81" s="12" t="s">
        <v>4276</v>
      </c>
      <c r="Y81" s="10">
        <v>20</v>
      </c>
    </row>
    <row r="82" spans="1:26" ht="12.75" hidden="1">
      <c r="A82" s="56" t="s">
        <v>317</v>
      </c>
      <c r="B82" s="58"/>
      <c r="C82" s="58"/>
      <c r="D82" s="58"/>
      <c r="E82" s="58"/>
      <c r="F82" s="58"/>
      <c r="G82" s="58"/>
      <c r="H82" s="59" t="s">
        <v>318</v>
      </c>
      <c r="I82" s="59" t="s">
        <v>319</v>
      </c>
      <c r="J82" s="60" t="str">
        <f ca="1">IFERROR(__xludf.DUMMYFUNCTION("JOIN("": "",H82,I82)"),"3E-06-08-04-00-00-00: Dreno espinha de peixe")</f>
        <v>3E-06-08-04-00-00-00: Dreno espinha de peixe</v>
      </c>
      <c r="K82" s="61"/>
      <c r="L82" s="62">
        <v>4</v>
      </c>
      <c r="M82" s="59"/>
      <c r="N82" s="59"/>
      <c r="O82" s="59"/>
      <c r="P82" s="59"/>
      <c r="Q82" s="63"/>
      <c r="R82" s="63"/>
      <c r="S82" s="63"/>
      <c r="T82" s="64">
        <v>18</v>
      </c>
      <c r="U82" s="45" t="b">
        <f ca="1"/>
        <v>0</v>
      </c>
      <c r="X82" s="12" t="s">
        <v>4277</v>
      </c>
      <c r="Y82" s="10">
        <v>18</v>
      </c>
    </row>
    <row r="83" spans="1:26" ht="12.75" hidden="1">
      <c r="A83" s="56" t="s">
        <v>321</v>
      </c>
      <c r="B83" s="58"/>
      <c r="C83" s="58"/>
      <c r="D83" s="58"/>
      <c r="E83" s="58"/>
      <c r="F83" s="58"/>
      <c r="G83" s="58"/>
      <c r="H83" s="59" t="s">
        <v>322</v>
      </c>
      <c r="I83" s="59" t="s">
        <v>323</v>
      </c>
      <c r="J83" s="60" t="str">
        <f ca="1">IFERROR(__xludf.DUMMYFUNCTION("JOIN("": "",H83,I83)"),"3E-06-08-06-00-00-00: Colchão drenante")</f>
        <v>3E-06-08-06-00-00-00: Colchão drenante</v>
      </c>
      <c r="K83" s="61"/>
      <c r="L83" s="62">
        <v>4</v>
      </c>
      <c r="M83" s="59"/>
      <c r="N83" s="59"/>
      <c r="O83" s="59"/>
      <c r="P83" s="59"/>
      <c r="Q83" s="63"/>
      <c r="R83" s="63"/>
      <c r="S83" s="63"/>
      <c r="T83" s="64">
        <v>20</v>
      </c>
      <c r="U83" s="46" t="b">
        <f ca="1"/>
        <v>0</v>
      </c>
      <c r="X83" s="12" t="s">
        <v>4278</v>
      </c>
      <c r="Y83" s="10">
        <v>20</v>
      </c>
    </row>
    <row r="84" spans="1:26" ht="12.75" hidden="1">
      <c r="A84" s="56" t="s">
        <v>325</v>
      </c>
      <c r="B84" s="58"/>
      <c r="C84" s="58"/>
      <c r="D84" s="58"/>
      <c r="E84" s="58"/>
      <c r="F84" s="58"/>
      <c r="G84" s="58"/>
      <c r="H84" s="59" t="s">
        <v>326</v>
      </c>
      <c r="I84" s="59" t="s">
        <v>327</v>
      </c>
      <c r="J84" s="60" t="str">
        <f ca="1">IFERROR(__xludf.DUMMYFUNCTION("JOIN("": "",H84,I84)"),"3E-06-08-08-00-00-00: Dreno sub-horizontal")</f>
        <v>3E-06-08-08-00-00-00: Dreno sub-horizontal</v>
      </c>
      <c r="K84" s="61"/>
      <c r="L84" s="62">
        <v>4</v>
      </c>
      <c r="M84" s="59"/>
      <c r="N84" s="59"/>
      <c r="O84" s="59"/>
      <c r="P84" s="59"/>
      <c r="Q84" s="63"/>
      <c r="R84" s="63"/>
      <c r="S84" s="63"/>
      <c r="T84" s="64">
        <v>22</v>
      </c>
      <c r="U84" s="45" t="b">
        <f ca="1"/>
        <v>0</v>
      </c>
      <c r="X84" s="12" t="s">
        <v>4279</v>
      </c>
      <c r="Y84" s="10">
        <v>22</v>
      </c>
    </row>
    <row r="85" spans="1:26" ht="12.75" hidden="1">
      <c r="A85" s="56" t="s">
        <v>329</v>
      </c>
      <c r="B85" s="58"/>
      <c r="C85" s="58"/>
      <c r="D85" s="58"/>
      <c r="E85" s="58"/>
      <c r="F85" s="58"/>
      <c r="G85" s="58"/>
      <c r="H85" s="59" t="s">
        <v>330</v>
      </c>
      <c r="I85" s="59" t="s">
        <v>331</v>
      </c>
      <c r="J85" s="60" t="str">
        <f ca="1">IFERROR(__xludf.DUMMYFUNCTION("JOIN("": "",H85,I85)"),"3E-06-08-10-00-00-00: Valetão lateral")</f>
        <v>3E-06-08-10-00-00-00: Valetão lateral</v>
      </c>
      <c r="K85" s="61"/>
      <c r="L85" s="62">
        <v>4</v>
      </c>
      <c r="M85" s="59"/>
      <c r="N85" s="59"/>
      <c r="O85" s="59"/>
      <c r="P85" s="59"/>
      <c r="Q85" s="63"/>
      <c r="R85" s="63"/>
      <c r="S85" s="63"/>
      <c r="T85" s="64">
        <v>24</v>
      </c>
      <c r="U85" s="46" t="b">
        <f ca="1"/>
        <v>0</v>
      </c>
      <c r="X85" s="12" t="s">
        <v>4280</v>
      </c>
      <c r="Y85" s="10">
        <v>24</v>
      </c>
    </row>
    <row r="86" spans="1:26" ht="12.75" hidden="1">
      <c r="A86" s="56" t="s">
        <v>333</v>
      </c>
      <c r="B86" s="58"/>
      <c r="C86" s="58"/>
      <c r="D86" s="58"/>
      <c r="E86" s="58"/>
      <c r="F86" s="58"/>
      <c r="G86" s="58"/>
      <c r="H86" s="59" t="s">
        <v>334</v>
      </c>
      <c r="I86" s="59" t="s">
        <v>335</v>
      </c>
      <c r="J86" s="60" t="str">
        <f ca="1">IFERROR(__xludf.DUMMYFUNCTION("JOIN("": "",H86,I86)"),"3E-06-08-12-00-00-00: Dreno vertical")</f>
        <v>3E-06-08-12-00-00-00: Dreno vertical</v>
      </c>
      <c r="K86" s="61"/>
      <c r="L86" s="62">
        <v>4</v>
      </c>
      <c r="M86" s="59"/>
      <c r="N86" s="59"/>
      <c r="O86" s="59"/>
      <c r="P86" s="59"/>
      <c r="Q86" s="63"/>
      <c r="R86" s="63"/>
      <c r="S86" s="63"/>
      <c r="T86" s="64">
        <v>26</v>
      </c>
      <c r="U86" s="45" t="b">
        <f ca="1"/>
        <v>0</v>
      </c>
      <c r="X86" s="12" t="s">
        <v>4281</v>
      </c>
      <c r="Y86" s="10">
        <v>26</v>
      </c>
    </row>
    <row r="87" spans="1:26" ht="12.75" hidden="1">
      <c r="A87" s="47" t="s">
        <v>337</v>
      </c>
      <c r="B87" s="48"/>
      <c r="C87" s="48"/>
      <c r="D87" s="48"/>
      <c r="E87" s="48"/>
      <c r="F87" s="48"/>
      <c r="G87" s="48"/>
      <c r="H87" s="49" t="s">
        <v>338</v>
      </c>
      <c r="I87" s="49" t="s">
        <v>339</v>
      </c>
      <c r="J87" s="50" t="str">
        <f ca="1">IFERROR(__xludf.DUMMYFUNCTION("JOIN("": "",H87,I87)"),"3E-06-10-00-00-00-00: Elementos de drenagem de travessia urbana")</f>
        <v>3E-06-10-00-00-00-00: Elementos de drenagem de travessia urbana</v>
      </c>
      <c r="K87" s="51"/>
      <c r="L87" s="52">
        <v>3</v>
      </c>
      <c r="M87" s="53"/>
      <c r="N87" s="53"/>
      <c r="O87" s="53"/>
      <c r="P87" s="53"/>
      <c r="Q87" s="54"/>
      <c r="R87" s="54"/>
      <c r="S87" s="54"/>
      <c r="T87" s="55">
        <v>16</v>
      </c>
      <c r="U87" s="46" t="b">
        <f ca="1"/>
        <v>0</v>
      </c>
      <c r="X87" s="12" t="s">
        <v>4282</v>
      </c>
      <c r="Y87" s="10">
        <v>16</v>
      </c>
    </row>
    <row r="88" spans="1:26" ht="12.75" hidden="1">
      <c r="A88" s="56" t="s">
        <v>341</v>
      </c>
      <c r="B88" s="58"/>
      <c r="C88" s="58"/>
      <c r="D88" s="58"/>
      <c r="E88" s="58"/>
      <c r="F88" s="58"/>
      <c r="G88" s="58"/>
      <c r="H88" s="59" t="s">
        <v>342</v>
      </c>
      <c r="I88" s="59" t="s">
        <v>343</v>
      </c>
      <c r="J88" s="60" t="str">
        <f ca="1">IFERROR(__xludf.DUMMYFUNCTION("JOIN("": "",H88,I88)"),"3E-06-10-02-00-00-00: Sarjeta de drenagem de travessia urbana")</f>
        <v>3E-06-10-02-00-00-00: Sarjeta de drenagem de travessia urbana</v>
      </c>
      <c r="K88" s="61"/>
      <c r="L88" s="62">
        <v>4</v>
      </c>
      <c r="M88" s="59"/>
      <c r="N88" s="59"/>
      <c r="O88" s="59"/>
      <c r="P88" s="59"/>
      <c r="Q88" s="63"/>
      <c r="R88" s="63"/>
      <c r="S88" s="63"/>
      <c r="T88" s="64">
        <v>18</v>
      </c>
      <c r="U88" s="45" t="b">
        <f ca="1"/>
        <v>0</v>
      </c>
      <c r="X88" s="12" t="s">
        <v>4283</v>
      </c>
      <c r="Y88" s="10">
        <v>18</v>
      </c>
    </row>
    <row r="89" spans="1:26" ht="12.75" hidden="1">
      <c r="A89" s="56" t="s">
        <v>345</v>
      </c>
      <c r="B89" s="58"/>
      <c r="C89" s="58"/>
      <c r="D89" s="58"/>
      <c r="E89" s="58"/>
      <c r="F89" s="58"/>
      <c r="G89" s="58"/>
      <c r="H89" s="59" t="s">
        <v>346</v>
      </c>
      <c r="I89" s="59" t="s">
        <v>347</v>
      </c>
      <c r="J89" s="60" t="str">
        <f ca="1">IFERROR(__xludf.DUMMYFUNCTION("JOIN("": "",H89,I89)"),"3E-06-10-04-00-00-00: Boca-de-lobo de drenagem de travessia urbana")</f>
        <v>3E-06-10-04-00-00-00: Boca-de-lobo de drenagem de travessia urbana</v>
      </c>
      <c r="K89" s="61"/>
      <c r="L89" s="62">
        <v>4</v>
      </c>
      <c r="M89" s="59"/>
      <c r="N89" s="59"/>
      <c r="O89" s="59"/>
      <c r="P89" s="59"/>
      <c r="Q89" s="63"/>
      <c r="R89" s="63"/>
      <c r="S89" s="63"/>
      <c r="T89" s="64">
        <v>20</v>
      </c>
      <c r="U89" s="46" t="b">
        <f ca="1"/>
        <v>0</v>
      </c>
      <c r="X89" s="12" t="s">
        <v>4284</v>
      </c>
      <c r="Y89" s="10">
        <v>20</v>
      </c>
    </row>
    <row r="90" spans="1:26" ht="12.75" hidden="1">
      <c r="A90" s="56" t="s">
        <v>349</v>
      </c>
      <c r="B90" s="58"/>
      <c r="C90" s="58"/>
      <c r="D90" s="58"/>
      <c r="E90" s="58"/>
      <c r="F90" s="58"/>
      <c r="G90" s="58"/>
      <c r="H90" s="59" t="s">
        <v>350</v>
      </c>
      <c r="I90" s="59" t="s">
        <v>351</v>
      </c>
      <c r="J90" s="60" t="str">
        <f ca="1">IFERROR(__xludf.DUMMYFUNCTION("JOIN("": "",H90,I90)"),"3E-06-10-06-00-00-00: Poço-de-visita de drenagem de travessia urbana")</f>
        <v>3E-06-10-06-00-00-00: Poço-de-visita de drenagem de travessia urbana</v>
      </c>
      <c r="K90" s="61"/>
      <c r="L90" s="62">
        <v>4</v>
      </c>
      <c r="M90" s="59"/>
      <c r="N90" s="59"/>
      <c r="O90" s="59"/>
      <c r="P90" s="59"/>
      <c r="Q90" s="63"/>
      <c r="R90" s="63"/>
      <c r="S90" s="63"/>
      <c r="T90" s="64">
        <v>22</v>
      </c>
      <c r="U90" s="45" t="b">
        <f ca="1"/>
        <v>0</v>
      </c>
      <c r="X90" s="12" t="s">
        <v>4285</v>
      </c>
      <c r="Y90" s="10">
        <v>22</v>
      </c>
    </row>
    <row r="91" spans="1:26" ht="12.75" hidden="1">
      <c r="A91" s="47" t="s">
        <v>353</v>
      </c>
      <c r="B91" s="48"/>
      <c r="C91" s="48"/>
      <c r="D91" s="48"/>
      <c r="E91" s="48"/>
      <c r="F91" s="48"/>
      <c r="G91" s="48"/>
      <c r="H91" s="49" t="s">
        <v>354</v>
      </c>
      <c r="I91" s="49" t="s">
        <v>355</v>
      </c>
      <c r="J91" s="50" t="str">
        <f ca="1">IFERROR(__xludf.DUMMYFUNCTION("JOIN("": "",H91,I91)"),"3E-06-12-00-00-00-00: Elementos geotêxteis")</f>
        <v>3E-06-12-00-00-00-00: Elementos geotêxteis</v>
      </c>
      <c r="K91" s="51"/>
      <c r="L91" s="52">
        <v>3</v>
      </c>
      <c r="M91" s="53"/>
      <c r="N91" s="53"/>
      <c r="O91" s="53"/>
      <c r="P91" s="53"/>
      <c r="Q91" s="54"/>
      <c r="R91" s="54"/>
      <c r="S91" s="54"/>
      <c r="T91" s="55">
        <v>18</v>
      </c>
      <c r="U91" s="46" t="b">
        <f ca="1"/>
        <v>0</v>
      </c>
      <c r="X91" s="12" t="s">
        <v>4286</v>
      </c>
      <c r="Y91" s="10">
        <v>18</v>
      </c>
    </row>
    <row r="92" spans="1:26" ht="12.75" hidden="1">
      <c r="A92" s="56" t="s">
        <v>357</v>
      </c>
      <c r="B92" s="58"/>
      <c r="C92" s="58"/>
      <c r="D92" s="58"/>
      <c r="E92" s="58"/>
      <c r="F92" s="58"/>
      <c r="G92" s="58"/>
      <c r="H92" s="59" t="s">
        <v>358</v>
      </c>
      <c r="I92" s="59" t="s">
        <v>359</v>
      </c>
      <c r="J92" s="60" t="str">
        <f ca="1">IFERROR(__xludf.DUMMYFUNCTION("JOIN("": "",H92,I92)"),"3E-06-12-02-00-00-00: Geotêxtil do tipo tecido")</f>
        <v>3E-06-12-02-00-00-00: Geotêxtil do tipo tecido</v>
      </c>
      <c r="K92" s="61"/>
      <c r="L92" s="62">
        <v>4</v>
      </c>
      <c r="M92" s="59"/>
      <c r="N92" s="59"/>
      <c r="O92" s="59"/>
      <c r="P92" s="59"/>
      <c r="Q92" s="63"/>
      <c r="R92" s="63"/>
      <c r="S92" s="63"/>
      <c r="T92" s="64">
        <v>20</v>
      </c>
      <c r="U92" s="45" t="b">
        <f ca="1"/>
        <v>0</v>
      </c>
      <c r="X92" s="12" t="s">
        <v>4287</v>
      </c>
      <c r="Y92" s="10">
        <v>20</v>
      </c>
    </row>
    <row r="93" spans="1:26" ht="12.75" hidden="1">
      <c r="A93" s="56" t="s">
        <v>361</v>
      </c>
      <c r="B93" s="58"/>
      <c r="C93" s="58"/>
      <c r="D93" s="58"/>
      <c r="E93" s="58"/>
      <c r="F93" s="58"/>
      <c r="G93" s="58"/>
      <c r="H93" s="59" t="s">
        <v>362</v>
      </c>
      <c r="I93" s="59" t="s">
        <v>363</v>
      </c>
      <c r="J93" s="60" t="str">
        <f ca="1">IFERROR(__xludf.DUMMYFUNCTION("JOIN("": "",H93,I93)"),"3E-06-12-04-00-00-00: Geotêxtil do tipo não tecido")</f>
        <v>3E-06-12-04-00-00-00: Geotêxtil do tipo não tecido</v>
      </c>
      <c r="K93" s="61"/>
      <c r="L93" s="62">
        <v>4</v>
      </c>
      <c r="M93" s="59"/>
      <c r="N93" s="59"/>
      <c r="O93" s="59"/>
      <c r="P93" s="59"/>
      <c r="Q93" s="63"/>
      <c r="R93" s="63"/>
      <c r="S93" s="63"/>
      <c r="T93" s="64">
        <v>22</v>
      </c>
      <c r="U93" s="46" t="b">
        <f ca="1"/>
        <v>0</v>
      </c>
      <c r="X93" s="12" t="s">
        <v>4288</v>
      </c>
      <c r="Y93" s="10">
        <v>22</v>
      </c>
    </row>
    <row r="94" spans="1:26" ht="12.75">
      <c r="A94" s="36" t="s">
        <v>365</v>
      </c>
      <c r="B94" s="37"/>
      <c r="C94" s="37"/>
      <c r="D94" s="37"/>
      <c r="E94" s="37"/>
      <c r="F94" s="37"/>
      <c r="G94" s="37"/>
      <c r="H94" s="38" t="s">
        <v>366</v>
      </c>
      <c r="I94" s="38" t="s">
        <v>367</v>
      </c>
      <c r="J94" s="39" t="str">
        <f ca="1">IFERROR(__xludf.DUMMYFUNCTION("JOIN("": "",H94,I94)"),"3E-08-00-00-00-00-00: Elementos de tráfego")</f>
        <v>3E-08-00-00-00-00-00: Elementos de tráfego</v>
      </c>
      <c r="K94" s="40"/>
      <c r="L94" s="41">
        <v>2</v>
      </c>
      <c r="M94" s="42"/>
      <c r="N94" s="43"/>
      <c r="O94" s="43"/>
      <c r="P94" s="43"/>
      <c r="Q94" s="44">
        <v>5</v>
      </c>
      <c r="R94" s="44">
        <v>4</v>
      </c>
      <c r="S94" s="44">
        <v>2</v>
      </c>
      <c r="T94" s="44">
        <v>8</v>
      </c>
      <c r="U94" s="45" t="b">
        <f ca="1"/>
        <v>0</v>
      </c>
      <c r="W94" s="7" t="str">
        <f>MID(H94, 1, FIND("-", H94, FIND("-", H94)+1)-1)</f>
        <v>3E-08</v>
      </c>
      <c r="X94" s="12" t="s">
        <v>4289</v>
      </c>
      <c r="Y94" s="10">
        <v>8</v>
      </c>
      <c r="Z94" s="7" t="str">
        <f>SUBSTITUTE(I94, "Elementos de ", "")</f>
        <v>tráfego</v>
      </c>
    </row>
    <row r="95" spans="1:26" ht="12.75" hidden="1">
      <c r="A95" s="47" t="s">
        <v>369</v>
      </c>
      <c r="B95" s="48"/>
      <c r="C95" s="48"/>
      <c r="D95" s="48"/>
      <c r="E95" s="48"/>
      <c r="F95" s="48"/>
      <c r="G95" s="48"/>
      <c r="H95" s="49" t="s">
        <v>370</v>
      </c>
      <c r="I95" s="49" t="s">
        <v>371</v>
      </c>
      <c r="J95" s="50" t="str">
        <f ca="1">IFERROR(__xludf.DUMMYFUNCTION("JOIN("": "",H95,I95)"),"3E-08-02-00-00-00-00: Elementos de pavimentação")</f>
        <v>3E-08-02-00-00-00-00: Elementos de pavimentação</v>
      </c>
      <c r="K95" s="51"/>
      <c r="L95" s="52">
        <v>3</v>
      </c>
      <c r="M95" s="53"/>
      <c r="N95" s="53"/>
      <c r="O95" s="53"/>
      <c r="P95" s="53"/>
      <c r="Q95" s="54"/>
      <c r="R95" s="54"/>
      <c r="S95" s="54"/>
      <c r="T95" s="55">
        <v>10</v>
      </c>
      <c r="U95" s="46" t="b">
        <f ca="1"/>
        <v>0</v>
      </c>
      <c r="X95" s="12" t="s">
        <v>4290</v>
      </c>
      <c r="Y95" s="10">
        <v>10</v>
      </c>
    </row>
    <row r="96" spans="1:26" ht="12.75" hidden="1">
      <c r="A96" s="56" t="s">
        <v>373</v>
      </c>
      <c r="B96" s="58"/>
      <c r="C96" s="58"/>
      <c r="D96" s="58"/>
      <c r="E96" s="58"/>
      <c r="F96" s="58"/>
      <c r="G96" s="58"/>
      <c r="H96" s="59" t="s">
        <v>374</v>
      </c>
      <c r="I96" s="59" t="s">
        <v>375</v>
      </c>
      <c r="J96" s="60" t="str">
        <f ca="1">IFERROR(__xludf.DUMMYFUNCTION("JOIN("": "",H96,I96)"),"3E-08-02-02-00-00-00: Subleito de pavimento")</f>
        <v>3E-08-02-02-00-00-00: Subleito de pavimento</v>
      </c>
      <c r="K96" s="61"/>
      <c r="L96" s="62">
        <v>4</v>
      </c>
      <c r="M96" s="59"/>
      <c r="N96" s="59"/>
      <c r="O96" s="59"/>
      <c r="P96" s="59"/>
      <c r="Q96" s="63"/>
      <c r="R96" s="63"/>
      <c r="S96" s="63"/>
      <c r="T96" s="64">
        <v>12</v>
      </c>
      <c r="U96" s="45" t="b">
        <f ca="1"/>
        <v>0</v>
      </c>
      <c r="X96" s="12" t="s">
        <v>4291</v>
      </c>
      <c r="Y96" s="10">
        <v>12</v>
      </c>
    </row>
    <row r="97" spans="1:25" ht="12.75" hidden="1">
      <c r="A97" s="56" t="s">
        <v>377</v>
      </c>
      <c r="B97" s="58"/>
      <c r="C97" s="58"/>
      <c r="D97" s="58"/>
      <c r="E97" s="58"/>
      <c r="F97" s="58"/>
      <c r="G97" s="58"/>
      <c r="H97" s="59" t="s">
        <v>378</v>
      </c>
      <c r="I97" s="59" t="s">
        <v>379</v>
      </c>
      <c r="J97" s="60" t="str">
        <f ca="1">IFERROR(__xludf.DUMMYFUNCTION("JOIN("": "",H97,I97)"),"3E-08-02-04-00-00-00: Sub-base de pavimento")</f>
        <v>3E-08-02-04-00-00-00: Sub-base de pavimento</v>
      </c>
      <c r="K97" s="61"/>
      <c r="L97" s="62">
        <v>4</v>
      </c>
      <c r="M97" s="59"/>
      <c r="N97" s="59"/>
      <c r="O97" s="59"/>
      <c r="P97" s="59"/>
      <c r="Q97" s="63"/>
      <c r="R97" s="63"/>
      <c r="S97" s="63"/>
      <c r="T97" s="64">
        <v>14</v>
      </c>
      <c r="U97" s="46" t="b">
        <f ca="1"/>
        <v>0</v>
      </c>
      <c r="X97" s="12" t="s">
        <v>4292</v>
      </c>
      <c r="Y97" s="10">
        <v>14</v>
      </c>
    </row>
    <row r="98" spans="1:25" ht="12.75" hidden="1">
      <c r="A98" s="56" t="s">
        <v>381</v>
      </c>
      <c r="B98" s="58"/>
      <c r="C98" s="58"/>
      <c r="D98" s="58"/>
      <c r="E98" s="58"/>
      <c r="F98" s="58"/>
      <c r="G98" s="58"/>
      <c r="H98" s="59" t="s">
        <v>382</v>
      </c>
      <c r="I98" s="59" t="s">
        <v>383</v>
      </c>
      <c r="J98" s="60" t="str">
        <f ca="1">IFERROR(__xludf.DUMMYFUNCTION("JOIN("": "",H98,I98)"),"3E-08-02-06-00-00-00: Base de pavimento")</f>
        <v>3E-08-02-06-00-00-00: Base de pavimento</v>
      </c>
      <c r="K98" s="61"/>
      <c r="L98" s="62">
        <v>4</v>
      </c>
      <c r="M98" s="59"/>
      <c r="N98" s="59"/>
      <c r="O98" s="59"/>
      <c r="P98" s="59"/>
      <c r="Q98" s="63"/>
      <c r="R98" s="63"/>
      <c r="S98" s="63"/>
      <c r="T98" s="64">
        <v>16</v>
      </c>
      <c r="U98" s="45" t="b">
        <f ca="1"/>
        <v>0</v>
      </c>
      <c r="X98" s="12" t="s">
        <v>4293</v>
      </c>
      <c r="Y98" s="10">
        <v>16</v>
      </c>
    </row>
    <row r="99" spans="1:25" ht="12.75" hidden="1">
      <c r="A99" s="56" t="s">
        <v>385</v>
      </c>
      <c r="B99" s="58"/>
      <c r="C99" s="58"/>
      <c r="D99" s="58"/>
      <c r="E99" s="58"/>
      <c r="F99" s="58"/>
      <c r="G99" s="58"/>
      <c r="H99" s="59" t="s">
        <v>386</v>
      </c>
      <c r="I99" s="59" t="s">
        <v>387</v>
      </c>
      <c r="J99" s="60" t="str">
        <f ca="1">IFERROR(__xludf.DUMMYFUNCTION("JOIN("": "",H99,I99)"),"3E-08-02-08-00-00-00: Rolamento do pavimento")</f>
        <v>3E-08-02-08-00-00-00: Rolamento do pavimento</v>
      </c>
      <c r="K99" s="61"/>
      <c r="L99" s="62">
        <v>4</v>
      </c>
      <c r="M99" s="59"/>
      <c r="N99" s="59"/>
      <c r="O99" s="59"/>
      <c r="P99" s="59"/>
      <c r="Q99" s="63"/>
      <c r="R99" s="63"/>
      <c r="S99" s="63"/>
      <c r="T99" s="64">
        <v>18</v>
      </c>
      <c r="U99" s="46" t="b">
        <f ca="1"/>
        <v>0</v>
      </c>
      <c r="X99" s="12" t="s">
        <v>4294</v>
      </c>
      <c r="Y99" s="10">
        <v>18</v>
      </c>
    </row>
    <row r="100" spans="1:25" ht="12.75" hidden="1">
      <c r="A100" s="47" t="s">
        <v>389</v>
      </c>
      <c r="B100" s="48"/>
      <c r="C100" s="48"/>
      <c r="D100" s="48"/>
      <c r="E100" s="48"/>
      <c r="F100" s="48"/>
      <c r="G100" s="48"/>
      <c r="H100" s="49" t="s">
        <v>390</v>
      </c>
      <c r="I100" s="49" t="s">
        <v>391</v>
      </c>
      <c r="J100" s="50" t="str">
        <f ca="1">IFERROR(__xludf.DUMMYFUNCTION("JOIN("": "",H100,I100)"),"3E-08-04-00-00-00-00: Elementos de balizamento de tráfego")</f>
        <v>3E-08-04-00-00-00-00: Elementos de balizamento de tráfego</v>
      </c>
      <c r="K100" s="51"/>
      <c r="L100" s="52">
        <v>3</v>
      </c>
      <c r="M100" s="53"/>
      <c r="N100" s="53"/>
      <c r="O100" s="53"/>
      <c r="P100" s="53"/>
      <c r="Q100" s="54"/>
      <c r="R100" s="54"/>
      <c r="S100" s="54"/>
      <c r="T100" s="55">
        <v>12</v>
      </c>
      <c r="U100" s="45" t="b">
        <f ca="1"/>
        <v>0</v>
      </c>
      <c r="X100" s="12" t="s">
        <v>4295</v>
      </c>
      <c r="Y100" s="10">
        <v>12</v>
      </c>
    </row>
    <row r="101" spans="1:25" ht="12.75" hidden="1">
      <c r="A101" s="56" t="s">
        <v>393</v>
      </c>
      <c r="B101" s="58"/>
      <c r="C101" s="58"/>
      <c r="D101" s="58"/>
      <c r="E101" s="58"/>
      <c r="F101" s="58"/>
      <c r="G101" s="58"/>
      <c r="H101" s="59" t="s">
        <v>394</v>
      </c>
      <c r="I101" s="59" t="s">
        <v>395</v>
      </c>
      <c r="J101" s="60" t="str">
        <f ca="1">IFERROR(__xludf.DUMMYFUNCTION("JOIN("": "",H101,I101)"),"3E-08-04-02-00-00-00: Meio-fio")</f>
        <v>3E-08-04-02-00-00-00: Meio-fio</v>
      </c>
      <c r="K101" s="61"/>
      <c r="L101" s="62">
        <v>4</v>
      </c>
      <c r="M101" s="59"/>
      <c r="N101" s="59"/>
      <c r="O101" s="59"/>
      <c r="P101" s="59"/>
      <c r="Q101" s="63"/>
      <c r="R101" s="63"/>
      <c r="S101" s="63"/>
      <c r="T101" s="64">
        <v>14</v>
      </c>
      <c r="U101" s="46" t="b">
        <f ca="1"/>
        <v>0</v>
      </c>
      <c r="X101" s="12" t="s">
        <v>4296</v>
      </c>
      <c r="Y101" s="10">
        <v>14</v>
      </c>
    </row>
    <row r="102" spans="1:25" ht="12.75" hidden="1">
      <c r="A102" s="56" t="s">
        <v>397</v>
      </c>
      <c r="B102" s="58"/>
      <c r="C102" s="58"/>
      <c r="D102" s="58"/>
      <c r="E102" s="58"/>
      <c r="F102" s="58"/>
      <c r="G102" s="58"/>
      <c r="H102" s="59" t="s">
        <v>398</v>
      </c>
      <c r="I102" s="59" t="s">
        <v>399</v>
      </c>
      <c r="J102" s="60" t="str">
        <f ca="1">IFERROR(__xludf.DUMMYFUNCTION("JOIN("": "",H102,I102)"),"3E-08-04-04-00-00-00: Defensa")</f>
        <v>3E-08-04-04-00-00-00: Defensa</v>
      </c>
      <c r="K102" s="61"/>
      <c r="L102" s="62">
        <v>4</v>
      </c>
      <c r="M102" s="59"/>
      <c r="N102" s="59"/>
      <c r="O102" s="59"/>
      <c r="P102" s="59"/>
      <c r="Q102" s="63"/>
      <c r="R102" s="63"/>
      <c r="S102" s="63"/>
      <c r="T102" s="64">
        <v>16</v>
      </c>
      <c r="U102" s="45" t="b">
        <f ca="1"/>
        <v>0</v>
      </c>
      <c r="X102" s="12" t="s">
        <v>4297</v>
      </c>
      <c r="Y102" s="10">
        <v>16</v>
      </c>
    </row>
    <row r="103" spans="1:25" ht="12.75" hidden="1">
      <c r="A103" s="56" t="s">
        <v>401</v>
      </c>
      <c r="B103" s="58"/>
      <c r="C103" s="58"/>
      <c r="D103" s="58"/>
      <c r="E103" s="58"/>
      <c r="F103" s="58"/>
      <c r="G103" s="58"/>
      <c r="H103" s="59" t="s">
        <v>402</v>
      </c>
      <c r="I103" s="59" t="s">
        <v>403</v>
      </c>
      <c r="J103" s="60" t="str">
        <f ca="1">IFERROR(__xludf.DUMMYFUNCTION("JOIN("": "",H103,I103)"),"3E-08-04-06-00-00-00: Separador")</f>
        <v>3E-08-04-06-00-00-00: Separador</v>
      </c>
      <c r="K103" s="61"/>
      <c r="L103" s="62">
        <v>4</v>
      </c>
      <c r="M103" s="59"/>
      <c r="N103" s="59"/>
      <c r="O103" s="59"/>
      <c r="P103" s="59"/>
      <c r="Q103" s="63"/>
      <c r="R103" s="63"/>
      <c r="S103" s="63"/>
      <c r="T103" s="64">
        <v>18</v>
      </c>
      <c r="U103" s="46" t="b">
        <f ca="1"/>
        <v>0</v>
      </c>
      <c r="X103" s="12" t="s">
        <v>4298</v>
      </c>
      <c r="Y103" s="10">
        <v>18</v>
      </c>
    </row>
    <row r="104" spans="1:25" ht="12.75" hidden="1">
      <c r="A104" s="56" t="s">
        <v>405</v>
      </c>
      <c r="B104" s="58"/>
      <c r="C104" s="58"/>
      <c r="D104" s="58"/>
      <c r="E104" s="58"/>
      <c r="F104" s="58"/>
      <c r="G104" s="58"/>
      <c r="H104" s="59" t="s">
        <v>406</v>
      </c>
      <c r="I104" s="59" t="s">
        <v>407</v>
      </c>
      <c r="J104" s="60" t="str">
        <f ca="1">IFERROR(__xludf.DUMMYFUNCTION("JOIN("": "",H104,I104)"),"3E-08-04-08-00-00-00: Corrimão")</f>
        <v>3E-08-04-08-00-00-00: Corrimão</v>
      </c>
      <c r="K104" s="61"/>
      <c r="L104" s="62">
        <v>4</v>
      </c>
      <c r="M104" s="59"/>
      <c r="N104" s="59"/>
      <c r="O104" s="59"/>
      <c r="P104" s="59"/>
      <c r="Q104" s="63"/>
      <c r="R104" s="63"/>
      <c r="S104" s="63"/>
      <c r="T104" s="64">
        <v>20</v>
      </c>
      <c r="U104" s="45" t="b">
        <f ca="1"/>
        <v>0</v>
      </c>
      <c r="X104" s="12" t="s">
        <v>4299</v>
      </c>
      <c r="Y104" s="10">
        <v>20</v>
      </c>
    </row>
    <row r="105" spans="1:25" ht="12.75" hidden="1">
      <c r="A105" s="56" t="s">
        <v>409</v>
      </c>
      <c r="B105" s="58"/>
      <c r="C105" s="58"/>
      <c r="D105" s="58"/>
      <c r="E105" s="58"/>
      <c r="F105" s="58"/>
      <c r="G105" s="58"/>
      <c r="H105" s="59" t="s">
        <v>410</v>
      </c>
      <c r="I105" s="59" t="s">
        <v>411</v>
      </c>
      <c r="J105" s="60" t="str">
        <f ca="1">IFERROR(__xludf.DUMMYFUNCTION("JOIN("": "",H105,I105)"),"3E-08-04-10-00-00-00: Guarda-corpo")</f>
        <v>3E-08-04-10-00-00-00: Guarda-corpo</v>
      </c>
      <c r="K105" s="61"/>
      <c r="L105" s="62">
        <v>4</v>
      </c>
      <c r="M105" s="59"/>
      <c r="N105" s="59"/>
      <c r="O105" s="59"/>
      <c r="P105" s="59"/>
      <c r="Q105" s="63"/>
      <c r="R105" s="63"/>
      <c r="S105" s="63"/>
      <c r="T105" s="64">
        <v>22</v>
      </c>
      <c r="U105" s="46" t="b">
        <f ca="1"/>
        <v>0</v>
      </c>
      <c r="X105" s="12" t="s">
        <v>4300</v>
      </c>
      <c r="Y105" s="10">
        <v>22</v>
      </c>
    </row>
    <row r="106" spans="1:25" ht="12.75" hidden="1">
      <c r="A106" s="56" t="s">
        <v>413</v>
      </c>
      <c r="B106" s="58"/>
      <c r="C106" s="58"/>
      <c r="D106" s="58"/>
      <c r="E106" s="58"/>
      <c r="F106" s="58"/>
      <c r="G106" s="58"/>
      <c r="H106" s="59" t="s">
        <v>414</v>
      </c>
      <c r="I106" s="59" t="s">
        <v>415</v>
      </c>
      <c r="J106" s="60" t="str">
        <f ca="1">IFERROR(__xludf.DUMMYFUNCTION("JOIN("": "",H106,I106)"),"3E-08-04-12-00-00-00: Guarda-rodas")</f>
        <v>3E-08-04-12-00-00-00: Guarda-rodas</v>
      </c>
      <c r="K106" s="61"/>
      <c r="L106" s="62">
        <v>4</v>
      </c>
      <c r="M106" s="59"/>
      <c r="N106" s="59"/>
      <c r="O106" s="59"/>
      <c r="P106" s="59"/>
      <c r="Q106" s="63"/>
      <c r="R106" s="63"/>
      <c r="S106" s="63"/>
      <c r="T106" s="64">
        <v>24</v>
      </c>
      <c r="U106" s="45" t="b">
        <f ca="1"/>
        <v>0</v>
      </c>
      <c r="X106" s="12" t="s">
        <v>4301</v>
      </c>
      <c r="Y106" s="10">
        <v>24</v>
      </c>
    </row>
    <row r="107" spans="1:25" ht="12.75" hidden="1">
      <c r="A107" s="56" t="s">
        <v>417</v>
      </c>
      <c r="B107" s="58"/>
      <c r="C107" s="58"/>
      <c r="D107" s="58"/>
      <c r="E107" s="58"/>
      <c r="F107" s="58"/>
      <c r="G107" s="58"/>
      <c r="H107" s="59" t="s">
        <v>418</v>
      </c>
      <c r="I107" s="59" t="s">
        <v>419</v>
      </c>
      <c r="J107" s="60" t="str">
        <f ca="1">IFERROR(__xludf.DUMMYFUNCTION("JOIN("": "",H107,I107)"),"3E-08-04-14-00-00-00: Faixas sonorizadoras")</f>
        <v>3E-08-04-14-00-00-00: Faixas sonorizadoras</v>
      </c>
      <c r="K107" s="61"/>
      <c r="L107" s="62">
        <v>4</v>
      </c>
      <c r="M107" s="59"/>
      <c r="N107" s="59"/>
      <c r="O107" s="59"/>
      <c r="P107" s="59"/>
      <c r="Q107" s="63"/>
      <c r="R107" s="63"/>
      <c r="S107" s="63"/>
      <c r="T107" s="64">
        <v>26</v>
      </c>
      <c r="U107" s="46" t="b">
        <f ca="1"/>
        <v>0</v>
      </c>
      <c r="X107" s="12" t="s">
        <v>4302</v>
      </c>
      <c r="Y107" s="10">
        <v>26</v>
      </c>
    </row>
    <row r="108" spans="1:25" ht="12.75" hidden="1">
      <c r="A108" s="56" t="s">
        <v>421</v>
      </c>
      <c r="B108" s="58"/>
      <c r="C108" s="58"/>
      <c r="D108" s="58"/>
      <c r="E108" s="58"/>
      <c r="F108" s="58"/>
      <c r="G108" s="58"/>
      <c r="H108" s="59" t="s">
        <v>422</v>
      </c>
      <c r="I108" s="59" t="s">
        <v>423</v>
      </c>
      <c r="J108" s="60" t="str">
        <f ca="1">IFERROR(__xludf.DUMMYFUNCTION("JOIN("": "",H108,I108)"),"3E-08-04-16-00-00-00: Barras de trepidação")</f>
        <v>3E-08-04-16-00-00-00: Barras de trepidação</v>
      </c>
      <c r="K108" s="61"/>
      <c r="L108" s="62">
        <v>4</v>
      </c>
      <c r="M108" s="59"/>
      <c r="N108" s="59"/>
      <c r="O108" s="59"/>
      <c r="P108" s="59"/>
      <c r="Q108" s="63"/>
      <c r="R108" s="63"/>
      <c r="S108" s="63"/>
      <c r="T108" s="64">
        <v>28</v>
      </c>
      <c r="U108" s="45" t="b">
        <f ca="1"/>
        <v>0</v>
      </c>
      <c r="X108" s="12" t="s">
        <v>4303</v>
      </c>
      <c r="Y108" s="10">
        <v>28</v>
      </c>
    </row>
    <row r="109" spans="1:25" ht="12.75" hidden="1">
      <c r="A109" s="56" t="s">
        <v>425</v>
      </c>
      <c r="B109" s="58"/>
      <c r="C109" s="58"/>
      <c r="D109" s="58"/>
      <c r="E109" s="58"/>
      <c r="F109" s="58"/>
      <c r="G109" s="58"/>
      <c r="H109" s="59" t="s">
        <v>426</v>
      </c>
      <c r="I109" s="59" t="s">
        <v>427</v>
      </c>
      <c r="J109" s="60" t="str">
        <f ca="1">IFERROR(__xludf.DUMMYFUNCTION("JOIN("": "",H109,I109)"),"3E-08-04-18-00-00-00: Quebra-molas")</f>
        <v>3E-08-04-18-00-00-00: Quebra-molas</v>
      </c>
      <c r="K109" s="61"/>
      <c r="L109" s="62">
        <v>4</v>
      </c>
      <c r="M109" s="59"/>
      <c r="N109" s="59"/>
      <c r="O109" s="59"/>
      <c r="P109" s="59"/>
      <c r="Q109" s="63"/>
      <c r="R109" s="63"/>
      <c r="S109" s="63"/>
      <c r="T109" s="64">
        <v>30</v>
      </c>
      <c r="U109" s="46" t="b">
        <f ca="1"/>
        <v>0</v>
      </c>
      <c r="X109" s="12" t="s">
        <v>4304</v>
      </c>
      <c r="Y109" s="10">
        <v>30</v>
      </c>
    </row>
    <row r="110" spans="1:25" ht="12.75" hidden="1">
      <c r="A110" s="56" t="s">
        <v>429</v>
      </c>
      <c r="B110" s="58"/>
      <c r="C110" s="58"/>
      <c r="D110" s="58"/>
      <c r="E110" s="58"/>
      <c r="F110" s="58"/>
      <c r="G110" s="58"/>
      <c r="H110" s="59" t="s">
        <v>430</v>
      </c>
      <c r="I110" s="59" t="s">
        <v>431</v>
      </c>
      <c r="J110" s="60" t="str">
        <f ca="1">IFERROR(__xludf.DUMMYFUNCTION("JOIN("": "",H110,I110)"),"3E-08-04-20-00-00-00: Plataforma de tráfego")</f>
        <v>3E-08-04-20-00-00-00: Plataforma de tráfego</v>
      </c>
      <c r="K110" s="61"/>
      <c r="L110" s="62">
        <v>4</v>
      </c>
      <c r="M110" s="59"/>
      <c r="N110" s="59"/>
      <c r="O110" s="59"/>
      <c r="P110" s="59"/>
      <c r="Q110" s="63"/>
      <c r="R110" s="63"/>
      <c r="S110" s="63"/>
      <c r="T110" s="64">
        <v>32</v>
      </c>
      <c r="U110" s="45" t="b">
        <f ca="1"/>
        <v>0</v>
      </c>
      <c r="X110" s="12" t="s">
        <v>4305</v>
      </c>
      <c r="Y110" s="10">
        <v>32</v>
      </c>
    </row>
    <row r="111" spans="1:25" ht="12.75" hidden="1">
      <c r="A111" s="56" t="s">
        <v>433</v>
      </c>
      <c r="B111" s="58"/>
      <c r="C111" s="58"/>
      <c r="D111" s="58"/>
      <c r="E111" s="58"/>
      <c r="F111" s="58"/>
      <c r="G111" s="58"/>
      <c r="H111" s="59" t="s">
        <v>434</v>
      </c>
      <c r="I111" s="59" t="s">
        <v>435</v>
      </c>
      <c r="J111" s="60" t="str">
        <f ca="1">IFERROR(__xludf.DUMMYFUNCTION("JOIN("": "",H111,I111)"),"3E-08-04-22-00-00-00: Barreira de tráfego")</f>
        <v>3E-08-04-22-00-00-00: Barreira de tráfego</v>
      </c>
      <c r="K111" s="61"/>
      <c r="L111" s="62">
        <v>4</v>
      </c>
      <c r="M111" s="59"/>
      <c r="N111" s="59"/>
      <c r="O111" s="59"/>
      <c r="P111" s="59"/>
      <c r="Q111" s="63"/>
      <c r="R111" s="63"/>
      <c r="S111" s="63"/>
      <c r="T111" s="64">
        <v>34</v>
      </c>
      <c r="U111" s="46" t="b">
        <f ca="1"/>
        <v>0</v>
      </c>
      <c r="X111" s="12" t="s">
        <v>4306</v>
      </c>
      <c r="Y111" s="10">
        <v>34</v>
      </c>
    </row>
    <row r="112" spans="1:25" ht="12.75" hidden="1">
      <c r="A112" s="56" t="s">
        <v>437</v>
      </c>
      <c r="B112" s="58"/>
      <c r="C112" s="58"/>
      <c r="D112" s="58"/>
      <c r="E112" s="58"/>
      <c r="F112" s="58"/>
      <c r="G112" s="58"/>
      <c r="H112" s="59" t="s">
        <v>438</v>
      </c>
      <c r="I112" s="59" t="s">
        <v>439</v>
      </c>
      <c r="J112" s="60" t="str">
        <f ca="1">IFERROR(__xludf.DUMMYFUNCTION("JOIN("": "",H112,I112)"),"3E-08-04-24-00-00-00: Piso tátil direcional")</f>
        <v>3E-08-04-24-00-00-00: Piso tátil direcional</v>
      </c>
      <c r="K112" s="61"/>
      <c r="L112" s="62">
        <v>4</v>
      </c>
      <c r="M112" s="59"/>
      <c r="N112" s="59"/>
      <c r="O112" s="59"/>
      <c r="P112" s="59"/>
      <c r="Q112" s="63"/>
      <c r="R112" s="63"/>
      <c r="S112" s="63"/>
      <c r="T112" s="64">
        <v>36</v>
      </c>
      <c r="U112" s="45" t="b">
        <f ca="1"/>
        <v>0</v>
      </c>
      <c r="X112" s="12" t="s">
        <v>4307</v>
      </c>
      <c r="Y112" s="10">
        <v>36</v>
      </c>
    </row>
    <row r="113" spans="1:25" ht="12.75" hidden="1">
      <c r="A113" s="56" t="s">
        <v>441</v>
      </c>
      <c r="B113" s="58"/>
      <c r="C113" s="58"/>
      <c r="D113" s="58"/>
      <c r="E113" s="58"/>
      <c r="F113" s="58"/>
      <c r="G113" s="58"/>
      <c r="H113" s="59" t="s">
        <v>442</v>
      </c>
      <c r="I113" s="59" t="s">
        <v>443</v>
      </c>
      <c r="J113" s="60" t="str">
        <f ca="1">IFERROR(__xludf.DUMMYFUNCTION("JOIN("": "",H113,I113)"),"3E-08-04-26-00-00-00: Piso tátil alerta")</f>
        <v>3E-08-04-26-00-00-00: Piso tátil alerta</v>
      </c>
      <c r="K113" s="61"/>
      <c r="L113" s="62">
        <v>4</v>
      </c>
      <c r="M113" s="59"/>
      <c r="N113" s="59"/>
      <c r="O113" s="59"/>
      <c r="P113" s="59"/>
      <c r="Q113" s="63"/>
      <c r="R113" s="63"/>
      <c r="S113" s="63"/>
      <c r="T113" s="64">
        <v>38</v>
      </c>
      <c r="U113" s="46" t="b">
        <f ca="1"/>
        <v>0</v>
      </c>
      <c r="X113" s="12" t="s">
        <v>4308</v>
      </c>
      <c r="Y113" s="10">
        <v>38</v>
      </c>
    </row>
    <row r="114" spans="1:25" ht="12.75" hidden="1">
      <c r="A114" s="47" t="s">
        <v>445</v>
      </c>
      <c r="B114" s="48"/>
      <c r="C114" s="48"/>
      <c r="D114" s="48"/>
      <c r="E114" s="48"/>
      <c r="F114" s="48"/>
      <c r="G114" s="48"/>
      <c r="H114" s="49" t="s">
        <v>446</v>
      </c>
      <c r="I114" s="49" t="s">
        <v>447</v>
      </c>
      <c r="J114" s="50" t="str">
        <f ca="1">IFERROR(__xludf.DUMMYFUNCTION("JOIN("": "",H114,I114)"),"3E-08-06-00-00-00-00: Elementos de conexão de tráfego")</f>
        <v>3E-08-06-00-00-00-00: Elementos de conexão de tráfego</v>
      </c>
      <c r="K114" s="51"/>
      <c r="L114" s="52">
        <v>3</v>
      </c>
      <c r="M114" s="53"/>
      <c r="N114" s="53"/>
      <c r="O114" s="53"/>
      <c r="P114" s="53"/>
      <c r="Q114" s="54"/>
      <c r="R114" s="54"/>
      <c r="S114" s="54"/>
      <c r="T114" s="55">
        <v>14</v>
      </c>
      <c r="U114" s="45" t="b">
        <f ca="1"/>
        <v>0</v>
      </c>
      <c r="X114" s="12" t="s">
        <v>4309</v>
      </c>
      <c r="Y114" s="10">
        <v>14</v>
      </c>
    </row>
    <row r="115" spans="1:25" ht="12.75" hidden="1">
      <c r="A115" s="56" t="s">
        <v>449</v>
      </c>
      <c r="B115" s="58"/>
      <c r="C115" s="58"/>
      <c r="D115" s="58"/>
      <c r="E115" s="58"/>
      <c r="F115" s="58"/>
      <c r="G115" s="58"/>
      <c r="H115" s="59" t="s">
        <v>450</v>
      </c>
      <c r="I115" s="59" t="s">
        <v>451</v>
      </c>
      <c r="J115" s="60" t="str">
        <f ca="1">IFERROR(__xludf.DUMMYFUNCTION("JOIN("": "",H115,I115)"),"3E-08-06-02-00-00-00: Rampa")</f>
        <v>3E-08-06-02-00-00-00: Rampa</v>
      </c>
      <c r="K115" s="61"/>
      <c r="L115" s="62">
        <v>4</v>
      </c>
      <c r="M115" s="59"/>
      <c r="N115" s="59"/>
      <c r="O115" s="59"/>
      <c r="P115" s="59"/>
      <c r="Q115" s="63"/>
      <c r="R115" s="63"/>
      <c r="S115" s="63"/>
      <c r="T115" s="64">
        <v>16</v>
      </c>
      <c r="U115" s="46" t="b">
        <f ca="1"/>
        <v>0</v>
      </c>
      <c r="X115" s="12" t="s">
        <v>4310</v>
      </c>
      <c r="Y115" s="10">
        <v>16</v>
      </c>
    </row>
    <row r="116" spans="1:25" ht="12.75" hidden="1">
      <c r="A116" s="65" t="s">
        <v>453</v>
      </c>
      <c r="B116" s="67"/>
      <c r="C116" s="67"/>
      <c r="D116" s="67"/>
      <c r="E116" s="67"/>
      <c r="F116" s="67"/>
      <c r="G116" s="67"/>
      <c r="H116" s="68" t="s">
        <v>454</v>
      </c>
      <c r="I116" s="68" t="s">
        <v>455</v>
      </c>
      <c r="J116" s="69" t="str">
        <f ca="1">IFERROR(__xludf.DUMMYFUNCTION("JOIN("": "",H116,I116)"),"3E-08-06-02-02-00-00: Lance de rampa")</f>
        <v>3E-08-06-02-02-00-00: Lance de rampa</v>
      </c>
      <c r="K116" s="70"/>
      <c r="L116" s="71">
        <v>5</v>
      </c>
      <c r="M116" s="68"/>
      <c r="N116" s="68"/>
      <c r="O116" s="68"/>
      <c r="P116" s="68"/>
      <c r="Q116" s="72"/>
      <c r="R116" s="72"/>
      <c r="S116" s="72"/>
      <c r="T116" s="73">
        <v>18</v>
      </c>
      <c r="U116" s="45" t="b">
        <f ca="1"/>
        <v>0</v>
      </c>
      <c r="X116" s="12" t="s">
        <v>4311</v>
      </c>
      <c r="Y116" s="10">
        <v>18</v>
      </c>
    </row>
    <row r="117" spans="1:25" ht="12.75" hidden="1">
      <c r="A117" s="65" t="s">
        <v>457</v>
      </c>
      <c r="B117" s="67"/>
      <c r="C117" s="67"/>
      <c r="D117" s="67"/>
      <c r="E117" s="67"/>
      <c r="F117" s="67"/>
      <c r="G117" s="67"/>
      <c r="H117" s="68" t="s">
        <v>458</v>
      </c>
      <c r="I117" s="68" t="s">
        <v>459</v>
      </c>
      <c r="J117" s="69" t="str">
        <f ca="1">IFERROR(__xludf.DUMMYFUNCTION("JOIN("": "",H117,I117)"),"3E-08-06-02-04-00-00: Patamar de rampa")</f>
        <v>3E-08-06-02-04-00-00: Patamar de rampa</v>
      </c>
      <c r="K117" s="70"/>
      <c r="L117" s="71">
        <v>5</v>
      </c>
      <c r="M117" s="68"/>
      <c r="N117" s="68"/>
      <c r="O117" s="68"/>
      <c r="P117" s="68"/>
      <c r="Q117" s="72"/>
      <c r="R117" s="72"/>
      <c r="S117" s="72"/>
      <c r="T117" s="73">
        <v>20</v>
      </c>
      <c r="U117" s="46" t="b">
        <f ca="1"/>
        <v>0</v>
      </c>
      <c r="X117" s="12" t="s">
        <v>4312</v>
      </c>
      <c r="Y117" s="10">
        <v>20</v>
      </c>
    </row>
    <row r="118" spans="1:25" ht="12.75" hidden="1">
      <c r="A118" s="56" t="s">
        <v>461</v>
      </c>
      <c r="B118" s="58"/>
      <c r="C118" s="58"/>
      <c r="D118" s="58"/>
      <c r="E118" s="58"/>
      <c r="F118" s="58"/>
      <c r="G118" s="58"/>
      <c r="H118" s="59" t="s">
        <v>462</v>
      </c>
      <c r="I118" s="59" t="s">
        <v>463</v>
      </c>
      <c r="J118" s="60" t="str">
        <f ca="1">IFERROR(__xludf.DUMMYFUNCTION("JOIN("": "",H118,I118)"),"3E-08-06-04-00-00-00: Escada")</f>
        <v>3E-08-06-04-00-00-00: Escada</v>
      </c>
      <c r="K118" s="61"/>
      <c r="L118" s="62">
        <v>4</v>
      </c>
      <c r="M118" s="59"/>
      <c r="N118" s="59"/>
      <c r="O118" s="59"/>
      <c r="P118" s="59"/>
      <c r="Q118" s="63"/>
      <c r="R118" s="63"/>
      <c r="S118" s="63"/>
      <c r="T118" s="64">
        <v>18</v>
      </c>
      <c r="U118" s="45" t="b">
        <f ca="1"/>
        <v>0</v>
      </c>
      <c r="X118" s="12" t="s">
        <v>4313</v>
      </c>
      <c r="Y118" s="10">
        <v>18</v>
      </c>
    </row>
    <row r="119" spans="1:25" ht="12.75" hidden="1">
      <c r="A119" s="65" t="s">
        <v>465</v>
      </c>
      <c r="B119" s="67"/>
      <c r="C119" s="67"/>
      <c r="D119" s="67"/>
      <c r="E119" s="67"/>
      <c r="F119" s="67"/>
      <c r="G119" s="67"/>
      <c r="H119" s="68" t="s">
        <v>466</v>
      </c>
      <c r="I119" s="68" t="s">
        <v>467</v>
      </c>
      <c r="J119" s="69" t="str">
        <f ca="1">IFERROR(__xludf.DUMMYFUNCTION("JOIN("": "",H119,I119)"),"3E-08-06-04-02-00-00: Pisada de escada")</f>
        <v>3E-08-06-04-02-00-00: Pisada de escada</v>
      </c>
      <c r="K119" s="70"/>
      <c r="L119" s="71">
        <v>5</v>
      </c>
      <c r="M119" s="68"/>
      <c r="N119" s="68"/>
      <c r="O119" s="68"/>
      <c r="P119" s="68"/>
      <c r="Q119" s="72"/>
      <c r="R119" s="72"/>
      <c r="S119" s="72"/>
      <c r="T119" s="73">
        <v>20</v>
      </c>
      <c r="U119" s="46" t="b">
        <f ca="1"/>
        <v>0</v>
      </c>
      <c r="X119" s="12" t="s">
        <v>4314</v>
      </c>
      <c r="Y119" s="10">
        <v>20</v>
      </c>
    </row>
    <row r="120" spans="1:25" ht="12.75" hidden="1">
      <c r="A120" s="65" t="s">
        <v>469</v>
      </c>
      <c r="B120" s="67"/>
      <c r="C120" s="67"/>
      <c r="D120" s="67"/>
      <c r="E120" s="67"/>
      <c r="F120" s="67"/>
      <c r="G120" s="67"/>
      <c r="H120" s="68" t="s">
        <v>470</v>
      </c>
      <c r="I120" s="68" t="s">
        <v>471</v>
      </c>
      <c r="J120" s="69" t="str">
        <f ca="1">IFERROR(__xludf.DUMMYFUNCTION("JOIN("": "",H120,I120)"),"3E-08-06-04-04-00-00: Espelho de escada")</f>
        <v>3E-08-06-04-04-00-00: Espelho de escada</v>
      </c>
      <c r="K120" s="70"/>
      <c r="L120" s="71">
        <v>5</v>
      </c>
      <c r="M120" s="68"/>
      <c r="N120" s="68"/>
      <c r="O120" s="68"/>
      <c r="P120" s="68"/>
      <c r="Q120" s="72"/>
      <c r="R120" s="72"/>
      <c r="S120" s="72"/>
      <c r="T120" s="73">
        <v>22</v>
      </c>
      <c r="U120" s="45" t="b">
        <f ca="1"/>
        <v>0</v>
      </c>
      <c r="X120" s="12" t="s">
        <v>4315</v>
      </c>
      <c r="Y120" s="10">
        <v>22</v>
      </c>
    </row>
    <row r="121" spans="1:25" ht="12.75" hidden="1">
      <c r="A121" s="65" t="s">
        <v>473</v>
      </c>
      <c r="B121" s="67"/>
      <c r="C121" s="67"/>
      <c r="D121" s="67"/>
      <c r="E121" s="67"/>
      <c r="F121" s="67"/>
      <c r="G121" s="67"/>
      <c r="H121" s="68" t="s">
        <v>474</v>
      </c>
      <c r="I121" s="68" t="s">
        <v>475</v>
      </c>
      <c r="J121" s="69" t="str">
        <f ca="1">IFERROR(__xludf.DUMMYFUNCTION("JOIN("": "",H121,I121)"),"3E-08-06-04-06-00-00: Patamar de escada")</f>
        <v>3E-08-06-04-06-00-00: Patamar de escada</v>
      </c>
      <c r="K121" s="70"/>
      <c r="L121" s="71">
        <v>5</v>
      </c>
      <c r="M121" s="68"/>
      <c r="N121" s="68"/>
      <c r="O121" s="68"/>
      <c r="P121" s="68"/>
      <c r="Q121" s="72"/>
      <c r="R121" s="72"/>
      <c r="S121" s="72"/>
      <c r="T121" s="73">
        <v>24</v>
      </c>
      <c r="U121" s="46" t="b">
        <f ca="1"/>
        <v>0</v>
      </c>
      <c r="X121" s="12" t="s">
        <v>4316</v>
      </c>
      <c r="Y121" s="10">
        <v>24</v>
      </c>
    </row>
    <row r="122" spans="1:25" ht="12.75" hidden="1">
      <c r="A122" s="56" t="s">
        <v>477</v>
      </c>
      <c r="B122" s="58"/>
      <c r="C122" s="58"/>
      <c r="D122" s="58"/>
      <c r="E122" s="58"/>
      <c r="F122" s="58"/>
      <c r="G122" s="58"/>
      <c r="H122" s="59" t="s">
        <v>478</v>
      </c>
      <c r="I122" s="59" t="s">
        <v>479</v>
      </c>
      <c r="J122" s="60" t="str">
        <f ca="1">IFERROR(__xludf.DUMMYFUNCTION("JOIN("": "",H122,I122)"),"3E-08-06-06-00-00-00: Elevador")</f>
        <v>3E-08-06-06-00-00-00: Elevador</v>
      </c>
      <c r="K122" s="61"/>
      <c r="L122" s="62">
        <v>4</v>
      </c>
      <c r="M122" s="59"/>
      <c r="N122" s="59"/>
      <c r="O122" s="59"/>
      <c r="P122" s="59"/>
      <c r="Q122" s="63"/>
      <c r="R122" s="63"/>
      <c r="S122" s="63"/>
      <c r="T122" s="64">
        <v>20</v>
      </c>
      <c r="U122" s="45" t="b">
        <f ca="1"/>
        <v>0</v>
      </c>
      <c r="X122" s="12" t="s">
        <v>4317</v>
      </c>
      <c r="Y122" s="10">
        <v>20</v>
      </c>
    </row>
    <row r="123" spans="1:25" ht="12.75" hidden="1">
      <c r="A123" s="56" t="s">
        <v>481</v>
      </c>
      <c r="B123" s="58"/>
      <c r="C123" s="58"/>
      <c r="D123" s="58"/>
      <c r="E123" s="58"/>
      <c r="F123" s="58"/>
      <c r="G123" s="58"/>
      <c r="H123" s="59" t="s">
        <v>482</v>
      </c>
      <c r="I123" s="59" t="s">
        <v>483</v>
      </c>
      <c r="J123" s="60" t="str">
        <f ca="1">IFERROR(__xludf.DUMMYFUNCTION("JOIN("": "",H123,I123)"),"3E-08-06-08-00-00-00: Monta-carga")</f>
        <v>3E-08-06-08-00-00-00: Monta-carga</v>
      </c>
      <c r="K123" s="61"/>
      <c r="L123" s="62">
        <v>4</v>
      </c>
      <c r="M123" s="59"/>
      <c r="N123" s="59"/>
      <c r="O123" s="59"/>
      <c r="P123" s="59"/>
      <c r="Q123" s="63"/>
      <c r="R123" s="63"/>
      <c r="S123" s="63"/>
      <c r="T123" s="64">
        <v>22</v>
      </c>
      <c r="U123" s="46" t="b">
        <f ca="1"/>
        <v>0</v>
      </c>
      <c r="X123" s="12" t="s">
        <v>4318</v>
      </c>
      <c r="Y123" s="10">
        <v>22</v>
      </c>
    </row>
    <row r="124" spans="1:25" ht="12.75" hidden="1">
      <c r="A124" s="56" t="s">
        <v>485</v>
      </c>
      <c r="B124" s="58"/>
      <c r="C124" s="58"/>
      <c r="D124" s="58"/>
      <c r="E124" s="58"/>
      <c r="F124" s="58"/>
      <c r="G124" s="58"/>
      <c r="H124" s="59" t="s">
        <v>486</v>
      </c>
      <c r="I124" s="59" t="s">
        <v>487</v>
      </c>
      <c r="J124" s="60" t="str">
        <f ca="1">IFERROR(__xludf.DUMMYFUNCTION("JOIN("": "",H124,I124)"),"3E-08-06-10-00-00-00: Plataforma")</f>
        <v>3E-08-06-10-00-00-00: Plataforma</v>
      </c>
      <c r="K124" s="61"/>
      <c r="L124" s="62">
        <v>4</v>
      </c>
      <c r="M124" s="59"/>
      <c r="N124" s="59"/>
      <c r="O124" s="59"/>
      <c r="P124" s="59"/>
      <c r="Q124" s="63"/>
      <c r="R124" s="63"/>
      <c r="S124" s="63"/>
      <c r="T124" s="64">
        <v>24</v>
      </c>
      <c r="U124" s="45" t="b">
        <f ca="1"/>
        <v>0</v>
      </c>
      <c r="X124" s="12" t="s">
        <v>4319</v>
      </c>
      <c r="Y124" s="10">
        <v>24</v>
      </c>
    </row>
    <row r="125" spans="1:25" ht="12.75" hidden="1">
      <c r="A125" s="65" t="s">
        <v>489</v>
      </c>
      <c r="B125" s="67"/>
      <c r="C125" s="67"/>
      <c r="D125" s="67"/>
      <c r="E125" s="67"/>
      <c r="F125" s="67"/>
      <c r="G125" s="67"/>
      <c r="H125" s="68" t="s">
        <v>490</v>
      </c>
      <c r="I125" s="68" t="s">
        <v>491</v>
      </c>
      <c r="J125" s="69" t="str">
        <f ca="1">IFERROR(__xludf.DUMMYFUNCTION("JOIN("": "",H125,I125)"),"3E-08-06-10-02-00-00: Plataforma elevatória")</f>
        <v>3E-08-06-10-02-00-00: Plataforma elevatória</v>
      </c>
      <c r="K125" s="70"/>
      <c r="L125" s="71">
        <v>5</v>
      </c>
      <c r="M125" s="68"/>
      <c r="N125" s="68"/>
      <c r="O125" s="68"/>
      <c r="P125" s="68"/>
      <c r="Q125" s="72"/>
      <c r="R125" s="72"/>
      <c r="S125" s="72"/>
      <c r="T125" s="73">
        <v>26</v>
      </c>
      <c r="U125" s="46" t="b">
        <f ca="1"/>
        <v>0</v>
      </c>
      <c r="X125" s="12" t="s">
        <v>4320</v>
      </c>
      <c r="Y125" s="10">
        <v>26</v>
      </c>
    </row>
    <row r="126" spans="1:25" ht="12.75" hidden="1">
      <c r="A126" s="65" t="s">
        <v>493</v>
      </c>
      <c r="B126" s="67"/>
      <c r="C126" s="67"/>
      <c r="D126" s="67"/>
      <c r="E126" s="67"/>
      <c r="F126" s="67"/>
      <c r="G126" s="67"/>
      <c r="H126" s="68" t="s">
        <v>494</v>
      </c>
      <c r="I126" s="68" t="s">
        <v>495</v>
      </c>
      <c r="J126" s="69" t="str">
        <f ca="1">IFERROR(__xludf.DUMMYFUNCTION("JOIN("": "",H126,I126)"),"3E-08-06-10-04-00-00: Plataforma giratória")</f>
        <v>3E-08-06-10-04-00-00: Plataforma giratória</v>
      </c>
      <c r="K126" s="70"/>
      <c r="L126" s="71">
        <v>5</v>
      </c>
      <c r="M126" s="68"/>
      <c r="N126" s="68"/>
      <c r="O126" s="68"/>
      <c r="P126" s="68"/>
      <c r="Q126" s="72"/>
      <c r="R126" s="72"/>
      <c r="S126" s="72"/>
      <c r="T126" s="73">
        <v>28</v>
      </c>
      <c r="U126" s="45" t="b">
        <f ca="1"/>
        <v>0</v>
      </c>
      <c r="X126" s="12" t="s">
        <v>4321</v>
      </c>
      <c r="Y126" s="10">
        <v>28</v>
      </c>
    </row>
    <row r="127" spans="1:25" ht="12.75" hidden="1">
      <c r="A127" s="47" t="s">
        <v>497</v>
      </c>
      <c r="B127" s="48"/>
      <c r="C127" s="48"/>
      <c r="D127" s="48"/>
      <c r="E127" s="48"/>
      <c r="F127" s="48"/>
      <c r="G127" s="48"/>
      <c r="H127" s="49" t="s">
        <v>498</v>
      </c>
      <c r="I127" s="49" t="s">
        <v>499</v>
      </c>
      <c r="J127" s="50" t="str">
        <f ca="1">IFERROR(__xludf.DUMMYFUNCTION("JOIN("": "",H127,I127)"),"3E-08-08-00-00-00-00: Elementos de sinalização")</f>
        <v>3E-08-08-00-00-00-00: Elementos de sinalização</v>
      </c>
      <c r="K127" s="51"/>
      <c r="L127" s="52">
        <v>3</v>
      </c>
      <c r="M127" s="53"/>
      <c r="N127" s="53"/>
      <c r="O127" s="53"/>
      <c r="P127" s="53"/>
      <c r="Q127" s="54"/>
      <c r="R127" s="54"/>
      <c r="S127" s="54"/>
      <c r="T127" s="55">
        <v>16</v>
      </c>
      <c r="U127" s="46" t="b">
        <f ca="1"/>
        <v>0</v>
      </c>
      <c r="X127" s="12" t="s">
        <v>4322</v>
      </c>
      <c r="Y127" s="10">
        <v>16</v>
      </c>
    </row>
    <row r="128" spans="1:25" ht="12.75" hidden="1">
      <c r="A128" s="56" t="s">
        <v>501</v>
      </c>
      <c r="B128" s="58"/>
      <c r="C128" s="58"/>
      <c r="D128" s="58"/>
      <c r="E128" s="58"/>
      <c r="F128" s="58"/>
      <c r="G128" s="58"/>
      <c r="H128" s="59" t="s">
        <v>502</v>
      </c>
      <c r="I128" s="59" t="s">
        <v>503</v>
      </c>
      <c r="J128" s="60" t="str">
        <f ca="1">IFERROR(__xludf.DUMMYFUNCTION("JOIN("": "",H128,I128)"),"3E-08-08-02-00-00-00: Sinalização em letra dimensional")</f>
        <v>3E-08-08-02-00-00-00: Sinalização em letra dimensional</v>
      </c>
      <c r="K128" s="62"/>
      <c r="L128" s="62">
        <v>4</v>
      </c>
      <c r="M128" s="59"/>
      <c r="N128" s="59"/>
      <c r="O128" s="59"/>
      <c r="P128" s="59"/>
      <c r="Q128" s="63"/>
      <c r="R128" s="63"/>
      <c r="S128" s="63"/>
      <c r="T128" s="64">
        <v>18</v>
      </c>
      <c r="U128" s="45" t="b">
        <f ca="1"/>
        <v>0</v>
      </c>
      <c r="X128" s="12" t="s">
        <v>4323</v>
      </c>
      <c r="Y128" s="10">
        <v>18</v>
      </c>
    </row>
    <row r="129" spans="1:26" ht="12.75" hidden="1">
      <c r="A129" s="56" t="s">
        <v>505</v>
      </c>
      <c r="B129" s="58"/>
      <c r="C129" s="58"/>
      <c r="D129" s="58"/>
      <c r="E129" s="58"/>
      <c r="F129" s="58"/>
      <c r="G129" s="58"/>
      <c r="H129" s="59" t="s">
        <v>506</v>
      </c>
      <c r="I129" s="59" t="s">
        <v>507</v>
      </c>
      <c r="J129" s="60" t="str">
        <f ca="1">IFERROR(__xludf.DUMMYFUNCTION("JOIN("": "",H129,I129)"),"3E-08-08-04-00-00-00: Sinalização em painel")</f>
        <v>3E-08-08-04-00-00-00: Sinalização em painel</v>
      </c>
      <c r="K129" s="62"/>
      <c r="L129" s="62">
        <v>4</v>
      </c>
      <c r="M129" s="59"/>
      <c r="N129" s="59"/>
      <c r="O129" s="59"/>
      <c r="P129" s="59"/>
      <c r="Q129" s="63"/>
      <c r="R129" s="63"/>
      <c r="S129" s="63"/>
      <c r="T129" s="64">
        <v>20</v>
      </c>
      <c r="U129" s="46" t="b">
        <f ca="1"/>
        <v>0</v>
      </c>
      <c r="X129" s="12" t="s">
        <v>4324</v>
      </c>
      <c r="Y129" s="10">
        <v>20</v>
      </c>
    </row>
    <row r="130" spans="1:26" ht="12.75" hidden="1">
      <c r="A130" s="56" t="s">
        <v>509</v>
      </c>
      <c r="B130" s="58"/>
      <c r="C130" s="58"/>
      <c r="D130" s="58"/>
      <c r="E130" s="58"/>
      <c r="F130" s="58"/>
      <c r="G130" s="58"/>
      <c r="H130" s="59" t="s">
        <v>510</v>
      </c>
      <c r="I130" s="59" t="s">
        <v>511</v>
      </c>
      <c r="J130" s="60" t="str">
        <f ca="1">IFERROR(__xludf.DUMMYFUNCTION("JOIN("": "",H130,I130)"),"3E-08-08-06-00-00-00: Sinalização em poste e painel/coluna")</f>
        <v>3E-08-08-06-00-00-00: Sinalização em poste e painel/coluna</v>
      </c>
      <c r="K130" s="62"/>
      <c r="L130" s="62">
        <v>4</v>
      </c>
      <c r="M130" s="59"/>
      <c r="N130" s="59"/>
      <c r="O130" s="59"/>
      <c r="P130" s="59"/>
      <c r="Q130" s="63"/>
      <c r="R130" s="63"/>
      <c r="S130" s="63"/>
      <c r="T130" s="64">
        <v>22</v>
      </c>
      <c r="U130" s="45" t="b">
        <f ca="1"/>
        <v>0</v>
      </c>
      <c r="X130" s="12" t="s">
        <v>4325</v>
      </c>
      <c r="Y130" s="10">
        <v>22</v>
      </c>
    </row>
    <row r="131" spans="1:26" ht="12.75" hidden="1">
      <c r="A131" s="56" t="s">
        <v>513</v>
      </c>
      <c r="B131" s="58"/>
      <c r="C131" s="58"/>
      <c r="D131" s="58"/>
      <c r="E131" s="58"/>
      <c r="F131" s="58"/>
      <c r="G131" s="58"/>
      <c r="H131" s="59" t="s">
        <v>514</v>
      </c>
      <c r="I131" s="59" t="s">
        <v>515</v>
      </c>
      <c r="J131" s="60" t="str">
        <f ca="1">IFERROR(__xludf.DUMMYFUNCTION("JOIN("": "",H131,I131)"),"3E-08-08-08-00-00-00: Sinalização com painel iluminado")</f>
        <v>3E-08-08-08-00-00-00: Sinalização com painel iluminado</v>
      </c>
      <c r="K131" s="62"/>
      <c r="L131" s="62">
        <v>4</v>
      </c>
      <c r="M131" s="59"/>
      <c r="N131" s="59"/>
      <c r="O131" s="59"/>
      <c r="P131" s="59"/>
      <c r="Q131" s="63"/>
      <c r="R131" s="63"/>
      <c r="S131" s="63"/>
      <c r="T131" s="64">
        <v>24</v>
      </c>
      <c r="U131" s="46" t="b">
        <f ca="1"/>
        <v>0</v>
      </c>
      <c r="X131" s="12" t="s">
        <v>4326</v>
      </c>
      <c r="Y131" s="10">
        <v>24</v>
      </c>
    </row>
    <row r="132" spans="1:26" ht="12.75" hidden="1">
      <c r="A132" s="56" t="s">
        <v>517</v>
      </c>
      <c r="B132" s="58"/>
      <c r="C132" s="58"/>
      <c r="D132" s="58"/>
      <c r="E132" s="58"/>
      <c r="F132" s="58"/>
      <c r="G132" s="58"/>
      <c r="H132" s="59" t="s">
        <v>518</v>
      </c>
      <c r="I132" s="59" t="s">
        <v>519</v>
      </c>
      <c r="J132" s="60" t="str">
        <f ca="1">IFERROR(__xludf.DUMMYFUNCTION("JOIN("": "",H132,I132)"),"3E-08-08-10-00-00-00: Sinalização com painel não iluminado")</f>
        <v>3E-08-08-10-00-00-00: Sinalização com painel não iluminado</v>
      </c>
      <c r="K132" s="62"/>
      <c r="L132" s="62">
        <v>4</v>
      </c>
      <c r="M132" s="59"/>
      <c r="N132" s="59"/>
      <c r="O132" s="59"/>
      <c r="P132" s="59"/>
      <c r="Q132" s="63"/>
      <c r="R132" s="63"/>
      <c r="S132" s="63"/>
      <c r="T132" s="64">
        <v>26</v>
      </c>
      <c r="U132" s="45" t="b">
        <f ca="1"/>
        <v>0</v>
      </c>
      <c r="X132" s="12" t="s">
        <v>4327</v>
      </c>
      <c r="Y132" s="10">
        <v>26</v>
      </c>
    </row>
    <row r="133" spans="1:26" ht="12.75" hidden="1">
      <c r="A133" s="56" t="s">
        <v>521</v>
      </c>
      <c r="B133" s="58"/>
      <c r="C133" s="58"/>
      <c r="D133" s="58"/>
      <c r="E133" s="58"/>
      <c r="F133" s="58"/>
      <c r="G133" s="58"/>
      <c r="H133" s="59" t="s">
        <v>522</v>
      </c>
      <c r="I133" s="59" t="s">
        <v>523</v>
      </c>
      <c r="J133" s="60" t="str">
        <f ca="1">IFERROR(__xludf.DUMMYFUNCTION("JOIN("": "",H133,I133)"),"3E-08-08-12-00-00-00: Sinalização fotoluminescente")</f>
        <v>3E-08-08-12-00-00-00: Sinalização fotoluminescente</v>
      </c>
      <c r="K133" s="62"/>
      <c r="L133" s="62">
        <v>4</v>
      </c>
      <c r="M133" s="59"/>
      <c r="N133" s="59"/>
      <c r="O133" s="59"/>
      <c r="P133" s="59"/>
      <c r="Q133" s="63"/>
      <c r="R133" s="63"/>
      <c r="S133" s="63"/>
      <c r="T133" s="64">
        <v>28</v>
      </c>
      <c r="U133" s="46" t="b">
        <f ca="1"/>
        <v>0</v>
      </c>
      <c r="X133" s="12" t="s">
        <v>4328</v>
      </c>
      <c r="Y133" s="10">
        <v>28</v>
      </c>
    </row>
    <row r="134" spans="1:26" ht="12.75" hidden="1">
      <c r="A134" s="56" t="s">
        <v>525</v>
      </c>
      <c r="B134" s="58"/>
      <c r="C134" s="58"/>
      <c r="D134" s="58"/>
      <c r="E134" s="58"/>
      <c r="F134" s="58"/>
      <c r="G134" s="58"/>
      <c r="H134" s="59" t="s">
        <v>526</v>
      </c>
      <c r="I134" s="59" t="s">
        <v>527</v>
      </c>
      <c r="J134" s="60" t="str">
        <f ca="1">IFERROR(__xludf.DUMMYFUNCTION("JOIN("": "",H134,I134)"),"3E-08-08-14-00-00-00: Sinalização de mensagem eletrônica")</f>
        <v>3E-08-08-14-00-00-00: Sinalização de mensagem eletrônica</v>
      </c>
      <c r="K134" s="62"/>
      <c r="L134" s="62">
        <v>4</v>
      </c>
      <c r="M134" s="59"/>
      <c r="N134" s="59"/>
      <c r="O134" s="59"/>
      <c r="P134" s="59"/>
      <c r="Q134" s="63"/>
      <c r="R134" s="63"/>
      <c r="S134" s="63"/>
      <c r="T134" s="64">
        <v>30</v>
      </c>
      <c r="U134" s="45" t="b">
        <f ca="1"/>
        <v>0</v>
      </c>
      <c r="X134" s="12" t="s">
        <v>4329</v>
      </c>
      <c r="Y134" s="10">
        <v>30</v>
      </c>
    </row>
    <row r="135" spans="1:26" ht="12.75" hidden="1">
      <c r="A135" s="56" t="s">
        <v>529</v>
      </c>
      <c r="B135" s="58"/>
      <c r="C135" s="58"/>
      <c r="D135" s="58"/>
      <c r="E135" s="58"/>
      <c r="F135" s="58"/>
      <c r="G135" s="58"/>
      <c r="H135" s="59" t="s">
        <v>530</v>
      </c>
      <c r="I135" s="59" t="s">
        <v>531</v>
      </c>
      <c r="J135" s="60" t="str">
        <f ca="1">IFERROR(__xludf.DUMMYFUNCTION("JOIN("": "",H135,I135)"),"3E-08-08-16-00-00-00: Sinalização flutuante")</f>
        <v>3E-08-08-16-00-00-00: Sinalização flutuante</v>
      </c>
      <c r="K135" s="62"/>
      <c r="L135" s="62">
        <v>4</v>
      </c>
      <c r="M135" s="59"/>
      <c r="N135" s="59"/>
      <c r="O135" s="59"/>
      <c r="P135" s="59"/>
      <c r="Q135" s="63"/>
      <c r="R135" s="63"/>
      <c r="S135" s="63"/>
      <c r="T135" s="64">
        <v>32</v>
      </c>
      <c r="U135" s="46" t="b">
        <f ca="1"/>
        <v>0</v>
      </c>
      <c r="X135" s="12" t="s">
        <v>4330</v>
      </c>
      <c r="Y135" s="10">
        <v>32</v>
      </c>
    </row>
    <row r="136" spans="1:26" ht="12.75">
      <c r="A136" s="36" t="s">
        <v>533</v>
      </c>
      <c r="B136" s="37"/>
      <c r="C136" s="37"/>
      <c r="D136" s="37"/>
      <c r="E136" s="37"/>
      <c r="F136" s="37"/>
      <c r="G136" s="37"/>
      <c r="H136" s="38" t="s">
        <v>534</v>
      </c>
      <c r="I136" s="38" t="s">
        <v>535</v>
      </c>
      <c r="J136" s="39" t="str">
        <f ca="1">IFERROR(__xludf.DUMMYFUNCTION("JOIN("": "",H136,I136)"),"3E-10-00-00-00-00-00: Elementos de fundações")</f>
        <v>3E-10-00-00-00-00-00: Elementos de fundações</v>
      </c>
      <c r="K136" s="40"/>
      <c r="L136" s="41">
        <v>2</v>
      </c>
      <c r="M136" s="42"/>
      <c r="N136" s="43"/>
      <c r="O136" s="43"/>
      <c r="P136" s="43"/>
      <c r="Q136" s="44">
        <v>4</v>
      </c>
      <c r="R136" s="44">
        <v>2</v>
      </c>
      <c r="S136" s="44">
        <v>7</v>
      </c>
      <c r="T136" s="44">
        <v>10</v>
      </c>
      <c r="U136" s="45" t="b">
        <f ca="1"/>
        <v>0</v>
      </c>
      <c r="W136" s="7" t="str">
        <f>MID(H136, 1, FIND("-", H136, FIND("-", H136)+1)-1)</f>
        <v>3E-10</v>
      </c>
      <c r="X136" s="12" t="s">
        <v>4331</v>
      </c>
      <c r="Y136" s="10">
        <v>10</v>
      </c>
      <c r="Z136" s="7" t="str">
        <f>SUBSTITUTE(I136, "Elementos de ", "")</f>
        <v>fundações</v>
      </c>
    </row>
    <row r="137" spans="1:26" ht="12.75" hidden="1">
      <c r="A137" s="47" t="s">
        <v>537</v>
      </c>
      <c r="B137" s="48"/>
      <c r="C137" s="48"/>
      <c r="D137" s="48"/>
      <c r="E137" s="48"/>
      <c r="F137" s="48"/>
      <c r="G137" s="48"/>
      <c r="H137" s="49" t="s">
        <v>538</v>
      </c>
      <c r="I137" s="49" t="s">
        <v>539</v>
      </c>
      <c r="J137" s="50" t="str">
        <f ca="1">IFERROR(__xludf.DUMMYFUNCTION("JOIN("": "",H137,I137)"),"3E-10-02-00-00-00-00: Elementos de fundações diretas")</f>
        <v>3E-10-02-00-00-00-00: Elementos de fundações diretas</v>
      </c>
      <c r="K137" s="51"/>
      <c r="L137" s="52">
        <v>3</v>
      </c>
      <c r="M137" s="53"/>
      <c r="N137" s="53"/>
      <c r="O137" s="53"/>
      <c r="P137" s="53"/>
      <c r="Q137" s="54"/>
      <c r="R137" s="54"/>
      <c r="S137" s="54"/>
      <c r="T137" s="55">
        <v>12</v>
      </c>
      <c r="U137" s="46" t="b">
        <f ca="1"/>
        <v>0</v>
      </c>
      <c r="X137" s="12" t="s">
        <v>4332</v>
      </c>
      <c r="Y137" s="10">
        <v>12</v>
      </c>
    </row>
    <row r="138" spans="1:26" ht="12.75" hidden="1">
      <c r="A138" s="56" t="s">
        <v>541</v>
      </c>
      <c r="B138" s="58"/>
      <c r="C138" s="58"/>
      <c r="D138" s="58"/>
      <c r="E138" s="58"/>
      <c r="F138" s="58"/>
      <c r="G138" s="58"/>
      <c r="H138" s="59" t="s">
        <v>542</v>
      </c>
      <c r="I138" s="59" t="s">
        <v>543</v>
      </c>
      <c r="J138" s="60" t="str">
        <f ca="1">IFERROR(__xludf.DUMMYFUNCTION("JOIN("": "",H138,I138)"),"3E-10-02-02-00-00-00: Bloco de fundação")</f>
        <v>3E-10-02-02-00-00-00: Bloco de fundação</v>
      </c>
      <c r="K138" s="61"/>
      <c r="L138" s="62">
        <v>4</v>
      </c>
      <c r="M138" s="59"/>
      <c r="N138" s="59"/>
      <c r="O138" s="59"/>
      <c r="P138" s="59"/>
      <c r="Q138" s="63"/>
      <c r="R138" s="63"/>
      <c r="S138" s="63"/>
      <c r="T138" s="64">
        <v>14</v>
      </c>
      <c r="U138" s="45" t="b">
        <f ca="1"/>
        <v>0</v>
      </c>
      <c r="X138" s="12" t="s">
        <v>4333</v>
      </c>
      <c r="Y138" s="10">
        <v>14</v>
      </c>
    </row>
    <row r="139" spans="1:26" ht="12.75" hidden="1">
      <c r="A139" s="56" t="s">
        <v>545</v>
      </c>
      <c r="B139" s="58"/>
      <c r="C139" s="58"/>
      <c r="D139" s="58"/>
      <c r="E139" s="58"/>
      <c r="F139" s="58"/>
      <c r="G139" s="58"/>
      <c r="H139" s="59" t="s">
        <v>546</v>
      </c>
      <c r="I139" s="59" t="s">
        <v>547</v>
      </c>
      <c r="J139" s="60" t="str">
        <f ca="1">IFERROR(__xludf.DUMMYFUNCTION("JOIN("": "",H139,I139)"),"3E-10-02-04-00-00-00: Sapata")</f>
        <v>3E-10-02-04-00-00-00: Sapata</v>
      </c>
      <c r="K139" s="61"/>
      <c r="L139" s="62">
        <v>4</v>
      </c>
      <c r="M139" s="59"/>
      <c r="N139" s="59"/>
      <c r="O139" s="59"/>
      <c r="P139" s="59"/>
      <c r="Q139" s="63"/>
      <c r="R139" s="63"/>
      <c r="S139" s="63"/>
      <c r="T139" s="64">
        <v>16</v>
      </c>
      <c r="U139" s="46" t="b">
        <f ca="1"/>
        <v>0</v>
      </c>
      <c r="X139" s="12" t="s">
        <v>4334</v>
      </c>
      <c r="Y139" s="10">
        <v>16</v>
      </c>
    </row>
    <row r="140" spans="1:26" ht="12.75" hidden="1">
      <c r="A140" s="56" t="s">
        <v>549</v>
      </c>
      <c r="B140" s="58"/>
      <c r="C140" s="58"/>
      <c r="D140" s="58"/>
      <c r="E140" s="58"/>
      <c r="F140" s="58"/>
      <c r="G140" s="58"/>
      <c r="H140" s="59" t="s">
        <v>550</v>
      </c>
      <c r="I140" s="59" t="s">
        <v>551</v>
      </c>
      <c r="J140" s="60" t="str">
        <f ca="1">IFERROR(__xludf.DUMMYFUNCTION("JOIN("": "",H140,I140)"),"3E-10-02-06-00-00-00: Fundação em grelha")</f>
        <v>3E-10-02-06-00-00-00: Fundação em grelha</v>
      </c>
      <c r="K140" s="61"/>
      <c r="L140" s="62">
        <v>4</v>
      </c>
      <c r="M140" s="59"/>
      <c r="N140" s="59"/>
      <c r="O140" s="59"/>
      <c r="P140" s="59"/>
      <c r="Q140" s="63"/>
      <c r="R140" s="63"/>
      <c r="S140" s="63"/>
      <c r="T140" s="64">
        <v>18</v>
      </c>
      <c r="U140" s="45" t="b">
        <f ca="1"/>
        <v>0</v>
      </c>
      <c r="X140" s="12" t="s">
        <v>4335</v>
      </c>
      <c r="Y140" s="10">
        <v>18</v>
      </c>
    </row>
    <row r="141" spans="1:26" ht="12.75" hidden="1">
      <c r="A141" s="56" t="s">
        <v>553</v>
      </c>
      <c r="B141" s="58"/>
      <c r="C141" s="58"/>
      <c r="D141" s="58"/>
      <c r="E141" s="58"/>
      <c r="F141" s="58"/>
      <c r="G141" s="58"/>
      <c r="H141" s="59" t="s">
        <v>554</v>
      </c>
      <c r="I141" s="59" t="s">
        <v>555</v>
      </c>
      <c r="J141" s="60" t="str">
        <f ca="1">IFERROR(__xludf.DUMMYFUNCTION("JOIN("": "",H141,I141)"),"3E-10-02-08-00-00-00: Radier")</f>
        <v>3E-10-02-08-00-00-00: Radier</v>
      </c>
      <c r="K141" s="61"/>
      <c r="L141" s="62">
        <v>4</v>
      </c>
      <c r="M141" s="59"/>
      <c r="N141" s="59"/>
      <c r="O141" s="59"/>
      <c r="P141" s="59"/>
      <c r="Q141" s="63"/>
      <c r="R141" s="63"/>
      <c r="S141" s="63"/>
      <c r="T141" s="64">
        <v>20</v>
      </c>
      <c r="U141" s="46" t="b">
        <f ca="1"/>
        <v>0</v>
      </c>
      <c r="X141" s="12" t="s">
        <v>4336</v>
      </c>
      <c r="Y141" s="10">
        <v>20</v>
      </c>
    </row>
    <row r="142" spans="1:26" ht="12.75" hidden="1">
      <c r="A142" s="47" t="s">
        <v>557</v>
      </c>
      <c r="B142" s="48"/>
      <c r="C142" s="48"/>
      <c r="D142" s="48"/>
      <c r="E142" s="48"/>
      <c r="F142" s="48"/>
      <c r="G142" s="48"/>
      <c r="H142" s="49" t="s">
        <v>558</v>
      </c>
      <c r="I142" s="49" t="s">
        <v>559</v>
      </c>
      <c r="J142" s="50" t="str">
        <f ca="1">IFERROR(__xludf.DUMMYFUNCTION("JOIN("": "",H142,I142)"),"3E-10-04-00-00-00-00: Elementos de fundações profundas")</f>
        <v>3E-10-04-00-00-00-00: Elementos de fundações profundas</v>
      </c>
      <c r="K142" s="51"/>
      <c r="L142" s="52">
        <v>3</v>
      </c>
      <c r="M142" s="53"/>
      <c r="N142" s="53"/>
      <c r="O142" s="53"/>
      <c r="P142" s="53"/>
      <c r="Q142" s="54"/>
      <c r="R142" s="54"/>
      <c r="S142" s="54"/>
      <c r="T142" s="55">
        <v>14</v>
      </c>
      <c r="U142" s="45" t="b">
        <f ca="1"/>
        <v>0</v>
      </c>
      <c r="X142" s="12" t="s">
        <v>4337</v>
      </c>
      <c r="Y142" s="10">
        <v>14</v>
      </c>
    </row>
    <row r="143" spans="1:26" ht="12.75" hidden="1">
      <c r="A143" s="56" t="s">
        <v>561</v>
      </c>
      <c r="B143" s="58"/>
      <c r="C143" s="58"/>
      <c r="D143" s="58"/>
      <c r="E143" s="58"/>
      <c r="F143" s="58"/>
      <c r="G143" s="58"/>
      <c r="H143" s="59" t="s">
        <v>562</v>
      </c>
      <c r="I143" s="59" t="s">
        <v>563</v>
      </c>
      <c r="J143" s="60" t="str">
        <f ca="1">IFERROR(__xludf.DUMMYFUNCTION("JOIN("": "",H143,I143)"),"3E-10-04-02-00-00-00: Estaca")</f>
        <v>3E-10-04-02-00-00-00: Estaca</v>
      </c>
      <c r="K143" s="61"/>
      <c r="L143" s="62">
        <v>4</v>
      </c>
      <c r="M143" s="59"/>
      <c r="N143" s="59"/>
      <c r="O143" s="59"/>
      <c r="P143" s="59"/>
      <c r="Q143" s="63"/>
      <c r="R143" s="63"/>
      <c r="S143" s="63"/>
      <c r="T143" s="64">
        <v>16</v>
      </c>
      <c r="U143" s="46" t="b">
        <f ca="1"/>
        <v>0</v>
      </c>
      <c r="X143" s="12" t="s">
        <v>4338</v>
      </c>
      <c r="Y143" s="10">
        <v>16</v>
      </c>
    </row>
    <row r="144" spans="1:26" ht="12.75" hidden="1">
      <c r="A144" s="65" t="s">
        <v>565</v>
      </c>
      <c r="B144" s="67"/>
      <c r="C144" s="67"/>
      <c r="D144" s="67"/>
      <c r="E144" s="67"/>
      <c r="F144" s="67"/>
      <c r="G144" s="67"/>
      <c r="H144" s="68" t="s">
        <v>566</v>
      </c>
      <c r="I144" s="68" t="s">
        <v>567</v>
      </c>
      <c r="J144" s="69" t="str">
        <f ca="1">IFERROR(__xludf.DUMMYFUNCTION("JOIN("": "",H144,I144)"),"3E-10-04-02-02-00-00: Estaca cravada a percussão")</f>
        <v>3E-10-04-02-02-00-00: Estaca cravada a percussão</v>
      </c>
      <c r="K144" s="70"/>
      <c r="L144" s="71">
        <v>5</v>
      </c>
      <c r="M144" s="68"/>
      <c r="N144" s="68"/>
      <c r="O144" s="68"/>
      <c r="P144" s="68"/>
      <c r="Q144" s="72"/>
      <c r="R144" s="72"/>
      <c r="S144" s="72"/>
      <c r="T144" s="73">
        <v>18</v>
      </c>
      <c r="U144" s="45" t="b">
        <f ca="1"/>
        <v>0</v>
      </c>
      <c r="X144" s="12" t="s">
        <v>4339</v>
      </c>
      <c r="Y144" s="10">
        <v>18</v>
      </c>
    </row>
    <row r="145" spans="1:26" ht="12.75" hidden="1">
      <c r="A145" s="65" t="s">
        <v>569</v>
      </c>
      <c r="B145" s="67"/>
      <c r="C145" s="67"/>
      <c r="D145" s="67"/>
      <c r="E145" s="67"/>
      <c r="F145" s="67"/>
      <c r="G145" s="67"/>
      <c r="H145" s="68" t="s">
        <v>570</v>
      </c>
      <c r="I145" s="68" t="s">
        <v>571</v>
      </c>
      <c r="J145" s="69" t="str">
        <f ca="1">IFERROR(__xludf.DUMMYFUNCTION("JOIN("": "",H145,I145)"),"3E-10-04-02-04-00-00: Estaca cravada por prensagem")</f>
        <v>3E-10-04-02-04-00-00: Estaca cravada por prensagem</v>
      </c>
      <c r="K145" s="70"/>
      <c r="L145" s="71">
        <v>5</v>
      </c>
      <c r="M145" s="68"/>
      <c r="N145" s="68"/>
      <c r="O145" s="68"/>
      <c r="P145" s="68"/>
      <c r="Q145" s="72"/>
      <c r="R145" s="72"/>
      <c r="S145" s="72"/>
      <c r="T145" s="73">
        <v>20</v>
      </c>
      <c r="U145" s="46" t="b">
        <f ca="1"/>
        <v>0</v>
      </c>
      <c r="X145" s="12" t="s">
        <v>4340</v>
      </c>
      <c r="Y145" s="10">
        <v>20</v>
      </c>
    </row>
    <row r="146" spans="1:26" ht="12.75" hidden="1">
      <c r="A146" s="65" t="s">
        <v>573</v>
      </c>
      <c r="B146" s="67"/>
      <c r="C146" s="67"/>
      <c r="D146" s="67"/>
      <c r="E146" s="67"/>
      <c r="F146" s="67"/>
      <c r="G146" s="67"/>
      <c r="H146" s="68" t="s">
        <v>574</v>
      </c>
      <c r="I146" s="68" t="s">
        <v>575</v>
      </c>
      <c r="J146" s="69" t="str">
        <f ca="1">IFERROR(__xludf.DUMMYFUNCTION("JOIN("": "",H146,I146)"),"3E-10-04-02-06-00-00: Estaca franki")</f>
        <v>3E-10-04-02-06-00-00: Estaca franki</v>
      </c>
      <c r="K146" s="70"/>
      <c r="L146" s="71">
        <v>5</v>
      </c>
      <c r="M146" s="68"/>
      <c r="N146" s="68"/>
      <c r="O146" s="68"/>
      <c r="P146" s="68"/>
      <c r="Q146" s="72"/>
      <c r="R146" s="72"/>
      <c r="S146" s="72"/>
      <c r="T146" s="73">
        <v>22</v>
      </c>
      <c r="U146" s="45" t="b">
        <f ca="1"/>
        <v>0</v>
      </c>
      <c r="X146" s="12" t="s">
        <v>4341</v>
      </c>
      <c r="Y146" s="10">
        <v>22</v>
      </c>
    </row>
    <row r="147" spans="1:26" ht="12.75" hidden="1">
      <c r="A147" s="65" t="s">
        <v>577</v>
      </c>
      <c r="B147" s="67"/>
      <c r="C147" s="67"/>
      <c r="D147" s="67"/>
      <c r="E147" s="67"/>
      <c r="F147" s="67"/>
      <c r="G147" s="67"/>
      <c r="H147" s="68" t="s">
        <v>578</v>
      </c>
      <c r="I147" s="68" t="s">
        <v>579</v>
      </c>
      <c r="J147" s="69" t="str">
        <f ca="1">IFERROR(__xludf.DUMMYFUNCTION("JOIN("": "",H147,I147)"),"3E-10-04-02-08-00-00: Estaca de tubo de ponta fechada")</f>
        <v>3E-10-04-02-08-00-00: Estaca de tubo de ponta fechada</v>
      </c>
      <c r="K147" s="70"/>
      <c r="L147" s="71">
        <v>5</v>
      </c>
      <c r="M147" s="68"/>
      <c r="N147" s="68"/>
      <c r="O147" s="68"/>
      <c r="P147" s="68"/>
      <c r="Q147" s="72"/>
      <c r="R147" s="72"/>
      <c r="S147" s="72"/>
      <c r="T147" s="73">
        <v>24</v>
      </c>
      <c r="U147" s="46" t="b">
        <f ca="1"/>
        <v>0</v>
      </c>
      <c r="X147" s="12" t="s">
        <v>4342</v>
      </c>
      <c r="Y147" s="10">
        <v>24</v>
      </c>
    </row>
    <row r="148" spans="1:26" ht="12.75" hidden="1">
      <c r="A148" s="65" t="s">
        <v>581</v>
      </c>
      <c r="B148" s="67"/>
      <c r="C148" s="67"/>
      <c r="D148" s="67"/>
      <c r="E148" s="67"/>
      <c r="F148" s="67"/>
      <c r="G148" s="67"/>
      <c r="H148" s="68" t="s">
        <v>582</v>
      </c>
      <c r="I148" s="68" t="s">
        <v>583</v>
      </c>
      <c r="J148" s="69" t="str">
        <f ca="1">IFERROR(__xludf.DUMMYFUNCTION("JOIN("": "",H148,I148)"),"3E-10-04-02-10-00-00: Estaca escavada rotativa")</f>
        <v>3E-10-04-02-10-00-00: Estaca escavada rotativa</v>
      </c>
      <c r="K148" s="70"/>
      <c r="L148" s="71">
        <v>5</v>
      </c>
      <c r="M148" s="68"/>
      <c r="N148" s="68"/>
      <c r="O148" s="68"/>
      <c r="P148" s="68"/>
      <c r="Q148" s="72"/>
      <c r="R148" s="72"/>
      <c r="S148" s="72"/>
      <c r="T148" s="73">
        <v>26</v>
      </c>
      <c r="U148" s="45" t="b">
        <f ca="1"/>
        <v>0</v>
      </c>
      <c r="X148" s="12" t="s">
        <v>4343</v>
      </c>
      <c r="Y148" s="10">
        <v>26</v>
      </c>
    </row>
    <row r="149" spans="1:26" ht="12.75" hidden="1">
      <c r="A149" s="65" t="s">
        <v>585</v>
      </c>
      <c r="B149" s="67"/>
      <c r="C149" s="67"/>
      <c r="D149" s="67"/>
      <c r="E149" s="67"/>
      <c r="F149" s="67"/>
      <c r="G149" s="67"/>
      <c r="H149" s="68" t="s">
        <v>586</v>
      </c>
      <c r="I149" s="68" t="s">
        <v>587</v>
      </c>
      <c r="J149" s="69" t="str">
        <f ca="1">IFERROR(__xludf.DUMMYFUNCTION("JOIN("": "",H149,I149)"),"3E-10-04-02-12-00-00: Estaca escavada diafragma")</f>
        <v>3E-10-04-02-12-00-00: Estaca escavada diafragma</v>
      </c>
      <c r="K149" s="70"/>
      <c r="L149" s="71">
        <v>5</v>
      </c>
      <c r="M149" s="68"/>
      <c r="N149" s="68"/>
      <c r="O149" s="68"/>
      <c r="P149" s="68"/>
      <c r="Q149" s="72"/>
      <c r="R149" s="72"/>
      <c r="S149" s="72"/>
      <c r="T149" s="73">
        <v>28</v>
      </c>
      <c r="U149" s="46" t="b">
        <f ca="1"/>
        <v>0</v>
      </c>
      <c r="X149" s="12" t="s">
        <v>4344</v>
      </c>
      <c r="Y149" s="10">
        <v>28</v>
      </c>
    </row>
    <row r="150" spans="1:26" ht="12.75" hidden="1">
      <c r="A150" s="65" t="s">
        <v>589</v>
      </c>
      <c r="B150" s="67"/>
      <c r="C150" s="67"/>
      <c r="D150" s="67"/>
      <c r="E150" s="67"/>
      <c r="F150" s="67"/>
      <c r="G150" s="67"/>
      <c r="H150" s="68" t="s">
        <v>590</v>
      </c>
      <c r="I150" s="68" t="s">
        <v>591</v>
      </c>
      <c r="J150" s="69" t="str">
        <f ca="1">IFERROR(__xludf.DUMMYFUNCTION("JOIN("": "",H150,I150)"),"3E-10-04-02-14-00-00: Estaca moldada strauss")</f>
        <v>3E-10-04-02-14-00-00: Estaca moldada strauss</v>
      </c>
      <c r="K150" s="70"/>
      <c r="L150" s="71">
        <v>5</v>
      </c>
      <c r="M150" s="68"/>
      <c r="N150" s="68"/>
      <c r="O150" s="68"/>
      <c r="P150" s="68"/>
      <c r="Q150" s="72"/>
      <c r="R150" s="72"/>
      <c r="S150" s="72"/>
      <c r="T150" s="73">
        <v>30</v>
      </c>
      <c r="U150" s="45" t="b">
        <f ca="1"/>
        <v>0</v>
      </c>
      <c r="X150" s="12" t="s">
        <v>4345</v>
      </c>
      <c r="Y150" s="10">
        <v>30</v>
      </c>
    </row>
    <row r="151" spans="1:26" ht="12.75" hidden="1">
      <c r="A151" s="65" t="s">
        <v>593</v>
      </c>
      <c r="B151" s="67"/>
      <c r="C151" s="67"/>
      <c r="D151" s="67"/>
      <c r="E151" s="67"/>
      <c r="F151" s="67"/>
      <c r="G151" s="67"/>
      <c r="H151" s="68" t="s">
        <v>594</v>
      </c>
      <c r="I151" s="68" t="s">
        <v>595</v>
      </c>
      <c r="J151" s="69" t="str">
        <f ca="1">IFERROR(__xludf.DUMMYFUNCTION("JOIN("": "",H151,I151)"),"3E-10-04-02-16-00-00: Estaca moldada raiz")</f>
        <v>3E-10-04-02-16-00-00: Estaca moldada raiz</v>
      </c>
      <c r="K151" s="70"/>
      <c r="L151" s="71">
        <v>5</v>
      </c>
      <c r="M151" s="68"/>
      <c r="N151" s="68"/>
      <c r="O151" s="68"/>
      <c r="P151" s="68"/>
      <c r="Q151" s="72"/>
      <c r="R151" s="72"/>
      <c r="S151" s="72"/>
      <c r="T151" s="73">
        <v>32</v>
      </c>
      <c r="U151" s="46" t="b">
        <f ca="1"/>
        <v>0</v>
      </c>
      <c r="X151" s="12" t="s">
        <v>4346</v>
      </c>
      <c r="Y151" s="10">
        <v>32</v>
      </c>
    </row>
    <row r="152" spans="1:26" ht="12.75" hidden="1">
      <c r="A152" s="65" t="s">
        <v>597</v>
      </c>
      <c r="B152" s="67"/>
      <c r="C152" s="67"/>
      <c r="D152" s="67"/>
      <c r="E152" s="67"/>
      <c r="F152" s="67"/>
      <c r="G152" s="67"/>
      <c r="H152" s="68" t="s">
        <v>598</v>
      </c>
      <c r="I152" s="68" t="s">
        <v>599</v>
      </c>
      <c r="J152" s="69" t="str">
        <f ca="1">IFERROR(__xludf.DUMMYFUNCTION("JOIN("": "",H152,I152)"),"3E-10-04-02-18-00-00: Estaca pré-moldada")</f>
        <v>3E-10-04-02-18-00-00: Estaca pré-moldada</v>
      </c>
      <c r="K152" s="70"/>
      <c r="L152" s="71">
        <v>5</v>
      </c>
      <c r="M152" s="68"/>
      <c r="N152" s="68"/>
      <c r="O152" s="68"/>
      <c r="P152" s="68"/>
      <c r="Q152" s="72"/>
      <c r="R152" s="72"/>
      <c r="S152" s="72"/>
      <c r="T152" s="73">
        <v>34</v>
      </c>
      <c r="U152" s="45" t="b">
        <f ca="1"/>
        <v>0</v>
      </c>
      <c r="X152" s="12" t="s">
        <v>4347</v>
      </c>
      <c r="Y152" s="10">
        <v>34</v>
      </c>
    </row>
    <row r="153" spans="1:26" ht="12.75" hidden="1">
      <c r="A153" s="56" t="s">
        <v>601</v>
      </c>
      <c r="B153" s="58"/>
      <c r="C153" s="58"/>
      <c r="D153" s="58"/>
      <c r="E153" s="58"/>
      <c r="F153" s="58"/>
      <c r="G153" s="58"/>
      <c r="H153" s="59" t="s">
        <v>602</v>
      </c>
      <c r="I153" s="59" t="s">
        <v>603</v>
      </c>
      <c r="J153" s="60" t="str">
        <f ca="1">IFERROR(__xludf.DUMMYFUNCTION("JOIN("": "",H153,I153)"),"3E-10-04-04-00-00-00: Tubulão")</f>
        <v>3E-10-04-04-00-00-00: Tubulão</v>
      </c>
      <c r="K153" s="61"/>
      <c r="L153" s="62">
        <v>4</v>
      </c>
      <c r="M153" s="59"/>
      <c r="N153" s="59"/>
      <c r="O153" s="59"/>
      <c r="P153" s="59"/>
      <c r="Q153" s="63"/>
      <c r="R153" s="63"/>
      <c r="S153" s="63"/>
      <c r="T153" s="64">
        <v>18</v>
      </c>
      <c r="U153" s="46" t="b">
        <f ca="1"/>
        <v>0</v>
      </c>
      <c r="X153" s="12" t="s">
        <v>4348</v>
      </c>
      <c r="Y153" s="10">
        <v>18</v>
      </c>
    </row>
    <row r="154" spans="1:26" ht="12.75" hidden="1">
      <c r="A154" s="56" t="s">
        <v>605</v>
      </c>
      <c r="B154" s="58"/>
      <c r="C154" s="58"/>
      <c r="D154" s="58"/>
      <c r="E154" s="58"/>
      <c r="F154" s="58"/>
      <c r="G154" s="58"/>
      <c r="H154" s="59" t="s">
        <v>606</v>
      </c>
      <c r="I154" s="59" t="s">
        <v>607</v>
      </c>
      <c r="J154" s="60" t="str">
        <f ca="1">IFERROR(__xludf.DUMMYFUNCTION("JOIN("": "",H154,I154)"),"3E-10-04-06-00-00-00: Caixão de fundação")</f>
        <v>3E-10-04-06-00-00-00: Caixão de fundação</v>
      </c>
      <c r="K154" s="61"/>
      <c r="L154" s="62">
        <v>4</v>
      </c>
      <c r="M154" s="59"/>
      <c r="N154" s="59"/>
      <c r="O154" s="59"/>
      <c r="P154" s="59"/>
      <c r="Q154" s="63"/>
      <c r="R154" s="63"/>
      <c r="S154" s="63"/>
      <c r="T154" s="64">
        <v>20</v>
      </c>
      <c r="U154" s="45" t="b">
        <f ca="1"/>
        <v>0</v>
      </c>
      <c r="X154" s="12" t="s">
        <v>4349</v>
      </c>
      <c r="Y154" s="10">
        <v>20</v>
      </c>
    </row>
    <row r="155" spans="1:26" ht="12.75">
      <c r="A155" s="36" t="s">
        <v>609</v>
      </c>
      <c r="B155" s="37"/>
      <c r="C155" s="37"/>
      <c r="D155" s="37"/>
      <c r="E155" s="37"/>
      <c r="F155" s="37"/>
      <c r="G155" s="37"/>
      <c r="H155" s="38" t="s">
        <v>610</v>
      </c>
      <c r="I155" s="38" t="s">
        <v>611</v>
      </c>
      <c r="J155" s="39" t="str">
        <f ca="1">IFERROR(__xludf.DUMMYFUNCTION("JOIN("": "",H155,I155)"),"3E-12-00-00-00-00-00: Elementos de estruturas")</f>
        <v>3E-12-00-00-00-00-00: Elementos de estruturas</v>
      </c>
      <c r="K155" s="40"/>
      <c r="L155" s="41">
        <v>2</v>
      </c>
      <c r="M155" s="42"/>
      <c r="N155" s="43"/>
      <c r="O155" s="43"/>
      <c r="P155" s="43"/>
      <c r="Q155" s="44">
        <v>8</v>
      </c>
      <c r="R155" s="44">
        <v>4</v>
      </c>
      <c r="S155" s="44">
        <v>6</v>
      </c>
      <c r="T155" s="44">
        <v>12</v>
      </c>
      <c r="U155" s="46" t="b">
        <f ca="1"/>
        <v>0</v>
      </c>
      <c r="W155" s="7" t="str">
        <f>MID(H155, 1, FIND("-", H155, FIND("-", H155)+1)-1)</f>
        <v>3E-12</v>
      </c>
      <c r="X155" s="12" t="s">
        <v>4350</v>
      </c>
      <c r="Y155" s="10">
        <v>12</v>
      </c>
      <c r="Z155" s="7" t="str">
        <f>SUBSTITUTE(I155, "Elementos de ", "")</f>
        <v>estruturas</v>
      </c>
    </row>
    <row r="156" spans="1:26" ht="12.75" hidden="1">
      <c r="A156" s="47" t="s">
        <v>613</v>
      </c>
      <c r="B156" s="48"/>
      <c r="C156" s="48"/>
      <c r="D156" s="48"/>
      <c r="E156" s="48"/>
      <c r="F156" s="48"/>
      <c r="G156" s="48"/>
      <c r="H156" s="49" t="s">
        <v>614</v>
      </c>
      <c r="I156" s="49" t="s">
        <v>615</v>
      </c>
      <c r="J156" s="50" t="str">
        <f ca="1">IFERROR(__xludf.DUMMYFUNCTION("JOIN("": "",H156,I156)"),"3E-12-02-00-00-00-00: Elementos estruturais de forma ativa")</f>
        <v>3E-12-02-00-00-00-00: Elementos estruturais de forma ativa</v>
      </c>
      <c r="K156" s="51"/>
      <c r="L156" s="52">
        <v>3</v>
      </c>
      <c r="M156" s="53"/>
      <c r="N156" s="53"/>
      <c r="O156" s="53"/>
      <c r="P156" s="53"/>
      <c r="Q156" s="54"/>
      <c r="R156" s="54"/>
      <c r="S156" s="54"/>
      <c r="T156" s="55">
        <v>14</v>
      </c>
      <c r="U156" s="45" t="b">
        <f ca="1"/>
        <v>0</v>
      </c>
      <c r="X156" s="12" t="s">
        <v>4351</v>
      </c>
      <c r="Y156" s="10">
        <v>14</v>
      </c>
    </row>
    <row r="157" spans="1:26" ht="12.75" hidden="1">
      <c r="A157" s="56" t="s">
        <v>617</v>
      </c>
      <c r="B157" s="58"/>
      <c r="C157" s="58"/>
      <c r="D157" s="58"/>
      <c r="E157" s="58"/>
      <c r="F157" s="58"/>
      <c r="G157" s="58"/>
      <c r="H157" s="59" t="s">
        <v>618</v>
      </c>
      <c r="I157" s="59" t="s">
        <v>619</v>
      </c>
      <c r="J157" s="60" t="str">
        <f ca="1">IFERROR(__xludf.DUMMYFUNCTION("JOIN("": "",H157,I157)"),"3E-12-02-02-00-00-00: Estrutura de cabo")</f>
        <v>3E-12-02-02-00-00-00: Estrutura de cabo</v>
      </c>
      <c r="K157" s="61"/>
      <c r="L157" s="62">
        <v>4</v>
      </c>
      <c r="M157" s="59"/>
      <c r="N157" s="59"/>
      <c r="O157" s="59"/>
      <c r="P157" s="59"/>
      <c r="Q157" s="63"/>
      <c r="R157" s="63"/>
      <c r="S157" s="63"/>
      <c r="T157" s="64">
        <v>16</v>
      </c>
      <c r="U157" s="46" t="b">
        <f ca="1"/>
        <v>0</v>
      </c>
      <c r="X157" s="12" t="s">
        <v>4352</v>
      </c>
      <c r="Y157" s="10">
        <v>16</v>
      </c>
    </row>
    <row r="158" spans="1:26" ht="12.75" hidden="1">
      <c r="A158" s="56" t="s">
        <v>621</v>
      </c>
      <c r="B158" s="58"/>
      <c r="C158" s="58"/>
      <c r="D158" s="58"/>
      <c r="E158" s="58"/>
      <c r="F158" s="58"/>
      <c r="G158" s="58"/>
      <c r="H158" s="59" t="s">
        <v>622</v>
      </c>
      <c r="I158" s="59" t="s">
        <v>623</v>
      </c>
      <c r="J158" s="60" t="str">
        <f ca="1">IFERROR(__xludf.DUMMYFUNCTION("JOIN("": "",H158,I158)"),"3E-12-02-04-00-00-00: Estrutura de tenda")</f>
        <v>3E-12-02-04-00-00-00: Estrutura de tenda</v>
      </c>
      <c r="K158" s="61"/>
      <c r="L158" s="62">
        <v>4</v>
      </c>
      <c r="M158" s="59"/>
      <c r="N158" s="59"/>
      <c r="O158" s="59"/>
      <c r="P158" s="59"/>
      <c r="Q158" s="63"/>
      <c r="R158" s="63"/>
      <c r="S158" s="63"/>
      <c r="T158" s="64">
        <v>18</v>
      </c>
      <c r="U158" s="45" t="b">
        <f ca="1"/>
        <v>0</v>
      </c>
      <c r="X158" s="12" t="s">
        <v>4353</v>
      </c>
      <c r="Y158" s="10">
        <v>18</v>
      </c>
    </row>
    <row r="159" spans="1:26" ht="12.75" hidden="1">
      <c r="A159" s="56" t="s">
        <v>625</v>
      </c>
      <c r="B159" s="58"/>
      <c r="C159" s="58"/>
      <c r="D159" s="58"/>
      <c r="E159" s="58"/>
      <c r="F159" s="58"/>
      <c r="G159" s="58"/>
      <c r="H159" s="59" t="s">
        <v>626</v>
      </c>
      <c r="I159" s="59" t="s">
        <v>627</v>
      </c>
      <c r="J159" s="60" t="str">
        <f ca="1">IFERROR(__xludf.DUMMYFUNCTION("JOIN("": "",H159,I159)"),"3E-12-02-06-00-00-00: Estrutura de pneumático")</f>
        <v>3E-12-02-06-00-00-00: Estrutura de pneumático</v>
      </c>
      <c r="K159" s="61"/>
      <c r="L159" s="62">
        <v>4</v>
      </c>
      <c r="M159" s="59"/>
      <c r="N159" s="59"/>
      <c r="O159" s="59"/>
      <c r="P159" s="59"/>
      <c r="Q159" s="63"/>
      <c r="R159" s="63"/>
      <c r="S159" s="63"/>
      <c r="T159" s="64">
        <v>20</v>
      </c>
      <c r="U159" s="46" t="b">
        <f ca="1"/>
        <v>0</v>
      </c>
      <c r="X159" s="12" t="s">
        <v>4354</v>
      </c>
      <c r="Y159" s="10">
        <v>20</v>
      </c>
    </row>
    <row r="160" spans="1:26" ht="12.75" hidden="1">
      <c r="A160" s="56" t="s">
        <v>629</v>
      </c>
      <c r="B160" s="58"/>
      <c r="C160" s="58"/>
      <c r="D160" s="58"/>
      <c r="E160" s="58"/>
      <c r="F160" s="58"/>
      <c r="G160" s="58"/>
      <c r="H160" s="59" t="s">
        <v>630</v>
      </c>
      <c r="I160" s="59" t="s">
        <v>631</v>
      </c>
      <c r="J160" s="60" t="str">
        <f ca="1">IFERROR(__xludf.DUMMYFUNCTION("JOIN("": "",H160,I160)"),"3E-12-02-08-00-00-00: Estrutura de arco")</f>
        <v>3E-12-02-08-00-00-00: Estrutura de arco</v>
      </c>
      <c r="K160" s="61"/>
      <c r="L160" s="62">
        <v>4</v>
      </c>
      <c r="M160" s="59"/>
      <c r="N160" s="59"/>
      <c r="O160" s="59"/>
      <c r="P160" s="59"/>
      <c r="Q160" s="63"/>
      <c r="R160" s="63"/>
      <c r="S160" s="63"/>
      <c r="T160" s="64">
        <v>22</v>
      </c>
      <c r="U160" s="45" t="b">
        <f ca="1"/>
        <v>0</v>
      </c>
      <c r="X160" s="12" t="s">
        <v>4355</v>
      </c>
      <c r="Y160" s="10">
        <v>22</v>
      </c>
    </row>
    <row r="161" spans="1:25" ht="12.75" hidden="1">
      <c r="A161" s="65" t="s">
        <v>633</v>
      </c>
      <c r="B161" s="67"/>
      <c r="C161" s="67"/>
      <c r="D161" s="67"/>
      <c r="E161" s="67"/>
      <c r="F161" s="67"/>
      <c r="G161" s="67"/>
      <c r="H161" s="68" t="s">
        <v>634</v>
      </c>
      <c r="I161" s="68" t="s">
        <v>635</v>
      </c>
      <c r="J161" s="69" t="str">
        <f ca="1">IFERROR(__xludf.DUMMYFUNCTION("JOIN("": "",H161,I161)"),"3E-12-02-08-02-00-00: Arco funicular")</f>
        <v>3E-12-02-08-02-00-00: Arco funicular</v>
      </c>
      <c r="K161" s="70"/>
      <c r="L161" s="71">
        <v>5</v>
      </c>
      <c r="M161" s="68"/>
      <c r="N161" s="68"/>
      <c r="O161" s="68"/>
      <c r="P161" s="68"/>
      <c r="Q161" s="72"/>
      <c r="R161" s="72"/>
      <c r="S161" s="72"/>
      <c r="T161" s="73">
        <v>24</v>
      </c>
      <c r="U161" s="46" t="b">
        <f ca="1"/>
        <v>0</v>
      </c>
      <c r="X161" s="12" t="s">
        <v>4356</v>
      </c>
      <c r="Y161" s="10">
        <v>24</v>
      </c>
    </row>
    <row r="162" spans="1:25" ht="12.75" hidden="1">
      <c r="A162" s="74" t="s">
        <v>637</v>
      </c>
      <c r="B162" s="75"/>
      <c r="C162" s="75"/>
      <c r="D162" s="75"/>
      <c r="E162" s="75"/>
      <c r="F162" s="75"/>
      <c r="G162" s="75"/>
      <c r="H162" s="76" t="s">
        <v>638</v>
      </c>
      <c r="I162" s="76" t="s">
        <v>639</v>
      </c>
      <c r="J162" s="77" t="str">
        <f ca="1">IFERROR(__xludf.DUMMYFUNCTION("JOIN("": "",H162,I162)"),"3E-12-02-08-02-02-00: Arco achete")</f>
        <v>3E-12-02-08-02-02-00: Arco achete</v>
      </c>
      <c r="K162" s="78"/>
      <c r="L162" s="79">
        <v>6</v>
      </c>
      <c r="M162" s="76"/>
      <c r="N162" s="76"/>
      <c r="O162" s="76"/>
      <c r="P162" s="76"/>
      <c r="Q162" s="80"/>
      <c r="R162" s="80"/>
      <c r="S162" s="80"/>
      <c r="T162" s="81">
        <v>26</v>
      </c>
      <c r="U162" s="45" t="b">
        <f ca="1"/>
        <v>0</v>
      </c>
      <c r="X162" s="12" t="s">
        <v>4357</v>
      </c>
      <c r="Y162" s="10">
        <v>26</v>
      </c>
    </row>
    <row r="163" spans="1:25" ht="12.75" hidden="1">
      <c r="A163" s="74" t="s">
        <v>641</v>
      </c>
      <c r="B163" s="75"/>
      <c r="C163" s="75"/>
      <c r="D163" s="75"/>
      <c r="E163" s="75"/>
      <c r="F163" s="75"/>
      <c r="G163" s="75"/>
      <c r="H163" s="76" t="s">
        <v>642</v>
      </c>
      <c r="I163" s="76" t="s">
        <v>643</v>
      </c>
      <c r="J163" s="77" t="str">
        <f ca="1">IFERROR(__xludf.DUMMYFUNCTION("JOIN("": "",H163,I163)"),"3E-12-02-08-02-04-00: Arcobotante")</f>
        <v>3E-12-02-08-02-04-00: Arcobotante</v>
      </c>
      <c r="K163" s="78"/>
      <c r="L163" s="79">
        <v>6</v>
      </c>
      <c r="M163" s="76"/>
      <c r="N163" s="76"/>
      <c r="O163" s="76"/>
      <c r="P163" s="76"/>
      <c r="Q163" s="80"/>
      <c r="R163" s="80"/>
      <c r="S163" s="80"/>
      <c r="T163" s="81">
        <v>28</v>
      </c>
      <c r="U163" s="46" t="b">
        <f ca="1"/>
        <v>0</v>
      </c>
      <c r="X163" s="12" t="s">
        <v>4358</v>
      </c>
      <c r="Y163" s="10">
        <v>28</v>
      </c>
    </row>
    <row r="164" spans="1:25" ht="12.75" hidden="1">
      <c r="A164" s="74" t="s">
        <v>645</v>
      </c>
      <c r="B164" s="75"/>
      <c r="C164" s="75"/>
      <c r="D164" s="75"/>
      <c r="E164" s="75"/>
      <c r="F164" s="75"/>
      <c r="G164" s="75"/>
      <c r="H164" s="76" t="s">
        <v>646</v>
      </c>
      <c r="I164" s="76" t="s">
        <v>647</v>
      </c>
      <c r="J164" s="77" t="str">
        <f ca="1">IFERROR(__xludf.DUMMYFUNCTION("JOIN("": "",H164,I164)"),"3E-12-02-08-02-06-00: Arco cego")</f>
        <v>3E-12-02-08-02-06-00: Arco cego</v>
      </c>
      <c r="K164" s="78"/>
      <c r="L164" s="79">
        <v>6</v>
      </c>
      <c r="M164" s="76"/>
      <c r="N164" s="76"/>
      <c r="O164" s="76"/>
      <c r="P164" s="76"/>
      <c r="Q164" s="80"/>
      <c r="R164" s="80"/>
      <c r="S164" s="80"/>
      <c r="T164" s="81">
        <v>30</v>
      </c>
      <c r="U164" s="45" t="b">
        <f ca="1"/>
        <v>0</v>
      </c>
      <c r="X164" s="12" t="s">
        <v>4359</v>
      </c>
      <c r="Y164" s="10">
        <v>30</v>
      </c>
    </row>
    <row r="165" spans="1:25" ht="12.75" hidden="1">
      <c r="A165" s="74" t="s">
        <v>649</v>
      </c>
      <c r="B165" s="75"/>
      <c r="C165" s="75"/>
      <c r="D165" s="75"/>
      <c r="E165" s="75"/>
      <c r="F165" s="75"/>
      <c r="G165" s="75"/>
      <c r="H165" s="76" t="s">
        <v>650</v>
      </c>
      <c r="I165" s="76" t="s">
        <v>651</v>
      </c>
      <c r="J165" s="77" t="str">
        <f ca="1">IFERROR(__xludf.DUMMYFUNCTION("JOIN("": "",H165,I165)"),"3E-12-02-08-02-08-00: Arco cruzeiro")</f>
        <v>3E-12-02-08-02-08-00: Arco cruzeiro</v>
      </c>
      <c r="K165" s="78"/>
      <c r="L165" s="79">
        <v>6</v>
      </c>
      <c r="M165" s="76"/>
      <c r="N165" s="76"/>
      <c r="O165" s="76"/>
      <c r="P165" s="76"/>
      <c r="Q165" s="80"/>
      <c r="R165" s="80"/>
      <c r="S165" s="80"/>
      <c r="T165" s="81">
        <v>32</v>
      </c>
      <c r="U165" s="46" t="b">
        <f ca="1"/>
        <v>0</v>
      </c>
      <c r="X165" s="12" t="s">
        <v>4360</v>
      </c>
      <c r="Y165" s="10">
        <v>32</v>
      </c>
    </row>
    <row r="166" spans="1:25" ht="12.75" hidden="1">
      <c r="A166" s="74" t="s">
        <v>653</v>
      </c>
      <c r="B166" s="75"/>
      <c r="C166" s="75"/>
      <c r="D166" s="75"/>
      <c r="E166" s="75"/>
      <c r="F166" s="75"/>
      <c r="G166" s="75"/>
      <c r="H166" s="76" t="s">
        <v>654</v>
      </c>
      <c r="I166" s="76" t="s">
        <v>655</v>
      </c>
      <c r="J166" s="77" t="str">
        <f ca="1">IFERROR(__xludf.DUMMYFUNCTION("JOIN("": "",H166,I166)"),"3E-12-02-08-02-10-00: Arco de ogiva")</f>
        <v>3E-12-02-08-02-10-00: Arco de ogiva</v>
      </c>
      <c r="K166" s="78"/>
      <c r="L166" s="79">
        <v>6</v>
      </c>
      <c r="M166" s="76"/>
      <c r="N166" s="76"/>
      <c r="O166" s="76"/>
      <c r="P166" s="76"/>
      <c r="Q166" s="80"/>
      <c r="R166" s="80"/>
      <c r="S166" s="80"/>
      <c r="T166" s="81">
        <v>34</v>
      </c>
      <c r="U166" s="45" t="b">
        <f ca="1"/>
        <v>0</v>
      </c>
      <c r="X166" s="12" t="s">
        <v>4361</v>
      </c>
      <c r="Y166" s="10">
        <v>34</v>
      </c>
    </row>
    <row r="167" spans="1:25" ht="12.75" hidden="1">
      <c r="A167" s="74" t="s">
        <v>657</v>
      </c>
      <c r="B167" s="75"/>
      <c r="C167" s="75"/>
      <c r="D167" s="75"/>
      <c r="E167" s="75"/>
      <c r="F167" s="75"/>
      <c r="G167" s="75"/>
      <c r="H167" s="76" t="s">
        <v>658</v>
      </c>
      <c r="I167" s="76" t="s">
        <v>659</v>
      </c>
      <c r="J167" s="77" t="str">
        <f ca="1">IFERROR(__xludf.DUMMYFUNCTION("JOIN("": "",H167,I167)"),"3E-12-02-08-02-12-00: Arco toral")</f>
        <v>3E-12-02-08-02-12-00: Arco toral</v>
      </c>
      <c r="K167" s="78"/>
      <c r="L167" s="79">
        <v>6</v>
      </c>
      <c r="M167" s="76"/>
      <c r="N167" s="76"/>
      <c r="O167" s="76"/>
      <c r="P167" s="76"/>
      <c r="Q167" s="80"/>
      <c r="R167" s="80"/>
      <c r="S167" s="80"/>
      <c r="T167" s="81">
        <v>36</v>
      </c>
      <c r="U167" s="46" t="b">
        <f ca="1"/>
        <v>0</v>
      </c>
      <c r="X167" s="12" t="s">
        <v>4362</v>
      </c>
      <c r="Y167" s="10">
        <v>36</v>
      </c>
    </row>
    <row r="168" spans="1:25" ht="12.75" hidden="1">
      <c r="A168" s="74" t="s">
        <v>661</v>
      </c>
      <c r="B168" s="75"/>
      <c r="C168" s="75"/>
      <c r="D168" s="75"/>
      <c r="E168" s="75"/>
      <c r="F168" s="75"/>
      <c r="G168" s="75"/>
      <c r="H168" s="76" t="s">
        <v>662</v>
      </c>
      <c r="I168" s="76" t="s">
        <v>663</v>
      </c>
      <c r="J168" s="77" t="str">
        <f ca="1">IFERROR(__xludf.DUMMYFUNCTION("JOIN("": "",H168,I168)"),"3E-12-02-08-02-14-00: Formalete")</f>
        <v>3E-12-02-08-02-14-00: Formalete</v>
      </c>
      <c r="K168" s="78"/>
      <c r="L168" s="79">
        <v>6</v>
      </c>
      <c r="M168" s="76"/>
      <c r="N168" s="76"/>
      <c r="O168" s="76"/>
      <c r="P168" s="76"/>
      <c r="Q168" s="80"/>
      <c r="R168" s="80"/>
      <c r="S168" s="80"/>
      <c r="T168" s="81">
        <v>38</v>
      </c>
      <c r="U168" s="45" t="b">
        <f ca="1"/>
        <v>0</v>
      </c>
      <c r="X168" s="12" t="s">
        <v>4363</v>
      </c>
      <c r="Y168" s="10">
        <v>38</v>
      </c>
    </row>
    <row r="169" spans="1:25" ht="12.75" hidden="1">
      <c r="A169" s="74" t="s">
        <v>665</v>
      </c>
      <c r="B169" s="75"/>
      <c r="C169" s="75"/>
      <c r="D169" s="75"/>
      <c r="E169" s="75"/>
      <c r="F169" s="75"/>
      <c r="G169" s="75"/>
      <c r="H169" s="76" t="s">
        <v>666</v>
      </c>
      <c r="I169" s="76" t="s">
        <v>667</v>
      </c>
      <c r="J169" s="77" t="str">
        <f ca="1">IFERROR(__xludf.DUMMYFUNCTION("JOIN("": "",H169,I169)"),"3E-12-02-08-02-16-00: Arco abatido")</f>
        <v>3E-12-02-08-02-16-00: Arco abatido</v>
      </c>
      <c r="K169" s="78"/>
      <c r="L169" s="79">
        <v>6</v>
      </c>
      <c r="M169" s="76"/>
      <c r="N169" s="76"/>
      <c r="O169" s="76"/>
      <c r="P169" s="76"/>
      <c r="Q169" s="80"/>
      <c r="R169" s="80"/>
      <c r="S169" s="80"/>
      <c r="T169" s="81">
        <v>40</v>
      </c>
      <c r="U169" s="46" t="b">
        <f ca="1"/>
        <v>0</v>
      </c>
      <c r="X169" s="12" t="s">
        <v>4364</v>
      </c>
      <c r="Y169" s="10">
        <v>40</v>
      </c>
    </row>
    <row r="170" spans="1:25" ht="12.75" hidden="1">
      <c r="A170" s="74" t="s">
        <v>669</v>
      </c>
      <c r="B170" s="75"/>
      <c r="C170" s="75"/>
      <c r="D170" s="75"/>
      <c r="E170" s="75"/>
      <c r="F170" s="75"/>
      <c r="G170" s="75"/>
      <c r="H170" s="76" t="s">
        <v>670</v>
      </c>
      <c r="I170" s="76" t="s">
        <v>671</v>
      </c>
      <c r="J170" s="77" t="str">
        <f ca="1">IFERROR(__xludf.DUMMYFUNCTION("JOIN("": "",H170,I170)"),"3E-12-02-08-02-18-00: Arco ferradura")</f>
        <v>3E-12-02-08-02-18-00: Arco ferradura</v>
      </c>
      <c r="K170" s="78"/>
      <c r="L170" s="79">
        <v>6</v>
      </c>
      <c r="M170" s="76"/>
      <c r="N170" s="76"/>
      <c r="O170" s="76"/>
      <c r="P170" s="76"/>
      <c r="Q170" s="80"/>
      <c r="R170" s="80"/>
      <c r="S170" s="80"/>
      <c r="T170" s="81">
        <v>42</v>
      </c>
      <c r="U170" s="45" t="b">
        <f ca="1"/>
        <v>0</v>
      </c>
      <c r="X170" s="12" t="s">
        <v>4365</v>
      </c>
      <c r="Y170" s="10">
        <v>42</v>
      </c>
    </row>
    <row r="171" spans="1:25" ht="12.75" hidden="1">
      <c r="A171" s="74" t="s">
        <v>673</v>
      </c>
      <c r="B171" s="75"/>
      <c r="C171" s="75"/>
      <c r="D171" s="75"/>
      <c r="E171" s="75"/>
      <c r="F171" s="75"/>
      <c r="G171" s="75"/>
      <c r="H171" s="76" t="s">
        <v>674</v>
      </c>
      <c r="I171" s="76" t="s">
        <v>675</v>
      </c>
      <c r="J171" s="77" t="str">
        <f ca="1">IFERROR(__xludf.DUMMYFUNCTION("JOIN("": "",H171,I171)"),"3E-12-02-08-02-20-00: Arco geminado")</f>
        <v>3E-12-02-08-02-20-00: Arco geminado</v>
      </c>
      <c r="K171" s="78"/>
      <c r="L171" s="79">
        <v>6</v>
      </c>
      <c r="M171" s="76"/>
      <c r="N171" s="76"/>
      <c r="O171" s="76"/>
      <c r="P171" s="76"/>
      <c r="Q171" s="80"/>
      <c r="R171" s="80"/>
      <c r="S171" s="80"/>
      <c r="T171" s="81">
        <v>44</v>
      </c>
      <c r="U171" s="46" t="b">
        <f ca="1"/>
        <v>0</v>
      </c>
      <c r="X171" s="12" t="s">
        <v>4366</v>
      </c>
      <c r="Y171" s="10">
        <v>44</v>
      </c>
    </row>
    <row r="172" spans="1:25" ht="12.75" hidden="1">
      <c r="A172" s="74" t="s">
        <v>677</v>
      </c>
      <c r="B172" s="75"/>
      <c r="C172" s="75"/>
      <c r="D172" s="75"/>
      <c r="E172" s="75"/>
      <c r="F172" s="75"/>
      <c r="G172" s="75"/>
      <c r="H172" s="76" t="s">
        <v>678</v>
      </c>
      <c r="I172" s="76" t="s">
        <v>679</v>
      </c>
      <c r="J172" s="77" t="str">
        <f ca="1">IFERROR(__xludf.DUMMYFUNCTION("JOIN("": "",H172,I172)"),"3E-12-02-08-02-22-00: Arco gótico")</f>
        <v>3E-12-02-08-02-22-00: Arco gótico</v>
      </c>
      <c r="K172" s="78"/>
      <c r="L172" s="79">
        <v>6</v>
      </c>
      <c r="M172" s="76"/>
      <c r="N172" s="76"/>
      <c r="O172" s="76"/>
      <c r="P172" s="76"/>
      <c r="Q172" s="80"/>
      <c r="R172" s="80"/>
      <c r="S172" s="80"/>
      <c r="T172" s="81">
        <v>46</v>
      </c>
      <c r="U172" s="45" t="b">
        <f ca="1"/>
        <v>0</v>
      </c>
      <c r="X172" s="12" t="s">
        <v>4367</v>
      </c>
      <c r="Y172" s="10">
        <v>46</v>
      </c>
    </row>
    <row r="173" spans="1:25" ht="12.75" hidden="1">
      <c r="A173" s="74" t="s">
        <v>681</v>
      </c>
      <c r="B173" s="75"/>
      <c r="C173" s="75"/>
      <c r="D173" s="75"/>
      <c r="E173" s="75"/>
      <c r="F173" s="75"/>
      <c r="G173" s="75"/>
      <c r="H173" s="76" t="s">
        <v>682</v>
      </c>
      <c r="I173" s="76" t="s">
        <v>683</v>
      </c>
      <c r="J173" s="77" t="str">
        <f ca="1">IFERROR(__xludf.DUMMYFUNCTION("JOIN("": "",H173,I173)"),"3E-12-02-08-02-24-00: Arco mourisco")</f>
        <v>3E-12-02-08-02-24-00: Arco mourisco</v>
      </c>
      <c r="K173" s="78"/>
      <c r="L173" s="79">
        <v>6</v>
      </c>
      <c r="M173" s="76"/>
      <c r="N173" s="76"/>
      <c r="O173" s="76"/>
      <c r="P173" s="76"/>
      <c r="Q173" s="80"/>
      <c r="R173" s="80"/>
      <c r="S173" s="80"/>
      <c r="T173" s="81">
        <v>48</v>
      </c>
      <c r="U173" s="46" t="b">
        <f ca="1"/>
        <v>0</v>
      </c>
      <c r="X173" s="12" t="s">
        <v>4368</v>
      </c>
      <c r="Y173" s="10">
        <v>48</v>
      </c>
    </row>
    <row r="174" spans="1:25" ht="12.75" hidden="1">
      <c r="A174" s="74" t="s">
        <v>685</v>
      </c>
      <c r="B174" s="75"/>
      <c r="C174" s="75"/>
      <c r="D174" s="75"/>
      <c r="E174" s="75"/>
      <c r="F174" s="75"/>
      <c r="G174" s="75"/>
      <c r="H174" s="76" t="s">
        <v>686</v>
      </c>
      <c r="I174" s="76" t="s">
        <v>687</v>
      </c>
      <c r="J174" s="77" t="str">
        <f ca="1">IFERROR(__xludf.DUMMYFUNCTION("JOIN("": "",H174,I174)"),"3E-12-02-08-02-26-00: Arco pleno")</f>
        <v>3E-12-02-08-02-26-00: Arco pleno</v>
      </c>
      <c r="K174" s="78"/>
      <c r="L174" s="79">
        <v>6</v>
      </c>
      <c r="M174" s="76"/>
      <c r="N174" s="76"/>
      <c r="O174" s="76"/>
      <c r="P174" s="76"/>
      <c r="Q174" s="80"/>
      <c r="R174" s="80"/>
      <c r="S174" s="80"/>
      <c r="T174" s="81">
        <v>50</v>
      </c>
      <c r="U174" s="45" t="b">
        <f ca="1"/>
        <v>0</v>
      </c>
      <c r="X174" s="12" t="s">
        <v>4369</v>
      </c>
      <c r="Y174" s="10">
        <v>50</v>
      </c>
    </row>
    <row r="175" spans="1:25" ht="12.75" hidden="1">
      <c r="A175" s="74" t="s">
        <v>689</v>
      </c>
      <c r="B175" s="75"/>
      <c r="C175" s="75"/>
      <c r="D175" s="75"/>
      <c r="E175" s="75"/>
      <c r="F175" s="75"/>
      <c r="G175" s="75"/>
      <c r="H175" s="76" t="s">
        <v>690</v>
      </c>
      <c r="I175" s="76" t="s">
        <v>691</v>
      </c>
      <c r="J175" s="77" t="str">
        <f ca="1">IFERROR(__xludf.DUMMYFUNCTION("JOIN("": "",H175,I175)"),"3E-12-02-08-02-28-00: Arco tribolado")</f>
        <v>3E-12-02-08-02-28-00: Arco tribolado</v>
      </c>
      <c r="K175" s="78"/>
      <c r="L175" s="79">
        <v>6</v>
      </c>
      <c r="M175" s="76"/>
      <c r="N175" s="76"/>
      <c r="O175" s="76"/>
      <c r="P175" s="76"/>
      <c r="Q175" s="80"/>
      <c r="R175" s="80"/>
      <c r="S175" s="80"/>
      <c r="T175" s="81">
        <v>52</v>
      </c>
      <c r="U175" s="46" t="b">
        <f ca="1"/>
        <v>0</v>
      </c>
      <c r="X175" s="12" t="s">
        <v>4370</v>
      </c>
      <c r="Y175" s="10">
        <v>52</v>
      </c>
    </row>
    <row r="176" spans="1:25" ht="12.75" hidden="1">
      <c r="A176" s="74" t="s">
        <v>693</v>
      </c>
      <c r="B176" s="75"/>
      <c r="C176" s="75"/>
      <c r="D176" s="75"/>
      <c r="E176" s="75"/>
      <c r="F176" s="75"/>
      <c r="G176" s="75"/>
      <c r="H176" s="76" t="s">
        <v>694</v>
      </c>
      <c r="I176" s="76" t="s">
        <v>695</v>
      </c>
      <c r="J176" s="77" t="str">
        <f ca="1">IFERROR(__xludf.DUMMYFUNCTION("JOIN("": "",H176,I176)"),"3E-12-02-08-02-30-00: Arco tudor")</f>
        <v>3E-12-02-08-02-30-00: Arco tudor</v>
      </c>
      <c r="K176" s="78"/>
      <c r="L176" s="79">
        <v>6</v>
      </c>
      <c r="M176" s="76"/>
      <c r="N176" s="76"/>
      <c r="O176" s="76"/>
      <c r="P176" s="76"/>
      <c r="Q176" s="80"/>
      <c r="R176" s="80"/>
      <c r="S176" s="80"/>
      <c r="T176" s="81">
        <v>54</v>
      </c>
      <c r="U176" s="45" t="b">
        <f ca="1"/>
        <v>0</v>
      </c>
      <c r="X176" s="12" t="s">
        <v>4371</v>
      </c>
      <c r="Y176" s="10">
        <v>54</v>
      </c>
    </row>
    <row r="177" spans="1:25" ht="12.75" hidden="1">
      <c r="A177" s="65" t="s">
        <v>697</v>
      </c>
      <c r="B177" s="67"/>
      <c r="C177" s="67"/>
      <c r="D177" s="67"/>
      <c r="E177" s="67"/>
      <c r="F177" s="67"/>
      <c r="G177" s="67"/>
      <c r="H177" s="68" t="s">
        <v>698</v>
      </c>
      <c r="I177" s="68" t="s">
        <v>699</v>
      </c>
      <c r="J177" s="69" t="str">
        <f ca="1">IFERROR(__xludf.DUMMYFUNCTION("JOIN("": "",H177,I177)"),"3E-12-02-08-04-00-00: Estrutura de retículas abobadadas")</f>
        <v>3E-12-02-08-04-00-00: Estrutura de retículas abobadadas</v>
      </c>
      <c r="K177" s="70"/>
      <c r="L177" s="71">
        <v>5</v>
      </c>
      <c r="M177" s="68"/>
      <c r="N177" s="68"/>
      <c r="O177" s="68"/>
      <c r="P177" s="68"/>
      <c r="Q177" s="72"/>
      <c r="R177" s="72"/>
      <c r="S177" s="72"/>
      <c r="T177" s="73">
        <v>26</v>
      </c>
      <c r="U177" s="46" t="b">
        <f ca="1"/>
        <v>0</v>
      </c>
      <c r="X177" s="12" t="s">
        <v>4372</v>
      </c>
      <c r="Y177" s="10">
        <v>26</v>
      </c>
    </row>
    <row r="178" spans="1:25" ht="12.75" hidden="1">
      <c r="A178" s="47" t="s">
        <v>701</v>
      </c>
      <c r="B178" s="48"/>
      <c r="C178" s="48"/>
      <c r="D178" s="48"/>
      <c r="E178" s="48"/>
      <c r="F178" s="48"/>
      <c r="G178" s="48"/>
      <c r="H178" s="49" t="s">
        <v>702</v>
      </c>
      <c r="I178" s="49" t="s">
        <v>703</v>
      </c>
      <c r="J178" s="50" t="str">
        <f ca="1">IFERROR(__xludf.DUMMYFUNCTION("JOIN("": "",H178,I178)"),"3E-12-04-00-00-00-00: Elementos estruturais de vetor ativo")</f>
        <v>3E-12-04-00-00-00-00: Elementos estruturais de vetor ativo</v>
      </c>
      <c r="K178" s="51"/>
      <c r="L178" s="52">
        <v>3</v>
      </c>
      <c r="M178" s="53"/>
      <c r="N178" s="53"/>
      <c r="O178" s="53"/>
      <c r="P178" s="53"/>
      <c r="Q178" s="54"/>
      <c r="R178" s="54"/>
      <c r="S178" s="54"/>
      <c r="T178" s="55">
        <v>16</v>
      </c>
      <c r="U178" s="45" t="b">
        <f ca="1"/>
        <v>0</v>
      </c>
      <c r="X178" s="12" t="s">
        <v>4373</v>
      </c>
      <c r="Y178" s="10">
        <v>16</v>
      </c>
    </row>
    <row r="179" spans="1:25" ht="12.75" hidden="1">
      <c r="A179" s="56" t="s">
        <v>705</v>
      </c>
      <c r="B179" s="58"/>
      <c r="C179" s="58"/>
      <c r="D179" s="58"/>
      <c r="E179" s="58"/>
      <c r="F179" s="58"/>
      <c r="G179" s="58"/>
      <c r="H179" s="59" t="s">
        <v>706</v>
      </c>
      <c r="I179" s="59" t="s">
        <v>707</v>
      </c>
      <c r="J179" s="60" t="str">
        <f ca="1">IFERROR(__xludf.DUMMYFUNCTION("JOIN("": "",H179,I179)"),"3E-12-04-02-00-00-00: Treliça plana")</f>
        <v>3E-12-04-02-00-00-00: Treliça plana</v>
      </c>
      <c r="K179" s="61"/>
      <c r="L179" s="62">
        <v>4</v>
      </c>
      <c r="M179" s="59"/>
      <c r="N179" s="59"/>
      <c r="O179" s="59"/>
      <c r="P179" s="59"/>
      <c r="Q179" s="63"/>
      <c r="R179" s="63"/>
      <c r="S179" s="63"/>
      <c r="T179" s="64">
        <v>18</v>
      </c>
      <c r="U179" s="46" t="b">
        <f ca="1"/>
        <v>0</v>
      </c>
      <c r="X179" s="12" t="s">
        <v>4374</v>
      </c>
      <c r="Y179" s="10">
        <v>18</v>
      </c>
    </row>
    <row r="180" spans="1:25" ht="12.75" hidden="1">
      <c r="A180" s="56" t="s">
        <v>709</v>
      </c>
      <c r="B180" s="58"/>
      <c r="C180" s="58"/>
      <c r="D180" s="58"/>
      <c r="E180" s="58"/>
      <c r="F180" s="58"/>
      <c r="G180" s="58"/>
      <c r="H180" s="59" t="s">
        <v>710</v>
      </c>
      <c r="I180" s="59" t="s">
        <v>711</v>
      </c>
      <c r="J180" s="60" t="str">
        <f ca="1">IFERROR(__xludf.DUMMYFUNCTION("JOIN("": "",H180,I180)"),"3E-12-04-04-00-00-00: Treliça combinada")</f>
        <v>3E-12-04-04-00-00-00: Treliça combinada</v>
      </c>
      <c r="K180" s="61"/>
      <c r="L180" s="62">
        <v>4</v>
      </c>
      <c r="M180" s="59"/>
      <c r="N180" s="59"/>
      <c r="O180" s="59"/>
      <c r="P180" s="59"/>
      <c r="Q180" s="63"/>
      <c r="R180" s="63"/>
      <c r="S180" s="63"/>
      <c r="T180" s="64">
        <v>20</v>
      </c>
      <c r="U180" s="45" t="b">
        <f ca="1"/>
        <v>0</v>
      </c>
      <c r="X180" s="12" t="s">
        <v>4375</v>
      </c>
      <c r="Y180" s="10">
        <v>20</v>
      </c>
    </row>
    <row r="181" spans="1:25" ht="12.75" hidden="1">
      <c r="A181" s="56" t="s">
        <v>713</v>
      </c>
      <c r="B181" s="58"/>
      <c r="C181" s="58"/>
      <c r="D181" s="58"/>
      <c r="E181" s="58"/>
      <c r="F181" s="58"/>
      <c r="G181" s="58"/>
      <c r="H181" s="59" t="s">
        <v>714</v>
      </c>
      <c r="I181" s="59" t="s">
        <v>715</v>
      </c>
      <c r="J181" s="60" t="str">
        <f ca="1">IFERROR(__xludf.DUMMYFUNCTION("JOIN("": "",H181,I181)"),"3E-12-04-06-00-00-00: Treliça curva")</f>
        <v>3E-12-04-06-00-00-00: Treliça curva</v>
      </c>
      <c r="K181" s="61"/>
      <c r="L181" s="62">
        <v>4</v>
      </c>
      <c r="M181" s="59"/>
      <c r="N181" s="59"/>
      <c r="O181" s="59"/>
      <c r="P181" s="59"/>
      <c r="Q181" s="63"/>
      <c r="R181" s="63"/>
      <c r="S181" s="63"/>
      <c r="T181" s="64">
        <v>22</v>
      </c>
      <c r="U181" s="46" t="b">
        <f ca="1"/>
        <v>0</v>
      </c>
      <c r="X181" s="12" t="s">
        <v>4376</v>
      </c>
      <c r="Y181" s="10">
        <v>22</v>
      </c>
    </row>
    <row r="182" spans="1:25" ht="12.75" hidden="1">
      <c r="A182" s="56" t="s">
        <v>717</v>
      </c>
      <c r="B182" s="58"/>
      <c r="C182" s="58"/>
      <c r="D182" s="58"/>
      <c r="E182" s="58"/>
      <c r="F182" s="58"/>
      <c r="G182" s="58"/>
      <c r="H182" s="59" t="s">
        <v>718</v>
      </c>
      <c r="I182" s="59" t="s">
        <v>719</v>
      </c>
      <c r="J182" s="60" t="str">
        <f ca="1">IFERROR(__xludf.DUMMYFUNCTION("JOIN("": "",H182,I182)"),"3E-12-04-08-00-00-00: Treliça espacial")</f>
        <v>3E-12-04-08-00-00-00: Treliça espacial</v>
      </c>
      <c r="K182" s="61"/>
      <c r="L182" s="62">
        <v>4</v>
      </c>
      <c r="M182" s="59"/>
      <c r="N182" s="59"/>
      <c r="O182" s="59"/>
      <c r="P182" s="59"/>
      <c r="Q182" s="63"/>
      <c r="R182" s="63"/>
      <c r="S182" s="63"/>
      <c r="T182" s="64">
        <v>24</v>
      </c>
      <c r="U182" s="45" t="b">
        <f ca="1"/>
        <v>0</v>
      </c>
      <c r="X182" s="12" t="s">
        <v>4377</v>
      </c>
      <c r="Y182" s="10">
        <v>24</v>
      </c>
    </row>
    <row r="183" spans="1:25" ht="12.75" hidden="1">
      <c r="A183" s="82" t="s">
        <v>721</v>
      </c>
      <c r="B183" s="83"/>
      <c r="C183" s="83"/>
      <c r="D183" s="83"/>
      <c r="E183" s="83"/>
      <c r="F183" s="83"/>
      <c r="G183" s="83"/>
      <c r="H183" s="53" t="s">
        <v>722</v>
      </c>
      <c r="I183" s="53" t="s">
        <v>723</v>
      </c>
      <c r="J183" s="50" t="str">
        <f ca="1">IFERROR(__xludf.DUMMYFUNCTION("JOIN("": "",H183,I183)"),"3E-12-06-00-00-00-00: Elementos estruturais de seção ativa")</f>
        <v>3E-12-06-00-00-00-00: Elementos estruturais de seção ativa</v>
      </c>
      <c r="K183" s="51"/>
      <c r="L183" s="52">
        <v>3</v>
      </c>
      <c r="M183" s="53"/>
      <c r="N183" s="53"/>
      <c r="O183" s="53"/>
      <c r="P183" s="53"/>
      <c r="Q183" s="54"/>
      <c r="R183" s="54"/>
      <c r="S183" s="54"/>
      <c r="T183" s="55">
        <v>18</v>
      </c>
      <c r="U183" s="46" t="b">
        <f ca="1"/>
        <v>0</v>
      </c>
      <c r="X183" s="12" t="s">
        <v>4378</v>
      </c>
      <c r="Y183" s="10">
        <v>18</v>
      </c>
    </row>
    <row r="184" spans="1:25" ht="12.75" hidden="1">
      <c r="A184" s="84" t="s">
        <v>725</v>
      </c>
      <c r="B184" s="85"/>
      <c r="C184" s="85"/>
      <c r="D184" s="85"/>
      <c r="E184" s="85"/>
      <c r="F184" s="85"/>
      <c r="G184" s="85"/>
      <c r="H184" s="86" t="s">
        <v>726</v>
      </c>
      <c r="I184" s="86" t="s">
        <v>727</v>
      </c>
      <c r="J184" s="60" t="str">
        <f ca="1">IFERROR(__xludf.DUMMYFUNCTION("JOIN("": "",H184,I184)"),"3E-12-06-02-00-00-00: Viga")</f>
        <v>3E-12-06-02-00-00-00: Viga</v>
      </c>
      <c r="K184" s="61"/>
      <c r="L184" s="87">
        <v>4</v>
      </c>
      <c r="M184" s="59"/>
      <c r="N184" s="59"/>
      <c r="O184" s="59"/>
      <c r="P184" s="59"/>
      <c r="Q184" s="63"/>
      <c r="R184" s="63"/>
      <c r="S184" s="63"/>
      <c r="T184" s="64">
        <v>20</v>
      </c>
      <c r="U184" s="45" t="b">
        <f ca="1"/>
        <v>0</v>
      </c>
      <c r="X184" s="12" t="s">
        <v>4379</v>
      </c>
      <c r="Y184" s="10">
        <v>20</v>
      </c>
    </row>
    <row r="185" spans="1:25" ht="12.75" hidden="1">
      <c r="A185" s="65" t="s">
        <v>729</v>
      </c>
      <c r="B185" s="67"/>
      <c r="C185" s="67"/>
      <c r="D185" s="67"/>
      <c r="E185" s="67"/>
      <c r="F185" s="67"/>
      <c r="G185" s="67"/>
      <c r="H185" s="68" t="s">
        <v>730</v>
      </c>
      <c r="I185" s="68" t="s">
        <v>731</v>
      </c>
      <c r="J185" s="69" t="str">
        <f ca="1">IFERROR(__xludf.DUMMYFUNCTION("JOIN("": "",H185,I185)"),"3E-12-06-02-02-00-00: Verga")</f>
        <v>3E-12-06-02-02-00-00: Verga</v>
      </c>
      <c r="K185" s="70"/>
      <c r="L185" s="71">
        <v>5</v>
      </c>
      <c r="M185" s="68"/>
      <c r="N185" s="68"/>
      <c r="O185" s="68"/>
      <c r="P185" s="68"/>
      <c r="Q185" s="72"/>
      <c r="R185" s="72"/>
      <c r="S185" s="72"/>
      <c r="T185" s="73">
        <v>22</v>
      </c>
      <c r="U185" s="46" t="b">
        <f ca="1"/>
        <v>0</v>
      </c>
      <c r="X185" s="12" t="s">
        <v>4380</v>
      </c>
      <c r="Y185" s="10">
        <v>22</v>
      </c>
    </row>
    <row r="186" spans="1:25" ht="12.75" hidden="1">
      <c r="A186" s="65" t="s">
        <v>733</v>
      </c>
      <c r="B186" s="67"/>
      <c r="C186" s="67"/>
      <c r="D186" s="67"/>
      <c r="E186" s="67"/>
      <c r="F186" s="67"/>
      <c r="G186" s="67"/>
      <c r="H186" s="68" t="s">
        <v>734</v>
      </c>
      <c r="I186" s="68" t="s">
        <v>735</v>
      </c>
      <c r="J186" s="69" t="str">
        <f ca="1">IFERROR(__xludf.DUMMYFUNCTION("JOIN("": "",H186,I186)"),"3E-12-06-02-04-00-00: Contraverga")</f>
        <v>3E-12-06-02-04-00-00: Contraverga</v>
      </c>
      <c r="K186" s="70"/>
      <c r="L186" s="71">
        <v>5</v>
      </c>
      <c r="M186" s="68"/>
      <c r="N186" s="68"/>
      <c r="O186" s="68"/>
      <c r="P186" s="68"/>
      <c r="Q186" s="72"/>
      <c r="R186" s="72"/>
      <c r="S186" s="72"/>
      <c r="T186" s="73">
        <v>24</v>
      </c>
      <c r="U186" s="45" t="b">
        <f ca="1"/>
        <v>0</v>
      </c>
      <c r="X186" s="12" t="s">
        <v>4381</v>
      </c>
      <c r="Y186" s="10">
        <v>24</v>
      </c>
    </row>
    <row r="187" spans="1:25" ht="12.75" hidden="1">
      <c r="A187" s="56" t="s">
        <v>737</v>
      </c>
      <c r="B187" s="58"/>
      <c r="C187" s="58"/>
      <c r="D187" s="58"/>
      <c r="E187" s="58"/>
      <c r="F187" s="58"/>
      <c r="G187" s="58"/>
      <c r="H187" s="59" t="s">
        <v>738</v>
      </c>
      <c r="I187" s="59" t="s">
        <v>739</v>
      </c>
      <c r="J187" s="60" t="str">
        <f ca="1">IFERROR(__xludf.DUMMYFUNCTION("JOIN("": "",H187,I187)"),"3E-12-06-04-00-00-00: Pórtico")</f>
        <v>3E-12-06-04-00-00-00: Pórtico</v>
      </c>
      <c r="K187" s="61"/>
      <c r="L187" s="62">
        <v>4</v>
      </c>
      <c r="M187" s="59"/>
      <c r="N187" s="59"/>
      <c r="O187" s="59"/>
      <c r="P187" s="59"/>
      <c r="Q187" s="63"/>
      <c r="R187" s="63"/>
      <c r="S187" s="63"/>
      <c r="T187" s="64">
        <v>22</v>
      </c>
      <c r="U187" s="46" t="b">
        <f ca="1"/>
        <v>0</v>
      </c>
      <c r="X187" s="12" t="s">
        <v>4382</v>
      </c>
      <c r="Y187" s="10">
        <v>22</v>
      </c>
    </row>
    <row r="188" spans="1:25" ht="12.75" hidden="1">
      <c r="A188" s="56" t="s">
        <v>741</v>
      </c>
      <c r="B188" s="58"/>
      <c r="C188" s="58"/>
      <c r="D188" s="58"/>
      <c r="E188" s="58"/>
      <c r="F188" s="58"/>
      <c r="G188" s="58"/>
      <c r="H188" s="59" t="s">
        <v>742</v>
      </c>
      <c r="I188" s="59" t="s">
        <v>743</v>
      </c>
      <c r="J188" s="60" t="str">
        <f ca="1">IFERROR(__xludf.DUMMYFUNCTION("JOIN("": "",H188,I188)"),"3E-12-06-06-00-00-00: Malha de viga")</f>
        <v>3E-12-06-06-00-00-00: Malha de viga</v>
      </c>
      <c r="K188" s="61"/>
      <c r="L188" s="62">
        <v>4</v>
      </c>
      <c r="M188" s="59"/>
      <c r="N188" s="59"/>
      <c r="O188" s="59"/>
      <c r="P188" s="59"/>
      <c r="Q188" s="63"/>
      <c r="R188" s="63"/>
      <c r="S188" s="63"/>
      <c r="T188" s="64">
        <v>24</v>
      </c>
      <c r="U188" s="45" t="b">
        <f ca="1"/>
        <v>0</v>
      </c>
      <c r="X188" s="12" t="s">
        <v>4383</v>
      </c>
      <c r="Y188" s="10">
        <v>24</v>
      </c>
    </row>
    <row r="189" spans="1:25" ht="12.75" hidden="1">
      <c r="A189" s="56" t="s">
        <v>745</v>
      </c>
      <c r="B189" s="58"/>
      <c r="C189" s="58"/>
      <c r="D189" s="58"/>
      <c r="E189" s="58"/>
      <c r="F189" s="58"/>
      <c r="G189" s="58"/>
      <c r="H189" s="59" t="s">
        <v>746</v>
      </c>
      <c r="I189" s="59" t="s">
        <v>747</v>
      </c>
      <c r="J189" s="60" t="str">
        <f ca="1">IFERROR(__xludf.DUMMYFUNCTION("JOIN("": "",H189,I189)"),"3E-12-06-08-00-00-00: Laje")</f>
        <v>3E-12-06-08-00-00-00: Laje</v>
      </c>
      <c r="K189" s="61"/>
      <c r="L189" s="62">
        <v>4</v>
      </c>
      <c r="M189" s="59"/>
      <c r="N189" s="59"/>
      <c r="O189" s="59"/>
      <c r="P189" s="59"/>
      <c r="Q189" s="63"/>
      <c r="R189" s="63"/>
      <c r="S189" s="63"/>
      <c r="T189" s="64">
        <v>26</v>
      </c>
      <c r="U189" s="46" t="b">
        <f ca="1"/>
        <v>0</v>
      </c>
      <c r="X189" s="12" t="s">
        <v>4384</v>
      </c>
      <c r="Y189" s="10">
        <v>26</v>
      </c>
    </row>
    <row r="190" spans="1:25" ht="12.75" hidden="1">
      <c r="A190" s="47" t="s">
        <v>749</v>
      </c>
      <c r="B190" s="48"/>
      <c r="C190" s="48"/>
      <c r="D190" s="48"/>
      <c r="E190" s="48"/>
      <c r="F190" s="48"/>
      <c r="G190" s="48"/>
      <c r="H190" s="49" t="s">
        <v>750</v>
      </c>
      <c r="I190" s="49" t="s">
        <v>751</v>
      </c>
      <c r="J190" s="50" t="str">
        <f ca="1">IFERROR(__xludf.DUMMYFUNCTION("JOIN("": "",H190,I190)"),"3E-12-08-00-00-00-00: Elementos estruturais de superfície ativa")</f>
        <v>3E-12-08-00-00-00-00: Elementos estruturais de superfície ativa</v>
      </c>
      <c r="K190" s="51"/>
      <c r="L190" s="52">
        <v>3</v>
      </c>
      <c r="M190" s="53"/>
      <c r="N190" s="53"/>
      <c r="O190" s="53"/>
      <c r="P190" s="53"/>
      <c r="Q190" s="54"/>
      <c r="R190" s="54"/>
      <c r="S190" s="54"/>
      <c r="T190" s="55">
        <v>20</v>
      </c>
      <c r="U190" s="45" t="b">
        <f ca="1"/>
        <v>0</v>
      </c>
      <c r="X190" s="12" t="s">
        <v>4385</v>
      </c>
      <c r="Y190" s="10">
        <v>20</v>
      </c>
    </row>
    <row r="191" spans="1:25" ht="12.75" hidden="1">
      <c r="A191" s="56" t="s">
        <v>753</v>
      </c>
      <c r="B191" s="58"/>
      <c r="C191" s="58"/>
      <c r="D191" s="58"/>
      <c r="E191" s="58"/>
      <c r="F191" s="58"/>
      <c r="G191" s="58"/>
      <c r="H191" s="59" t="s">
        <v>754</v>
      </c>
      <c r="I191" s="59" t="s">
        <v>755</v>
      </c>
      <c r="J191" s="60" t="str">
        <f ca="1">IFERROR(__xludf.DUMMYFUNCTION("JOIN("": "",H191,I191)"),"3E-12-08-02-00-00-00: Estrutura de placas")</f>
        <v>3E-12-08-02-00-00-00: Estrutura de placas</v>
      </c>
      <c r="K191" s="61"/>
      <c r="L191" s="62">
        <v>4</v>
      </c>
      <c r="M191" s="59"/>
      <c r="N191" s="59"/>
      <c r="O191" s="59"/>
      <c r="P191" s="59"/>
      <c r="Q191" s="63"/>
      <c r="R191" s="63"/>
      <c r="S191" s="63"/>
      <c r="T191" s="64">
        <v>22</v>
      </c>
      <c r="U191" s="46" t="b">
        <f ca="1"/>
        <v>0</v>
      </c>
      <c r="X191" s="12" t="s">
        <v>4386</v>
      </c>
      <c r="Y191" s="10">
        <v>22</v>
      </c>
    </row>
    <row r="192" spans="1:25" ht="12.75" hidden="1">
      <c r="A192" s="56" t="s">
        <v>757</v>
      </c>
      <c r="B192" s="58"/>
      <c r="C192" s="58"/>
      <c r="D192" s="58"/>
      <c r="E192" s="58"/>
      <c r="F192" s="58"/>
      <c r="G192" s="58"/>
      <c r="H192" s="59" t="s">
        <v>758</v>
      </c>
      <c r="I192" s="59" t="s">
        <v>759</v>
      </c>
      <c r="J192" s="60" t="str">
        <f ca="1">IFERROR(__xludf.DUMMYFUNCTION("JOIN("": "",H192,I192)"),"3E-12-08-04-00-00-00: Estrutura de placas dobradas")</f>
        <v>3E-12-08-04-00-00-00: Estrutura de placas dobradas</v>
      </c>
      <c r="K192" s="61"/>
      <c r="L192" s="62">
        <v>4</v>
      </c>
      <c r="M192" s="59"/>
      <c r="N192" s="59"/>
      <c r="O192" s="59"/>
      <c r="P192" s="59"/>
      <c r="Q192" s="63"/>
      <c r="R192" s="63"/>
      <c r="S192" s="63"/>
      <c r="T192" s="64">
        <v>24</v>
      </c>
      <c r="U192" s="45" t="b">
        <f ca="1"/>
        <v>0</v>
      </c>
      <c r="X192" s="12" t="s">
        <v>4387</v>
      </c>
      <c r="Y192" s="10">
        <v>24</v>
      </c>
    </row>
    <row r="193" spans="1:32" ht="12.75" hidden="1">
      <c r="A193" s="56" t="s">
        <v>761</v>
      </c>
      <c r="B193" s="58"/>
      <c r="C193" s="58"/>
      <c r="D193" s="58"/>
      <c r="E193" s="58"/>
      <c r="F193" s="58"/>
      <c r="G193" s="58"/>
      <c r="H193" s="59" t="s">
        <v>762</v>
      </c>
      <c r="I193" s="59" t="s">
        <v>763</v>
      </c>
      <c r="J193" s="60" t="str">
        <f ca="1">IFERROR(__xludf.DUMMYFUNCTION("JOIN("": "",H193,I193)"),"3E-12-08-06-00-00-00: Estrutura de casca")</f>
        <v>3E-12-08-06-00-00-00: Estrutura de casca</v>
      </c>
      <c r="K193" s="61"/>
      <c r="L193" s="62">
        <v>4</v>
      </c>
      <c r="M193" s="59"/>
      <c r="N193" s="59"/>
      <c r="O193" s="59"/>
      <c r="P193" s="59"/>
      <c r="Q193" s="63"/>
      <c r="R193" s="63"/>
      <c r="S193" s="63"/>
      <c r="T193" s="64">
        <v>26</v>
      </c>
      <c r="U193" s="46" t="b">
        <f ca="1"/>
        <v>0</v>
      </c>
      <c r="X193" s="12" t="s">
        <v>4388</v>
      </c>
      <c r="Y193" s="10">
        <v>26</v>
      </c>
    </row>
    <row r="194" spans="1:32" ht="12.75" hidden="1">
      <c r="A194" s="65" t="s">
        <v>765</v>
      </c>
      <c r="B194" s="67"/>
      <c r="C194" s="67"/>
      <c r="D194" s="67"/>
      <c r="E194" s="67"/>
      <c r="F194" s="67"/>
      <c r="G194" s="67"/>
      <c r="H194" s="68" t="s">
        <v>766</v>
      </c>
      <c r="I194" s="68" t="s">
        <v>767</v>
      </c>
      <c r="J194" s="69" t="str">
        <f ca="1">IFERROR(__xludf.DUMMYFUNCTION("JOIN("": "",H194,I194)"),"3E-12-08-06-02-00-00: Casca de curvas simples")</f>
        <v>3E-12-08-06-02-00-00: Casca de curvas simples</v>
      </c>
      <c r="K194" s="70"/>
      <c r="L194" s="71">
        <v>5</v>
      </c>
      <c r="M194" s="68"/>
      <c r="N194" s="68"/>
      <c r="O194" s="68"/>
      <c r="P194" s="68"/>
      <c r="Q194" s="72"/>
      <c r="R194" s="72"/>
      <c r="S194" s="72"/>
      <c r="T194" s="73">
        <v>28</v>
      </c>
      <c r="U194" s="45" t="b">
        <f ca="1"/>
        <v>0</v>
      </c>
      <c r="X194" s="12" t="s">
        <v>4389</v>
      </c>
      <c r="Y194" s="10">
        <v>28</v>
      </c>
    </row>
    <row r="195" spans="1:32" ht="12.75" hidden="1">
      <c r="A195" s="65" t="s">
        <v>769</v>
      </c>
      <c r="B195" s="67"/>
      <c r="C195" s="67"/>
      <c r="D195" s="67"/>
      <c r="E195" s="67"/>
      <c r="F195" s="67"/>
      <c r="G195" s="67"/>
      <c r="H195" s="68" t="s">
        <v>770</v>
      </c>
      <c r="I195" s="68" t="s">
        <v>771</v>
      </c>
      <c r="J195" s="69" t="str">
        <f ca="1">IFERROR(__xludf.DUMMYFUNCTION("JOIN("": "",H195,I195)"),"3E-12-08-06-04-00-00: Casca em cúpula")</f>
        <v>3E-12-08-06-04-00-00: Casca em cúpula</v>
      </c>
      <c r="K195" s="70"/>
      <c r="L195" s="71">
        <v>5</v>
      </c>
      <c r="M195" s="68"/>
      <c r="N195" s="68"/>
      <c r="O195" s="68"/>
      <c r="P195" s="68"/>
      <c r="Q195" s="72"/>
      <c r="R195" s="72"/>
      <c r="S195" s="72"/>
      <c r="T195" s="73">
        <v>30</v>
      </c>
      <c r="U195" s="46" t="b">
        <f ca="1"/>
        <v>0</v>
      </c>
      <c r="X195" s="12" t="s">
        <v>4390</v>
      </c>
      <c r="Y195" s="10">
        <v>30</v>
      </c>
    </row>
    <row r="196" spans="1:32" ht="12.75" hidden="1">
      <c r="A196" s="65" t="s">
        <v>773</v>
      </c>
      <c r="B196" s="67"/>
      <c r="C196" s="67"/>
      <c r="D196" s="67"/>
      <c r="E196" s="67"/>
      <c r="F196" s="67"/>
      <c r="G196" s="67"/>
      <c r="H196" s="68" t="s">
        <v>774</v>
      </c>
      <c r="I196" s="68" t="s">
        <v>775</v>
      </c>
      <c r="J196" s="69" t="str">
        <f ca="1">IFERROR(__xludf.DUMMYFUNCTION("JOIN("": "",H196,I196)"),"3E-12-08-06-06-00-00: Casca em sela")</f>
        <v>3E-12-08-06-06-00-00: Casca em sela</v>
      </c>
      <c r="K196" s="70"/>
      <c r="L196" s="71">
        <v>5</v>
      </c>
      <c r="M196" s="68"/>
      <c r="N196" s="68"/>
      <c r="O196" s="68"/>
      <c r="P196" s="68"/>
      <c r="Q196" s="72"/>
      <c r="R196" s="72"/>
      <c r="S196" s="72"/>
      <c r="T196" s="73">
        <v>32</v>
      </c>
      <c r="U196" s="45" t="b">
        <f ca="1"/>
        <v>0</v>
      </c>
      <c r="X196" s="12" t="s">
        <v>4391</v>
      </c>
      <c r="Y196" s="10">
        <v>32</v>
      </c>
    </row>
    <row r="197" spans="1:32" ht="12.75" hidden="1">
      <c r="A197" s="47" t="s">
        <v>777</v>
      </c>
      <c r="B197" s="48"/>
      <c r="C197" s="48"/>
      <c r="D197" s="48"/>
      <c r="E197" s="48"/>
      <c r="F197" s="48"/>
      <c r="G197" s="48"/>
      <c r="H197" s="49" t="s">
        <v>778</v>
      </c>
      <c r="I197" s="49" t="s">
        <v>779</v>
      </c>
      <c r="J197" s="50" t="str">
        <f ca="1">IFERROR(__xludf.DUMMYFUNCTION("JOIN("": "",H197,I197)"),"3E-12-10-00-00-00-00: Elementos estruturais de altura ativa")</f>
        <v>3E-12-10-00-00-00-00: Elementos estruturais de altura ativa</v>
      </c>
      <c r="K197" s="51"/>
      <c r="L197" s="52">
        <v>3</v>
      </c>
      <c r="M197" s="53"/>
      <c r="N197" s="53"/>
      <c r="O197" s="53"/>
      <c r="P197" s="53"/>
      <c r="Q197" s="54"/>
      <c r="R197" s="54"/>
      <c r="S197" s="54"/>
      <c r="T197" s="55">
        <v>22</v>
      </c>
      <c r="U197" s="46" t="b">
        <f ca="1"/>
        <v>0</v>
      </c>
      <c r="X197" s="12" t="s">
        <v>4392</v>
      </c>
      <c r="Y197" s="10">
        <v>22</v>
      </c>
    </row>
    <row r="198" spans="1:32" ht="12.75" hidden="1">
      <c r="A198" s="56" t="s">
        <v>781</v>
      </c>
      <c r="B198" s="58"/>
      <c r="C198" s="58"/>
      <c r="D198" s="58"/>
      <c r="E198" s="58"/>
      <c r="F198" s="58"/>
      <c r="G198" s="58"/>
      <c r="H198" s="59" t="s">
        <v>782</v>
      </c>
      <c r="I198" s="59" t="s">
        <v>783</v>
      </c>
      <c r="J198" s="60" t="str">
        <f ca="1">IFERROR(__xludf.DUMMYFUNCTION("JOIN("": "",H198,I198)"),"3E-12-10-02-00-00-00: Estrutura de transmissão vertical de cargas")</f>
        <v>3E-12-10-02-00-00-00: Estrutura de transmissão vertical de cargas</v>
      </c>
      <c r="K198" s="61"/>
      <c r="L198" s="62">
        <v>4</v>
      </c>
      <c r="M198" s="59"/>
      <c r="N198" s="59"/>
      <c r="O198" s="59"/>
      <c r="P198" s="59"/>
      <c r="Q198" s="63"/>
      <c r="R198" s="63"/>
      <c r="S198" s="63"/>
      <c r="T198" s="64">
        <v>24</v>
      </c>
      <c r="U198" s="45" t="b">
        <f ca="1"/>
        <v>0</v>
      </c>
      <c r="X198" s="12" t="s">
        <v>4393</v>
      </c>
      <c r="Y198" s="10">
        <v>24</v>
      </c>
    </row>
    <row r="199" spans="1:32" ht="12.75" hidden="1">
      <c r="A199" s="65" t="s">
        <v>785</v>
      </c>
      <c r="B199" s="67"/>
      <c r="C199" s="67"/>
      <c r="D199" s="67"/>
      <c r="E199" s="67"/>
      <c r="F199" s="67"/>
      <c r="G199" s="67"/>
      <c r="H199" s="68" t="s">
        <v>786</v>
      </c>
      <c r="I199" s="68" t="s">
        <v>787</v>
      </c>
      <c r="J199" s="69" t="str">
        <f ca="1">IFERROR(__xludf.DUMMYFUNCTION("JOIN("": "",H199,I199)"),"3E-12-10-02-02-00-00: Pilar")</f>
        <v>3E-12-10-02-02-00-00: Pilar</v>
      </c>
      <c r="K199" s="70"/>
      <c r="L199" s="71">
        <v>5</v>
      </c>
      <c r="M199" s="68"/>
      <c r="N199" s="68"/>
      <c r="O199" s="68"/>
      <c r="P199" s="68"/>
      <c r="Q199" s="72"/>
      <c r="R199" s="72"/>
      <c r="S199" s="72"/>
      <c r="T199" s="73">
        <v>26</v>
      </c>
      <c r="U199" s="46" t="b">
        <f ca="1"/>
        <v>0</v>
      </c>
      <c r="X199" s="12" t="s">
        <v>4394</v>
      </c>
      <c r="Y199" s="10">
        <v>26</v>
      </c>
    </row>
    <row r="200" spans="1:32" ht="12.75" hidden="1">
      <c r="A200" s="47" t="s">
        <v>789</v>
      </c>
      <c r="B200" s="48"/>
      <c r="C200" s="48"/>
      <c r="D200" s="48"/>
      <c r="E200" s="48"/>
      <c r="F200" s="48"/>
      <c r="G200" s="48"/>
      <c r="H200" s="49" t="s">
        <v>790</v>
      </c>
      <c r="I200" s="49" t="s">
        <v>791</v>
      </c>
      <c r="J200" s="50" t="str">
        <f ca="1">IFERROR(__xludf.DUMMYFUNCTION("JOIN("": "",H200,I200)"),"3E-12-12-00-00-00-00: Elementos de acoplamento estrutural")</f>
        <v>3E-12-12-00-00-00-00: Elementos de acoplamento estrutural</v>
      </c>
      <c r="K200" s="51"/>
      <c r="L200" s="52">
        <v>3</v>
      </c>
      <c r="M200" s="53"/>
      <c r="N200" s="53"/>
      <c r="O200" s="53"/>
      <c r="P200" s="53"/>
      <c r="Q200" s="54"/>
      <c r="R200" s="54"/>
      <c r="S200" s="54"/>
      <c r="T200" s="55">
        <v>24</v>
      </c>
      <c r="U200" s="45" t="b">
        <f ca="1"/>
        <v>0</v>
      </c>
      <c r="X200" s="12" t="s">
        <v>4395</v>
      </c>
      <c r="Y200" s="10">
        <v>24</v>
      </c>
    </row>
    <row r="201" spans="1:32" ht="12.75" hidden="1">
      <c r="A201" s="56" t="s">
        <v>793</v>
      </c>
      <c r="B201" s="58"/>
      <c r="C201" s="58"/>
      <c r="D201" s="58"/>
      <c r="E201" s="58"/>
      <c r="F201" s="58"/>
      <c r="G201" s="58"/>
      <c r="H201" s="59" t="s">
        <v>794</v>
      </c>
      <c r="I201" s="59" t="s">
        <v>795</v>
      </c>
      <c r="J201" s="60" t="str">
        <f ca="1">IFERROR(__xludf.DUMMYFUNCTION("JOIN("": "",H201,I201)"),"3E-12-12-02-00-00-00: Acoplamento elástico")</f>
        <v>3E-12-12-02-00-00-00: Acoplamento elástico</v>
      </c>
      <c r="K201" s="61"/>
      <c r="L201" s="62">
        <v>4</v>
      </c>
      <c r="M201" s="59"/>
      <c r="N201" s="59"/>
      <c r="O201" s="59"/>
      <c r="P201" s="59"/>
      <c r="Q201" s="63"/>
      <c r="R201" s="63"/>
      <c r="S201" s="63"/>
      <c r="T201" s="64">
        <v>26</v>
      </c>
      <c r="U201" s="46" t="b">
        <f ca="1"/>
        <v>0</v>
      </c>
      <c r="X201" s="12" t="s">
        <v>4396</v>
      </c>
      <c r="Y201" s="10">
        <v>26</v>
      </c>
    </row>
    <row r="202" spans="1:32" ht="12.75" hidden="1">
      <c r="A202" s="56" t="s">
        <v>797</v>
      </c>
      <c r="B202" s="58"/>
      <c r="C202" s="58"/>
      <c r="D202" s="58"/>
      <c r="E202" s="58"/>
      <c r="F202" s="58"/>
      <c r="G202" s="58"/>
      <c r="H202" s="59" t="s">
        <v>798</v>
      </c>
      <c r="I202" s="59" t="s">
        <v>799</v>
      </c>
      <c r="J202" s="60" t="str">
        <f ca="1">IFERROR(__xludf.DUMMYFUNCTION("JOIN("": "",H202,I202)"),"3E-12-12-04-00-00-00: Acoplamento flexível")</f>
        <v>3E-12-12-04-00-00-00: Acoplamento flexível</v>
      </c>
      <c r="K202" s="61"/>
      <c r="L202" s="62">
        <v>4</v>
      </c>
      <c r="M202" s="59"/>
      <c r="N202" s="59"/>
      <c r="O202" s="59"/>
      <c r="P202" s="59"/>
      <c r="Q202" s="63"/>
      <c r="R202" s="63"/>
      <c r="S202" s="63"/>
      <c r="T202" s="64">
        <v>28</v>
      </c>
      <c r="U202" s="45" t="b">
        <f ca="1"/>
        <v>0</v>
      </c>
      <c r="X202" s="12" t="s">
        <v>4397</v>
      </c>
      <c r="Y202" s="10">
        <v>28</v>
      </c>
    </row>
    <row r="203" spans="1:32" ht="12.75" hidden="1">
      <c r="A203" s="56" t="s">
        <v>801</v>
      </c>
      <c r="B203" s="58"/>
      <c r="C203" s="58"/>
      <c r="D203" s="58"/>
      <c r="E203" s="58"/>
      <c r="F203" s="58"/>
      <c r="G203" s="58"/>
      <c r="H203" s="59" t="s">
        <v>802</v>
      </c>
      <c r="I203" s="59" t="s">
        <v>803</v>
      </c>
      <c r="J203" s="60" t="str">
        <f ca="1">IFERROR(__xludf.DUMMYFUNCTION("JOIN("": "",H203,I203)"),"3E-12-12-06-00-00-00: Acoplamento seco")</f>
        <v>3E-12-12-06-00-00-00: Acoplamento seco</v>
      </c>
      <c r="K203" s="61"/>
      <c r="L203" s="62">
        <v>4</v>
      </c>
      <c r="M203" s="59"/>
      <c r="N203" s="59"/>
      <c r="O203" s="59"/>
      <c r="P203" s="59"/>
      <c r="Q203" s="63"/>
      <c r="R203" s="63"/>
      <c r="S203" s="63"/>
      <c r="T203" s="64">
        <v>30</v>
      </c>
      <c r="U203" s="46" t="b">
        <f ca="1"/>
        <v>0</v>
      </c>
      <c r="X203" s="12" t="s">
        <v>4398</v>
      </c>
      <c r="Y203" s="10">
        <v>30</v>
      </c>
    </row>
    <row r="204" spans="1:32" ht="12.75" hidden="1">
      <c r="A204" s="56" t="s">
        <v>805</v>
      </c>
      <c r="B204" s="58"/>
      <c r="C204" s="58"/>
      <c r="D204" s="58"/>
      <c r="E204" s="58"/>
      <c r="F204" s="58"/>
      <c r="G204" s="58"/>
      <c r="H204" s="59" t="s">
        <v>806</v>
      </c>
      <c r="I204" s="59" t="s">
        <v>807</v>
      </c>
      <c r="J204" s="60" t="str">
        <f ca="1">IFERROR(__xludf.DUMMYFUNCTION("JOIN("": "",H204,I204)"),"3E-12-12-08-00-00-00: Acoplamento úmido")</f>
        <v>3E-12-12-08-00-00-00: Acoplamento úmido</v>
      </c>
      <c r="K204" s="61"/>
      <c r="L204" s="62">
        <v>4</v>
      </c>
      <c r="M204" s="59"/>
      <c r="N204" s="59"/>
      <c r="O204" s="59"/>
      <c r="P204" s="59"/>
      <c r="Q204" s="63"/>
      <c r="R204" s="63"/>
      <c r="S204" s="63"/>
      <c r="T204" s="64">
        <v>32</v>
      </c>
      <c r="U204" s="45" t="b">
        <f ca="1"/>
        <v>0</v>
      </c>
      <c r="X204" s="12" t="s">
        <v>4399</v>
      </c>
      <c r="Y204" s="10">
        <v>32</v>
      </c>
    </row>
    <row r="205" spans="1:32" ht="12.75" hidden="1">
      <c r="A205" s="56" t="s">
        <v>809</v>
      </c>
      <c r="B205" s="58"/>
      <c r="C205" s="58"/>
      <c r="D205" s="58"/>
      <c r="E205" s="58"/>
      <c r="F205" s="58"/>
      <c r="G205" s="58"/>
      <c r="H205" s="59" t="s">
        <v>810</v>
      </c>
      <c r="I205" s="59" t="s">
        <v>811</v>
      </c>
      <c r="J205" s="60" t="str">
        <f ca="1">IFERROR(__xludf.DUMMYFUNCTION("JOIN("": "",H205,I205)"),"3E-12-12-10-00-00-00: Ancoragem")</f>
        <v>3E-12-12-10-00-00-00: Ancoragem</v>
      </c>
      <c r="K205" s="61"/>
      <c r="L205" s="62">
        <v>4</v>
      </c>
      <c r="M205" s="59"/>
      <c r="N205" s="59"/>
      <c r="O205" s="59"/>
      <c r="P205" s="59"/>
      <c r="Q205" s="63"/>
      <c r="R205" s="63"/>
      <c r="S205" s="63"/>
      <c r="T205" s="64">
        <v>34</v>
      </c>
      <c r="U205" s="46" t="b">
        <f ca="1"/>
        <v>0</v>
      </c>
      <c r="X205" s="12" t="s">
        <v>4400</v>
      </c>
      <c r="Y205" s="10">
        <v>34</v>
      </c>
    </row>
    <row r="206" spans="1:32" ht="12.75">
      <c r="A206" s="36" t="s">
        <v>813</v>
      </c>
      <c r="B206" s="37"/>
      <c r="C206" s="37"/>
      <c r="D206" s="37"/>
      <c r="E206" s="37"/>
      <c r="F206" s="37"/>
      <c r="G206" s="37"/>
      <c r="H206" s="38" t="s">
        <v>814</v>
      </c>
      <c r="I206" s="38" t="s">
        <v>815</v>
      </c>
      <c r="J206" s="39" t="str">
        <f ca="1">IFERROR(__xludf.DUMMYFUNCTION("JOIN("": "",H206,I206)"),"3E-14-00-00-00-00-00: Elementos de vedações")</f>
        <v>3E-14-00-00-00-00-00: Elementos de vedações</v>
      </c>
      <c r="K206" s="40"/>
      <c r="L206" s="41">
        <v>2</v>
      </c>
      <c r="M206" s="42"/>
      <c r="N206" s="43"/>
      <c r="O206" s="43"/>
      <c r="P206" s="43"/>
      <c r="Q206" s="44">
        <v>3</v>
      </c>
      <c r="R206" s="44">
        <v>1</v>
      </c>
      <c r="S206" s="44">
        <v>3</v>
      </c>
      <c r="T206" s="44">
        <v>14</v>
      </c>
      <c r="U206" s="45" t="b">
        <f ca="1"/>
        <v>0</v>
      </c>
      <c r="W206" s="7" t="str">
        <f>MID(H206, 1, FIND("-", H206, FIND("-", H206)+1)-1)</f>
        <v>3E-14</v>
      </c>
      <c r="X206" s="12" t="s">
        <v>4401</v>
      </c>
      <c r="Y206" s="10">
        <v>14</v>
      </c>
      <c r="Z206" s="7" t="str">
        <f>SUBSTITUTE(I206, "Elementos de ", "")</f>
        <v>vedações</v>
      </c>
    </row>
    <row r="207" spans="1:32" ht="12.75" hidden="1">
      <c r="A207" s="47" t="s">
        <v>817</v>
      </c>
      <c r="B207" s="48"/>
      <c r="C207" s="48"/>
      <c r="D207" s="48"/>
      <c r="E207" s="48"/>
      <c r="F207" s="48"/>
      <c r="G207" s="48"/>
      <c r="H207" s="49" t="s">
        <v>818</v>
      </c>
      <c r="I207" s="49" t="s">
        <v>819</v>
      </c>
      <c r="J207" s="50" t="str">
        <f ca="1">IFERROR(__xludf.DUMMYFUNCTION("JOIN("": "",H207,I207)"),"3E-14-02-00-00-00-00: Parede")</f>
        <v>3E-14-02-00-00-00-00: Parede</v>
      </c>
      <c r="K207" s="51"/>
      <c r="L207" s="52">
        <v>3</v>
      </c>
      <c r="M207" s="53"/>
      <c r="N207" s="53"/>
      <c r="O207" s="53"/>
      <c r="P207" s="53"/>
      <c r="Q207" s="54"/>
      <c r="R207" s="54"/>
      <c r="S207" s="54"/>
      <c r="T207" s="55">
        <v>16</v>
      </c>
      <c r="U207" s="46" t="b">
        <f ca="1"/>
        <v>0</v>
      </c>
      <c r="X207" s="12" t="s">
        <v>4402</v>
      </c>
      <c r="Y207" s="10">
        <v>16</v>
      </c>
    </row>
    <row r="208" spans="1:32" ht="12.75" hidden="1">
      <c r="A208" s="56" t="s">
        <v>821</v>
      </c>
      <c r="B208" s="58"/>
      <c r="C208" s="58"/>
      <c r="D208" s="58"/>
      <c r="E208" s="58"/>
      <c r="F208" s="58"/>
      <c r="G208" s="58"/>
      <c r="H208" s="59" t="s">
        <v>822</v>
      </c>
      <c r="I208" s="59" t="s">
        <v>823</v>
      </c>
      <c r="J208" s="60" t="str">
        <f ca="1">IFERROR(__xludf.DUMMYFUNCTION("JOIN("": "",H208,I208)"),"3E-14-02-02-00-00-00: Núcleo de parede")</f>
        <v>3E-14-02-02-00-00-00: Núcleo de parede</v>
      </c>
      <c r="K208" s="61"/>
      <c r="L208" s="62">
        <v>4</v>
      </c>
      <c r="M208" s="59"/>
      <c r="N208" s="59"/>
      <c r="O208" s="59"/>
      <c r="P208" s="59"/>
      <c r="Q208" s="63"/>
      <c r="R208" s="63"/>
      <c r="S208" s="63"/>
      <c r="T208" s="64">
        <v>18</v>
      </c>
      <c r="U208" s="45" t="b">
        <f ca="1"/>
        <v>0</v>
      </c>
      <c r="X208" s="12" t="s">
        <v>4403</v>
      </c>
      <c r="Y208" s="10">
        <v>18</v>
      </c>
      <c r="AE208" s="7"/>
      <c r="AF208" s="35"/>
    </row>
    <row r="209" spans="1:26" ht="12.75" hidden="1">
      <c r="A209" s="56" t="s">
        <v>825</v>
      </c>
      <c r="B209" s="58"/>
      <c r="C209" s="58"/>
      <c r="D209" s="58"/>
      <c r="E209" s="58"/>
      <c r="F209" s="58"/>
      <c r="G209" s="58"/>
      <c r="H209" s="59" t="s">
        <v>826</v>
      </c>
      <c r="I209" s="59" t="s">
        <v>827</v>
      </c>
      <c r="J209" s="60" t="str">
        <f ca="1">IFERROR(__xludf.DUMMYFUNCTION("JOIN("": "",H209,I209)"),"3E-14-02-04-00-00-00: Acabamento de parede")</f>
        <v>3E-14-02-04-00-00-00: Acabamento de parede</v>
      </c>
      <c r="K209" s="61"/>
      <c r="L209" s="62">
        <v>4</v>
      </c>
      <c r="M209" s="59"/>
      <c r="N209" s="59"/>
      <c r="O209" s="59"/>
      <c r="P209" s="59"/>
      <c r="Q209" s="63"/>
      <c r="R209" s="63"/>
      <c r="S209" s="63"/>
      <c r="T209" s="64">
        <v>20</v>
      </c>
      <c r="U209" s="46" t="b">
        <f ca="1"/>
        <v>0</v>
      </c>
      <c r="X209" s="12" t="s">
        <v>4404</v>
      </c>
      <c r="Y209" s="10">
        <v>20</v>
      </c>
    </row>
    <row r="210" spans="1:26" ht="12.75" hidden="1">
      <c r="A210" s="47" t="s">
        <v>829</v>
      </c>
      <c r="B210" s="48"/>
      <c r="C210" s="48"/>
      <c r="D210" s="48"/>
      <c r="E210" s="48"/>
      <c r="F210" s="48"/>
      <c r="G210" s="48"/>
      <c r="H210" s="49" t="s">
        <v>830</v>
      </c>
      <c r="I210" s="49" t="s">
        <v>831</v>
      </c>
      <c r="J210" s="50" t="str">
        <f ca="1">IFERROR(__xludf.DUMMYFUNCTION("JOIN("": "",H210,I210)"),"3E-14-04-00-00-00-00: Cobertura")</f>
        <v>3E-14-04-00-00-00-00: Cobertura</v>
      </c>
      <c r="K210" s="51"/>
      <c r="L210" s="52">
        <v>3</v>
      </c>
      <c r="M210" s="53"/>
      <c r="N210" s="53"/>
      <c r="O210" s="53"/>
      <c r="P210" s="53"/>
      <c r="Q210" s="54"/>
      <c r="R210" s="54"/>
      <c r="S210" s="54"/>
      <c r="T210" s="55">
        <v>18</v>
      </c>
      <c r="U210" s="45" t="b">
        <f ca="1"/>
        <v>0</v>
      </c>
      <c r="X210" s="12" t="s">
        <v>4405</v>
      </c>
      <c r="Y210" s="10">
        <v>18</v>
      </c>
    </row>
    <row r="211" spans="1:26" ht="12.75" hidden="1">
      <c r="A211" s="56" t="s">
        <v>833</v>
      </c>
      <c r="B211" s="58"/>
      <c r="C211" s="58"/>
      <c r="D211" s="58"/>
      <c r="E211" s="58"/>
      <c r="F211" s="58"/>
      <c r="G211" s="58"/>
      <c r="H211" s="59" t="s">
        <v>834</v>
      </c>
      <c r="I211" s="59" t="s">
        <v>835</v>
      </c>
      <c r="J211" s="60" t="str">
        <f ca="1">IFERROR(__xludf.DUMMYFUNCTION("JOIN("": "",H211,I211)"),"3E-14-04-02-00-00-00: Telhado")</f>
        <v>3E-14-04-02-00-00-00: Telhado</v>
      </c>
      <c r="K211" s="61"/>
      <c r="L211" s="62">
        <v>4</v>
      </c>
      <c r="M211" s="59"/>
      <c r="N211" s="59"/>
      <c r="O211" s="59"/>
      <c r="P211" s="59"/>
      <c r="Q211" s="63"/>
      <c r="R211" s="63"/>
      <c r="S211" s="63"/>
      <c r="T211" s="64">
        <v>20</v>
      </c>
      <c r="U211" s="46" t="b">
        <f ca="1"/>
        <v>0</v>
      </c>
      <c r="X211" s="12" t="s">
        <v>4406</v>
      </c>
      <c r="Y211" s="10">
        <v>20</v>
      </c>
    </row>
    <row r="212" spans="1:26" ht="12.75" hidden="1">
      <c r="A212" s="65" t="s">
        <v>837</v>
      </c>
      <c r="B212" s="67"/>
      <c r="C212" s="67"/>
      <c r="D212" s="67"/>
      <c r="E212" s="67"/>
      <c r="F212" s="67"/>
      <c r="G212" s="67"/>
      <c r="H212" s="68" t="s">
        <v>838</v>
      </c>
      <c r="I212" s="68" t="s">
        <v>839</v>
      </c>
      <c r="J212" s="69" t="str">
        <f ca="1">IFERROR(__xludf.DUMMYFUNCTION("JOIN("": "",H212,I212)"),"3E-14-04-02-02-00-00: Cumeeira")</f>
        <v>3E-14-04-02-02-00-00: Cumeeira</v>
      </c>
      <c r="K212" s="70"/>
      <c r="L212" s="71">
        <v>5</v>
      </c>
      <c r="M212" s="68"/>
      <c r="N212" s="68"/>
      <c r="O212" s="68"/>
      <c r="P212" s="68"/>
      <c r="Q212" s="72"/>
      <c r="R212" s="72"/>
      <c r="S212" s="72"/>
      <c r="T212" s="73">
        <v>22</v>
      </c>
      <c r="U212" s="45" t="b">
        <f ca="1"/>
        <v>0</v>
      </c>
      <c r="X212" s="12" t="s">
        <v>4407</v>
      </c>
      <c r="Y212" s="10">
        <v>22</v>
      </c>
    </row>
    <row r="213" spans="1:26" ht="12.75" hidden="1">
      <c r="A213" s="65" t="s">
        <v>841</v>
      </c>
      <c r="B213" s="67"/>
      <c r="C213" s="67"/>
      <c r="D213" s="67"/>
      <c r="E213" s="67"/>
      <c r="F213" s="67"/>
      <c r="G213" s="67"/>
      <c r="H213" s="68" t="s">
        <v>842</v>
      </c>
      <c r="I213" s="68" t="s">
        <v>843</v>
      </c>
      <c r="J213" s="69" t="str">
        <f ca="1">IFERROR(__xludf.DUMMYFUNCTION("JOIN("": "",H213,I213)"),"3E-14-04-02-04-00-00: Espigão")</f>
        <v>3E-14-04-02-04-00-00: Espigão</v>
      </c>
      <c r="K213" s="70"/>
      <c r="L213" s="71">
        <v>5</v>
      </c>
      <c r="M213" s="68"/>
      <c r="N213" s="68"/>
      <c r="O213" s="68"/>
      <c r="P213" s="68"/>
      <c r="Q213" s="72"/>
      <c r="R213" s="72"/>
      <c r="S213" s="72"/>
      <c r="T213" s="73">
        <v>24</v>
      </c>
      <c r="U213" s="46" t="b">
        <f ca="1"/>
        <v>0</v>
      </c>
      <c r="X213" s="12" t="s">
        <v>4408</v>
      </c>
      <c r="Y213" s="10">
        <v>24</v>
      </c>
    </row>
    <row r="214" spans="1:26" ht="12.75" hidden="1">
      <c r="A214" s="65" t="s">
        <v>845</v>
      </c>
      <c r="B214" s="67"/>
      <c r="C214" s="67"/>
      <c r="D214" s="67"/>
      <c r="E214" s="67"/>
      <c r="F214" s="67"/>
      <c r="G214" s="67"/>
      <c r="H214" s="68" t="s">
        <v>846</v>
      </c>
      <c r="I214" s="68" t="s">
        <v>847</v>
      </c>
      <c r="J214" s="69" t="str">
        <f ca="1">IFERROR(__xludf.DUMMYFUNCTION("JOIN("": "",H214,I214)"),"3E-14-04-02-06-00-00: Rincão")</f>
        <v>3E-14-04-02-06-00-00: Rincão</v>
      </c>
      <c r="K214" s="70"/>
      <c r="L214" s="71">
        <v>5</v>
      </c>
      <c r="M214" s="68"/>
      <c r="N214" s="68"/>
      <c r="O214" s="68"/>
      <c r="P214" s="68"/>
      <c r="Q214" s="72"/>
      <c r="R214" s="72"/>
      <c r="S214" s="72"/>
      <c r="T214" s="73">
        <v>26</v>
      </c>
      <c r="U214" s="45" t="b">
        <f ca="1"/>
        <v>0</v>
      </c>
      <c r="X214" s="12" t="s">
        <v>4409</v>
      </c>
      <c r="Y214" s="10">
        <v>26</v>
      </c>
    </row>
    <row r="215" spans="1:26" ht="12.75" hidden="1">
      <c r="A215" s="65" t="s">
        <v>849</v>
      </c>
      <c r="B215" s="67"/>
      <c r="C215" s="67"/>
      <c r="D215" s="67"/>
      <c r="E215" s="67"/>
      <c r="F215" s="67"/>
      <c r="G215" s="67"/>
      <c r="H215" s="68" t="s">
        <v>850</v>
      </c>
      <c r="I215" s="68" t="s">
        <v>851</v>
      </c>
      <c r="J215" s="69" t="str">
        <f ca="1">IFERROR(__xludf.DUMMYFUNCTION("JOIN("": "",H215,I215)"),"3E-14-04-02-08-00-00: Beiral")</f>
        <v>3E-14-04-02-08-00-00: Beiral</v>
      </c>
      <c r="K215" s="70"/>
      <c r="L215" s="71">
        <v>5</v>
      </c>
      <c r="M215" s="68"/>
      <c r="N215" s="68"/>
      <c r="O215" s="68"/>
      <c r="P215" s="68"/>
      <c r="Q215" s="72"/>
      <c r="R215" s="72"/>
      <c r="S215" s="72"/>
      <c r="T215" s="73">
        <v>28</v>
      </c>
      <c r="U215" s="46" t="b">
        <f ca="1"/>
        <v>0</v>
      </c>
      <c r="X215" s="12" t="s">
        <v>4410</v>
      </c>
      <c r="Y215" s="10">
        <v>28</v>
      </c>
    </row>
    <row r="216" spans="1:26" ht="12.75" hidden="1">
      <c r="A216" s="65" t="s">
        <v>853</v>
      </c>
      <c r="B216" s="67"/>
      <c r="C216" s="67"/>
      <c r="D216" s="67"/>
      <c r="E216" s="67"/>
      <c r="F216" s="67"/>
      <c r="G216" s="67"/>
      <c r="H216" s="68" t="s">
        <v>854</v>
      </c>
      <c r="I216" s="68" t="s">
        <v>855</v>
      </c>
      <c r="J216" s="69" t="str">
        <f ca="1">IFERROR(__xludf.DUMMYFUNCTION("JOIN("": "",H216,I216)"),"3E-14-04-02-10-00-00: Telhamento")</f>
        <v>3E-14-04-02-10-00-00: Telhamento</v>
      </c>
      <c r="K216" s="70"/>
      <c r="L216" s="71">
        <v>5</v>
      </c>
      <c r="M216" s="68"/>
      <c r="N216" s="68"/>
      <c r="O216" s="68"/>
      <c r="P216" s="68"/>
      <c r="Q216" s="72"/>
      <c r="R216" s="72"/>
      <c r="S216" s="72"/>
      <c r="T216" s="73">
        <v>30</v>
      </c>
      <c r="U216" s="45" t="b">
        <f ca="1"/>
        <v>0</v>
      </c>
      <c r="X216" s="12" t="s">
        <v>4411</v>
      </c>
      <c r="Y216" s="10">
        <v>30</v>
      </c>
    </row>
    <row r="217" spans="1:26" ht="12.75" hidden="1">
      <c r="A217" s="65" t="s">
        <v>857</v>
      </c>
      <c r="B217" s="67"/>
      <c r="C217" s="67"/>
      <c r="D217" s="67"/>
      <c r="E217" s="67"/>
      <c r="F217" s="67"/>
      <c r="G217" s="67"/>
      <c r="H217" s="68" t="s">
        <v>858</v>
      </c>
      <c r="I217" s="68" t="s">
        <v>859</v>
      </c>
      <c r="J217" s="69" t="str">
        <f ca="1">IFERROR(__xludf.DUMMYFUNCTION("JOIN("": "",H217,I217)"),"3E-14-04-02-12-00-00: Tesoura")</f>
        <v>3E-14-04-02-12-00-00: Tesoura</v>
      </c>
      <c r="K217" s="70"/>
      <c r="L217" s="71">
        <v>5</v>
      </c>
      <c r="M217" s="68"/>
      <c r="N217" s="68"/>
      <c r="O217" s="68"/>
      <c r="P217" s="68"/>
      <c r="Q217" s="72"/>
      <c r="R217" s="72"/>
      <c r="S217" s="72"/>
      <c r="T217" s="73">
        <v>32</v>
      </c>
      <c r="U217" s="46" t="b">
        <f ca="1"/>
        <v>0</v>
      </c>
      <c r="X217" s="12" t="s">
        <v>4412</v>
      </c>
      <c r="Y217" s="10">
        <v>32</v>
      </c>
    </row>
    <row r="218" spans="1:26" ht="12.75" hidden="1">
      <c r="A218" s="65" t="s">
        <v>861</v>
      </c>
      <c r="B218" s="67"/>
      <c r="C218" s="67"/>
      <c r="D218" s="67"/>
      <c r="E218" s="67"/>
      <c r="F218" s="67"/>
      <c r="G218" s="67"/>
      <c r="H218" s="68" t="s">
        <v>862</v>
      </c>
      <c r="I218" s="68" t="s">
        <v>863</v>
      </c>
      <c r="J218" s="69" t="str">
        <f ca="1">IFERROR(__xludf.DUMMYFUNCTION("JOIN("": "",H218,I218)"),"3E-14-04-02-14-00-00: Pontalete")</f>
        <v>3E-14-04-02-14-00-00: Pontalete</v>
      </c>
      <c r="K218" s="70"/>
      <c r="L218" s="71">
        <v>5</v>
      </c>
      <c r="M218" s="68"/>
      <c r="N218" s="68"/>
      <c r="O218" s="68"/>
      <c r="P218" s="68"/>
      <c r="Q218" s="72"/>
      <c r="R218" s="72"/>
      <c r="S218" s="72"/>
      <c r="T218" s="73">
        <v>34</v>
      </c>
      <c r="U218" s="45" t="b">
        <f ca="1"/>
        <v>0</v>
      </c>
      <c r="X218" s="12" t="s">
        <v>4413</v>
      </c>
      <c r="Y218" s="10">
        <v>34</v>
      </c>
    </row>
    <row r="219" spans="1:26" ht="12.75">
      <c r="A219" s="36" t="s">
        <v>865</v>
      </c>
      <c r="B219" s="37"/>
      <c r="C219" s="37"/>
      <c r="D219" s="37"/>
      <c r="E219" s="37"/>
      <c r="F219" s="37"/>
      <c r="G219" s="37"/>
      <c r="H219" s="38" t="s">
        <v>866</v>
      </c>
      <c r="I219" s="38" t="s">
        <v>867</v>
      </c>
      <c r="J219" s="39" t="str">
        <f ca="1">IFERROR(__xludf.DUMMYFUNCTION("JOIN("": "",H219,I219)"),"3E-16-00-00-00-00-00: Elementos de acabamentos")</f>
        <v>3E-16-00-00-00-00-00: Elementos de acabamentos</v>
      </c>
      <c r="K219" s="40"/>
      <c r="L219" s="41">
        <v>2</v>
      </c>
      <c r="M219" s="42"/>
      <c r="N219" s="43"/>
      <c r="O219" s="43"/>
      <c r="P219" s="43"/>
      <c r="Q219" s="44">
        <v>4</v>
      </c>
      <c r="R219" s="44">
        <v>3</v>
      </c>
      <c r="S219" s="44">
        <v>5</v>
      </c>
      <c r="T219" s="44">
        <v>16</v>
      </c>
      <c r="U219" s="46" t="b">
        <f ca="1"/>
        <v>0</v>
      </c>
      <c r="W219" s="7" t="str">
        <f>MID(H219, 1, FIND("-", H219, FIND("-", H219)+1)-1)</f>
        <v>3E-16</v>
      </c>
      <c r="X219" s="12" t="s">
        <v>4414</v>
      </c>
      <c r="Y219" s="10">
        <v>16</v>
      </c>
      <c r="Z219" s="7" t="str">
        <f>SUBSTITUTE(I219, "Elementos de ", "")</f>
        <v>acabamentos</v>
      </c>
    </row>
    <row r="220" spans="1:26" ht="12.75" hidden="1">
      <c r="A220" s="47" t="s">
        <v>869</v>
      </c>
      <c r="B220" s="48"/>
      <c r="C220" s="48"/>
      <c r="D220" s="48"/>
      <c r="E220" s="48"/>
      <c r="F220" s="48"/>
      <c r="G220" s="48"/>
      <c r="H220" s="49" t="s">
        <v>870</v>
      </c>
      <c r="I220" s="49" t="s">
        <v>871</v>
      </c>
      <c r="J220" s="50" t="str">
        <f ca="1">IFERROR(__xludf.DUMMYFUNCTION("JOIN("": "",H220,I220)"),"3E-16-02-00-00-00-00: Pisos")</f>
        <v>3E-16-02-00-00-00-00: Pisos</v>
      </c>
      <c r="K220" s="51"/>
      <c r="L220" s="52">
        <v>3</v>
      </c>
      <c r="M220" s="53"/>
      <c r="N220" s="53"/>
      <c r="O220" s="53"/>
      <c r="P220" s="53"/>
      <c r="Q220" s="54"/>
      <c r="R220" s="54"/>
      <c r="S220" s="54"/>
      <c r="T220" s="55">
        <v>18</v>
      </c>
      <c r="U220" s="45" t="b">
        <f ca="1"/>
        <v>0</v>
      </c>
      <c r="X220" s="12" t="s">
        <v>4415</v>
      </c>
      <c r="Y220" s="10">
        <v>18</v>
      </c>
    </row>
    <row r="221" spans="1:26" ht="12.75" hidden="1">
      <c r="A221" s="56" t="s">
        <v>873</v>
      </c>
      <c r="B221" s="58"/>
      <c r="C221" s="58"/>
      <c r="D221" s="58"/>
      <c r="E221" s="58"/>
      <c r="F221" s="58"/>
      <c r="G221" s="58"/>
      <c r="H221" s="59" t="s">
        <v>874</v>
      </c>
      <c r="I221" s="59" t="s">
        <v>875</v>
      </c>
      <c r="J221" s="60" t="str">
        <f ca="1">IFERROR(__xludf.DUMMYFUNCTION("JOIN("": "",H221,I221)"),"3E-16-02-02-00-00-00: Contrapiso")</f>
        <v>3E-16-02-02-00-00-00: Contrapiso</v>
      </c>
      <c r="K221" s="61"/>
      <c r="L221" s="62">
        <v>4</v>
      </c>
      <c r="M221" s="59"/>
      <c r="N221" s="59"/>
      <c r="O221" s="59"/>
      <c r="P221" s="59"/>
      <c r="Q221" s="63"/>
      <c r="R221" s="63"/>
      <c r="S221" s="63"/>
      <c r="T221" s="64">
        <v>20</v>
      </c>
      <c r="U221" s="46" t="b">
        <f ca="1"/>
        <v>0</v>
      </c>
      <c r="X221" s="12" t="s">
        <v>4416</v>
      </c>
      <c r="Y221" s="10">
        <v>20</v>
      </c>
    </row>
    <row r="222" spans="1:26" ht="12.75" hidden="1">
      <c r="A222" s="56" t="s">
        <v>877</v>
      </c>
      <c r="B222" s="58"/>
      <c r="C222" s="58"/>
      <c r="D222" s="58"/>
      <c r="E222" s="58"/>
      <c r="F222" s="58"/>
      <c r="G222" s="58"/>
      <c r="H222" s="59" t="s">
        <v>878</v>
      </c>
      <c r="I222" s="59" t="s">
        <v>879</v>
      </c>
      <c r="J222" s="60" t="str">
        <f ca="1">IFERROR(__xludf.DUMMYFUNCTION("JOIN("": "",H222,I222)"),"3E-16-02-04-00-00-00: Revestimento de piso")</f>
        <v>3E-16-02-04-00-00-00: Revestimento de piso</v>
      </c>
      <c r="K222" s="61"/>
      <c r="L222" s="62">
        <v>4</v>
      </c>
      <c r="M222" s="59"/>
      <c r="N222" s="59"/>
      <c r="O222" s="59"/>
      <c r="P222" s="59"/>
      <c r="Q222" s="63"/>
      <c r="R222" s="63"/>
      <c r="S222" s="63"/>
      <c r="T222" s="64">
        <v>22</v>
      </c>
      <c r="U222" s="45" t="b">
        <f ca="1"/>
        <v>0</v>
      </c>
      <c r="X222" s="12" t="s">
        <v>4417</v>
      </c>
      <c r="Y222" s="10">
        <v>22</v>
      </c>
    </row>
    <row r="223" spans="1:26" ht="12.75" hidden="1">
      <c r="A223" s="56" t="s">
        <v>881</v>
      </c>
      <c r="B223" s="58"/>
      <c r="C223" s="58"/>
      <c r="D223" s="58"/>
      <c r="E223" s="58"/>
      <c r="F223" s="58"/>
      <c r="G223" s="58"/>
      <c r="H223" s="59" t="s">
        <v>882</v>
      </c>
      <c r="I223" s="59" t="s">
        <v>883</v>
      </c>
      <c r="J223" s="60" t="str">
        <f ca="1">IFERROR(__xludf.DUMMYFUNCTION("JOIN("": "",H223,I223)"),"3E-16-02-06-00-00-00: Soleira")</f>
        <v>3E-16-02-06-00-00-00: Soleira</v>
      </c>
      <c r="K223" s="61"/>
      <c r="L223" s="62">
        <v>4</v>
      </c>
      <c r="M223" s="59"/>
      <c r="N223" s="59"/>
      <c r="O223" s="59"/>
      <c r="P223" s="59"/>
      <c r="Q223" s="63"/>
      <c r="R223" s="63"/>
      <c r="S223" s="63"/>
      <c r="T223" s="64">
        <v>24</v>
      </c>
      <c r="U223" s="46" t="b">
        <f ca="1"/>
        <v>0</v>
      </c>
      <c r="X223" s="12" t="s">
        <v>4418</v>
      </c>
      <c r="Y223" s="10">
        <v>24</v>
      </c>
    </row>
    <row r="224" spans="1:26" ht="12.75" hidden="1">
      <c r="A224" s="56" t="s">
        <v>885</v>
      </c>
      <c r="B224" s="58"/>
      <c r="C224" s="58"/>
      <c r="D224" s="58"/>
      <c r="E224" s="58"/>
      <c r="F224" s="58"/>
      <c r="G224" s="58"/>
      <c r="H224" s="59" t="s">
        <v>886</v>
      </c>
      <c r="I224" s="59" t="s">
        <v>887</v>
      </c>
      <c r="J224" s="60" t="str">
        <f ca="1">IFERROR(__xludf.DUMMYFUNCTION("JOIN("": "",H224,I224)"),"3E-16-02-08-00-00-00: Pingadeira")</f>
        <v>3E-16-02-08-00-00-00: Pingadeira</v>
      </c>
      <c r="K224" s="61"/>
      <c r="L224" s="62">
        <v>4</v>
      </c>
      <c r="M224" s="59"/>
      <c r="N224" s="59"/>
      <c r="O224" s="59"/>
      <c r="P224" s="59"/>
      <c r="Q224" s="63"/>
      <c r="R224" s="63"/>
      <c r="S224" s="63"/>
      <c r="T224" s="64">
        <v>26</v>
      </c>
      <c r="U224" s="45" t="b">
        <f ca="1"/>
        <v>0</v>
      </c>
      <c r="X224" s="12" t="s">
        <v>4419</v>
      </c>
      <c r="Y224" s="10">
        <v>26</v>
      </c>
    </row>
    <row r="225" spans="1:32" ht="12.75" hidden="1">
      <c r="A225" s="56" t="s">
        <v>889</v>
      </c>
      <c r="B225" s="58"/>
      <c r="C225" s="58"/>
      <c r="D225" s="58"/>
      <c r="E225" s="58"/>
      <c r="F225" s="58"/>
      <c r="G225" s="58"/>
      <c r="H225" s="59" t="s">
        <v>890</v>
      </c>
      <c r="I225" s="59" t="s">
        <v>891</v>
      </c>
      <c r="J225" s="60" t="str">
        <f ca="1">IFERROR(__xludf.DUMMYFUNCTION("JOIN("": "",H225,I225)"),"3E-16-02-10-00-00-00: Tropicão")</f>
        <v>3E-16-02-10-00-00-00: Tropicão</v>
      </c>
      <c r="K225" s="61"/>
      <c r="L225" s="62">
        <v>4</v>
      </c>
      <c r="M225" s="59"/>
      <c r="N225" s="59"/>
      <c r="O225" s="59"/>
      <c r="P225" s="59"/>
      <c r="Q225" s="63"/>
      <c r="R225" s="63"/>
      <c r="S225" s="63"/>
      <c r="T225" s="64">
        <v>28</v>
      </c>
      <c r="U225" s="46" t="b">
        <f ca="1"/>
        <v>0</v>
      </c>
      <c r="X225" s="12" t="s">
        <v>4420</v>
      </c>
      <c r="Y225" s="10">
        <v>28</v>
      </c>
    </row>
    <row r="226" spans="1:32" ht="12.75" hidden="1">
      <c r="A226" s="47" t="s">
        <v>893</v>
      </c>
      <c r="B226" s="48"/>
      <c r="C226" s="48"/>
      <c r="D226" s="48"/>
      <c r="E226" s="48"/>
      <c r="F226" s="48"/>
      <c r="G226" s="48"/>
      <c r="H226" s="49" t="s">
        <v>894</v>
      </c>
      <c r="I226" s="49" t="s">
        <v>895</v>
      </c>
      <c r="J226" s="50" t="str">
        <f ca="1">IFERROR(__xludf.DUMMYFUNCTION("JOIN("": "",H226,I226)"),"3E-16-04-00-00-00-00: Forros")</f>
        <v>3E-16-04-00-00-00-00: Forros</v>
      </c>
      <c r="K226" s="51"/>
      <c r="L226" s="52">
        <v>3</v>
      </c>
      <c r="M226" s="53"/>
      <c r="N226" s="53"/>
      <c r="O226" s="53"/>
      <c r="P226" s="53"/>
      <c r="Q226" s="54"/>
      <c r="R226" s="54"/>
      <c r="S226" s="54"/>
      <c r="T226" s="55">
        <v>20</v>
      </c>
      <c r="U226" s="45" t="b">
        <f ca="1"/>
        <v>0</v>
      </c>
      <c r="X226" s="12" t="s">
        <v>4421</v>
      </c>
      <c r="Y226" s="10">
        <v>20</v>
      </c>
    </row>
    <row r="227" spans="1:32" ht="12.75" hidden="1">
      <c r="A227" s="56" t="s">
        <v>897</v>
      </c>
      <c r="B227" s="58"/>
      <c r="C227" s="58"/>
      <c r="D227" s="58"/>
      <c r="E227" s="58"/>
      <c r="F227" s="58"/>
      <c r="G227" s="58"/>
      <c r="H227" s="59" t="s">
        <v>898</v>
      </c>
      <c r="I227" s="59" t="s">
        <v>899</v>
      </c>
      <c r="J227" s="60" t="str">
        <f ca="1">IFERROR(__xludf.DUMMYFUNCTION("JOIN("": "",H227,I227)"),"3E-16-04-02-00-00-00: Painel de forro")</f>
        <v>3E-16-04-02-00-00-00: Painel de forro</v>
      </c>
      <c r="K227" s="61"/>
      <c r="L227" s="62">
        <v>4</v>
      </c>
      <c r="M227" s="59"/>
      <c r="N227" s="59"/>
      <c r="O227" s="59"/>
      <c r="P227" s="59"/>
      <c r="Q227" s="63"/>
      <c r="R227" s="63"/>
      <c r="S227" s="63"/>
      <c r="T227" s="64">
        <v>22</v>
      </c>
      <c r="U227" s="46" t="b">
        <f ca="1"/>
        <v>0</v>
      </c>
      <c r="X227" s="12" t="s">
        <v>4422</v>
      </c>
      <c r="Y227" s="10">
        <v>22</v>
      </c>
    </row>
    <row r="228" spans="1:32" ht="12.75" hidden="1">
      <c r="A228" s="56" t="s">
        <v>901</v>
      </c>
      <c r="B228" s="58"/>
      <c r="C228" s="58"/>
      <c r="D228" s="58"/>
      <c r="E228" s="58"/>
      <c r="F228" s="58"/>
      <c r="G228" s="58"/>
      <c r="H228" s="59" t="s">
        <v>902</v>
      </c>
      <c r="I228" s="59" t="s">
        <v>903</v>
      </c>
      <c r="J228" s="60" t="str">
        <f ca="1">IFERROR(__xludf.DUMMYFUNCTION("JOIN("": "",H228,I228)"),"3E-16-04-04-00-00-00: Pendural")</f>
        <v>3E-16-04-04-00-00-00: Pendural</v>
      </c>
      <c r="K228" s="61"/>
      <c r="L228" s="62">
        <v>4</v>
      </c>
      <c r="M228" s="59"/>
      <c r="N228" s="59"/>
      <c r="O228" s="59"/>
      <c r="P228" s="59"/>
      <c r="Q228" s="63"/>
      <c r="R228" s="63"/>
      <c r="S228" s="63"/>
      <c r="T228" s="64">
        <v>24</v>
      </c>
      <c r="U228" s="45" t="b">
        <f ca="1"/>
        <v>0</v>
      </c>
      <c r="X228" s="12" t="s">
        <v>4423</v>
      </c>
      <c r="Y228" s="10">
        <v>24</v>
      </c>
    </row>
    <row r="229" spans="1:32" ht="12.75" hidden="1">
      <c r="A229" s="56" t="s">
        <v>905</v>
      </c>
      <c r="B229" s="58"/>
      <c r="C229" s="58"/>
      <c r="D229" s="58"/>
      <c r="E229" s="58"/>
      <c r="F229" s="58"/>
      <c r="G229" s="58"/>
      <c r="H229" s="59" t="s">
        <v>906</v>
      </c>
      <c r="I229" s="59" t="s">
        <v>907</v>
      </c>
      <c r="J229" s="60" t="str">
        <f ca="1">IFERROR(__xludf.DUMMYFUNCTION("JOIN("": "",H229,I229)"),"3E-16-04-06-00-00-00: Junta de dilatação de forro")</f>
        <v>3E-16-04-06-00-00-00: Junta de dilatação de forro</v>
      </c>
      <c r="K229" s="61"/>
      <c r="L229" s="62">
        <v>4</v>
      </c>
      <c r="M229" s="59"/>
      <c r="N229" s="59"/>
      <c r="O229" s="59"/>
      <c r="P229" s="59"/>
      <c r="Q229" s="63"/>
      <c r="R229" s="63"/>
      <c r="S229" s="63"/>
      <c r="T229" s="64">
        <v>26</v>
      </c>
      <c r="U229" s="46" t="b">
        <f ca="1"/>
        <v>0</v>
      </c>
      <c r="X229" s="12" t="s">
        <v>4424</v>
      </c>
      <c r="Y229" s="10">
        <v>26</v>
      </c>
    </row>
    <row r="230" spans="1:32" ht="12.75" hidden="1">
      <c r="A230" s="56" t="s">
        <v>909</v>
      </c>
      <c r="B230" s="58"/>
      <c r="C230" s="58"/>
      <c r="D230" s="58"/>
      <c r="E230" s="58"/>
      <c r="F230" s="58"/>
      <c r="G230" s="58"/>
      <c r="H230" s="59" t="s">
        <v>910</v>
      </c>
      <c r="I230" s="59" t="s">
        <v>911</v>
      </c>
      <c r="J230" s="60" t="str">
        <f ca="1">IFERROR(__xludf.DUMMYFUNCTION("JOIN("": "",H230,I230)"),"3E-16-04-08-00-00-00: Tabica")</f>
        <v>3E-16-04-08-00-00-00: Tabica</v>
      </c>
      <c r="K230" s="61"/>
      <c r="L230" s="62">
        <v>4</v>
      </c>
      <c r="M230" s="59"/>
      <c r="N230" s="59"/>
      <c r="O230" s="59"/>
      <c r="P230" s="59"/>
      <c r="Q230" s="63"/>
      <c r="R230" s="63"/>
      <c r="S230" s="63"/>
      <c r="T230" s="64">
        <v>28</v>
      </c>
      <c r="U230" s="45" t="b">
        <f ca="1"/>
        <v>0</v>
      </c>
      <c r="X230" s="12" t="s">
        <v>4425</v>
      </c>
      <c r="Y230" s="10">
        <v>28</v>
      </c>
    </row>
    <row r="231" spans="1:32" ht="12.75" hidden="1">
      <c r="A231" s="47" t="s">
        <v>913</v>
      </c>
      <c r="B231" s="48"/>
      <c r="C231" s="48"/>
      <c r="D231" s="48"/>
      <c r="E231" s="48"/>
      <c r="F231" s="48"/>
      <c r="G231" s="48"/>
      <c r="H231" s="49" t="s">
        <v>914</v>
      </c>
      <c r="I231" s="49" t="s">
        <v>915</v>
      </c>
      <c r="J231" s="50" t="str">
        <f ca="1">IFERROR(__xludf.DUMMYFUNCTION("JOIN("": "",H231,I231)"),"3E-16-06-00-00-00-00: Acabamentos de paredes")</f>
        <v>3E-16-06-00-00-00-00: Acabamentos de paredes</v>
      </c>
      <c r="K231" s="51"/>
      <c r="L231" s="52">
        <v>3</v>
      </c>
      <c r="M231" s="53"/>
      <c r="N231" s="53"/>
      <c r="O231" s="53"/>
      <c r="P231" s="53"/>
      <c r="Q231" s="54"/>
      <c r="R231" s="54"/>
      <c r="S231" s="54"/>
      <c r="T231" s="55">
        <v>22</v>
      </c>
      <c r="U231" s="46" t="b">
        <f ca="1"/>
        <v>0</v>
      </c>
      <c r="X231" s="12" t="s">
        <v>4426</v>
      </c>
      <c r="Y231" s="10">
        <v>22</v>
      </c>
      <c r="AE231" s="7"/>
      <c r="AF231" s="35"/>
    </row>
    <row r="232" spans="1:32" ht="12.75" hidden="1">
      <c r="A232" s="56" t="s">
        <v>917</v>
      </c>
      <c r="B232" s="58"/>
      <c r="C232" s="58"/>
      <c r="D232" s="58"/>
      <c r="E232" s="58"/>
      <c r="F232" s="58"/>
      <c r="G232" s="58"/>
      <c r="H232" s="59" t="s">
        <v>918</v>
      </c>
      <c r="I232" s="59" t="s">
        <v>919</v>
      </c>
      <c r="J232" s="60" t="str">
        <f ca="1">IFERROR(__xludf.DUMMYFUNCTION("JOIN("": "",H232,I232)"),"3E-16-06-02-00-00-00: Cantoneira para paredes")</f>
        <v>3E-16-06-02-00-00-00: Cantoneira para paredes</v>
      </c>
      <c r="K232" s="61"/>
      <c r="L232" s="62">
        <v>4</v>
      </c>
      <c r="M232" s="59"/>
      <c r="N232" s="59"/>
      <c r="O232" s="59"/>
      <c r="P232" s="59"/>
      <c r="Q232" s="63"/>
      <c r="R232" s="63"/>
      <c r="S232" s="63"/>
      <c r="T232" s="64">
        <v>24</v>
      </c>
      <c r="U232" s="45" t="b">
        <f ca="1"/>
        <v>0</v>
      </c>
      <c r="X232" s="12" t="s">
        <v>4427</v>
      </c>
      <c r="Y232" s="10">
        <v>24</v>
      </c>
    </row>
    <row r="233" spans="1:32" ht="12.75" hidden="1">
      <c r="A233" s="56" t="s">
        <v>921</v>
      </c>
      <c r="B233" s="58"/>
      <c r="C233" s="58"/>
      <c r="D233" s="58"/>
      <c r="E233" s="58"/>
      <c r="F233" s="58"/>
      <c r="G233" s="58"/>
      <c r="H233" s="59" t="s">
        <v>922</v>
      </c>
      <c r="I233" s="59" t="s">
        <v>923</v>
      </c>
      <c r="J233" s="60" t="str">
        <f ca="1">IFERROR(__xludf.DUMMYFUNCTION("JOIN("": "",H233,I233)"),"3E-16-06-04-00-00-00: Rodapé")</f>
        <v>3E-16-06-04-00-00-00: Rodapé</v>
      </c>
      <c r="K233" s="61"/>
      <c r="L233" s="62">
        <v>4</v>
      </c>
      <c r="M233" s="59"/>
      <c r="N233" s="59"/>
      <c r="O233" s="59"/>
      <c r="P233" s="59"/>
      <c r="Q233" s="63"/>
      <c r="R233" s="63"/>
      <c r="S233" s="63"/>
      <c r="T233" s="64">
        <v>26</v>
      </c>
      <c r="U233" s="46" t="b">
        <f ca="1"/>
        <v>0</v>
      </c>
      <c r="X233" s="12" t="s">
        <v>4428</v>
      </c>
      <c r="Y233" s="10">
        <v>26</v>
      </c>
    </row>
    <row r="234" spans="1:32" ht="12.75" hidden="1">
      <c r="A234" s="56" t="s">
        <v>925</v>
      </c>
      <c r="B234" s="58"/>
      <c r="C234" s="58"/>
      <c r="D234" s="58"/>
      <c r="E234" s="58"/>
      <c r="F234" s="58"/>
      <c r="G234" s="58"/>
      <c r="H234" s="59" t="s">
        <v>926</v>
      </c>
      <c r="I234" s="59" t="s">
        <v>927</v>
      </c>
      <c r="J234" s="60" t="str">
        <f ca="1">IFERROR(__xludf.DUMMYFUNCTION("JOIN("": "",H234,I234)"),"3E-16-06-06-00-00-00: Rodameio")</f>
        <v>3E-16-06-06-00-00-00: Rodameio</v>
      </c>
      <c r="K234" s="61"/>
      <c r="L234" s="62">
        <v>4</v>
      </c>
      <c r="M234" s="59"/>
      <c r="N234" s="59"/>
      <c r="O234" s="59"/>
      <c r="P234" s="59"/>
      <c r="Q234" s="63"/>
      <c r="R234" s="63"/>
      <c r="S234" s="63"/>
      <c r="T234" s="64">
        <v>28</v>
      </c>
      <c r="U234" s="45" t="b">
        <f ca="1"/>
        <v>0</v>
      </c>
      <c r="X234" s="12" t="s">
        <v>4429</v>
      </c>
      <c r="Y234" s="10">
        <v>28</v>
      </c>
      <c r="AE234" s="7"/>
      <c r="AF234" s="35"/>
    </row>
    <row r="235" spans="1:32" ht="12.75" hidden="1">
      <c r="A235" s="56" t="s">
        <v>929</v>
      </c>
      <c r="B235" s="58"/>
      <c r="C235" s="58"/>
      <c r="D235" s="58"/>
      <c r="E235" s="58"/>
      <c r="F235" s="58"/>
      <c r="G235" s="58"/>
      <c r="H235" s="59" t="s">
        <v>930</v>
      </c>
      <c r="I235" s="59" t="s">
        <v>931</v>
      </c>
      <c r="J235" s="60" t="str">
        <f ca="1">IFERROR(__xludf.DUMMYFUNCTION("JOIN("": "",H235,I235)"),"3E-16-06-08-00-00-00: Sanca")</f>
        <v>3E-16-06-08-00-00-00: Sanca</v>
      </c>
      <c r="K235" s="61"/>
      <c r="L235" s="62">
        <v>4</v>
      </c>
      <c r="M235" s="59"/>
      <c r="N235" s="59"/>
      <c r="O235" s="59"/>
      <c r="P235" s="59"/>
      <c r="Q235" s="63"/>
      <c r="R235" s="63"/>
      <c r="S235" s="63"/>
      <c r="T235" s="64">
        <v>30</v>
      </c>
      <c r="U235" s="46" t="b">
        <f ca="1"/>
        <v>0</v>
      </c>
      <c r="X235" s="12" t="s">
        <v>4430</v>
      </c>
      <c r="Y235" s="10">
        <v>30</v>
      </c>
    </row>
    <row r="236" spans="1:32" ht="12.75">
      <c r="A236" s="36" t="s">
        <v>933</v>
      </c>
      <c r="B236" s="37"/>
      <c r="C236" s="37"/>
      <c r="D236" s="37"/>
      <c r="E236" s="37"/>
      <c r="F236" s="37"/>
      <c r="G236" s="37"/>
      <c r="H236" s="38" t="s">
        <v>934</v>
      </c>
      <c r="I236" s="38" t="s">
        <v>935</v>
      </c>
      <c r="J236" s="39" t="str">
        <f ca="1">IFERROR(__xludf.DUMMYFUNCTION("JOIN("": "",H236,I236)"),"3E-18-00-00-00-00-00: Elementos de impermeabilização")</f>
        <v>3E-18-00-00-00-00-00: Elementos de impermeabilização</v>
      </c>
      <c r="K236" s="40"/>
      <c r="L236" s="41">
        <v>2</v>
      </c>
      <c r="M236" s="42"/>
      <c r="N236" s="43"/>
      <c r="O236" s="43"/>
      <c r="P236" s="43"/>
      <c r="Q236" s="44">
        <v>4</v>
      </c>
      <c r="R236" s="44">
        <v>4</v>
      </c>
      <c r="S236" s="44">
        <v>7</v>
      </c>
      <c r="T236" s="44">
        <v>18</v>
      </c>
      <c r="U236" s="45" t="b">
        <f ca="1"/>
        <v>0</v>
      </c>
      <c r="W236" s="7" t="str">
        <f>MID(H236, 1, FIND("-", H236, FIND("-", H236)+1)-1)</f>
        <v>3E-18</v>
      </c>
      <c r="X236" s="12" t="s">
        <v>4431</v>
      </c>
      <c r="Y236" s="10">
        <v>18</v>
      </c>
      <c r="Z236" s="7" t="str">
        <f>SUBSTITUTE(I236, "Elementos de ", "")</f>
        <v>impermeabilização</v>
      </c>
    </row>
    <row r="237" spans="1:32" ht="12.75" hidden="1">
      <c r="A237" s="47" t="s">
        <v>937</v>
      </c>
      <c r="B237" s="48"/>
      <c r="C237" s="48"/>
      <c r="D237" s="48"/>
      <c r="E237" s="48"/>
      <c r="F237" s="48"/>
      <c r="G237" s="48"/>
      <c r="H237" s="49" t="s">
        <v>938</v>
      </c>
      <c r="I237" s="49" t="s">
        <v>939</v>
      </c>
      <c r="J237" s="50" t="str">
        <f ca="1">IFERROR(__xludf.DUMMYFUNCTION("JOIN("": "",H237,I237)"),"3E-18-02-00-00-00-00: Elementos de regularização da impermeabilização")</f>
        <v>3E-18-02-00-00-00-00: Elementos de regularização da impermeabilização</v>
      </c>
      <c r="K237" s="51"/>
      <c r="L237" s="52">
        <v>3</v>
      </c>
      <c r="M237" s="53"/>
      <c r="N237" s="53"/>
      <c r="O237" s="53"/>
      <c r="P237" s="53"/>
      <c r="Q237" s="54"/>
      <c r="R237" s="54"/>
      <c r="S237" s="54"/>
      <c r="T237" s="55">
        <v>20</v>
      </c>
      <c r="U237" s="46" t="b">
        <f ca="1"/>
        <v>0</v>
      </c>
      <c r="X237" s="12" t="s">
        <v>4432</v>
      </c>
      <c r="Y237" s="10">
        <v>20</v>
      </c>
      <c r="AE237" s="7"/>
      <c r="AF237" s="35"/>
    </row>
    <row r="238" spans="1:32" ht="12.75" hidden="1">
      <c r="A238" s="47" t="s">
        <v>941</v>
      </c>
      <c r="B238" s="48"/>
      <c r="C238" s="48"/>
      <c r="D238" s="48"/>
      <c r="E238" s="48"/>
      <c r="F238" s="48"/>
      <c r="G238" s="48"/>
      <c r="H238" s="49" t="s">
        <v>942</v>
      </c>
      <c r="I238" s="49" t="s">
        <v>943</v>
      </c>
      <c r="J238" s="50" t="str">
        <f ca="1">IFERROR(__xludf.DUMMYFUNCTION("JOIN("": "",H238,I238)"),"3E-18-04-00-00-00-00: Elementos impermeabilizante")</f>
        <v>3E-18-04-00-00-00-00: Elementos impermeabilizante</v>
      </c>
      <c r="K238" s="51"/>
      <c r="L238" s="52">
        <v>3</v>
      </c>
      <c r="M238" s="53"/>
      <c r="N238" s="53"/>
      <c r="O238" s="53"/>
      <c r="P238" s="53"/>
      <c r="Q238" s="54"/>
      <c r="R238" s="54"/>
      <c r="S238" s="54"/>
      <c r="T238" s="55">
        <v>22</v>
      </c>
      <c r="U238" s="45" t="b">
        <f ca="1"/>
        <v>0</v>
      </c>
      <c r="X238" s="12" t="s">
        <v>4433</v>
      </c>
      <c r="Y238" s="10">
        <v>22</v>
      </c>
    </row>
    <row r="239" spans="1:32" ht="12.75" hidden="1">
      <c r="A239" s="47" t="s">
        <v>945</v>
      </c>
      <c r="B239" s="48"/>
      <c r="C239" s="48"/>
      <c r="D239" s="48"/>
      <c r="E239" s="48"/>
      <c r="F239" s="48"/>
      <c r="G239" s="48"/>
      <c r="H239" s="49" t="s">
        <v>946</v>
      </c>
      <c r="I239" s="49" t="s">
        <v>947</v>
      </c>
      <c r="J239" s="50" t="str">
        <f ca="1">IFERROR(__xludf.DUMMYFUNCTION("JOIN("": "",H239,I239)"),"3E-18-06-00-00-00-00: Elementos de isolamento térmico da impermeabilização")</f>
        <v>3E-18-06-00-00-00-00: Elementos de isolamento térmico da impermeabilização</v>
      </c>
      <c r="K239" s="51"/>
      <c r="L239" s="52">
        <v>3</v>
      </c>
      <c r="M239" s="53"/>
      <c r="N239" s="53"/>
      <c r="O239" s="53"/>
      <c r="P239" s="53"/>
      <c r="Q239" s="54"/>
      <c r="R239" s="54"/>
      <c r="S239" s="54"/>
      <c r="T239" s="55">
        <v>24</v>
      </c>
      <c r="U239" s="46" t="b">
        <f ca="1"/>
        <v>0</v>
      </c>
      <c r="X239" s="12" t="s">
        <v>4434</v>
      </c>
      <c r="Y239" s="10">
        <v>24</v>
      </c>
    </row>
    <row r="240" spans="1:32" ht="12.75" hidden="1">
      <c r="A240" s="47" t="s">
        <v>949</v>
      </c>
      <c r="B240" s="48"/>
      <c r="C240" s="48"/>
      <c r="D240" s="48"/>
      <c r="E240" s="48"/>
      <c r="F240" s="48"/>
      <c r="G240" s="48"/>
      <c r="H240" s="49" t="s">
        <v>950</v>
      </c>
      <c r="I240" s="49" t="s">
        <v>951</v>
      </c>
      <c r="J240" s="50" t="str">
        <f ca="1">IFERROR(__xludf.DUMMYFUNCTION("JOIN("": "",H240,I240)"),"3E-18-08-00-00-00-00: Elementos de proteção mecânica da impermeabilização")</f>
        <v>3E-18-08-00-00-00-00: Elementos de proteção mecânica da impermeabilização</v>
      </c>
      <c r="K240" s="51"/>
      <c r="L240" s="52">
        <v>3</v>
      </c>
      <c r="M240" s="53"/>
      <c r="N240" s="53"/>
      <c r="O240" s="53"/>
      <c r="P240" s="53"/>
      <c r="Q240" s="54"/>
      <c r="R240" s="54"/>
      <c r="S240" s="54"/>
      <c r="T240" s="55">
        <v>26</v>
      </c>
      <c r="U240" s="45" t="b">
        <f ca="1"/>
        <v>0</v>
      </c>
      <c r="X240" s="12" t="s">
        <v>4435</v>
      </c>
      <c r="Y240" s="10">
        <v>26</v>
      </c>
    </row>
    <row r="241" spans="1:32" ht="12.75">
      <c r="A241" s="36" t="s">
        <v>953</v>
      </c>
      <c r="B241" s="37"/>
      <c r="C241" s="37"/>
      <c r="D241" s="37"/>
      <c r="E241" s="37"/>
      <c r="F241" s="37"/>
      <c r="G241" s="37"/>
      <c r="H241" s="38" t="s">
        <v>954</v>
      </c>
      <c r="I241" s="38" t="s">
        <v>955</v>
      </c>
      <c r="J241" s="39" t="str">
        <f ca="1">IFERROR(__xludf.DUMMYFUNCTION("JOIN("": "",H241,I241)"),"3E-20-00-00-00-00-00: Elementos de aberturas")</f>
        <v>3E-20-00-00-00-00-00: Elementos de aberturas</v>
      </c>
      <c r="K241" s="40"/>
      <c r="L241" s="41">
        <v>2</v>
      </c>
      <c r="M241" s="42"/>
      <c r="N241" s="43"/>
      <c r="O241" s="43"/>
      <c r="P241" s="43"/>
      <c r="Q241" s="44">
        <v>5</v>
      </c>
      <c r="R241" s="44">
        <v>6</v>
      </c>
      <c r="S241" s="44">
        <v>4</v>
      </c>
      <c r="T241" s="44">
        <v>20</v>
      </c>
      <c r="U241" s="46" t="b">
        <f ca="1"/>
        <v>0</v>
      </c>
      <c r="W241" s="7" t="str">
        <f>MID(H241, 1, FIND("-", H241, FIND("-", H241)+1)-1)</f>
        <v>3E-20</v>
      </c>
      <c r="X241" s="12" t="s">
        <v>4436</v>
      </c>
      <c r="Y241" s="10">
        <v>20</v>
      </c>
      <c r="Z241" s="7" t="str">
        <f>SUBSTITUTE(I241, "Elementos de ", "")</f>
        <v>aberturas</v>
      </c>
    </row>
    <row r="242" spans="1:32" ht="12.75" hidden="1">
      <c r="A242" s="47" t="s">
        <v>957</v>
      </c>
      <c r="B242" s="48"/>
      <c r="C242" s="48"/>
      <c r="D242" s="48"/>
      <c r="E242" s="48"/>
      <c r="F242" s="48"/>
      <c r="G242" s="48"/>
      <c r="H242" s="49" t="s">
        <v>958</v>
      </c>
      <c r="I242" s="49" t="s">
        <v>959</v>
      </c>
      <c r="J242" s="50" t="str">
        <f ca="1">IFERROR(__xludf.DUMMYFUNCTION("JOIN("": "",H242,I242)"),"3E-20-02-00-00-00-00: Elementos de aberturas para circulação")</f>
        <v>3E-20-02-00-00-00-00: Elementos de aberturas para circulação</v>
      </c>
      <c r="K242" s="51"/>
      <c r="L242" s="52">
        <v>3</v>
      </c>
      <c r="M242" s="53"/>
      <c r="N242" s="53"/>
      <c r="O242" s="53"/>
      <c r="P242" s="53"/>
      <c r="Q242" s="54"/>
      <c r="R242" s="54"/>
      <c r="S242" s="54"/>
      <c r="T242" s="55">
        <v>22</v>
      </c>
      <c r="U242" s="45" t="b">
        <f ca="1"/>
        <v>0</v>
      </c>
      <c r="X242" s="12" t="s">
        <v>4437</v>
      </c>
      <c r="Y242" s="10">
        <v>22</v>
      </c>
    </row>
    <row r="243" spans="1:32" ht="12.75" hidden="1">
      <c r="A243" s="56" t="s">
        <v>961</v>
      </c>
      <c r="B243" s="58"/>
      <c r="C243" s="58"/>
      <c r="D243" s="58"/>
      <c r="E243" s="58"/>
      <c r="F243" s="58"/>
      <c r="G243" s="58"/>
      <c r="H243" s="59" t="s">
        <v>962</v>
      </c>
      <c r="I243" s="59" t="s">
        <v>963</v>
      </c>
      <c r="J243" s="60" t="str">
        <f ca="1">IFERROR(__xludf.DUMMYFUNCTION("JOIN("": "",H243,I243)"),"3E-20-02-02-00-00-00: Portas")</f>
        <v>3E-20-02-02-00-00-00: Portas</v>
      </c>
      <c r="K243" s="61"/>
      <c r="L243" s="62">
        <v>4</v>
      </c>
      <c r="M243" s="59"/>
      <c r="N243" s="59"/>
      <c r="O243" s="59"/>
      <c r="P243" s="59"/>
      <c r="Q243" s="63"/>
      <c r="R243" s="63"/>
      <c r="S243" s="63"/>
      <c r="T243" s="64">
        <v>24</v>
      </c>
      <c r="U243" s="46" t="b">
        <f ca="1"/>
        <v>0</v>
      </c>
      <c r="X243" s="12" t="s">
        <v>4438</v>
      </c>
      <c r="Y243" s="10">
        <v>24</v>
      </c>
    </row>
    <row r="244" spans="1:32" ht="12.75" hidden="1">
      <c r="A244" s="65" t="s">
        <v>965</v>
      </c>
      <c r="B244" s="67"/>
      <c r="C244" s="67"/>
      <c r="D244" s="67"/>
      <c r="E244" s="67"/>
      <c r="F244" s="67"/>
      <c r="G244" s="67"/>
      <c r="H244" s="68" t="s">
        <v>966</v>
      </c>
      <c r="I244" s="68" t="s">
        <v>967</v>
      </c>
      <c r="J244" s="69" t="str">
        <f ca="1">IFERROR(__xludf.DUMMYFUNCTION("JOIN("": "",H244,I244)"),"3E-20-02-02-02-00-00: Porta de correr")</f>
        <v>3E-20-02-02-02-00-00: Porta de correr</v>
      </c>
      <c r="K244" s="70"/>
      <c r="L244" s="71">
        <v>5</v>
      </c>
      <c r="M244" s="68"/>
      <c r="N244" s="68"/>
      <c r="O244" s="68"/>
      <c r="P244" s="68"/>
      <c r="Q244" s="72"/>
      <c r="R244" s="72"/>
      <c r="S244" s="72"/>
      <c r="T244" s="73">
        <v>26</v>
      </c>
      <c r="U244" s="45" t="b">
        <f ca="1"/>
        <v>0</v>
      </c>
      <c r="X244" s="12" t="s">
        <v>4439</v>
      </c>
      <c r="Y244" s="10">
        <v>26</v>
      </c>
      <c r="AE244" s="7"/>
      <c r="AF244" s="35"/>
    </row>
    <row r="245" spans="1:32" ht="12.75" hidden="1">
      <c r="A245" s="65" t="s">
        <v>969</v>
      </c>
      <c r="B245" s="67"/>
      <c r="C245" s="67"/>
      <c r="D245" s="67"/>
      <c r="E245" s="67"/>
      <c r="F245" s="67"/>
      <c r="G245" s="67"/>
      <c r="H245" s="68" t="s">
        <v>970</v>
      </c>
      <c r="I245" s="68" t="s">
        <v>971</v>
      </c>
      <c r="J245" s="69" t="str">
        <f ca="1">IFERROR(__xludf.DUMMYFUNCTION("JOIN("": "",H245,I245)"),"3E-20-02-02-04-00-00: Porta de girar")</f>
        <v>3E-20-02-02-04-00-00: Porta de girar</v>
      </c>
      <c r="K245" s="70"/>
      <c r="L245" s="71">
        <v>5</v>
      </c>
      <c r="M245" s="68"/>
      <c r="N245" s="68"/>
      <c r="O245" s="68"/>
      <c r="P245" s="68"/>
      <c r="Q245" s="72"/>
      <c r="R245" s="72"/>
      <c r="S245" s="72"/>
      <c r="T245" s="73">
        <v>28</v>
      </c>
      <c r="U245" s="46" t="b">
        <f ca="1"/>
        <v>0</v>
      </c>
      <c r="X245" s="12" t="s">
        <v>4440</v>
      </c>
      <c r="Y245" s="10">
        <v>28</v>
      </c>
    </row>
    <row r="246" spans="1:32" ht="12.75" hidden="1">
      <c r="A246" s="65" t="s">
        <v>973</v>
      </c>
      <c r="B246" s="67"/>
      <c r="C246" s="67"/>
      <c r="D246" s="67"/>
      <c r="E246" s="67"/>
      <c r="F246" s="67"/>
      <c r="G246" s="67"/>
      <c r="H246" s="68" t="s">
        <v>974</v>
      </c>
      <c r="I246" s="68" t="s">
        <v>975</v>
      </c>
      <c r="J246" s="69" t="str">
        <f ca="1">IFERROR(__xludf.DUMMYFUNCTION("JOIN("": "",H246,I246)"),"3E-20-02-02-06-00-00: Porta camarão")</f>
        <v>3E-20-02-02-06-00-00: Porta camarão</v>
      </c>
      <c r="K246" s="70"/>
      <c r="L246" s="71">
        <v>5</v>
      </c>
      <c r="M246" s="68"/>
      <c r="N246" s="68"/>
      <c r="O246" s="68"/>
      <c r="P246" s="68"/>
      <c r="Q246" s="72"/>
      <c r="R246" s="72"/>
      <c r="S246" s="72"/>
      <c r="T246" s="73">
        <v>30</v>
      </c>
      <c r="U246" s="45" t="b">
        <f ca="1"/>
        <v>0</v>
      </c>
      <c r="X246" s="12" t="s">
        <v>4441</v>
      </c>
      <c r="Y246" s="10">
        <v>30</v>
      </c>
    </row>
    <row r="247" spans="1:32" ht="12.75" hidden="1">
      <c r="A247" s="65" t="s">
        <v>977</v>
      </c>
      <c r="B247" s="67"/>
      <c r="C247" s="67"/>
      <c r="D247" s="67"/>
      <c r="E247" s="67"/>
      <c r="F247" s="67"/>
      <c r="G247" s="67"/>
      <c r="H247" s="68" t="s">
        <v>978</v>
      </c>
      <c r="I247" s="68" t="s">
        <v>979</v>
      </c>
      <c r="J247" s="69" t="str">
        <f ca="1">IFERROR(__xludf.DUMMYFUNCTION("JOIN("": "",H247,I247)"),"3E-20-02-02-08-00-00: Porta de enrolar")</f>
        <v>3E-20-02-02-08-00-00: Porta de enrolar</v>
      </c>
      <c r="K247" s="70"/>
      <c r="L247" s="71">
        <v>5</v>
      </c>
      <c r="M247" s="68"/>
      <c r="N247" s="68"/>
      <c r="O247" s="68"/>
      <c r="P247" s="68"/>
      <c r="Q247" s="72"/>
      <c r="R247" s="72"/>
      <c r="S247" s="72"/>
      <c r="T247" s="73">
        <v>32</v>
      </c>
      <c r="U247" s="46" t="b">
        <f ca="1"/>
        <v>0</v>
      </c>
      <c r="X247" s="12" t="s">
        <v>4442</v>
      </c>
      <c r="Y247" s="10">
        <v>32</v>
      </c>
    </row>
    <row r="248" spans="1:32" ht="12.75" hidden="1">
      <c r="A248" s="65" t="s">
        <v>981</v>
      </c>
      <c r="B248" s="67"/>
      <c r="C248" s="67"/>
      <c r="D248" s="67"/>
      <c r="E248" s="67"/>
      <c r="F248" s="67"/>
      <c r="G248" s="67"/>
      <c r="H248" s="68" t="s">
        <v>982</v>
      </c>
      <c r="I248" s="68" t="s">
        <v>983</v>
      </c>
      <c r="J248" s="69" t="str">
        <f ca="1">IFERROR(__xludf.DUMMYFUNCTION("JOIN("": "",H248,I248)"),"3E-20-02-02-10-00-00: Porta pivotante")</f>
        <v>3E-20-02-02-10-00-00: Porta pivotante</v>
      </c>
      <c r="K248" s="70"/>
      <c r="L248" s="71">
        <v>5</v>
      </c>
      <c r="M248" s="68"/>
      <c r="N248" s="68"/>
      <c r="O248" s="68"/>
      <c r="P248" s="68"/>
      <c r="Q248" s="72"/>
      <c r="R248" s="72"/>
      <c r="S248" s="72"/>
      <c r="T248" s="73">
        <v>34</v>
      </c>
      <c r="U248" s="45" t="b">
        <f ca="1"/>
        <v>0</v>
      </c>
      <c r="X248" s="12" t="s">
        <v>4443</v>
      </c>
      <c r="Y248" s="10">
        <v>34</v>
      </c>
    </row>
    <row r="249" spans="1:32" ht="12.75" hidden="1">
      <c r="A249" s="65" t="s">
        <v>985</v>
      </c>
      <c r="B249" s="67"/>
      <c r="C249" s="67"/>
      <c r="D249" s="67"/>
      <c r="E249" s="67"/>
      <c r="F249" s="67"/>
      <c r="G249" s="67"/>
      <c r="H249" s="68" t="s">
        <v>986</v>
      </c>
      <c r="I249" s="68" t="s">
        <v>987</v>
      </c>
      <c r="J249" s="69" t="str">
        <f ca="1">IFERROR(__xludf.DUMMYFUNCTION("JOIN("": "",H249,I249)"),"3E-20-02-02-12-00-00: Porta giratória")</f>
        <v>3E-20-02-02-12-00-00: Porta giratória</v>
      </c>
      <c r="K249" s="70"/>
      <c r="L249" s="71">
        <v>5</v>
      </c>
      <c r="M249" s="68"/>
      <c r="N249" s="68"/>
      <c r="O249" s="68"/>
      <c r="P249" s="68"/>
      <c r="Q249" s="72"/>
      <c r="R249" s="72"/>
      <c r="S249" s="72"/>
      <c r="T249" s="73">
        <v>36</v>
      </c>
      <c r="U249" s="46" t="b">
        <f ca="1"/>
        <v>0</v>
      </c>
      <c r="X249" s="12" t="s">
        <v>4444</v>
      </c>
      <c r="Y249" s="10">
        <v>36</v>
      </c>
      <c r="AE249" s="7"/>
      <c r="AF249" s="35"/>
    </row>
    <row r="250" spans="1:32" ht="12.75" hidden="1">
      <c r="A250" s="56" t="s">
        <v>989</v>
      </c>
      <c r="B250" s="58"/>
      <c r="C250" s="58"/>
      <c r="D250" s="58"/>
      <c r="E250" s="58"/>
      <c r="F250" s="58"/>
      <c r="G250" s="58"/>
      <c r="H250" s="59" t="s">
        <v>990</v>
      </c>
      <c r="I250" s="59" t="s">
        <v>991</v>
      </c>
      <c r="J250" s="60" t="str">
        <f ca="1">IFERROR(__xludf.DUMMYFUNCTION("JOIN("": "",H250,I250)"),"3E-20-02-04-00-00-00: Alçapões")</f>
        <v>3E-20-02-04-00-00-00: Alçapões</v>
      </c>
      <c r="K250" s="61"/>
      <c r="L250" s="62">
        <v>4</v>
      </c>
      <c r="M250" s="59"/>
      <c r="N250" s="59"/>
      <c r="O250" s="59"/>
      <c r="P250" s="59"/>
      <c r="Q250" s="63"/>
      <c r="R250" s="63"/>
      <c r="S250" s="63"/>
      <c r="T250" s="64">
        <v>26</v>
      </c>
      <c r="U250" s="45" t="b">
        <f ca="1"/>
        <v>0</v>
      </c>
      <c r="X250" s="12" t="s">
        <v>4445</v>
      </c>
      <c r="Y250" s="10">
        <v>26</v>
      </c>
    </row>
    <row r="251" spans="1:32" ht="12.75" hidden="1">
      <c r="A251" s="47" t="s">
        <v>993</v>
      </c>
      <c r="B251" s="48"/>
      <c r="C251" s="48"/>
      <c r="D251" s="48"/>
      <c r="E251" s="48"/>
      <c r="F251" s="48"/>
      <c r="G251" s="48"/>
      <c r="H251" s="49" t="s">
        <v>994</v>
      </c>
      <c r="I251" s="49" t="s">
        <v>995</v>
      </c>
      <c r="J251" s="50" t="str">
        <f ca="1">IFERROR(__xludf.DUMMYFUNCTION("JOIN("": "",H251,I251)"),"3E-20-04-00-00-00-00: Elementos de aberturas para ventilação e iluminação natural")</f>
        <v>3E-20-04-00-00-00-00: Elementos de aberturas para ventilação e iluminação natural</v>
      </c>
      <c r="K251" s="51"/>
      <c r="L251" s="52">
        <v>3</v>
      </c>
      <c r="M251" s="53"/>
      <c r="N251" s="53"/>
      <c r="O251" s="53"/>
      <c r="P251" s="53"/>
      <c r="Q251" s="54"/>
      <c r="R251" s="54"/>
      <c r="S251" s="54"/>
      <c r="T251" s="55">
        <v>24</v>
      </c>
      <c r="U251" s="46" t="b">
        <f ca="1"/>
        <v>0</v>
      </c>
      <c r="X251" s="12" t="s">
        <v>4446</v>
      </c>
      <c r="Y251" s="10">
        <v>24</v>
      </c>
    </row>
    <row r="252" spans="1:32" ht="12.75" hidden="1">
      <c r="A252" s="56" t="s">
        <v>997</v>
      </c>
      <c r="B252" s="58"/>
      <c r="C252" s="58"/>
      <c r="D252" s="58"/>
      <c r="E252" s="58"/>
      <c r="F252" s="58"/>
      <c r="G252" s="58"/>
      <c r="H252" s="59" t="s">
        <v>998</v>
      </c>
      <c r="I252" s="59" t="s">
        <v>999</v>
      </c>
      <c r="J252" s="60" t="str">
        <f ca="1">IFERROR(__xludf.DUMMYFUNCTION("JOIN("": "",H252,I252)"),"3E-20-04-02-00-00-00: Janelas")</f>
        <v>3E-20-04-02-00-00-00: Janelas</v>
      </c>
      <c r="K252" s="61"/>
      <c r="L252" s="62">
        <v>4</v>
      </c>
      <c r="M252" s="59"/>
      <c r="N252" s="59"/>
      <c r="O252" s="59"/>
      <c r="P252" s="59"/>
      <c r="Q252" s="63"/>
      <c r="R252" s="63"/>
      <c r="S252" s="63"/>
      <c r="T252" s="64">
        <v>26</v>
      </c>
      <c r="U252" s="45" t="b">
        <f ca="1"/>
        <v>0</v>
      </c>
      <c r="X252" s="12" t="s">
        <v>4447</v>
      </c>
      <c r="Y252" s="10">
        <v>26</v>
      </c>
    </row>
    <row r="253" spans="1:32" ht="12.75" hidden="1">
      <c r="A253" s="65" t="s">
        <v>1001</v>
      </c>
      <c r="B253" s="67"/>
      <c r="C253" s="67"/>
      <c r="D253" s="67"/>
      <c r="E253" s="67"/>
      <c r="F253" s="67"/>
      <c r="G253" s="67"/>
      <c r="H253" s="68" t="s">
        <v>1002</v>
      </c>
      <c r="I253" s="68" t="s">
        <v>1003</v>
      </c>
      <c r="J253" s="69" t="str">
        <f ca="1">IFERROR(__xludf.DUMMYFUNCTION("JOIN("": "",H253,I253)"),"3E-20-04-02-02-00-00: Janela de correr")</f>
        <v>3E-20-04-02-02-00-00: Janela de correr</v>
      </c>
      <c r="K253" s="70"/>
      <c r="L253" s="71">
        <v>5</v>
      </c>
      <c r="M253" s="68"/>
      <c r="N253" s="68"/>
      <c r="O253" s="68"/>
      <c r="P253" s="68"/>
      <c r="Q253" s="72"/>
      <c r="R253" s="72"/>
      <c r="S253" s="72"/>
      <c r="T253" s="73">
        <v>28</v>
      </c>
      <c r="U253" s="46" t="b">
        <f ca="1"/>
        <v>0</v>
      </c>
      <c r="X253" s="12" t="s">
        <v>4448</v>
      </c>
      <c r="Y253" s="10">
        <v>28</v>
      </c>
    </row>
    <row r="254" spans="1:32" ht="12.75" hidden="1">
      <c r="A254" s="65" t="s">
        <v>1005</v>
      </c>
      <c r="B254" s="67"/>
      <c r="C254" s="67"/>
      <c r="D254" s="67"/>
      <c r="E254" s="67"/>
      <c r="F254" s="67"/>
      <c r="G254" s="67"/>
      <c r="H254" s="68" t="s">
        <v>1006</v>
      </c>
      <c r="I254" s="68" t="s">
        <v>1007</v>
      </c>
      <c r="J254" s="69" t="str">
        <f ca="1">IFERROR(__xludf.DUMMYFUNCTION("JOIN("": "",H254,I254)"),"3E-20-04-02-04-00-00: Janela pivotante")</f>
        <v>3E-20-04-02-04-00-00: Janela pivotante</v>
      </c>
      <c r="K254" s="70"/>
      <c r="L254" s="71">
        <v>5</v>
      </c>
      <c r="M254" s="68"/>
      <c r="N254" s="68"/>
      <c r="O254" s="68"/>
      <c r="P254" s="68"/>
      <c r="Q254" s="72"/>
      <c r="R254" s="72"/>
      <c r="S254" s="72"/>
      <c r="T254" s="73">
        <v>30</v>
      </c>
      <c r="U254" s="45" t="b">
        <f ca="1"/>
        <v>0</v>
      </c>
      <c r="X254" s="12" t="s">
        <v>4449</v>
      </c>
      <c r="Y254" s="10">
        <v>30</v>
      </c>
    </row>
    <row r="255" spans="1:32" ht="12.75" hidden="1">
      <c r="A255" s="65" t="s">
        <v>1009</v>
      </c>
      <c r="B255" s="67"/>
      <c r="C255" s="67"/>
      <c r="D255" s="67"/>
      <c r="E255" s="67"/>
      <c r="F255" s="67"/>
      <c r="G255" s="67"/>
      <c r="H255" s="68" t="s">
        <v>1010</v>
      </c>
      <c r="I255" s="68" t="s">
        <v>1011</v>
      </c>
      <c r="J255" s="69" t="str">
        <f ca="1">IFERROR(__xludf.DUMMYFUNCTION("JOIN("": "",H255,I255)"),"3E-20-04-02-06-00-00: Janela basculante")</f>
        <v>3E-20-04-02-06-00-00: Janela basculante</v>
      </c>
      <c r="K255" s="70"/>
      <c r="L255" s="71">
        <v>5</v>
      </c>
      <c r="M255" s="68"/>
      <c r="N255" s="68"/>
      <c r="O255" s="68"/>
      <c r="P255" s="68"/>
      <c r="Q255" s="72"/>
      <c r="R255" s="72"/>
      <c r="S255" s="72"/>
      <c r="T255" s="73">
        <v>32</v>
      </c>
      <c r="U255" s="46" t="b">
        <f ca="1"/>
        <v>0</v>
      </c>
      <c r="X255" s="12" t="s">
        <v>4450</v>
      </c>
      <c r="Y255" s="10">
        <v>32</v>
      </c>
    </row>
    <row r="256" spans="1:32" ht="12.75" hidden="1">
      <c r="A256" s="65" t="s">
        <v>1013</v>
      </c>
      <c r="B256" s="67"/>
      <c r="C256" s="67"/>
      <c r="D256" s="67"/>
      <c r="E256" s="67"/>
      <c r="F256" s="67"/>
      <c r="G256" s="67"/>
      <c r="H256" s="68" t="s">
        <v>1014</v>
      </c>
      <c r="I256" s="68" t="s">
        <v>1015</v>
      </c>
      <c r="J256" s="69" t="str">
        <f ca="1">IFERROR(__xludf.DUMMYFUNCTION("JOIN("": "",H256,I256)"),"3E-20-04-02-08-00-00: Janela projetante")</f>
        <v>3E-20-04-02-08-00-00: Janela projetante</v>
      </c>
      <c r="K256" s="70"/>
      <c r="L256" s="71">
        <v>5</v>
      </c>
      <c r="M256" s="68"/>
      <c r="N256" s="68"/>
      <c r="O256" s="68"/>
      <c r="P256" s="68"/>
      <c r="Q256" s="72"/>
      <c r="R256" s="72"/>
      <c r="S256" s="72"/>
      <c r="T256" s="73">
        <v>34</v>
      </c>
      <c r="U256" s="45" t="b">
        <f ca="1"/>
        <v>0</v>
      </c>
      <c r="X256" s="12" t="s">
        <v>4451</v>
      </c>
      <c r="Y256" s="10">
        <v>34</v>
      </c>
    </row>
    <row r="257" spans="1:35" ht="12.75" hidden="1">
      <c r="A257" s="65" t="s">
        <v>1017</v>
      </c>
      <c r="B257" s="67"/>
      <c r="C257" s="67"/>
      <c r="D257" s="67"/>
      <c r="E257" s="67"/>
      <c r="F257" s="67"/>
      <c r="G257" s="67"/>
      <c r="H257" s="68" t="s">
        <v>1018</v>
      </c>
      <c r="I257" s="68" t="s">
        <v>1019</v>
      </c>
      <c r="J257" s="69" t="str">
        <f ca="1">IFERROR(__xludf.DUMMYFUNCTION("JOIN("": "",H257,I257)"),"3E-20-04-02-10-00-00: Janela guilhotina")</f>
        <v>3E-20-04-02-10-00-00: Janela guilhotina</v>
      </c>
      <c r="K257" s="70"/>
      <c r="L257" s="71">
        <v>5</v>
      </c>
      <c r="M257" s="68"/>
      <c r="N257" s="68"/>
      <c r="O257" s="68"/>
      <c r="P257" s="68"/>
      <c r="Q257" s="72"/>
      <c r="R257" s="72"/>
      <c r="S257" s="72"/>
      <c r="T257" s="73">
        <v>36</v>
      </c>
      <c r="U257" s="46" t="b">
        <f ca="1"/>
        <v>0</v>
      </c>
      <c r="X257" s="12" t="s">
        <v>4452</v>
      </c>
      <c r="Y257" s="10">
        <v>36</v>
      </c>
      <c r="AE257" s="7"/>
      <c r="AF257" s="35"/>
    </row>
    <row r="258" spans="1:35" ht="12.75" hidden="1">
      <c r="A258" s="56" t="s">
        <v>1021</v>
      </c>
      <c r="B258" s="58"/>
      <c r="C258" s="58"/>
      <c r="D258" s="58"/>
      <c r="E258" s="58"/>
      <c r="F258" s="58"/>
      <c r="G258" s="58"/>
      <c r="H258" s="59" t="s">
        <v>1022</v>
      </c>
      <c r="I258" s="59" t="s">
        <v>1023</v>
      </c>
      <c r="J258" s="60" t="str">
        <f ca="1">IFERROR(__xludf.DUMMYFUNCTION("JOIN("": "",H258,I258)"),"3E-20-04-04-00-00-00: Domus")</f>
        <v>3E-20-04-04-00-00-00: Domus</v>
      </c>
      <c r="K258" s="61"/>
      <c r="L258" s="62">
        <v>4</v>
      </c>
      <c r="M258" s="59"/>
      <c r="N258" s="59"/>
      <c r="O258" s="59"/>
      <c r="P258" s="59"/>
      <c r="Q258" s="63"/>
      <c r="R258" s="63"/>
      <c r="S258" s="63"/>
      <c r="T258" s="64">
        <v>28</v>
      </c>
      <c r="U258" s="45" t="b">
        <f ca="1"/>
        <v>0</v>
      </c>
      <c r="X258" s="12" t="s">
        <v>4453</v>
      </c>
      <c r="Y258" s="10">
        <v>28</v>
      </c>
    </row>
    <row r="259" spans="1:35" ht="12.75" hidden="1">
      <c r="A259" s="56" t="s">
        <v>1025</v>
      </c>
      <c r="B259" s="58"/>
      <c r="C259" s="58"/>
      <c r="D259" s="58"/>
      <c r="E259" s="58"/>
      <c r="F259" s="58"/>
      <c r="G259" s="58"/>
      <c r="H259" s="59" t="s">
        <v>1026</v>
      </c>
      <c r="I259" s="59" t="s">
        <v>1027</v>
      </c>
      <c r="J259" s="60" t="str">
        <f ca="1">IFERROR(__xludf.DUMMYFUNCTION("JOIN("": "",H259,I259)"),"3E-20-04-06-00-00-00: Cúpula")</f>
        <v>3E-20-04-06-00-00-00: Cúpula</v>
      </c>
      <c r="K259" s="61"/>
      <c r="L259" s="62">
        <v>4</v>
      </c>
      <c r="M259" s="59"/>
      <c r="N259" s="59"/>
      <c r="O259" s="59"/>
      <c r="P259" s="59"/>
      <c r="Q259" s="63"/>
      <c r="R259" s="63"/>
      <c r="S259" s="63"/>
      <c r="T259" s="64">
        <v>30</v>
      </c>
      <c r="U259" s="46" t="b">
        <f ca="1"/>
        <v>0</v>
      </c>
      <c r="X259" s="12" t="s">
        <v>4454</v>
      </c>
      <c r="Y259" s="10">
        <v>30</v>
      </c>
    </row>
    <row r="260" spans="1:35" ht="12.75" hidden="1">
      <c r="A260" s="56" t="s">
        <v>1029</v>
      </c>
      <c r="B260" s="58"/>
      <c r="C260" s="58"/>
      <c r="D260" s="58"/>
      <c r="E260" s="58"/>
      <c r="F260" s="58"/>
      <c r="G260" s="58"/>
      <c r="H260" s="59" t="s">
        <v>1030</v>
      </c>
      <c r="I260" s="59" t="s">
        <v>1031</v>
      </c>
      <c r="J260" s="60" t="str">
        <f ca="1">IFERROR(__xludf.DUMMYFUNCTION("JOIN("": "",H260,I260)"),"3E-20-04-08-00-00-00: Claraboia")</f>
        <v>3E-20-04-08-00-00-00: Claraboia</v>
      </c>
      <c r="K260" s="61"/>
      <c r="L260" s="62">
        <v>4</v>
      </c>
      <c r="M260" s="59"/>
      <c r="N260" s="59"/>
      <c r="O260" s="59"/>
      <c r="P260" s="59"/>
      <c r="Q260" s="63"/>
      <c r="R260" s="63"/>
      <c r="S260" s="63"/>
      <c r="T260" s="64">
        <v>32</v>
      </c>
      <c r="U260" s="45" t="b">
        <f ca="1"/>
        <v>0</v>
      </c>
      <c r="X260" s="12" t="s">
        <v>4455</v>
      </c>
      <c r="Y260" s="10">
        <v>32</v>
      </c>
    </row>
    <row r="261" spans="1:35" ht="12.75" hidden="1">
      <c r="A261" s="56" t="s">
        <v>1033</v>
      </c>
      <c r="B261" s="58"/>
      <c r="C261" s="58"/>
      <c r="D261" s="58"/>
      <c r="E261" s="58"/>
      <c r="F261" s="58"/>
      <c r="G261" s="58"/>
      <c r="H261" s="59" t="s">
        <v>1034</v>
      </c>
      <c r="I261" s="59" t="s">
        <v>1035</v>
      </c>
      <c r="J261" s="60" t="str">
        <f ca="1">IFERROR(__xludf.DUMMYFUNCTION("JOIN("": "",H261,I261)"),"3E-20-04-10-00-00-00: Átrio para iluminação e ventilação")</f>
        <v>3E-20-04-10-00-00-00: Átrio para iluminação e ventilação</v>
      </c>
      <c r="K261" s="61"/>
      <c r="L261" s="62">
        <v>4</v>
      </c>
      <c r="M261" s="59"/>
      <c r="N261" s="59"/>
      <c r="O261" s="59"/>
      <c r="P261" s="59"/>
      <c r="Q261" s="63"/>
      <c r="R261" s="63"/>
      <c r="S261" s="63"/>
      <c r="T261" s="64">
        <v>34</v>
      </c>
      <c r="U261" s="46" t="b">
        <f ca="1"/>
        <v>0</v>
      </c>
      <c r="X261" s="12" t="s">
        <v>4456</v>
      </c>
      <c r="Y261" s="10">
        <v>34</v>
      </c>
    </row>
    <row r="262" spans="1:35" ht="12.75" hidden="1">
      <c r="A262" s="56" t="s">
        <v>1037</v>
      </c>
      <c r="B262" s="58"/>
      <c r="C262" s="58"/>
      <c r="D262" s="58"/>
      <c r="E262" s="58"/>
      <c r="F262" s="58"/>
      <c r="G262" s="58"/>
      <c r="H262" s="59" t="s">
        <v>1038</v>
      </c>
      <c r="I262" s="59" t="s">
        <v>1039</v>
      </c>
      <c r="J262" s="60" t="str">
        <f ca="1">IFERROR(__xludf.DUMMYFUNCTION("JOIN("": "",H262,I262)"),"3E-20-04-12-00-00-00: Lantemim")</f>
        <v>3E-20-04-12-00-00-00: Lantemim</v>
      </c>
      <c r="K262" s="61"/>
      <c r="L262" s="62">
        <v>4</v>
      </c>
      <c r="M262" s="59"/>
      <c r="N262" s="59"/>
      <c r="O262" s="59"/>
      <c r="P262" s="59"/>
      <c r="Q262" s="63"/>
      <c r="R262" s="63"/>
      <c r="S262" s="63"/>
      <c r="T262" s="64">
        <v>36</v>
      </c>
      <c r="U262" s="45" t="b">
        <f ca="1"/>
        <v>0</v>
      </c>
      <c r="X262" s="12" t="s">
        <v>4457</v>
      </c>
      <c r="Y262" s="10">
        <v>36</v>
      </c>
    </row>
    <row r="263" spans="1:35" ht="12.75" hidden="1">
      <c r="A263" s="56" t="s">
        <v>1041</v>
      </c>
      <c r="B263" s="58"/>
      <c r="C263" s="58"/>
      <c r="D263" s="58"/>
      <c r="E263" s="58"/>
      <c r="F263" s="58"/>
      <c r="G263" s="58"/>
      <c r="H263" s="59" t="s">
        <v>1042</v>
      </c>
      <c r="I263" s="59" t="s">
        <v>1043</v>
      </c>
      <c r="J263" s="60" t="str">
        <f ca="1">IFERROR(__xludf.DUMMYFUNCTION("JOIN("": "",H263,I263)"),"3E-20-04-14-00-00-00: Shed")</f>
        <v>3E-20-04-14-00-00-00: Shed</v>
      </c>
      <c r="K263" s="61"/>
      <c r="L263" s="62">
        <v>4</v>
      </c>
      <c r="M263" s="59"/>
      <c r="N263" s="59"/>
      <c r="O263" s="59"/>
      <c r="P263" s="59"/>
      <c r="Q263" s="63"/>
      <c r="R263" s="63"/>
      <c r="S263" s="63"/>
      <c r="T263" s="64">
        <v>38</v>
      </c>
      <c r="U263" s="46" t="b">
        <f ca="1"/>
        <v>0</v>
      </c>
      <c r="X263" s="12" t="s">
        <v>4458</v>
      </c>
      <c r="Y263" s="10">
        <v>38</v>
      </c>
    </row>
    <row r="264" spans="1:35" ht="12.75">
      <c r="A264" s="36" t="s">
        <v>1045</v>
      </c>
      <c r="B264" s="37"/>
      <c r="C264" s="37"/>
      <c r="D264" s="37"/>
      <c r="E264" s="37"/>
      <c r="F264" s="37"/>
      <c r="G264" s="37"/>
      <c r="H264" s="38" t="s">
        <v>1046</v>
      </c>
      <c r="I264" s="38" t="s">
        <v>4459</v>
      </c>
      <c r="J264" s="39" t="str">
        <f ca="1">IFERROR(__xludf.DUMMYFUNCTION("JOIN("": "",H264,I264)"),"3E-22-00-00-00-00-00: Elementos de acústica")</f>
        <v>3E-22-00-00-00-00-00: Elementos de acústica</v>
      </c>
      <c r="K264" s="40"/>
      <c r="L264" s="41">
        <v>2</v>
      </c>
      <c r="M264" s="42"/>
      <c r="N264" s="43"/>
      <c r="O264" s="43"/>
      <c r="P264" s="43"/>
      <c r="Q264" s="44">
        <v>6</v>
      </c>
      <c r="R264" s="44">
        <v>8</v>
      </c>
      <c r="S264" s="44">
        <v>8</v>
      </c>
      <c r="T264" s="44">
        <v>22</v>
      </c>
      <c r="U264" s="45" t="b">
        <f ca="1"/>
        <v>0</v>
      </c>
      <c r="W264" s="7" t="str">
        <f>MID(H264, 1, FIND("-", H264, FIND("-", H264)+1)-1)</f>
        <v>3E-22</v>
      </c>
      <c r="X264" s="12" t="s">
        <v>4460</v>
      </c>
      <c r="Y264" s="10">
        <v>22</v>
      </c>
      <c r="Z264" s="7" t="str">
        <f>SUBSTITUTE(I264, "Elementos de ", "")</f>
        <v>acústica</v>
      </c>
      <c r="AE264" s="7"/>
      <c r="AF264" s="35"/>
      <c r="AI264" s="7"/>
    </row>
    <row r="265" spans="1:35" ht="12.75" hidden="1">
      <c r="A265" s="47" t="s">
        <v>1049</v>
      </c>
      <c r="B265" s="48"/>
      <c r="C265" s="48"/>
      <c r="D265" s="48"/>
      <c r="E265" s="48"/>
      <c r="F265" s="48"/>
      <c r="G265" s="48"/>
      <c r="H265" s="49" t="s">
        <v>1050</v>
      </c>
      <c r="I265" s="49" t="s">
        <v>1051</v>
      </c>
      <c r="J265" s="50" t="str">
        <f ca="1">IFERROR(__xludf.DUMMYFUNCTION("JOIN("": "",H265,I265)"),"3E-22-02-00-00-00-00: Elementos absorvedores")</f>
        <v>3E-22-02-00-00-00-00: Elementos absorvedores</v>
      </c>
      <c r="K265" s="51"/>
      <c r="L265" s="52">
        <v>3</v>
      </c>
      <c r="M265" s="53"/>
      <c r="N265" s="53"/>
      <c r="O265" s="53"/>
      <c r="P265" s="53"/>
      <c r="Q265" s="54"/>
      <c r="R265" s="54"/>
      <c r="S265" s="54"/>
      <c r="T265" s="55">
        <v>24</v>
      </c>
      <c r="U265" s="46" t="b">
        <f ca="1"/>
        <v>0</v>
      </c>
      <c r="X265" s="12" t="s">
        <v>4461</v>
      </c>
      <c r="Y265" s="10">
        <v>24</v>
      </c>
    </row>
    <row r="266" spans="1:35" ht="12.75" hidden="1">
      <c r="A266" s="47" t="s">
        <v>1053</v>
      </c>
      <c r="B266" s="48"/>
      <c r="C266" s="48"/>
      <c r="D266" s="48"/>
      <c r="E266" s="48"/>
      <c r="F266" s="48"/>
      <c r="G266" s="48"/>
      <c r="H266" s="49" t="s">
        <v>1054</v>
      </c>
      <c r="I266" s="49" t="s">
        <v>1055</v>
      </c>
      <c r="J266" s="50" t="str">
        <f ca="1">IFERROR(__xludf.DUMMYFUNCTION("JOIN("": "",H266,I266)"),"3E-22-04-00-00-00-00: Elementos de barreira")</f>
        <v>3E-22-04-00-00-00-00: Elementos de barreira</v>
      </c>
      <c r="K266" s="51"/>
      <c r="L266" s="52">
        <v>3</v>
      </c>
      <c r="M266" s="53"/>
      <c r="N266" s="53"/>
      <c r="O266" s="53"/>
      <c r="P266" s="53"/>
      <c r="Q266" s="54"/>
      <c r="R266" s="54"/>
      <c r="S266" s="54"/>
      <c r="T266" s="55">
        <v>26</v>
      </c>
      <c r="U266" s="45" t="b">
        <f ca="1"/>
        <v>0</v>
      </c>
      <c r="X266" s="12" t="s">
        <v>4462</v>
      </c>
      <c r="Y266" s="10">
        <v>26</v>
      </c>
    </row>
    <row r="267" spans="1:35" ht="12.75" hidden="1">
      <c r="A267" s="47" t="s">
        <v>1057</v>
      </c>
      <c r="B267" s="48"/>
      <c r="C267" s="48"/>
      <c r="D267" s="48"/>
      <c r="E267" s="48"/>
      <c r="F267" s="48"/>
      <c r="G267" s="48"/>
      <c r="H267" s="49" t="s">
        <v>1058</v>
      </c>
      <c r="I267" s="49" t="s">
        <v>1059</v>
      </c>
      <c r="J267" s="50" t="str">
        <f ca="1">IFERROR(__xludf.DUMMYFUNCTION("JOIN("": "",H267,I267)"),"3E-22-06-00-00-00-00: Elementos atenuadores")</f>
        <v>3E-22-06-00-00-00-00: Elementos atenuadores</v>
      </c>
      <c r="K267" s="51"/>
      <c r="L267" s="52">
        <v>3</v>
      </c>
      <c r="M267" s="53"/>
      <c r="N267" s="53"/>
      <c r="O267" s="53"/>
      <c r="P267" s="53"/>
      <c r="Q267" s="54"/>
      <c r="R267" s="54"/>
      <c r="S267" s="54"/>
      <c r="T267" s="55">
        <v>28</v>
      </c>
      <c r="U267" s="46" t="b">
        <f ca="1"/>
        <v>0</v>
      </c>
      <c r="X267" s="12" t="s">
        <v>4463</v>
      </c>
      <c r="Y267" s="10">
        <v>28</v>
      </c>
      <c r="AE267" s="7"/>
      <c r="AF267" s="35"/>
    </row>
    <row r="268" spans="1:35" ht="12.75" hidden="1">
      <c r="A268" s="47" t="s">
        <v>1061</v>
      </c>
      <c r="B268" s="48"/>
      <c r="C268" s="48"/>
      <c r="D268" s="48"/>
      <c r="E268" s="48"/>
      <c r="F268" s="48"/>
      <c r="G268" s="48"/>
      <c r="H268" s="49" t="s">
        <v>1062</v>
      </c>
      <c r="I268" s="49" t="s">
        <v>1063</v>
      </c>
      <c r="J268" s="50" t="str">
        <f ca="1">IFERROR(__xludf.DUMMYFUNCTION("JOIN("": "",H268,I268)"),"3E-22-08-00-00-00-00: Elementos de enclausuramento")</f>
        <v>3E-22-08-00-00-00-00: Elementos de enclausuramento</v>
      </c>
      <c r="K268" s="51"/>
      <c r="L268" s="52">
        <v>3</v>
      </c>
      <c r="M268" s="53"/>
      <c r="N268" s="53"/>
      <c r="O268" s="53"/>
      <c r="P268" s="53"/>
      <c r="Q268" s="54"/>
      <c r="R268" s="54"/>
      <c r="S268" s="54"/>
      <c r="T268" s="55">
        <v>30</v>
      </c>
      <c r="U268" s="45" t="b">
        <f ca="1"/>
        <v>0</v>
      </c>
      <c r="X268" s="12" t="s">
        <v>4464</v>
      </c>
      <c r="Y268" s="10">
        <v>30</v>
      </c>
    </row>
    <row r="269" spans="1:35" ht="12.75">
      <c r="A269" s="36" t="s">
        <v>1065</v>
      </c>
      <c r="B269" s="37"/>
      <c r="C269" s="37"/>
      <c r="D269" s="37"/>
      <c r="E269" s="37"/>
      <c r="F269" s="37"/>
      <c r="G269" s="37"/>
      <c r="H269" s="38" t="s">
        <v>1066</v>
      </c>
      <c r="I269" s="38" t="s">
        <v>1067</v>
      </c>
      <c r="J269" s="39" t="str">
        <f ca="1">IFERROR(__xludf.DUMMYFUNCTION("JOIN("": "",H269,I269)"),"3E-24-00-00-00-00-00: Elementos de redes de transmissão de eletricidade")</f>
        <v>3E-24-00-00-00-00-00: Elementos de redes de transmissão de eletricidade</v>
      </c>
      <c r="K269" s="40"/>
      <c r="L269" s="41">
        <v>2</v>
      </c>
      <c r="M269" s="42"/>
      <c r="N269" s="43"/>
      <c r="O269" s="43"/>
      <c r="P269" s="43"/>
      <c r="Q269" s="44">
        <v>7</v>
      </c>
      <c r="R269" s="44">
        <v>6</v>
      </c>
      <c r="S269" s="44">
        <v>7</v>
      </c>
      <c r="T269" s="44">
        <v>24</v>
      </c>
      <c r="U269" s="46" t="b">
        <f ca="1"/>
        <v>0</v>
      </c>
      <c r="W269" s="7" t="str">
        <f>MID(H269, 1, FIND("-", H269, FIND("-", H269)+1)-1)</f>
        <v>3E-24</v>
      </c>
      <c r="X269" s="12" t="s">
        <v>4465</v>
      </c>
      <c r="Y269" s="10">
        <v>24</v>
      </c>
      <c r="Z269" s="7" t="str">
        <f>SUBSTITUTE(I269, "Elementos de ", "")</f>
        <v>redes de transmissão de eletricidade</v>
      </c>
    </row>
    <row r="270" spans="1:35" ht="12.75" hidden="1">
      <c r="A270" s="47" t="s">
        <v>1069</v>
      </c>
      <c r="B270" s="48"/>
      <c r="C270" s="48"/>
      <c r="D270" s="48"/>
      <c r="E270" s="48"/>
      <c r="F270" s="48"/>
      <c r="G270" s="48"/>
      <c r="H270" s="49" t="s">
        <v>1070</v>
      </c>
      <c r="I270" s="49" t="s">
        <v>1071</v>
      </c>
      <c r="J270" s="50" t="str">
        <f ca="1">IFERROR(__xludf.DUMMYFUNCTION("JOIN("": "",H270,I270)"),"3E-24-02-00-00-00-00: Linhas de transmissão")</f>
        <v>3E-24-02-00-00-00-00: Linhas de transmissão</v>
      </c>
      <c r="K270" s="51"/>
      <c r="L270" s="52">
        <v>3</v>
      </c>
      <c r="M270" s="53"/>
      <c r="N270" s="53"/>
      <c r="O270" s="53"/>
      <c r="P270" s="53"/>
      <c r="Q270" s="54"/>
      <c r="R270" s="54"/>
      <c r="S270" s="54"/>
      <c r="T270" s="55">
        <v>26</v>
      </c>
      <c r="U270" s="45" t="b">
        <f ca="1"/>
        <v>0</v>
      </c>
      <c r="X270" s="12" t="s">
        <v>4466</v>
      </c>
      <c r="Y270" s="10">
        <v>26</v>
      </c>
    </row>
    <row r="271" spans="1:35" ht="12.75" hidden="1">
      <c r="A271" s="47" t="s">
        <v>1073</v>
      </c>
      <c r="B271" s="48"/>
      <c r="C271" s="48"/>
      <c r="D271" s="48"/>
      <c r="E271" s="48"/>
      <c r="F271" s="48"/>
      <c r="G271" s="48"/>
      <c r="H271" s="49" t="s">
        <v>1074</v>
      </c>
      <c r="I271" s="49" t="s">
        <v>1075</v>
      </c>
      <c r="J271" s="50" t="str">
        <f ca="1">IFERROR(__xludf.DUMMYFUNCTION("JOIN("": "",H271,I271)"),"3E-24-04-00-00-00-00: Rede de distribuição")</f>
        <v>3E-24-04-00-00-00-00: Rede de distribuição</v>
      </c>
      <c r="K271" s="51"/>
      <c r="L271" s="52">
        <v>3</v>
      </c>
      <c r="M271" s="53"/>
      <c r="N271" s="53"/>
      <c r="O271" s="53"/>
      <c r="P271" s="53"/>
      <c r="Q271" s="54"/>
      <c r="R271" s="54"/>
      <c r="S271" s="54"/>
      <c r="T271" s="55">
        <v>28</v>
      </c>
      <c r="U271" s="46" t="b">
        <f ca="1"/>
        <v>0</v>
      </c>
      <c r="X271" s="12" t="s">
        <v>4467</v>
      </c>
      <c r="Y271" s="10">
        <v>28</v>
      </c>
    </row>
    <row r="272" spans="1:35" ht="12.75" hidden="1">
      <c r="A272" s="47" t="s">
        <v>1077</v>
      </c>
      <c r="B272" s="48"/>
      <c r="C272" s="48"/>
      <c r="D272" s="48"/>
      <c r="E272" s="48"/>
      <c r="F272" s="48"/>
      <c r="G272" s="48"/>
      <c r="H272" s="49" t="s">
        <v>1078</v>
      </c>
      <c r="I272" s="49" t="s">
        <v>1079</v>
      </c>
      <c r="J272" s="50" t="str">
        <f ca="1">IFERROR(__xludf.DUMMYFUNCTION("JOIN("": "",H272,I272)"),"3E-24-06-00-00-00-00: Subestação de distribuição")</f>
        <v>3E-24-06-00-00-00-00: Subestação de distribuição</v>
      </c>
      <c r="K272" s="51"/>
      <c r="L272" s="52">
        <v>3</v>
      </c>
      <c r="M272" s="53"/>
      <c r="N272" s="53"/>
      <c r="O272" s="53"/>
      <c r="P272" s="53"/>
      <c r="Q272" s="54"/>
      <c r="R272" s="54"/>
      <c r="S272" s="54"/>
      <c r="T272" s="55">
        <v>30</v>
      </c>
      <c r="U272" s="45" t="b">
        <f ca="1"/>
        <v>0</v>
      </c>
      <c r="X272" s="12" t="s">
        <v>4468</v>
      </c>
      <c r="Y272" s="10">
        <v>30</v>
      </c>
      <c r="AE272" s="7"/>
      <c r="AF272" s="35"/>
    </row>
    <row r="273" spans="1:32" ht="12.75" hidden="1">
      <c r="A273" s="47" t="s">
        <v>1081</v>
      </c>
      <c r="B273" s="48"/>
      <c r="C273" s="48"/>
      <c r="D273" s="48"/>
      <c r="E273" s="48"/>
      <c r="F273" s="48"/>
      <c r="G273" s="48"/>
      <c r="H273" s="49" t="s">
        <v>1082</v>
      </c>
      <c r="I273" s="49" t="s">
        <v>1083</v>
      </c>
      <c r="J273" s="50" t="str">
        <f ca="1">IFERROR(__xludf.DUMMYFUNCTION("JOIN("": "",H273,I273)"),"3E-24-08-00-00-00-00: Transformador de distribuição")</f>
        <v>3E-24-08-00-00-00-00: Transformador de distribuição</v>
      </c>
      <c r="K273" s="51"/>
      <c r="L273" s="52">
        <v>3</v>
      </c>
      <c r="M273" s="53"/>
      <c r="N273" s="53"/>
      <c r="O273" s="53"/>
      <c r="P273" s="53"/>
      <c r="Q273" s="54"/>
      <c r="R273" s="54"/>
      <c r="S273" s="54"/>
      <c r="T273" s="55">
        <v>32</v>
      </c>
      <c r="U273" s="46" t="b">
        <f ca="1"/>
        <v>0</v>
      </c>
      <c r="X273" s="12" t="s">
        <v>4469</v>
      </c>
      <c r="Y273" s="10">
        <v>32</v>
      </c>
    </row>
    <row r="274" spans="1:32" ht="12.75">
      <c r="A274" s="36" t="s">
        <v>1085</v>
      </c>
      <c r="B274" s="37"/>
      <c r="C274" s="37"/>
      <c r="D274" s="37"/>
      <c r="E274" s="37"/>
      <c r="F274" s="37"/>
      <c r="G274" s="37"/>
      <c r="H274" s="38" t="s">
        <v>1086</v>
      </c>
      <c r="I274" s="38" t="s">
        <v>1087</v>
      </c>
      <c r="J274" s="39" t="str">
        <f ca="1">IFERROR(__xludf.DUMMYFUNCTION("JOIN("": "",H274,I274)"),"3E-26-00-00-00-00-00: Elementos de instalações prediais de eletricidade")</f>
        <v>3E-26-00-00-00-00-00: Elementos de instalações prediais de eletricidade</v>
      </c>
      <c r="K274" s="40"/>
      <c r="L274" s="41">
        <v>2</v>
      </c>
      <c r="M274" s="42"/>
      <c r="N274" s="43"/>
      <c r="O274" s="43"/>
      <c r="P274" s="43"/>
      <c r="Q274" s="44">
        <v>5</v>
      </c>
      <c r="R274" s="44">
        <v>5</v>
      </c>
      <c r="S274" s="44">
        <v>6</v>
      </c>
      <c r="T274" s="44">
        <v>26</v>
      </c>
      <c r="U274" s="45" t="b">
        <f ca="1"/>
        <v>0</v>
      </c>
      <c r="W274" s="7" t="str">
        <f>MID(H274, 1, FIND("-", H274, FIND("-", H274)+1)-1)</f>
        <v>3E-26</v>
      </c>
      <c r="X274" s="12" t="s">
        <v>4470</v>
      </c>
      <c r="Y274" s="10">
        <v>26</v>
      </c>
      <c r="Z274" s="7" t="str">
        <f>SUBSTITUTE(I274, "Elementos de ", "")</f>
        <v>instalações prediais de eletricidade</v>
      </c>
    </row>
    <row r="275" spans="1:32" ht="12.75" hidden="1">
      <c r="A275" s="47" t="s">
        <v>1089</v>
      </c>
      <c r="B275" s="48"/>
      <c r="C275" s="48"/>
      <c r="D275" s="48"/>
      <c r="E275" s="48"/>
      <c r="F275" s="48"/>
      <c r="G275" s="48"/>
      <c r="H275" s="49" t="s">
        <v>1090</v>
      </c>
      <c r="I275" s="49" t="s">
        <v>1091</v>
      </c>
      <c r="J275" s="50" t="str">
        <f ca="1">IFERROR(__xludf.DUMMYFUNCTION("JOIN("": "",H275,I275)"),"3E-26-02-00-00-00-00: Ramais de fornecimento de corrente")</f>
        <v>3E-26-02-00-00-00-00: Ramais de fornecimento de corrente</v>
      </c>
      <c r="K275" s="51"/>
      <c r="L275" s="52">
        <v>3</v>
      </c>
      <c r="M275" s="53"/>
      <c r="N275" s="53"/>
      <c r="O275" s="53"/>
      <c r="P275" s="53"/>
      <c r="Q275" s="54"/>
      <c r="R275" s="54"/>
      <c r="S275" s="54"/>
      <c r="T275" s="55">
        <v>28</v>
      </c>
      <c r="U275" s="46" t="b">
        <f ca="1"/>
        <v>0</v>
      </c>
      <c r="X275" s="12" t="s">
        <v>4471</v>
      </c>
      <c r="Y275" s="10">
        <v>28</v>
      </c>
      <c r="AE275" s="7"/>
      <c r="AF275" s="35"/>
    </row>
    <row r="276" spans="1:32" ht="12.75" hidden="1">
      <c r="A276" s="56" t="s">
        <v>1093</v>
      </c>
      <c r="B276" s="58"/>
      <c r="C276" s="58"/>
      <c r="D276" s="58"/>
      <c r="E276" s="58"/>
      <c r="F276" s="58"/>
      <c r="G276" s="58"/>
      <c r="H276" s="59" t="s">
        <v>1094</v>
      </c>
      <c r="I276" s="59" t="s">
        <v>1095</v>
      </c>
      <c r="J276" s="60" t="str">
        <f ca="1">IFERROR(__xludf.DUMMYFUNCTION("JOIN("": "",H276,I276)"),"3E-26-02-02-00-00-00: Ramal de ligação")</f>
        <v>3E-26-02-02-00-00-00: Ramal de ligação</v>
      </c>
      <c r="K276" s="61"/>
      <c r="L276" s="62">
        <v>4</v>
      </c>
      <c r="M276" s="59"/>
      <c r="N276" s="59"/>
      <c r="O276" s="59"/>
      <c r="P276" s="59"/>
      <c r="Q276" s="63"/>
      <c r="R276" s="63"/>
      <c r="S276" s="63"/>
      <c r="T276" s="64">
        <v>30</v>
      </c>
      <c r="U276" s="45" t="b">
        <f ca="1"/>
        <v>0</v>
      </c>
      <c r="X276" s="12" t="s">
        <v>4472</v>
      </c>
      <c r="Y276" s="10">
        <v>30</v>
      </c>
    </row>
    <row r="277" spans="1:32" ht="12.75" hidden="1">
      <c r="A277" s="56" t="s">
        <v>1097</v>
      </c>
      <c r="B277" s="58"/>
      <c r="C277" s="58"/>
      <c r="D277" s="58"/>
      <c r="E277" s="58"/>
      <c r="F277" s="58"/>
      <c r="G277" s="58"/>
      <c r="H277" s="59" t="s">
        <v>1098</v>
      </c>
      <c r="I277" s="59" t="s">
        <v>1099</v>
      </c>
      <c r="J277" s="60" t="str">
        <f ca="1">IFERROR(__xludf.DUMMYFUNCTION("JOIN("": "",H277,I277)"),"3E-26-02-04-00-00-00: Ramal de entrada")</f>
        <v>3E-26-02-04-00-00-00: Ramal de entrada</v>
      </c>
      <c r="K277" s="61"/>
      <c r="L277" s="62">
        <v>4</v>
      </c>
      <c r="M277" s="59"/>
      <c r="N277" s="59"/>
      <c r="O277" s="59"/>
      <c r="P277" s="59"/>
      <c r="Q277" s="63"/>
      <c r="R277" s="63"/>
      <c r="S277" s="63"/>
      <c r="T277" s="64">
        <v>32</v>
      </c>
      <c r="U277" s="46" t="b">
        <f ca="1"/>
        <v>0</v>
      </c>
      <c r="X277" s="12" t="s">
        <v>4473</v>
      </c>
      <c r="Y277" s="10">
        <v>32</v>
      </c>
    </row>
    <row r="278" spans="1:32" ht="12.75" hidden="1">
      <c r="A278" s="56" t="s">
        <v>1101</v>
      </c>
      <c r="B278" s="58"/>
      <c r="C278" s="58"/>
      <c r="D278" s="58"/>
      <c r="E278" s="58"/>
      <c r="F278" s="58"/>
      <c r="G278" s="58"/>
      <c r="H278" s="59" t="s">
        <v>1102</v>
      </c>
      <c r="I278" s="59" t="s">
        <v>1103</v>
      </c>
      <c r="J278" s="60" t="str">
        <f ca="1">IFERROR(__xludf.DUMMYFUNCTION("JOIN("": "",H278,I278)"),"3E-26-02-06-00-00-00: Ramal alimentador")</f>
        <v>3E-26-02-06-00-00-00: Ramal alimentador</v>
      </c>
      <c r="K278" s="61"/>
      <c r="L278" s="62">
        <v>4</v>
      </c>
      <c r="M278" s="59"/>
      <c r="N278" s="59"/>
      <c r="O278" s="59"/>
      <c r="P278" s="59"/>
      <c r="Q278" s="63"/>
      <c r="R278" s="63"/>
      <c r="S278" s="63"/>
      <c r="T278" s="64">
        <v>34</v>
      </c>
      <c r="U278" s="45" t="b">
        <f ca="1"/>
        <v>0</v>
      </c>
      <c r="X278" s="12" t="s">
        <v>4474</v>
      </c>
      <c r="Y278" s="10">
        <v>34</v>
      </c>
      <c r="AE278" s="7"/>
      <c r="AF278" s="35"/>
    </row>
    <row r="279" spans="1:32" ht="12.75" hidden="1">
      <c r="A279" s="47" t="s">
        <v>1105</v>
      </c>
      <c r="B279" s="48"/>
      <c r="C279" s="48"/>
      <c r="D279" s="48"/>
      <c r="E279" s="48"/>
      <c r="F279" s="48"/>
      <c r="G279" s="48"/>
      <c r="H279" s="49" t="s">
        <v>1106</v>
      </c>
      <c r="I279" s="49" t="s">
        <v>1107</v>
      </c>
      <c r="J279" s="50" t="str">
        <f ca="1">IFERROR(__xludf.DUMMYFUNCTION("JOIN("": "",H279,I279)"),"3E-26-04-00-00-00-00: Elementos para a interrupção de corrente")</f>
        <v>3E-26-04-00-00-00-00: Elementos para a interrupção de corrente</v>
      </c>
      <c r="K279" s="51"/>
      <c r="L279" s="52">
        <v>3</v>
      </c>
      <c r="M279" s="53"/>
      <c r="N279" s="53"/>
      <c r="O279" s="53"/>
      <c r="P279" s="53"/>
      <c r="Q279" s="54"/>
      <c r="R279" s="54"/>
      <c r="S279" s="54"/>
      <c r="T279" s="55">
        <v>30</v>
      </c>
      <c r="U279" s="46" t="b">
        <f ca="1"/>
        <v>0</v>
      </c>
      <c r="X279" s="12" t="s">
        <v>4475</v>
      </c>
      <c r="Y279" s="10">
        <v>30</v>
      </c>
    </row>
    <row r="280" spans="1:32" ht="12.75" hidden="1">
      <c r="A280" s="56" t="s">
        <v>1109</v>
      </c>
      <c r="B280" s="58"/>
      <c r="C280" s="58"/>
      <c r="D280" s="58"/>
      <c r="E280" s="58"/>
      <c r="F280" s="58"/>
      <c r="G280" s="58"/>
      <c r="H280" s="59" t="s">
        <v>1110</v>
      </c>
      <c r="I280" s="59" t="s">
        <v>1111</v>
      </c>
      <c r="J280" s="60" t="str">
        <f ca="1">IFERROR(__xludf.DUMMYFUNCTION("JOIN("": "",H280,I280)"),"3E-26-04-02-00-00-00: Fusíveis")</f>
        <v>3E-26-04-02-00-00-00: Fusíveis</v>
      </c>
      <c r="K280" s="61"/>
      <c r="L280" s="62">
        <v>4</v>
      </c>
      <c r="M280" s="59"/>
      <c r="N280" s="59"/>
      <c r="O280" s="59"/>
      <c r="P280" s="59"/>
      <c r="Q280" s="63"/>
      <c r="R280" s="63"/>
      <c r="S280" s="63"/>
      <c r="T280" s="64">
        <v>32</v>
      </c>
      <c r="U280" s="45" t="b">
        <f ca="1"/>
        <v>0</v>
      </c>
      <c r="X280" s="12" t="s">
        <v>4476</v>
      </c>
      <c r="Y280" s="10">
        <v>32</v>
      </c>
      <c r="AE280" s="7"/>
      <c r="AF280" s="35"/>
    </row>
    <row r="281" spans="1:32" ht="12.75" hidden="1">
      <c r="A281" s="65" t="s">
        <v>1113</v>
      </c>
      <c r="B281" s="67"/>
      <c r="C281" s="67"/>
      <c r="D281" s="67"/>
      <c r="E281" s="67"/>
      <c r="F281" s="67"/>
      <c r="G281" s="67"/>
      <c r="H281" s="68" t="s">
        <v>1114</v>
      </c>
      <c r="I281" s="68" t="s">
        <v>1115</v>
      </c>
      <c r="J281" s="69" t="str">
        <f ca="1">IFERROR(__xludf.DUMMYFUNCTION("JOIN("": "",H281,I281)"),"3E-26-04-02-02-00-00: Fusível para proteção de uso geral")</f>
        <v>3E-26-04-02-02-00-00: Fusível para proteção de uso geral</v>
      </c>
      <c r="K281" s="70"/>
      <c r="L281" s="71">
        <v>5</v>
      </c>
      <c r="M281" s="68"/>
      <c r="N281" s="68"/>
      <c r="O281" s="68"/>
      <c r="P281" s="68"/>
      <c r="Q281" s="72"/>
      <c r="R281" s="72"/>
      <c r="S281" s="72"/>
      <c r="T281" s="73">
        <v>34</v>
      </c>
      <c r="U281" s="46" t="b">
        <f ca="1"/>
        <v>0</v>
      </c>
      <c r="X281" s="12" t="s">
        <v>4477</v>
      </c>
      <c r="Y281" s="10">
        <v>34</v>
      </c>
      <c r="AE281" s="7"/>
      <c r="AF281" s="35"/>
    </row>
    <row r="282" spans="1:32" ht="12.75" hidden="1">
      <c r="A282" s="65" t="s">
        <v>1117</v>
      </c>
      <c r="B282" s="67"/>
      <c r="C282" s="67"/>
      <c r="D282" s="67"/>
      <c r="E282" s="67"/>
      <c r="F282" s="67"/>
      <c r="G282" s="67"/>
      <c r="H282" s="68" t="s">
        <v>1118</v>
      </c>
      <c r="I282" s="68" t="s">
        <v>1119</v>
      </c>
      <c r="J282" s="69" t="str">
        <f ca="1">IFERROR(__xludf.DUMMYFUNCTION("JOIN("": "",H282,I282)"),"3E-26-04-02-04-00-00: Fusível de circuitos motores")</f>
        <v>3E-26-04-02-04-00-00: Fusível de circuitos motores</v>
      </c>
      <c r="K282" s="70"/>
      <c r="L282" s="71">
        <v>5</v>
      </c>
      <c r="M282" s="68"/>
      <c r="N282" s="68"/>
      <c r="O282" s="68"/>
      <c r="P282" s="68"/>
      <c r="Q282" s="72"/>
      <c r="R282" s="72"/>
      <c r="S282" s="72"/>
      <c r="T282" s="73">
        <v>36</v>
      </c>
      <c r="U282" s="45" t="b">
        <f ca="1"/>
        <v>0</v>
      </c>
      <c r="X282" s="12" t="s">
        <v>4478</v>
      </c>
      <c r="Y282" s="10">
        <v>36</v>
      </c>
    </row>
    <row r="283" spans="1:32" ht="12.75" hidden="1">
      <c r="A283" s="65" t="s">
        <v>1121</v>
      </c>
      <c r="B283" s="67"/>
      <c r="C283" s="67"/>
      <c r="D283" s="67"/>
      <c r="E283" s="67"/>
      <c r="F283" s="67"/>
      <c r="G283" s="67"/>
      <c r="H283" s="68" t="s">
        <v>1122</v>
      </c>
      <c r="I283" s="68" t="s">
        <v>1123</v>
      </c>
      <c r="J283" s="69" t="str">
        <f ca="1">IFERROR(__xludf.DUMMYFUNCTION("JOIN("": "",H283,I283)"),"3E-26-04-02-06-00-00: Fusível para proteção de semicondutores")</f>
        <v>3E-26-04-02-06-00-00: Fusível para proteção de semicondutores</v>
      </c>
      <c r="K283" s="70"/>
      <c r="L283" s="71">
        <v>5</v>
      </c>
      <c r="M283" s="68"/>
      <c r="N283" s="68"/>
      <c r="O283" s="68"/>
      <c r="P283" s="68"/>
      <c r="Q283" s="72"/>
      <c r="R283" s="72"/>
      <c r="S283" s="72"/>
      <c r="T283" s="73">
        <v>38</v>
      </c>
      <c r="U283" s="46" t="b">
        <f ca="1"/>
        <v>0</v>
      </c>
      <c r="X283" s="12" t="s">
        <v>4479</v>
      </c>
      <c r="Y283" s="10">
        <v>38</v>
      </c>
      <c r="AE283" s="7"/>
      <c r="AF283" s="35"/>
    </row>
    <row r="284" spans="1:32" ht="12.75" hidden="1">
      <c r="A284" s="56" t="s">
        <v>1125</v>
      </c>
      <c r="B284" s="58"/>
      <c r="C284" s="58"/>
      <c r="D284" s="58"/>
      <c r="E284" s="58"/>
      <c r="F284" s="58"/>
      <c r="G284" s="58"/>
      <c r="H284" s="59" t="s">
        <v>1126</v>
      </c>
      <c r="I284" s="59" t="s">
        <v>1127</v>
      </c>
      <c r="J284" s="60" t="str">
        <f ca="1">IFERROR(__xludf.DUMMYFUNCTION("JOIN("": "",H284,I284)"),"3E-26-04-04-00-00-00: Disjuntores")</f>
        <v>3E-26-04-04-00-00-00: Disjuntores</v>
      </c>
      <c r="K284" s="61"/>
      <c r="L284" s="62">
        <v>4</v>
      </c>
      <c r="M284" s="59"/>
      <c r="N284" s="59"/>
      <c r="O284" s="59"/>
      <c r="P284" s="59"/>
      <c r="Q284" s="63"/>
      <c r="R284" s="63"/>
      <c r="S284" s="63"/>
      <c r="T284" s="64">
        <v>34</v>
      </c>
      <c r="U284" s="45" t="b">
        <f ca="1"/>
        <v>0</v>
      </c>
      <c r="X284" s="12" t="s">
        <v>4480</v>
      </c>
      <c r="Y284" s="10">
        <v>34</v>
      </c>
      <c r="AE284" s="7"/>
      <c r="AF284" s="35"/>
    </row>
    <row r="285" spans="1:32" ht="12.75" hidden="1">
      <c r="A285" s="56" t="s">
        <v>1129</v>
      </c>
      <c r="B285" s="58"/>
      <c r="C285" s="58"/>
      <c r="D285" s="58"/>
      <c r="E285" s="58"/>
      <c r="F285" s="58"/>
      <c r="G285" s="58"/>
      <c r="H285" s="59" t="s">
        <v>1130</v>
      </c>
      <c r="I285" s="59" t="s">
        <v>1131</v>
      </c>
      <c r="J285" s="60" t="str">
        <f ca="1">IFERROR(__xludf.DUMMYFUNCTION("JOIN("": "",H285,I285)"),"3E-26-04-06-00-00-00: Dispositivo diferencial-residual (DR)")</f>
        <v>3E-26-04-06-00-00-00: Dispositivo diferencial-residual (DR)</v>
      </c>
      <c r="K285" s="61"/>
      <c r="L285" s="62">
        <v>4</v>
      </c>
      <c r="M285" s="59"/>
      <c r="N285" s="59"/>
      <c r="O285" s="59"/>
      <c r="P285" s="59"/>
      <c r="Q285" s="63"/>
      <c r="R285" s="63"/>
      <c r="S285" s="63"/>
      <c r="T285" s="64">
        <v>36</v>
      </c>
      <c r="U285" s="46" t="b">
        <f ca="1"/>
        <v>0</v>
      </c>
      <c r="X285" s="12" t="s">
        <v>4481</v>
      </c>
      <c r="Y285" s="10">
        <v>36</v>
      </c>
      <c r="AE285" s="7"/>
      <c r="AF285" s="35"/>
    </row>
    <row r="286" spans="1:32" ht="12.75" hidden="1">
      <c r="A286" s="47" t="s">
        <v>1133</v>
      </c>
      <c r="B286" s="48"/>
      <c r="C286" s="48"/>
      <c r="D286" s="48"/>
      <c r="E286" s="48"/>
      <c r="F286" s="48"/>
      <c r="G286" s="48"/>
      <c r="H286" s="49" t="s">
        <v>1134</v>
      </c>
      <c r="I286" s="49" t="s">
        <v>1135</v>
      </c>
      <c r="J286" s="50" t="str">
        <f ca="1">IFERROR(__xludf.DUMMYFUNCTION("JOIN("": "",H286,I286)"),"3E-26-06-00-00-00-00: Elementos para o isolamento de corrente")</f>
        <v>3E-26-06-00-00-00-00: Elementos para o isolamento de corrente</v>
      </c>
      <c r="K286" s="51"/>
      <c r="L286" s="52">
        <v>3</v>
      </c>
      <c r="M286" s="53"/>
      <c r="N286" s="53"/>
      <c r="O286" s="53"/>
      <c r="P286" s="53"/>
      <c r="Q286" s="54"/>
      <c r="R286" s="54"/>
      <c r="S286" s="54"/>
      <c r="T286" s="55">
        <v>32</v>
      </c>
      <c r="U286" s="45" t="b">
        <f ca="1"/>
        <v>0</v>
      </c>
      <c r="X286" s="12" t="s">
        <v>4482</v>
      </c>
      <c r="Y286" s="10">
        <v>32</v>
      </c>
      <c r="AE286" s="7"/>
      <c r="AF286" s="35"/>
    </row>
    <row r="287" spans="1:32" ht="12.75" hidden="1">
      <c r="A287" s="56" t="s">
        <v>1137</v>
      </c>
      <c r="B287" s="58"/>
      <c r="C287" s="58"/>
      <c r="D287" s="58"/>
      <c r="E287" s="58"/>
      <c r="F287" s="58"/>
      <c r="G287" s="58"/>
      <c r="H287" s="59" t="s">
        <v>1138</v>
      </c>
      <c r="I287" s="59" t="s">
        <v>1139</v>
      </c>
      <c r="J287" s="60" t="str">
        <f ca="1">IFERROR(__xludf.DUMMYFUNCTION("JOIN("": "",H287,I287)"),"3E-26-06-02-00-00-00: Seccionador")</f>
        <v>3E-26-06-02-00-00-00: Seccionador</v>
      </c>
      <c r="K287" s="61"/>
      <c r="L287" s="62">
        <v>4</v>
      </c>
      <c r="M287" s="59"/>
      <c r="N287" s="59"/>
      <c r="O287" s="59"/>
      <c r="P287" s="59"/>
      <c r="Q287" s="63"/>
      <c r="R287" s="63"/>
      <c r="S287" s="63"/>
      <c r="T287" s="64">
        <v>34</v>
      </c>
      <c r="U287" s="46" t="b">
        <f ca="1"/>
        <v>0</v>
      </c>
      <c r="X287" s="12" t="s">
        <v>4483</v>
      </c>
      <c r="Y287" s="10">
        <v>34</v>
      </c>
    </row>
    <row r="288" spans="1:32" ht="12.75" hidden="1">
      <c r="A288" s="56" t="s">
        <v>1141</v>
      </c>
      <c r="B288" s="58"/>
      <c r="C288" s="58"/>
      <c r="D288" s="58"/>
      <c r="E288" s="58"/>
      <c r="F288" s="58"/>
      <c r="G288" s="58"/>
      <c r="H288" s="59" t="s">
        <v>1142</v>
      </c>
      <c r="I288" s="59" t="s">
        <v>1143</v>
      </c>
      <c r="J288" s="60" t="str">
        <f ca="1">IFERROR(__xludf.DUMMYFUNCTION("JOIN("": "",H288,I288)"),"3E-26-06-04-00-00-00: Isolador")</f>
        <v>3E-26-06-04-00-00-00: Isolador</v>
      </c>
      <c r="K288" s="61"/>
      <c r="L288" s="62">
        <v>4</v>
      </c>
      <c r="M288" s="59"/>
      <c r="N288" s="59"/>
      <c r="O288" s="59"/>
      <c r="P288" s="59"/>
      <c r="Q288" s="63"/>
      <c r="R288" s="63"/>
      <c r="S288" s="63"/>
      <c r="T288" s="64">
        <v>36</v>
      </c>
      <c r="U288" s="45" t="b">
        <f ca="1"/>
        <v>0</v>
      </c>
      <c r="X288" s="12" t="s">
        <v>4484</v>
      </c>
      <c r="Y288" s="10">
        <v>36</v>
      </c>
    </row>
    <row r="289" spans="1:32" ht="12.75" hidden="1">
      <c r="A289" s="56" t="s">
        <v>1145</v>
      </c>
      <c r="B289" s="58"/>
      <c r="C289" s="58"/>
      <c r="D289" s="58"/>
      <c r="E289" s="58"/>
      <c r="F289" s="58"/>
      <c r="G289" s="58"/>
      <c r="H289" s="59" t="s">
        <v>1146</v>
      </c>
      <c r="I289" s="59" t="s">
        <v>1147</v>
      </c>
      <c r="J289" s="60" t="str">
        <f ca="1">IFERROR(__xludf.DUMMYFUNCTION("JOIN("": "",H289,I289)"),"3E-26-06-06-00-00-00: Resistor de aterramento")</f>
        <v>3E-26-06-06-00-00-00: Resistor de aterramento</v>
      </c>
      <c r="K289" s="61"/>
      <c r="L289" s="62">
        <v>4</v>
      </c>
      <c r="M289" s="59"/>
      <c r="N289" s="59"/>
      <c r="O289" s="59"/>
      <c r="P289" s="59"/>
      <c r="Q289" s="63"/>
      <c r="R289" s="63"/>
      <c r="S289" s="63"/>
      <c r="T289" s="64">
        <v>38</v>
      </c>
      <c r="U289" s="46" t="b">
        <f ca="1"/>
        <v>0</v>
      </c>
      <c r="X289" s="12" t="s">
        <v>4485</v>
      </c>
      <c r="Y289" s="10">
        <v>38</v>
      </c>
    </row>
    <row r="290" spans="1:32" ht="12.75" hidden="1">
      <c r="A290" s="56" t="s">
        <v>1149</v>
      </c>
      <c r="B290" s="58"/>
      <c r="C290" s="58"/>
      <c r="D290" s="58"/>
      <c r="E290" s="58"/>
      <c r="F290" s="58"/>
      <c r="G290" s="58"/>
      <c r="H290" s="59" t="s">
        <v>1150</v>
      </c>
      <c r="I290" s="59" t="s">
        <v>1151</v>
      </c>
      <c r="J290" s="60" t="str">
        <f ca="1">IFERROR(__xludf.DUMMYFUNCTION("JOIN("": "",H290,I290)"),"3E-26-06-08-00-00-00: Disparador diferencial")</f>
        <v>3E-26-06-08-00-00-00: Disparador diferencial</v>
      </c>
      <c r="K290" s="61"/>
      <c r="L290" s="62">
        <v>4</v>
      </c>
      <c r="M290" s="59"/>
      <c r="N290" s="59"/>
      <c r="O290" s="59"/>
      <c r="P290" s="59"/>
      <c r="Q290" s="63"/>
      <c r="R290" s="63"/>
      <c r="S290" s="63"/>
      <c r="T290" s="64">
        <v>40</v>
      </c>
      <c r="U290" s="45" t="b">
        <f ca="1"/>
        <v>0</v>
      </c>
      <c r="X290" s="12" t="s">
        <v>4486</v>
      </c>
      <c r="Y290" s="10">
        <v>40</v>
      </c>
      <c r="AE290" s="7"/>
      <c r="AF290" s="35"/>
    </row>
    <row r="291" spans="1:32" ht="12.75" hidden="1">
      <c r="A291" s="56" t="s">
        <v>1153</v>
      </c>
      <c r="B291" s="58"/>
      <c r="C291" s="58"/>
      <c r="D291" s="58"/>
      <c r="E291" s="58"/>
      <c r="F291" s="58"/>
      <c r="G291" s="58"/>
      <c r="H291" s="59" t="s">
        <v>1154</v>
      </c>
      <c r="I291" s="59" t="s">
        <v>1155</v>
      </c>
      <c r="J291" s="60" t="str">
        <f ca="1">IFERROR(__xludf.DUMMYFUNCTION("JOIN("": "",H291,I291)"),"3E-26-06-10-00-00-00: Limitador de sobretensões")</f>
        <v>3E-26-06-10-00-00-00: Limitador de sobretensões</v>
      </c>
      <c r="K291" s="61"/>
      <c r="L291" s="62">
        <v>4</v>
      </c>
      <c r="M291" s="59"/>
      <c r="N291" s="59"/>
      <c r="O291" s="59"/>
      <c r="P291" s="59"/>
      <c r="Q291" s="63"/>
      <c r="R291" s="63"/>
      <c r="S291" s="63"/>
      <c r="T291" s="64">
        <v>42</v>
      </c>
      <c r="U291" s="46" t="b">
        <f ca="1"/>
        <v>0</v>
      </c>
      <c r="X291" s="12" t="s">
        <v>4487</v>
      </c>
      <c r="Y291" s="10">
        <v>42</v>
      </c>
    </row>
    <row r="292" spans="1:32" ht="12.75" hidden="1">
      <c r="A292" s="47" t="s">
        <v>1157</v>
      </c>
      <c r="B292" s="48"/>
      <c r="C292" s="48"/>
      <c r="D292" s="48"/>
      <c r="E292" s="48"/>
      <c r="F292" s="48"/>
      <c r="G292" s="48"/>
      <c r="H292" s="49" t="s">
        <v>1158</v>
      </c>
      <c r="I292" s="49" t="s">
        <v>1159</v>
      </c>
      <c r="J292" s="50" t="str">
        <f ca="1">IFERROR(__xludf.DUMMYFUNCTION("JOIN("": "",H292,I292)"),"3E-26-08-00-00-00-00: Elementos para a estabilização de corrente")</f>
        <v>3E-26-08-00-00-00-00: Elementos para a estabilização de corrente</v>
      </c>
      <c r="K292" s="51"/>
      <c r="L292" s="52">
        <v>3</v>
      </c>
      <c r="M292" s="53"/>
      <c r="N292" s="53"/>
      <c r="O292" s="53"/>
      <c r="P292" s="53"/>
      <c r="Q292" s="54"/>
      <c r="R292" s="54"/>
      <c r="S292" s="54"/>
      <c r="T292" s="55">
        <v>34</v>
      </c>
      <c r="U292" s="45" t="b">
        <f ca="1"/>
        <v>0</v>
      </c>
      <c r="X292" s="12" t="s">
        <v>4488</v>
      </c>
      <c r="Y292" s="10">
        <v>34</v>
      </c>
    </row>
    <row r="293" spans="1:32" ht="12.75" hidden="1">
      <c r="A293" s="56" t="s">
        <v>1161</v>
      </c>
      <c r="B293" s="58"/>
      <c r="C293" s="58"/>
      <c r="D293" s="58"/>
      <c r="E293" s="58"/>
      <c r="F293" s="58"/>
      <c r="G293" s="58"/>
      <c r="H293" s="59" t="s">
        <v>1162</v>
      </c>
      <c r="I293" s="59" t="s">
        <v>1163</v>
      </c>
      <c r="J293" s="60" t="str">
        <f ca="1">IFERROR(__xludf.DUMMYFUNCTION("JOIN("": "",H293,I293)"),"3E-26-08-02-00-00-00: Dispositivo de proteção contra sobretensões elétricas (DPS-e)")</f>
        <v>3E-26-08-02-00-00-00: Dispositivo de proteção contra sobretensões elétricas (DPS-e)</v>
      </c>
      <c r="K293" s="61"/>
      <c r="L293" s="62">
        <v>4</v>
      </c>
      <c r="M293" s="59"/>
      <c r="N293" s="59"/>
      <c r="O293" s="59"/>
      <c r="P293" s="59"/>
      <c r="Q293" s="63"/>
      <c r="R293" s="63"/>
      <c r="S293" s="63"/>
      <c r="T293" s="64">
        <v>36</v>
      </c>
      <c r="U293" s="46" t="b">
        <f ca="1"/>
        <v>0</v>
      </c>
      <c r="X293" s="12" t="s">
        <v>4489</v>
      </c>
      <c r="Y293" s="10">
        <v>36</v>
      </c>
    </row>
    <row r="294" spans="1:32" ht="12.75" hidden="1">
      <c r="A294" s="56" t="s">
        <v>1165</v>
      </c>
      <c r="B294" s="58"/>
      <c r="C294" s="58"/>
      <c r="D294" s="58"/>
      <c r="E294" s="58"/>
      <c r="F294" s="58"/>
      <c r="G294" s="58"/>
      <c r="H294" s="59" t="s">
        <v>1166</v>
      </c>
      <c r="I294" s="59" t="s">
        <v>1167</v>
      </c>
      <c r="J294" s="60" t="str">
        <f ca="1">IFERROR(__xludf.DUMMYFUNCTION("JOIN("": "",H294,I294)"),"3E-26-08-04-00-00-00: Dispositivo de proteção contra surtos")</f>
        <v>3E-26-08-04-00-00-00: Dispositivo de proteção contra surtos</v>
      </c>
      <c r="K294" s="61"/>
      <c r="L294" s="62">
        <v>4</v>
      </c>
      <c r="M294" s="59"/>
      <c r="N294" s="59"/>
      <c r="O294" s="59"/>
      <c r="P294" s="59"/>
      <c r="Q294" s="63"/>
      <c r="R294" s="63"/>
      <c r="S294" s="63"/>
      <c r="T294" s="64">
        <v>38</v>
      </c>
      <c r="U294" s="45" t="b">
        <f ca="1"/>
        <v>0</v>
      </c>
      <c r="X294" s="12" t="s">
        <v>4490</v>
      </c>
      <c r="Y294" s="10">
        <v>38</v>
      </c>
    </row>
    <row r="295" spans="1:32" ht="12.75" hidden="1">
      <c r="A295" s="56" t="s">
        <v>1169</v>
      </c>
      <c r="B295" s="58"/>
      <c r="C295" s="58"/>
      <c r="D295" s="58"/>
      <c r="E295" s="58"/>
      <c r="F295" s="58"/>
      <c r="G295" s="58"/>
      <c r="H295" s="59" t="s">
        <v>1170</v>
      </c>
      <c r="I295" s="59" t="s">
        <v>1171</v>
      </c>
      <c r="J295" s="60" t="str">
        <f ca="1">IFERROR(__xludf.DUMMYFUNCTION("JOIN("": "",H295,I295)"),"3E-26-08-06-00-00-00: Barramento de equipotencialização principal (BEP)")</f>
        <v>3E-26-08-06-00-00-00: Barramento de equipotencialização principal (BEP)</v>
      </c>
      <c r="K295" s="61"/>
      <c r="L295" s="62">
        <v>4</v>
      </c>
      <c r="M295" s="59"/>
      <c r="N295" s="59"/>
      <c r="O295" s="59"/>
      <c r="P295" s="59"/>
      <c r="Q295" s="63"/>
      <c r="R295" s="63"/>
      <c r="S295" s="63"/>
      <c r="T295" s="64">
        <v>40</v>
      </c>
      <c r="U295" s="46" t="b">
        <f ca="1"/>
        <v>0</v>
      </c>
      <c r="X295" s="12" t="s">
        <v>4491</v>
      </c>
      <c r="Y295" s="10">
        <v>40</v>
      </c>
      <c r="AE295" s="7"/>
      <c r="AF295" s="35"/>
    </row>
    <row r="296" spans="1:32" ht="12.75" hidden="1">
      <c r="A296" s="47" t="s">
        <v>1173</v>
      </c>
      <c r="B296" s="48"/>
      <c r="C296" s="48"/>
      <c r="D296" s="48"/>
      <c r="E296" s="48"/>
      <c r="F296" s="48"/>
      <c r="G296" s="48"/>
      <c r="H296" s="49" t="s">
        <v>1174</v>
      </c>
      <c r="I296" s="49" t="s">
        <v>1175</v>
      </c>
      <c r="J296" s="50" t="str">
        <f ca="1">IFERROR(__xludf.DUMMYFUNCTION("JOIN("": "",H296,I296)"),"3E-26-10-00-00-00-00: Elementos para dispersão de descargas elétricas")</f>
        <v>3E-26-10-00-00-00-00: Elementos para dispersão de descargas elétricas</v>
      </c>
      <c r="K296" s="51"/>
      <c r="L296" s="52">
        <v>3</v>
      </c>
      <c r="M296" s="53"/>
      <c r="N296" s="53"/>
      <c r="O296" s="53"/>
      <c r="P296" s="53"/>
      <c r="Q296" s="54"/>
      <c r="R296" s="54"/>
      <c r="S296" s="54"/>
      <c r="T296" s="55">
        <v>36</v>
      </c>
      <c r="U296" s="45" t="b">
        <f ca="1"/>
        <v>0</v>
      </c>
      <c r="X296" s="12" t="s">
        <v>4492</v>
      </c>
      <c r="Y296" s="10">
        <v>36</v>
      </c>
    </row>
    <row r="297" spans="1:32" ht="12.75" hidden="1">
      <c r="A297" s="56" t="s">
        <v>1177</v>
      </c>
      <c r="B297" s="58"/>
      <c r="C297" s="58"/>
      <c r="D297" s="58"/>
      <c r="E297" s="58"/>
      <c r="F297" s="58"/>
      <c r="G297" s="58"/>
      <c r="H297" s="59" t="s">
        <v>1178</v>
      </c>
      <c r="I297" s="59" t="s">
        <v>1179</v>
      </c>
      <c r="J297" s="60" t="str">
        <f ca="1">IFERROR(__xludf.DUMMYFUNCTION("JOIN("": "",H297,I297)"),"3E-26-10-02-00-00-00: Aterramento funcional")</f>
        <v>3E-26-10-02-00-00-00: Aterramento funcional</v>
      </c>
      <c r="K297" s="61"/>
      <c r="L297" s="62">
        <v>4</v>
      </c>
      <c r="M297" s="59"/>
      <c r="N297" s="59"/>
      <c r="O297" s="59"/>
      <c r="P297" s="59"/>
      <c r="Q297" s="63"/>
      <c r="R297" s="63"/>
      <c r="S297" s="63"/>
      <c r="T297" s="64">
        <v>38</v>
      </c>
      <c r="U297" s="46" t="b">
        <f ca="1"/>
        <v>0</v>
      </c>
      <c r="X297" s="12" t="s">
        <v>4493</v>
      </c>
      <c r="Y297" s="10">
        <v>38</v>
      </c>
    </row>
    <row r="298" spans="1:32" ht="12.75" hidden="1">
      <c r="A298" s="56" t="s">
        <v>1181</v>
      </c>
      <c r="B298" s="58"/>
      <c r="C298" s="58"/>
      <c r="D298" s="58"/>
      <c r="E298" s="58"/>
      <c r="F298" s="58"/>
      <c r="G298" s="58"/>
      <c r="H298" s="59" t="s">
        <v>1182</v>
      </c>
      <c r="I298" s="59" t="s">
        <v>1183</v>
      </c>
      <c r="J298" s="60" t="str">
        <f ca="1">IFERROR(__xludf.DUMMYFUNCTION("JOIN("": "",H298,I298)"),"3E-26-10-04-00-00-00: Aterramento de proteção")</f>
        <v>3E-26-10-04-00-00-00: Aterramento de proteção</v>
      </c>
      <c r="K298" s="61"/>
      <c r="L298" s="62">
        <v>4</v>
      </c>
      <c r="M298" s="59"/>
      <c r="N298" s="59"/>
      <c r="O298" s="59"/>
      <c r="P298" s="59"/>
      <c r="Q298" s="63"/>
      <c r="R298" s="63"/>
      <c r="S298" s="63"/>
      <c r="T298" s="64">
        <v>40</v>
      </c>
      <c r="U298" s="45" t="b">
        <f ca="1"/>
        <v>0</v>
      </c>
      <c r="X298" s="12" t="s">
        <v>4494</v>
      </c>
      <c r="Y298" s="10">
        <v>40</v>
      </c>
    </row>
    <row r="299" spans="1:32" ht="12.75" hidden="1">
      <c r="A299" s="56" t="s">
        <v>1185</v>
      </c>
      <c r="B299" s="58"/>
      <c r="C299" s="58"/>
      <c r="D299" s="58"/>
      <c r="E299" s="58"/>
      <c r="F299" s="58"/>
      <c r="G299" s="58"/>
      <c r="H299" s="59" t="s">
        <v>1186</v>
      </c>
      <c r="I299" s="59" t="s">
        <v>1187</v>
      </c>
      <c r="J299" s="60" t="str">
        <f ca="1">IFERROR(__xludf.DUMMYFUNCTION("JOIN("": "",H299,I299)"),"3E-26-10-06-00-00-00: Aterramento de trabalho")</f>
        <v>3E-26-10-06-00-00-00: Aterramento de trabalho</v>
      </c>
      <c r="K299" s="61"/>
      <c r="L299" s="62">
        <v>4</v>
      </c>
      <c r="M299" s="59"/>
      <c r="N299" s="59"/>
      <c r="O299" s="59"/>
      <c r="P299" s="59"/>
      <c r="Q299" s="63"/>
      <c r="R299" s="63"/>
      <c r="S299" s="63"/>
      <c r="T299" s="64">
        <v>42</v>
      </c>
      <c r="U299" s="46" t="b">
        <f ca="1"/>
        <v>0</v>
      </c>
      <c r="X299" s="12" t="s">
        <v>4495</v>
      </c>
      <c r="Y299" s="10">
        <v>42</v>
      </c>
      <c r="AE299" s="7"/>
      <c r="AF299" s="35"/>
    </row>
    <row r="300" spans="1:32" ht="12.75" hidden="1">
      <c r="A300" s="56" t="s">
        <v>1189</v>
      </c>
      <c r="B300" s="58"/>
      <c r="C300" s="58"/>
      <c r="D300" s="58"/>
      <c r="E300" s="58"/>
      <c r="F300" s="58"/>
      <c r="G300" s="58"/>
      <c r="H300" s="59" t="s">
        <v>1190</v>
      </c>
      <c r="I300" s="59" t="s">
        <v>1191</v>
      </c>
      <c r="J300" s="60" t="str">
        <f ca="1">IFERROR(__xludf.DUMMYFUNCTION("JOIN("": "",H300,I300)"),"3E-26-10-08-00-00-00: Aterramento para entrada de energia/entrada de serviço")</f>
        <v>3E-26-10-08-00-00-00: Aterramento para entrada de energia/entrada de serviço</v>
      </c>
      <c r="K300" s="61"/>
      <c r="L300" s="62">
        <v>4</v>
      </c>
      <c r="M300" s="59"/>
      <c r="N300" s="59"/>
      <c r="O300" s="59"/>
      <c r="P300" s="59"/>
      <c r="Q300" s="63"/>
      <c r="R300" s="63"/>
      <c r="S300" s="63"/>
      <c r="T300" s="64">
        <v>44</v>
      </c>
      <c r="U300" s="45" t="b">
        <f ca="1"/>
        <v>0</v>
      </c>
      <c r="X300" s="12" t="s">
        <v>4496</v>
      </c>
      <c r="Y300" s="10">
        <v>44</v>
      </c>
    </row>
    <row r="301" spans="1:32" ht="12.75" hidden="1">
      <c r="A301" s="56" t="s">
        <v>1193</v>
      </c>
      <c r="B301" s="58"/>
      <c r="C301" s="58"/>
      <c r="D301" s="58"/>
      <c r="E301" s="58"/>
      <c r="F301" s="58"/>
      <c r="G301" s="58"/>
      <c r="H301" s="59" t="s">
        <v>1194</v>
      </c>
      <c r="I301" s="59" t="s">
        <v>1195</v>
      </c>
      <c r="J301" s="60" t="str">
        <f ca="1">IFERROR(__xludf.DUMMYFUNCTION("JOIN("": "",H301,I301)"),"3E-26-10-10-00-00-00: Rede captora de descargas")</f>
        <v>3E-26-10-10-00-00-00: Rede captora de descargas</v>
      </c>
      <c r="K301" s="61"/>
      <c r="L301" s="62">
        <v>4</v>
      </c>
      <c r="M301" s="59"/>
      <c r="N301" s="59"/>
      <c r="O301" s="59"/>
      <c r="P301" s="59"/>
      <c r="Q301" s="63"/>
      <c r="R301" s="63"/>
      <c r="S301" s="63"/>
      <c r="T301" s="64">
        <v>46</v>
      </c>
      <c r="U301" s="46" t="b">
        <f ca="1"/>
        <v>0</v>
      </c>
      <c r="X301" s="12" t="s">
        <v>4497</v>
      </c>
      <c r="Y301" s="10">
        <v>46</v>
      </c>
    </row>
    <row r="302" spans="1:32" ht="12.75" hidden="1">
      <c r="A302" s="56" t="s">
        <v>1197</v>
      </c>
      <c r="B302" s="58"/>
      <c r="C302" s="58"/>
      <c r="D302" s="58"/>
      <c r="E302" s="58"/>
      <c r="F302" s="58"/>
      <c r="G302" s="58"/>
      <c r="H302" s="59" t="s">
        <v>1198</v>
      </c>
      <c r="I302" s="59" t="s">
        <v>1199</v>
      </c>
      <c r="J302" s="60" t="str">
        <f ca="1">IFERROR(__xludf.DUMMYFUNCTION("JOIN("": "",H302,I302)"),"3E-26-10-12-00-00-00: Eletrodo para a dispersão de descargas elétricas")</f>
        <v>3E-26-10-12-00-00-00: Eletrodo para a dispersão de descargas elétricas</v>
      </c>
      <c r="K302" s="61"/>
      <c r="L302" s="62">
        <v>4</v>
      </c>
      <c r="M302" s="59"/>
      <c r="N302" s="59"/>
      <c r="O302" s="59"/>
      <c r="P302" s="59"/>
      <c r="Q302" s="63"/>
      <c r="R302" s="63"/>
      <c r="S302" s="63"/>
      <c r="T302" s="64">
        <v>48</v>
      </c>
      <c r="U302" s="45" t="b">
        <f ca="1"/>
        <v>0</v>
      </c>
      <c r="X302" s="12" t="s">
        <v>4498</v>
      </c>
      <c r="Y302" s="10">
        <v>48</v>
      </c>
    </row>
    <row r="303" spans="1:32" ht="12.75" hidden="1">
      <c r="A303" s="56" t="s">
        <v>1201</v>
      </c>
      <c r="B303" s="58"/>
      <c r="C303" s="58"/>
      <c r="D303" s="58"/>
      <c r="E303" s="58"/>
      <c r="F303" s="58"/>
      <c r="G303" s="58"/>
      <c r="H303" s="59" t="s">
        <v>1202</v>
      </c>
      <c r="I303" s="59" t="s">
        <v>1203</v>
      </c>
      <c r="J303" s="60" t="str">
        <f ca="1">IFERROR(__xludf.DUMMYFUNCTION("JOIN("": "",H303,I303)"),"3E-26-10-14-00-00-00: Descida de descarga")</f>
        <v>3E-26-10-14-00-00-00: Descida de descarga</v>
      </c>
      <c r="K303" s="61"/>
      <c r="L303" s="62">
        <v>4</v>
      </c>
      <c r="M303" s="59"/>
      <c r="N303" s="59"/>
      <c r="O303" s="59"/>
      <c r="P303" s="59"/>
      <c r="Q303" s="63"/>
      <c r="R303" s="63"/>
      <c r="S303" s="63"/>
      <c r="T303" s="64">
        <v>50</v>
      </c>
      <c r="U303" s="46" t="b">
        <f ca="1"/>
        <v>0</v>
      </c>
      <c r="X303" s="12" t="s">
        <v>4499</v>
      </c>
      <c r="Y303" s="10">
        <v>50</v>
      </c>
    </row>
    <row r="304" spans="1:32" ht="12.75" hidden="1">
      <c r="A304" s="56" t="s">
        <v>1205</v>
      </c>
      <c r="B304" s="58"/>
      <c r="C304" s="58"/>
      <c r="D304" s="58"/>
      <c r="E304" s="58"/>
      <c r="F304" s="58"/>
      <c r="G304" s="58"/>
      <c r="H304" s="59" t="s">
        <v>1206</v>
      </c>
      <c r="I304" s="59" t="s">
        <v>1207</v>
      </c>
      <c r="J304" s="60" t="str">
        <f ca="1">IFERROR(__xludf.DUMMYFUNCTION("JOIN("": "",H304,I304)"),"3E-26-10-16-00-00-00: Condutor de descida")</f>
        <v>3E-26-10-16-00-00-00: Condutor de descida</v>
      </c>
      <c r="K304" s="61"/>
      <c r="L304" s="62">
        <v>4</v>
      </c>
      <c r="M304" s="59"/>
      <c r="N304" s="59"/>
      <c r="O304" s="59"/>
      <c r="P304" s="59"/>
      <c r="Q304" s="63"/>
      <c r="R304" s="63"/>
      <c r="S304" s="63"/>
      <c r="T304" s="64">
        <v>52</v>
      </c>
      <c r="U304" s="45" t="b">
        <f ca="1"/>
        <v>0</v>
      </c>
      <c r="X304" s="12" t="s">
        <v>4500</v>
      </c>
      <c r="Y304" s="10">
        <v>52</v>
      </c>
      <c r="AE304" s="7"/>
      <c r="AF304" s="35"/>
    </row>
    <row r="305" spans="1:32" ht="12.75" hidden="1">
      <c r="A305" s="56" t="s">
        <v>1209</v>
      </c>
      <c r="B305" s="58"/>
      <c r="C305" s="58"/>
      <c r="D305" s="58"/>
      <c r="E305" s="58"/>
      <c r="F305" s="58"/>
      <c r="G305" s="58"/>
      <c r="H305" s="59" t="s">
        <v>1210</v>
      </c>
      <c r="I305" s="59" t="s">
        <v>1211</v>
      </c>
      <c r="J305" s="60" t="str">
        <f ca="1">IFERROR(__xludf.DUMMYFUNCTION("JOIN("": "",H305,I305)"),"3E-26-10-18-00-00-00: Condutor de equipotencialização")</f>
        <v>3E-26-10-18-00-00-00: Condutor de equipotencialização</v>
      </c>
      <c r="K305" s="61"/>
      <c r="L305" s="62">
        <v>4</v>
      </c>
      <c r="M305" s="59"/>
      <c r="N305" s="59"/>
      <c r="O305" s="59"/>
      <c r="P305" s="59"/>
      <c r="Q305" s="63"/>
      <c r="R305" s="63"/>
      <c r="S305" s="63"/>
      <c r="T305" s="64">
        <v>54</v>
      </c>
      <c r="U305" s="46" t="b">
        <f ca="1"/>
        <v>0</v>
      </c>
      <c r="X305" s="12" t="s">
        <v>4501</v>
      </c>
      <c r="Y305" s="10">
        <v>54</v>
      </c>
    </row>
    <row r="306" spans="1:32" ht="12.75" hidden="1">
      <c r="A306" s="56" t="s">
        <v>1213</v>
      </c>
      <c r="B306" s="58"/>
      <c r="C306" s="58"/>
      <c r="D306" s="58"/>
      <c r="E306" s="58"/>
      <c r="F306" s="58"/>
      <c r="G306" s="58"/>
      <c r="H306" s="59" t="s">
        <v>1214</v>
      </c>
      <c r="I306" s="59" t="s">
        <v>1215</v>
      </c>
      <c r="J306" s="60" t="str">
        <f ca="1">IFERROR(__xludf.DUMMYFUNCTION("JOIN("": "",H306,I306)"),"3E-26-10-20-00-00-00: Barramento de equipotencialização funcional")</f>
        <v>3E-26-10-20-00-00-00: Barramento de equipotencialização funcional</v>
      </c>
      <c r="K306" s="61"/>
      <c r="L306" s="62">
        <v>4</v>
      </c>
      <c r="M306" s="59"/>
      <c r="N306" s="59"/>
      <c r="O306" s="59"/>
      <c r="P306" s="59"/>
      <c r="Q306" s="63"/>
      <c r="R306" s="63"/>
      <c r="S306" s="63"/>
      <c r="T306" s="64">
        <v>56</v>
      </c>
      <c r="U306" s="45" t="b">
        <f ca="1"/>
        <v>0</v>
      </c>
      <c r="X306" s="12" t="s">
        <v>4502</v>
      </c>
      <c r="Y306" s="10">
        <v>56</v>
      </c>
    </row>
    <row r="307" spans="1:32" ht="12.75" hidden="1">
      <c r="A307" s="56" t="s">
        <v>1217</v>
      </c>
      <c r="B307" s="58"/>
      <c r="C307" s="58"/>
      <c r="D307" s="58"/>
      <c r="E307" s="58"/>
      <c r="F307" s="58"/>
      <c r="G307" s="58"/>
      <c r="H307" s="59" t="s">
        <v>1218</v>
      </c>
      <c r="I307" s="59" t="s">
        <v>1219</v>
      </c>
      <c r="J307" s="60" t="str">
        <f ca="1">IFERROR(__xludf.DUMMYFUNCTION("JOIN("": "",H307,I307)"),"3E-26-10-22-00-00-00: Conector de medição")</f>
        <v>3E-26-10-22-00-00-00: Conector de medição</v>
      </c>
      <c r="K307" s="61"/>
      <c r="L307" s="62">
        <v>4</v>
      </c>
      <c r="M307" s="59"/>
      <c r="N307" s="59"/>
      <c r="O307" s="59"/>
      <c r="P307" s="59"/>
      <c r="Q307" s="63"/>
      <c r="R307" s="63"/>
      <c r="S307" s="63"/>
      <c r="T307" s="64">
        <v>58</v>
      </c>
      <c r="U307" s="46" t="b">
        <f ca="1"/>
        <v>0</v>
      </c>
      <c r="X307" s="12" t="s">
        <v>4503</v>
      </c>
      <c r="Y307" s="10">
        <v>58</v>
      </c>
      <c r="AE307" s="7"/>
      <c r="AF307" s="35"/>
    </row>
    <row r="308" spans="1:32" ht="12.75" hidden="1">
      <c r="A308" s="56" t="s">
        <v>1221</v>
      </c>
      <c r="B308" s="58"/>
      <c r="C308" s="58"/>
      <c r="D308" s="58"/>
      <c r="E308" s="58"/>
      <c r="F308" s="58"/>
      <c r="G308" s="58"/>
      <c r="H308" s="59" t="s">
        <v>1222</v>
      </c>
      <c r="I308" s="59" t="s">
        <v>1223</v>
      </c>
      <c r="J308" s="60" t="str">
        <f ca="1">IFERROR(__xludf.DUMMYFUNCTION("JOIN("": "",H308,I308)"),"3E-26-10-24-00-00-00: Anel de cintamento")</f>
        <v>3E-26-10-24-00-00-00: Anel de cintamento</v>
      </c>
      <c r="K308" s="61"/>
      <c r="L308" s="62">
        <v>4</v>
      </c>
      <c r="M308" s="59"/>
      <c r="N308" s="59"/>
      <c r="O308" s="59"/>
      <c r="P308" s="59"/>
      <c r="Q308" s="63"/>
      <c r="R308" s="63"/>
      <c r="S308" s="63"/>
      <c r="T308" s="64">
        <v>60</v>
      </c>
      <c r="U308" s="45" t="b">
        <f ca="1"/>
        <v>0</v>
      </c>
      <c r="X308" s="12" t="s">
        <v>4504</v>
      </c>
      <c r="Y308" s="10">
        <v>60</v>
      </c>
    </row>
    <row r="309" spans="1:32" ht="12.75" hidden="1">
      <c r="A309" s="56" t="s">
        <v>1225</v>
      </c>
      <c r="B309" s="58"/>
      <c r="C309" s="58"/>
      <c r="D309" s="58"/>
      <c r="E309" s="58"/>
      <c r="F309" s="58"/>
      <c r="G309" s="58"/>
      <c r="H309" s="59" t="s">
        <v>1226</v>
      </c>
      <c r="I309" s="59" t="s">
        <v>1227</v>
      </c>
      <c r="J309" s="60" t="str">
        <f ca="1">IFERROR(__xludf.DUMMYFUNCTION("JOIN("": "",H309,I309)"),"3E-26-10-26-00-00-00: Caixa de equalização")</f>
        <v>3E-26-10-26-00-00-00: Caixa de equalização</v>
      </c>
      <c r="K309" s="61"/>
      <c r="L309" s="62">
        <v>4</v>
      </c>
      <c r="M309" s="59"/>
      <c r="N309" s="59"/>
      <c r="O309" s="59"/>
      <c r="P309" s="59"/>
      <c r="Q309" s="63"/>
      <c r="R309" s="63"/>
      <c r="S309" s="63"/>
      <c r="T309" s="64">
        <v>62</v>
      </c>
      <c r="U309" s="46" t="b">
        <f ca="1"/>
        <v>0</v>
      </c>
      <c r="X309" s="12" t="s">
        <v>4505</v>
      </c>
      <c r="Y309" s="10">
        <v>62</v>
      </c>
    </row>
    <row r="310" spans="1:32" ht="12.75" hidden="1">
      <c r="A310" s="47" t="s">
        <v>1229</v>
      </c>
      <c r="B310" s="48"/>
      <c r="C310" s="48"/>
      <c r="D310" s="48"/>
      <c r="E310" s="48"/>
      <c r="F310" s="48"/>
      <c r="G310" s="48"/>
      <c r="H310" s="49" t="s">
        <v>1230</v>
      </c>
      <c r="I310" s="49" t="s">
        <v>1231</v>
      </c>
      <c r="J310" s="50" t="str">
        <f ca="1">IFERROR(__xludf.DUMMYFUNCTION("JOIN("": "",H310,I310)"),"3E-26-12-00-00-00-00: Elementos para a distribuição de corrente")</f>
        <v>3E-26-12-00-00-00-00: Elementos para a distribuição de corrente</v>
      </c>
      <c r="K310" s="51"/>
      <c r="L310" s="52">
        <v>3</v>
      </c>
      <c r="M310" s="53"/>
      <c r="N310" s="53"/>
      <c r="O310" s="53"/>
      <c r="P310" s="53"/>
      <c r="Q310" s="54"/>
      <c r="R310" s="54"/>
      <c r="S310" s="54"/>
      <c r="T310" s="55">
        <v>38</v>
      </c>
      <c r="U310" s="45" t="b">
        <f ca="1"/>
        <v>0</v>
      </c>
      <c r="X310" s="12" t="s">
        <v>4506</v>
      </c>
      <c r="Y310" s="10">
        <v>38</v>
      </c>
      <c r="AE310" s="7"/>
      <c r="AF310" s="35"/>
    </row>
    <row r="311" spans="1:32" ht="12.75" hidden="1">
      <c r="A311" s="56" t="s">
        <v>1233</v>
      </c>
      <c r="B311" s="58"/>
      <c r="C311" s="58"/>
      <c r="D311" s="58"/>
      <c r="E311" s="58"/>
      <c r="F311" s="58"/>
      <c r="G311" s="58"/>
      <c r="H311" s="59" t="s">
        <v>1234</v>
      </c>
      <c r="I311" s="59" t="s">
        <v>1235</v>
      </c>
      <c r="J311" s="60" t="str">
        <f ca="1">IFERROR(__xludf.DUMMYFUNCTION("JOIN("": "",H311,I311)"),"3E-26-12-02-00-00-00: Circuitos")</f>
        <v>3E-26-12-02-00-00-00: Circuitos</v>
      </c>
      <c r="K311" s="61"/>
      <c r="L311" s="62">
        <v>4</v>
      </c>
      <c r="M311" s="59"/>
      <c r="N311" s="59"/>
      <c r="O311" s="59"/>
      <c r="P311" s="59"/>
      <c r="Q311" s="63"/>
      <c r="R311" s="63"/>
      <c r="S311" s="63"/>
      <c r="T311" s="64">
        <v>40</v>
      </c>
      <c r="U311" s="46" t="b">
        <f ca="1"/>
        <v>0</v>
      </c>
      <c r="X311" s="12" t="s">
        <v>4507</v>
      </c>
      <c r="Y311" s="10">
        <v>40</v>
      </c>
      <c r="AE311" s="7"/>
      <c r="AF311" s="35"/>
    </row>
    <row r="312" spans="1:32" ht="12.75" hidden="1">
      <c r="A312" s="65" t="s">
        <v>1237</v>
      </c>
      <c r="B312" s="67"/>
      <c r="C312" s="67"/>
      <c r="D312" s="67"/>
      <c r="E312" s="67"/>
      <c r="F312" s="67"/>
      <c r="G312" s="67"/>
      <c r="H312" s="68" t="s">
        <v>1238</v>
      </c>
      <c r="I312" s="68" t="s">
        <v>1239</v>
      </c>
      <c r="J312" s="69" t="str">
        <f ca="1">IFERROR(__xludf.DUMMYFUNCTION("JOIN("": "",H312,I312)"),"3E-26-12-02-02-00-00: Circuito de alta-tensão")</f>
        <v>3E-26-12-02-02-00-00: Circuito de alta-tensão</v>
      </c>
      <c r="K312" s="70"/>
      <c r="L312" s="71">
        <v>5</v>
      </c>
      <c r="M312" s="68"/>
      <c r="N312" s="68"/>
      <c r="O312" s="68"/>
      <c r="P312" s="68"/>
      <c r="Q312" s="72"/>
      <c r="R312" s="72"/>
      <c r="S312" s="72"/>
      <c r="T312" s="73">
        <v>42</v>
      </c>
      <c r="U312" s="45" t="b">
        <f ca="1"/>
        <v>0</v>
      </c>
      <c r="X312" s="12" t="s">
        <v>4508</v>
      </c>
      <c r="Y312" s="10">
        <v>42</v>
      </c>
      <c r="AE312" s="7"/>
      <c r="AF312" s="35"/>
    </row>
    <row r="313" spans="1:32" ht="12.75" hidden="1">
      <c r="A313" s="65" t="s">
        <v>1241</v>
      </c>
      <c r="B313" s="67"/>
      <c r="C313" s="67"/>
      <c r="D313" s="67"/>
      <c r="E313" s="67"/>
      <c r="F313" s="67"/>
      <c r="G313" s="67"/>
      <c r="H313" s="68" t="s">
        <v>1242</v>
      </c>
      <c r="I313" s="68" t="s">
        <v>1243</v>
      </c>
      <c r="J313" s="69" t="str">
        <f ca="1">IFERROR(__xludf.DUMMYFUNCTION("JOIN("": "",H313,I313)"),"3E-26-12-02-04-00-00: Circuito de baixa tensão")</f>
        <v>3E-26-12-02-04-00-00: Circuito de baixa tensão</v>
      </c>
      <c r="K313" s="70"/>
      <c r="L313" s="71">
        <v>5</v>
      </c>
      <c r="M313" s="68"/>
      <c r="N313" s="68"/>
      <c r="O313" s="68"/>
      <c r="P313" s="68"/>
      <c r="Q313" s="72"/>
      <c r="R313" s="72"/>
      <c r="S313" s="72"/>
      <c r="T313" s="73">
        <v>44</v>
      </c>
      <c r="U313" s="46" t="b">
        <f ca="1"/>
        <v>0</v>
      </c>
      <c r="X313" s="12" t="s">
        <v>4509</v>
      </c>
      <c r="Y313" s="10">
        <v>44</v>
      </c>
    </row>
    <row r="314" spans="1:32" ht="12.75" hidden="1">
      <c r="A314" s="65" t="s">
        <v>1245</v>
      </c>
      <c r="B314" s="67"/>
      <c r="C314" s="67"/>
      <c r="D314" s="67"/>
      <c r="E314" s="67"/>
      <c r="F314" s="67"/>
      <c r="G314" s="67"/>
      <c r="H314" s="68" t="s">
        <v>1246</v>
      </c>
      <c r="I314" s="68" t="s">
        <v>1247</v>
      </c>
      <c r="J314" s="69" t="str">
        <f ca="1">IFERROR(__xludf.DUMMYFUNCTION("JOIN("": "",H314,I314)"),"3E-26-12-02-06-00-00: Circuito de corrente altemada")</f>
        <v>3E-26-12-02-06-00-00: Circuito de corrente altemada</v>
      </c>
      <c r="K314" s="70"/>
      <c r="L314" s="71">
        <v>5</v>
      </c>
      <c r="M314" s="68"/>
      <c r="N314" s="68"/>
      <c r="O314" s="68"/>
      <c r="P314" s="68"/>
      <c r="Q314" s="72"/>
      <c r="R314" s="72"/>
      <c r="S314" s="72"/>
      <c r="T314" s="73">
        <v>46</v>
      </c>
      <c r="U314" s="45" t="b">
        <f ca="1"/>
        <v>0</v>
      </c>
      <c r="X314" s="12" t="s">
        <v>4510</v>
      </c>
      <c r="Y314" s="10">
        <v>46</v>
      </c>
    </row>
    <row r="315" spans="1:32" ht="12.75" hidden="1">
      <c r="A315" s="65" t="s">
        <v>1249</v>
      </c>
      <c r="B315" s="67"/>
      <c r="C315" s="67"/>
      <c r="D315" s="67"/>
      <c r="E315" s="67"/>
      <c r="F315" s="67"/>
      <c r="G315" s="67"/>
      <c r="H315" s="68" t="s">
        <v>1250</v>
      </c>
      <c r="I315" s="68" t="s">
        <v>1251</v>
      </c>
      <c r="J315" s="69" t="str">
        <f ca="1">IFERROR(__xludf.DUMMYFUNCTION("JOIN("": "",H315,I315)"),"3E-26-12-02-08-00-00: Circuito de corrente contínua")</f>
        <v>3E-26-12-02-08-00-00: Circuito de corrente contínua</v>
      </c>
      <c r="K315" s="70"/>
      <c r="L315" s="71">
        <v>5</v>
      </c>
      <c r="M315" s="68"/>
      <c r="N315" s="68"/>
      <c r="O315" s="68"/>
      <c r="P315" s="68"/>
      <c r="Q315" s="72"/>
      <c r="R315" s="72"/>
      <c r="S315" s="72"/>
      <c r="T315" s="73">
        <v>48</v>
      </c>
      <c r="U315" s="46" t="b">
        <f ca="1"/>
        <v>0</v>
      </c>
      <c r="X315" s="12" t="s">
        <v>4511</v>
      </c>
      <c r="Y315" s="10">
        <v>48</v>
      </c>
      <c r="AE315" s="7"/>
      <c r="AF315" s="35"/>
    </row>
    <row r="316" spans="1:32" ht="12.75" hidden="1">
      <c r="A316" s="65" t="s">
        <v>1253</v>
      </c>
      <c r="B316" s="67"/>
      <c r="C316" s="67"/>
      <c r="D316" s="67"/>
      <c r="E316" s="67"/>
      <c r="F316" s="67"/>
      <c r="G316" s="67"/>
      <c r="H316" s="68" t="s">
        <v>1254</v>
      </c>
      <c r="I316" s="68" t="s">
        <v>1255</v>
      </c>
      <c r="J316" s="69" t="str">
        <f ca="1">IFERROR(__xludf.DUMMYFUNCTION("JOIN("": "",H316,I316)"),"3E-26-12-02-10-00-00: Circuito monofásico")</f>
        <v>3E-26-12-02-10-00-00: Circuito monofásico</v>
      </c>
      <c r="K316" s="70"/>
      <c r="L316" s="71">
        <v>5</v>
      </c>
      <c r="M316" s="68"/>
      <c r="N316" s="68"/>
      <c r="O316" s="68"/>
      <c r="P316" s="68"/>
      <c r="Q316" s="72"/>
      <c r="R316" s="72"/>
      <c r="S316" s="72"/>
      <c r="T316" s="73">
        <v>50</v>
      </c>
      <c r="U316" s="45" t="b">
        <f ca="1"/>
        <v>0</v>
      </c>
      <c r="X316" s="12" t="s">
        <v>4512</v>
      </c>
      <c r="Y316" s="10">
        <v>50</v>
      </c>
      <c r="AE316" s="7"/>
      <c r="AF316" s="35"/>
    </row>
    <row r="317" spans="1:32" ht="12.75" hidden="1">
      <c r="A317" s="65" t="s">
        <v>1257</v>
      </c>
      <c r="B317" s="67"/>
      <c r="C317" s="67"/>
      <c r="D317" s="67"/>
      <c r="E317" s="67"/>
      <c r="F317" s="67"/>
      <c r="G317" s="67"/>
      <c r="H317" s="68" t="s">
        <v>1258</v>
      </c>
      <c r="I317" s="68" t="s">
        <v>1259</v>
      </c>
      <c r="J317" s="69" t="str">
        <f ca="1">IFERROR(__xludf.DUMMYFUNCTION("JOIN("": "",H317,I317)"),"3E-26-12-02-12-00-00: Circuito bifásico")</f>
        <v>3E-26-12-02-12-00-00: Circuito bifásico</v>
      </c>
      <c r="K317" s="70"/>
      <c r="L317" s="71">
        <v>5</v>
      </c>
      <c r="M317" s="68"/>
      <c r="N317" s="68"/>
      <c r="O317" s="68"/>
      <c r="P317" s="68"/>
      <c r="Q317" s="72"/>
      <c r="R317" s="72"/>
      <c r="S317" s="72"/>
      <c r="T317" s="73">
        <v>52</v>
      </c>
      <c r="U317" s="46" t="b">
        <f ca="1"/>
        <v>0</v>
      </c>
      <c r="X317" s="12" t="s">
        <v>4513</v>
      </c>
      <c r="Y317" s="10">
        <v>52</v>
      </c>
      <c r="AE317" s="7"/>
      <c r="AF317" s="35"/>
    </row>
    <row r="318" spans="1:32" ht="12.75" hidden="1">
      <c r="A318" s="65" t="s">
        <v>1261</v>
      </c>
      <c r="B318" s="67"/>
      <c r="C318" s="67"/>
      <c r="D318" s="67"/>
      <c r="E318" s="67"/>
      <c r="F318" s="67"/>
      <c r="G318" s="67"/>
      <c r="H318" s="68" t="s">
        <v>1262</v>
      </c>
      <c r="I318" s="68" t="s">
        <v>1263</v>
      </c>
      <c r="J318" s="69" t="str">
        <f ca="1">IFERROR(__xludf.DUMMYFUNCTION("JOIN("": "",H318,I318)"),"3E-26-12-02-14-00-00: Circuito trifásico")</f>
        <v>3E-26-12-02-14-00-00: Circuito trifásico</v>
      </c>
      <c r="K318" s="70"/>
      <c r="L318" s="71">
        <v>5</v>
      </c>
      <c r="M318" s="68"/>
      <c r="N318" s="68"/>
      <c r="O318" s="68"/>
      <c r="P318" s="68"/>
      <c r="Q318" s="72"/>
      <c r="R318" s="72"/>
      <c r="S318" s="72"/>
      <c r="T318" s="73">
        <v>54</v>
      </c>
      <c r="U318" s="45" t="b">
        <f ca="1"/>
        <v>0</v>
      </c>
      <c r="X318" s="12" t="s">
        <v>4514</v>
      </c>
      <c r="Y318" s="10">
        <v>54</v>
      </c>
    </row>
    <row r="319" spans="1:32" ht="12.75" hidden="1">
      <c r="A319" s="56" t="s">
        <v>1265</v>
      </c>
      <c r="B319" s="58"/>
      <c r="C319" s="58"/>
      <c r="D319" s="58"/>
      <c r="E319" s="58"/>
      <c r="F319" s="58"/>
      <c r="G319" s="58"/>
      <c r="H319" s="59" t="s">
        <v>1266</v>
      </c>
      <c r="I319" s="59" t="s">
        <v>1267</v>
      </c>
      <c r="J319" s="60" t="str">
        <f ca="1">IFERROR(__xludf.DUMMYFUNCTION("JOIN("": "",H319,I319)"),"3E-26-12-04-00-00-00: Quadro de distribuição residencial")</f>
        <v>3E-26-12-04-00-00-00: Quadro de distribuição residencial</v>
      </c>
      <c r="K319" s="61" t="s">
        <v>4515</v>
      </c>
      <c r="L319" s="62">
        <v>4</v>
      </c>
      <c r="M319" s="59"/>
      <c r="N319" s="59"/>
      <c r="O319" s="59"/>
      <c r="P319" s="59"/>
      <c r="Q319" s="63"/>
      <c r="R319" s="63"/>
      <c r="S319" s="63"/>
      <c r="T319" s="64">
        <v>42</v>
      </c>
      <c r="U319" s="46" t="b">
        <f ca="1"/>
        <v>0</v>
      </c>
      <c r="X319" s="12" t="s">
        <v>4516</v>
      </c>
      <c r="Y319" s="10">
        <v>42</v>
      </c>
      <c r="AE319" s="7"/>
      <c r="AF319" s="35"/>
    </row>
    <row r="320" spans="1:32" ht="12.75" hidden="1">
      <c r="A320" s="56" t="s">
        <v>1269</v>
      </c>
      <c r="B320" s="58"/>
      <c r="C320" s="58"/>
      <c r="D320" s="58"/>
      <c r="E320" s="58"/>
      <c r="F320" s="58"/>
      <c r="G320" s="58"/>
      <c r="H320" s="59" t="s">
        <v>1270</v>
      </c>
      <c r="I320" s="59" t="s">
        <v>1271</v>
      </c>
      <c r="J320" s="60" t="str">
        <f ca="1">IFERROR(__xludf.DUMMYFUNCTION("JOIN("": "",H320,I320)"),"3E-26-12-06-00-00-00: Painel geral de baixa tensão")</f>
        <v>3E-26-12-06-00-00-00: Painel geral de baixa tensão</v>
      </c>
      <c r="K320" s="61"/>
      <c r="L320" s="62">
        <v>4</v>
      </c>
      <c r="M320" s="59"/>
      <c r="N320" s="59"/>
      <c r="O320" s="59"/>
      <c r="P320" s="59"/>
      <c r="Q320" s="63"/>
      <c r="R320" s="63"/>
      <c r="S320" s="63"/>
      <c r="T320" s="64">
        <v>44</v>
      </c>
      <c r="U320" s="45" t="b">
        <f ca="1"/>
        <v>0</v>
      </c>
      <c r="X320" s="12" t="s">
        <v>4517</v>
      </c>
      <c r="Y320" s="10">
        <v>44</v>
      </c>
    </row>
    <row r="321" spans="1:32" ht="12.75" hidden="1">
      <c r="A321" s="47" t="s">
        <v>1273</v>
      </c>
      <c r="B321" s="48"/>
      <c r="C321" s="48"/>
      <c r="D321" s="48"/>
      <c r="E321" s="48"/>
      <c r="F321" s="48"/>
      <c r="G321" s="48"/>
      <c r="H321" s="49" t="s">
        <v>1274</v>
      </c>
      <c r="I321" s="49" t="s">
        <v>1275</v>
      </c>
      <c r="J321" s="50" t="str">
        <f ca="1">IFERROR(__xludf.DUMMYFUNCTION("JOIN("": "",H321,I321)"),"3E-26-14-00-00-00-00: Elementos para a transformação de corrente")</f>
        <v>3E-26-14-00-00-00-00: Elementos para a transformação de corrente</v>
      </c>
      <c r="K321" s="51"/>
      <c r="L321" s="52">
        <v>3</v>
      </c>
      <c r="M321" s="53"/>
      <c r="N321" s="53"/>
      <c r="O321" s="53"/>
      <c r="P321" s="53"/>
      <c r="Q321" s="54"/>
      <c r="R321" s="54"/>
      <c r="S321" s="54"/>
      <c r="T321" s="55">
        <v>40</v>
      </c>
      <c r="U321" s="46" t="b">
        <f ca="1"/>
        <v>0</v>
      </c>
      <c r="X321" s="12" t="s">
        <v>4518</v>
      </c>
      <c r="Y321" s="10">
        <v>40</v>
      </c>
    </row>
    <row r="322" spans="1:32" ht="12.75" hidden="1">
      <c r="A322" s="56" t="s">
        <v>1277</v>
      </c>
      <c r="B322" s="58"/>
      <c r="C322" s="58"/>
      <c r="D322" s="58"/>
      <c r="E322" s="58"/>
      <c r="F322" s="58"/>
      <c r="G322" s="58"/>
      <c r="H322" s="59" t="s">
        <v>1278</v>
      </c>
      <c r="I322" s="59" t="s">
        <v>1279</v>
      </c>
      <c r="J322" s="60" t="str">
        <f ca="1">IFERROR(__xludf.DUMMYFUNCTION("JOIN("": "",H322,I322)"),"3E-26-14-02-00-00-00: Transformador diferencial")</f>
        <v>3E-26-14-02-00-00-00: Transformador diferencial</v>
      </c>
      <c r="K322" s="61"/>
      <c r="L322" s="62">
        <v>4</v>
      </c>
      <c r="M322" s="59"/>
      <c r="N322" s="59"/>
      <c r="O322" s="59"/>
      <c r="P322" s="59"/>
      <c r="Q322" s="63"/>
      <c r="R322" s="63"/>
      <c r="S322" s="63"/>
      <c r="T322" s="64">
        <v>42</v>
      </c>
      <c r="U322" s="45" t="b">
        <f ca="1"/>
        <v>0</v>
      </c>
      <c r="X322" s="12" t="s">
        <v>4519</v>
      </c>
      <c r="Y322" s="10">
        <v>42</v>
      </c>
    </row>
    <row r="323" spans="1:32" ht="12.75" hidden="1">
      <c r="A323" s="56" t="s">
        <v>1281</v>
      </c>
      <c r="B323" s="58"/>
      <c r="C323" s="58"/>
      <c r="D323" s="58"/>
      <c r="E323" s="58"/>
      <c r="F323" s="58"/>
      <c r="G323" s="58"/>
      <c r="H323" s="59" t="s">
        <v>1282</v>
      </c>
      <c r="I323" s="59" t="s">
        <v>1283</v>
      </c>
      <c r="J323" s="60" t="str">
        <f ca="1">IFERROR(__xludf.DUMMYFUNCTION("JOIN("": "",H323,I323)"),"3E-26-14-04-00-00-00: Transformador de corrente")</f>
        <v>3E-26-14-04-00-00-00: Transformador de corrente</v>
      </c>
      <c r="K323" s="61"/>
      <c r="L323" s="62">
        <v>4</v>
      </c>
      <c r="M323" s="59"/>
      <c r="N323" s="59"/>
      <c r="O323" s="59"/>
      <c r="P323" s="59"/>
      <c r="Q323" s="63"/>
      <c r="R323" s="63"/>
      <c r="S323" s="63"/>
      <c r="T323" s="64">
        <v>44</v>
      </c>
      <c r="U323" s="46" t="b">
        <f ca="1"/>
        <v>0</v>
      </c>
      <c r="X323" s="12" t="s">
        <v>4520</v>
      </c>
      <c r="Y323" s="10">
        <v>44</v>
      </c>
    </row>
    <row r="324" spans="1:32" ht="12.75" hidden="1">
      <c r="A324" s="56" t="s">
        <v>1285</v>
      </c>
      <c r="B324" s="58"/>
      <c r="C324" s="58"/>
      <c r="D324" s="58"/>
      <c r="E324" s="58"/>
      <c r="F324" s="58"/>
      <c r="G324" s="58"/>
      <c r="H324" s="59" t="s">
        <v>1286</v>
      </c>
      <c r="I324" s="59" t="s">
        <v>1287</v>
      </c>
      <c r="J324" s="60" t="str">
        <f ca="1">IFERROR(__xludf.DUMMYFUNCTION("JOIN("": "",H324,I324)"),"3E-26-14-06-00-00-00: Transformador de potência")</f>
        <v>3E-26-14-06-00-00-00: Transformador de potência</v>
      </c>
      <c r="K324" s="61"/>
      <c r="L324" s="62">
        <v>4</v>
      </c>
      <c r="M324" s="59"/>
      <c r="N324" s="59"/>
      <c r="O324" s="59"/>
      <c r="P324" s="59"/>
      <c r="Q324" s="63"/>
      <c r="R324" s="63"/>
      <c r="S324" s="63"/>
      <c r="T324" s="64">
        <v>46</v>
      </c>
      <c r="U324" s="45" t="b">
        <f ca="1"/>
        <v>0</v>
      </c>
      <c r="X324" s="12" t="s">
        <v>4521</v>
      </c>
      <c r="Y324" s="10">
        <v>46</v>
      </c>
    </row>
    <row r="325" spans="1:32" ht="36" hidden="1">
      <c r="A325" s="47" t="s">
        <v>1289</v>
      </c>
      <c r="B325" s="48"/>
      <c r="C325" s="48"/>
      <c r="D325" s="48"/>
      <c r="E325" s="48"/>
      <c r="F325" s="48"/>
      <c r="G325" s="48"/>
      <c r="H325" s="49" t="s">
        <v>1290</v>
      </c>
      <c r="I325" s="49" t="s">
        <v>1291</v>
      </c>
      <c r="J325" s="50" t="str">
        <f ca="1">IFERROR(__xludf.DUMMYFUNCTION("JOIN("": "",H325,I325)"),"3E-26-16-00-00-00-00: Elementos para o acionamento de corrente")</f>
        <v>3E-26-16-00-00-00-00: Elementos para o acionamento de corrente</v>
      </c>
      <c r="K325" s="88" t="s">
        <v>4522</v>
      </c>
      <c r="L325" s="52">
        <v>3</v>
      </c>
      <c r="M325" s="53"/>
      <c r="N325" s="53"/>
      <c r="O325" s="53"/>
      <c r="P325" s="53"/>
      <c r="Q325" s="54"/>
      <c r="R325" s="54"/>
      <c r="S325" s="54"/>
      <c r="T325" s="55">
        <v>42</v>
      </c>
      <c r="U325" s="46" t="b">
        <f ca="1"/>
        <v>0</v>
      </c>
      <c r="X325" s="12" t="s">
        <v>4523</v>
      </c>
      <c r="Y325" s="10">
        <v>42</v>
      </c>
    </row>
    <row r="326" spans="1:32" ht="12.75" hidden="1">
      <c r="A326" s="56" t="s">
        <v>1293</v>
      </c>
      <c r="B326" s="58"/>
      <c r="C326" s="58"/>
      <c r="D326" s="58"/>
      <c r="E326" s="58"/>
      <c r="F326" s="58"/>
      <c r="G326" s="58"/>
      <c r="H326" s="59" t="s">
        <v>1294</v>
      </c>
      <c r="I326" s="59" t="s">
        <v>1295</v>
      </c>
      <c r="J326" s="60" t="str">
        <f ca="1">IFERROR(__xludf.DUMMYFUNCTION("JOIN("": "",H326,I326)"),"3E-26-16-02-00-00-00: Interruptores")</f>
        <v>3E-26-16-02-00-00-00: Interruptores</v>
      </c>
      <c r="K326" s="61"/>
      <c r="L326" s="62">
        <v>4</v>
      </c>
      <c r="M326" s="59"/>
      <c r="N326" s="59"/>
      <c r="O326" s="59"/>
      <c r="P326" s="59"/>
      <c r="Q326" s="63"/>
      <c r="R326" s="63"/>
      <c r="S326" s="63"/>
      <c r="T326" s="64">
        <v>44</v>
      </c>
      <c r="U326" s="45" t="b">
        <f ca="1"/>
        <v>0</v>
      </c>
      <c r="X326" s="12" t="s">
        <v>4524</v>
      </c>
      <c r="Y326" s="10">
        <v>44</v>
      </c>
    </row>
    <row r="327" spans="1:32" ht="12.75" hidden="1">
      <c r="A327" s="56" t="s">
        <v>1297</v>
      </c>
      <c r="B327" s="58"/>
      <c r="C327" s="58"/>
      <c r="D327" s="58"/>
      <c r="E327" s="58"/>
      <c r="F327" s="58"/>
      <c r="G327" s="58"/>
      <c r="H327" s="59" t="s">
        <v>1298</v>
      </c>
      <c r="I327" s="59" t="s">
        <v>1299</v>
      </c>
      <c r="J327" s="60" t="str">
        <f ca="1">IFERROR(__xludf.DUMMYFUNCTION("JOIN("": "",H327,I327)"),"3E-26-16-04-00-00-00: Controladores de intensidade - dimmer")</f>
        <v>3E-26-16-04-00-00-00: Controladores de intensidade - dimmer</v>
      </c>
      <c r="K327" s="61"/>
      <c r="L327" s="62">
        <v>4</v>
      </c>
      <c r="M327" s="59"/>
      <c r="N327" s="59"/>
      <c r="O327" s="59"/>
      <c r="P327" s="59"/>
      <c r="Q327" s="63"/>
      <c r="R327" s="63"/>
      <c r="S327" s="63"/>
      <c r="T327" s="64">
        <v>46</v>
      </c>
      <c r="U327" s="46" t="b">
        <f ca="1"/>
        <v>0</v>
      </c>
      <c r="X327" s="12" t="s">
        <v>4525</v>
      </c>
      <c r="Y327" s="10">
        <v>46</v>
      </c>
    </row>
    <row r="328" spans="1:32" ht="12.75" hidden="1">
      <c r="A328" s="47" t="s">
        <v>1301</v>
      </c>
      <c r="B328" s="48"/>
      <c r="C328" s="48"/>
      <c r="D328" s="48"/>
      <c r="E328" s="48"/>
      <c r="F328" s="48"/>
      <c r="G328" s="48"/>
      <c r="H328" s="49" t="s">
        <v>1302</v>
      </c>
      <c r="I328" s="49" t="s">
        <v>1303</v>
      </c>
      <c r="J328" s="50" t="str">
        <f ca="1">IFERROR(__xludf.DUMMYFUNCTION("JOIN("": "",H328,I328)"),"3E-26-18-00-00-00-00: Elementos para o fornecimento de corrente")</f>
        <v>3E-26-18-00-00-00-00: Elementos para o fornecimento de corrente</v>
      </c>
      <c r="K328" s="51"/>
      <c r="L328" s="52">
        <v>3</v>
      </c>
      <c r="M328" s="53"/>
      <c r="N328" s="53"/>
      <c r="O328" s="53"/>
      <c r="P328" s="53"/>
      <c r="Q328" s="54"/>
      <c r="R328" s="54"/>
      <c r="S328" s="54"/>
      <c r="T328" s="55">
        <v>44</v>
      </c>
      <c r="U328" s="45" t="b">
        <f ca="1"/>
        <v>0</v>
      </c>
      <c r="X328" s="12" t="s">
        <v>4526</v>
      </c>
      <c r="Y328" s="10">
        <v>44</v>
      </c>
    </row>
    <row r="329" spans="1:32" ht="12.75" hidden="1">
      <c r="A329" s="47" t="s">
        <v>1305</v>
      </c>
      <c r="B329" s="48"/>
      <c r="C329" s="48"/>
      <c r="D329" s="48"/>
      <c r="E329" s="48"/>
      <c r="F329" s="48"/>
      <c r="G329" s="48"/>
      <c r="H329" s="49" t="s">
        <v>1306</v>
      </c>
      <c r="I329" s="49" t="s">
        <v>1307</v>
      </c>
      <c r="J329" s="50" t="str">
        <f ca="1">IFERROR(__xludf.DUMMYFUNCTION("JOIN("": "",H329,I329)"),"3E-26-20-00-00-00-00: Elementos condutores de corrente")</f>
        <v>3E-26-20-00-00-00-00: Elementos condutores de corrente</v>
      </c>
      <c r="K329" s="51"/>
      <c r="L329" s="52">
        <v>3</v>
      </c>
      <c r="M329" s="53"/>
      <c r="N329" s="53"/>
      <c r="O329" s="53"/>
      <c r="P329" s="53"/>
      <c r="Q329" s="54"/>
      <c r="R329" s="54"/>
      <c r="S329" s="54"/>
      <c r="T329" s="55">
        <v>46</v>
      </c>
      <c r="U329" s="46" t="b">
        <f ca="1"/>
        <v>0</v>
      </c>
      <c r="X329" s="12" t="s">
        <v>4527</v>
      </c>
      <c r="Y329" s="10">
        <v>46</v>
      </c>
    </row>
    <row r="330" spans="1:32" ht="12.75" hidden="1">
      <c r="A330" s="56" t="s">
        <v>1309</v>
      </c>
      <c r="B330" s="58"/>
      <c r="C330" s="58"/>
      <c r="D330" s="58"/>
      <c r="E330" s="58"/>
      <c r="F330" s="58"/>
      <c r="G330" s="58"/>
      <c r="H330" s="59" t="s">
        <v>1310</v>
      </c>
      <c r="I330" s="59" t="s">
        <v>1311</v>
      </c>
      <c r="J330" s="60" t="str">
        <f ca="1">IFERROR(__xludf.DUMMYFUNCTION("JOIN("": "",H330,I330)"),"3E-26-20-02-00-00-00: Condutor para baixa tensão")</f>
        <v>3E-26-20-02-00-00-00: Condutor para baixa tensão</v>
      </c>
      <c r="K330" s="61"/>
      <c r="L330" s="62">
        <v>4</v>
      </c>
      <c r="M330" s="59"/>
      <c r="N330" s="59"/>
      <c r="O330" s="59"/>
      <c r="P330" s="59"/>
      <c r="Q330" s="63"/>
      <c r="R330" s="63"/>
      <c r="S330" s="63"/>
      <c r="T330" s="64">
        <v>48</v>
      </c>
      <c r="U330" s="45" t="b">
        <f ca="1"/>
        <v>0</v>
      </c>
      <c r="X330" s="12" t="s">
        <v>4528</v>
      </c>
      <c r="Y330" s="10">
        <v>48</v>
      </c>
    </row>
    <row r="331" spans="1:32" ht="12.75" hidden="1">
      <c r="A331" s="56" t="s">
        <v>1313</v>
      </c>
      <c r="B331" s="58"/>
      <c r="C331" s="58"/>
      <c r="D331" s="58"/>
      <c r="E331" s="58"/>
      <c r="F331" s="58"/>
      <c r="G331" s="58"/>
      <c r="H331" s="59" t="s">
        <v>1314</v>
      </c>
      <c r="I331" s="59" t="s">
        <v>1315</v>
      </c>
      <c r="J331" s="60" t="str">
        <f ca="1">IFERROR(__xludf.DUMMYFUNCTION("JOIN("": "",H331,I331)"),"3E-26-20-04-00-00-00: Condutor para uso geral")</f>
        <v>3E-26-20-04-00-00-00: Condutor para uso geral</v>
      </c>
      <c r="K331" s="61"/>
      <c r="L331" s="62">
        <v>4</v>
      </c>
      <c r="M331" s="59"/>
      <c r="N331" s="59"/>
      <c r="O331" s="59"/>
      <c r="P331" s="59"/>
      <c r="Q331" s="63"/>
      <c r="R331" s="63"/>
      <c r="S331" s="63"/>
      <c r="T331" s="64">
        <v>50</v>
      </c>
      <c r="U331" s="46" t="b">
        <f ca="1"/>
        <v>0</v>
      </c>
      <c r="X331" s="12" t="s">
        <v>4529</v>
      </c>
      <c r="Y331" s="10">
        <v>50</v>
      </c>
    </row>
    <row r="332" spans="1:32" ht="12.75" hidden="1">
      <c r="A332" s="56" t="s">
        <v>1317</v>
      </c>
      <c r="B332" s="58"/>
      <c r="C332" s="58"/>
      <c r="D332" s="58"/>
      <c r="E332" s="58"/>
      <c r="F332" s="58"/>
      <c r="G332" s="58"/>
      <c r="H332" s="59" t="s">
        <v>1318</v>
      </c>
      <c r="I332" s="59" t="s">
        <v>1319</v>
      </c>
      <c r="J332" s="60" t="str">
        <f ca="1">IFERROR(__xludf.DUMMYFUNCTION("JOIN("": "",H332,I332)"),"3E-26-20-06-00-00-00: Condutor para uso específico")</f>
        <v>3E-26-20-06-00-00-00: Condutor para uso específico</v>
      </c>
      <c r="K332" s="61"/>
      <c r="L332" s="62">
        <v>4</v>
      </c>
      <c r="M332" s="59"/>
      <c r="N332" s="59"/>
      <c r="O332" s="59"/>
      <c r="P332" s="59"/>
      <c r="Q332" s="63"/>
      <c r="R332" s="63"/>
      <c r="S332" s="63"/>
      <c r="T332" s="64">
        <v>52</v>
      </c>
      <c r="U332" s="45" t="b">
        <f ca="1"/>
        <v>0</v>
      </c>
      <c r="X332" s="12" t="s">
        <v>4530</v>
      </c>
      <c r="Y332" s="10">
        <v>52</v>
      </c>
    </row>
    <row r="333" spans="1:32" ht="12.75" hidden="1">
      <c r="A333" s="56" t="s">
        <v>1321</v>
      </c>
      <c r="B333" s="58"/>
      <c r="C333" s="58"/>
      <c r="D333" s="58"/>
      <c r="E333" s="58"/>
      <c r="F333" s="58"/>
      <c r="G333" s="58"/>
      <c r="H333" s="59" t="s">
        <v>1322</v>
      </c>
      <c r="I333" s="59" t="s">
        <v>1323</v>
      </c>
      <c r="J333" s="60" t="str">
        <f ca="1">IFERROR(__xludf.DUMMYFUNCTION("JOIN("": "",H333,I333)"),"3E-26-20-08-00-00-00: Condutor de fase")</f>
        <v>3E-26-20-08-00-00-00: Condutor de fase</v>
      </c>
      <c r="K333" s="61"/>
      <c r="L333" s="62">
        <v>4</v>
      </c>
      <c r="M333" s="59"/>
      <c r="N333" s="59"/>
      <c r="O333" s="59"/>
      <c r="P333" s="59"/>
      <c r="Q333" s="63"/>
      <c r="R333" s="63"/>
      <c r="S333" s="63"/>
      <c r="T333" s="64">
        <v>54</v>
      </c>
      <c r="U333" s="46" t="b">
        <f ca="1"/>
        <v>0</v>
      </c>
      <c r="X333" s="12" t="s">
        <v>4531</v>
      </c>
      <c r="Y333" s="10">
        <v>54</v>
      </c>
    </row>
    <row r="334" spans="1:32" ht="12.75" hidden="1">
      <c r="A334" s="56" t="s">
        <v>1325</v>
      </c>
      <c r="B334" s="58"/>
      <c r="C334" s="58"/>
      <c r="D334" s="58"/>
      <c r="E334" s="58"/>
      <c r="F334" s="58"/>
      <c r="G334" s="58"/>
      <c r="H334" s="59" t="s">
        <v>1326</v>
      </c>
      <c r="I334" s="59" t="s">
        <v>1327</v>
      </c>
      <c r="J334" s="60" t="str">
        <f ca="1">IFERROR(__xludf.DUMMYFUNCTION("JOIN("": "",H334,I334)"),"3E-26-20-10-00-00-00: Condutor neutro")</f>
        <v>3E-26-20-10-00-00-00: Condutor neutro</v>
      </c>
      <c r="K334" s="61"/>
      <c r="L334" s="62">
        <v>4</v>
      </c>
      <c r="M334" s="59"/>
      <c r="N334" s="59"/>
      <c r="O334" s="59"/>
      <c r="P334" s="59"/>
      <c r="Q334" s="63"/>
      <c r="R334" s="63"/>
      <c r="S334" s="63"/>
      <c r="T334" s="64">
        <v>56</v>
      </c>
      <c r="U334" s="45" t="b">
        <f ca="1"/>
        <v>0</v>
      </c>
      <c r="X334" s="12" t="s">
        <v>4532</v>
      </c>
      <c r="Y334" s="10">
        <v>56</v>
      </c>
    </row>
    <row r="335" spans="1:32" ht="12.75" hidden="1">
      <c r="A335" s="56" t="s">
        <v>1329</v>
      </c>
      <c r="B335" s="58"/>
      <c r="C335" s="58"/>
      <c r="D335" s="58"/>
      <c r="E335" s="58"/>
      <c r="F335" s="58"/>
      <c r="G335" s="58"/>
      <c r="H335" s="59" t="s">
        <v>1330</v>
      </c>
      <c r="I335" s="59" t="s">
        <v>1331</v>
      </c>
      <c r="J335" s="60" t="str">
        <f ca="1">IFERROR(__xludf.DUMMYFUNCTION("JOIN("": "",H335,I335)"),"3E-26-20-12-00-00-00: Condutor-terra")</f>
        <v>3E-26-20-12-00-00-00: Condutor-terra</v>
      </c>
      <c r="K335" s="61"/>
      <c r="L335" s="62">
        <v>4</v>
      </c>
      <c r="M335" s="59"/>
      <c r="N335" s="59"/>
      <c r="O335" s="59"/>
      <c r="P335" s="59"/>
      <c r="Q335" s="63"/>
      <c r="R335" s="63"/>
      <c r="S335" s="63"/>
      <c r="T335" s="64">
        <v>58</v>
      </c>
      <c r="U335" s="46" t="b">
        <f ca="1"/>
        <v>0</v>
      </c>
      <c r="X335" s="12" t="s">
        <v>4533</v>
      </c>
      <c r="Y335" s="10">
        <v>58</v>
      </c>
      <c r="AE335" s="7"/>
      <c r="AF335" s="35"/>
    </row>
    <row r="336" spans="1:32" ht="12.75" hidden="1">
      <c r="A336" s="56" t="s">
        <v>1333</v>
      </c>
      <c r="B336" s="58"/>
      <c r="C336" s="58"/>
      <c r="D336" s="58"/>
      <c r="E336" s="58"/>
      <c r="F336" s="58"/>
      <c r="G336" s="58"/>
      <c r="H336" s="59" t="s">
        <v>1334</v>
      </c>
      <c r="I336" s="59" t="s">
        <v>1335</v>
      </c>
      <c r="J336" s="60" t="str">
        <f ca="1">IFERROR(__xludf.DUMMYFUNCTION("JOIN("": "",H336,I336)"),"3E-26-20-14-00-00-00: Condutor de retorno")</f>
        <v>3E-26-20-14-00-00-00: Condutor de retorno</v>
      </c>
      <c r="K336" s="61"/>
      <c r="L336" s="62">
        <v>4</v>
      </c>
      <c r="M336" s="59"/>
      <c r="N336" s="59"/>
      <c r="O336" s="59"/>
      <c r="P336" s="59"/>
      <c r="Q336" s="63"/>
      <c r="R336" s="63"/>
      <c r="S336" s="63"/>
      <c r="T336" s="64">
        <v>60</v>
      </c>
      <c r="U336" s="45" t="b">
        <f ca="1"/>
        <v>0</v>
      </c>
      <c r="X336" s="12" t="s">
        <v>4534</v>
      </c>
      <c r="Y336" s="10">
        <v>60</v>
      </c>
    </row>
    <row r="337" spans="1:26" ht="12.75" hidden="1">
      <c r="A337" s="56" t="s">
        <v>1337</v>
      </c>
      <c r="B337" s="58"/>
      <c r="C337" s="58"/>
      <c r="D337" s="58"/>
      <c r="E337" s="58"/>
      <c r="F337" s="58"/>
      <c r="G337" s="58"/>
      <c r="H337" s="59" t="s">
        <v>1338</v>
      </c>
      <c r="I337" s="59" t="s">
        <v>1339</v>
      </c>
      <c r="J337" s="60" t="str">
        <f ca="1">IFERROR(__xludf.DUMMYFUNCTION("JOIN("": "",H337,I337)"),"3E-26-20-16-00-00-00: Condutor pen")</f>
        <v>3E-26-20-16-00-00-00: Condutor pen</v>
      </c>
      <c r="K337" s="61"/>
      <c r="L337" s="62">
        <v>4</v>
      </c>
      <c r="M337" s="59"/>
      <c r="N337" s="59"/>
      <c r="O337" s="59"/>
      <c r="P337" s="59"/>
      <c r="Q337" s="63"/>
      <c r="R337" s="63"/>
      <c r="S337" s="63"/>
      <c r="T337" s="64">
        <v>62</v>
      </c>
      <c r="U337" s="46" t="b">
        <f ca="1"/>
        <v>0</v>
      </c>
      <c r="X337" s="12" t="s">
        <v>4535</v>
      </c>
      <c r="Y337" s="10">
        <v>62</v>
      </c>
    </row>
    <row r="338" spans="1:26" ht="12.75" hidden="1">
      <c r="A338" s="47" t="s">
        <v>1341</v>
      </c>
      <c r="B338" s="48"/>
      <c r="C338" s="48"/>
      <c r="D338" s="48"/>
      <c r="E338" s="48"/>
      <c r="F338" s="48"/>
      <c r="G338" s="48"/>
      <c r="H338" s="49" t="s">
        <v>1342</v>
      </c>
      <c r="I338" s="49" t="s">
        <v>1343</v>
      </c>
      <c r="J338" s="50" t="str">
        <f ca="1">IFERROR(__xludf.DUMMYFUNCTION("JOIN("": "",H338,I338)"),"3E-26-22-00-00-00-00: Elementos para a proteção de condutores")</f>
        <v>3E-26-22-00-00-00-00: Elementos para a proteção de condutores</v>
      </c>
      <c r="K338" s="51"/>
      <c r="L338" s="52">
        <v>3</v>
      </c>
      <c r="M338" s="53"/>
      <c r="N338" s="53"/>
      <c r="O338" s="53"/>
      <c r="P338" s="53"/>
      <c r="Q338" s="54"/>
      <c r="R338" s="54"/>
      <c r="S338" s="54"/>
      <c r="T338" s="55">
        <v>48</v>
      </c>
      <c r="U338" s="45" t="b">
        <f ca="1"/>
        <v>0</v>
      </c>
      <c r="X338" s="12" t="s">
        <v>4536</v>
      </c>
      <c r="Y338" s="10">
        <v>48</v>
      </c>
    </row>
    <row r="339" spans="1:26" ht="12.75" hidden="1">
      <c r="A339" s="56" t="s">
        <v>1345</v>
      </c>
      <c r="B339" s="58"/>
      <c r="C339" s="58"/>
      <c r="D339" s="58"/>
      <c r="E339" s="58"/>
      <c r="F339" s="58"/>
      <c r="G339" s="58"/>
      <c r="H339" s="59" t="s">
        <v>1346</v>
      </c>
      <c r="I339" s="59" t="s">
        <v>1347</v>
      </c>
      <c r="J339" s="60" t="str">
        <f ca="1">IFERROR(__xludf.DUMMYFUNCTION("JOIN("": "",H339,I339)"),"3E-26-22-02-00-00-00: Condutos")</f>
        <v>3E-26-22-02-00-00-00: Condutos</v>
      </c>
      <c r="K339" s="61"/>
      <c r="L339" s="62">
        <v>4</v>
      </c>
      <c r="M339" s="59"/>
      <c r="N339" s="59"/>
      <c r="O339" s="59"/>
      <c r="P339" s="59"/>
      <c r="Q339" s="63">
        <v>1</v>
      </c>
      <c r="R339" s="63">
        <v>2</v>
      </c>
      <c r="S339" s="63">
        <v>4</v>
      </c>
      <c r="T339" s="64">
        <v>50</v>
      </c>
      <c r="U339" s="46" t="b">
        <f ca="1"/>
        <v>0</v>
      </c>
      <c r="X339" s="12" t="s">
        <v>4537</v>
      </c>
      <c r="Y339" s="10">
        <v>50</v>
      </c>
    </row>
    <row r="340" spans="1:26" ht="12.75" hidden="1">
      <c r="A340" s="89"/>
      <c r="B340" s="90"/>
      <c r="C340" s="90"/>
      <c r="D340" s="90"/>
      <c r="E340" s="90"/>
      <c r="F340" s="90"/>
      <c r="G340" s="90"/>
      <c r="H340" s="91" t="s">
        <v>4538</v>
      </c>
      <c r="I340" s="91" t="s">
        <v>4539</v>
      </c>
      <c r="J340" s="91" t="str">
        <f ca="1">IFERROR(__xludf.DUMMYFUNCTION("JOIN("": "",H340,I340)"),"3E-26-22-02-00-00-02: Canaleta Metálica")</f>
        <v>3E-26-22-02-00-00-02: Canaleta Metálica</v>
      </c>
      <c r="K340" s="91"/>
      <c r="L340" s="92" t="s">
        <v>4540</v>
      </c>
      <c r="M340" s="90"/>
      <c r="O340" s="93">
        <v>7</v>
      </c>
      <c r="P340" s="94">
        <v>1</v>
      </c>
      <c r="Q340" s="94">
        <v>8</v>
      </c>
      <c r="R340" s="94">
        <v>7</v>
      </c>
      <c r="S340" s="94">
        <f t="shared" ref="S340:S343" si="2">PRODUCT(M340:R340)</f>
        <v>392</v>
      </c>
      <c r="U340" s="45" t="b">
        <f ca="1"/>
        <v>0</v>
      </c>
    </row>
    <row r="341" spans="1:26" ht="12.75" hidden="1">
      <c r="A341" s="95"/>
      <c r="B341" s="96"/>
      <c r="C341" s="96"/>
      <c r="D341" s="96"/>
      <c r="E341" s="96"/>
      <c r="F341" s="96"/>
      <c r="G341" s="96"/>
      <c r="H341" s="97" t="s">
        <v>4541</v>
      </c>
      <c r="I341" s="97" t="s">
        <v>4542</v>
      </c>
      <c r="J341" s="97" t="str">
        <f ca="1">IFERROR(__xludf.DUMMYFUNCTION("JOIN("": "",H341,I341)"),"3E-26-22-02-00-00-04: Eletroduto Flexível Amarelo")</f>
        <v>3E-26-22-02-00-00-04: Eletroduto Flexível Amarelo</v>
      </c>
      <c r="K341" s="97"/>
      <c r="L341" s="98" t="s">
        <v>4540</v>
      </c>
      <c r="M341" s="96"/>
      <c r="O341" s="99">
        <v>7</v>
      </c>
      <c r="P341" s="100">
        <v>1</v>
      </c>
      <c r="Q341" s="100">
        <v>3</v>
      </c>
      <c r="R341" s="100">
        <v>1</v>
      </c>
      <c r="S341" s="100">
        <f t="shared" si="2"/>
        <v>21</v>
      </c>
      <c r="U341" s="46" t="b">
        <f ca="1"/>
        <v>0</v>
      </c>
    </row>
    <row r="342" spans="1:26" ht="12.75" hidden="1">
      <c r="A342" s="89"/>
      <c r="B342" s="90"/>
      <c r="C342" s="90"/>
      <c r="D342" s="90"/>
      <c r="E342" s="90"/>
      <c r="F342" s="90"/>
      <c r="G342" s="90"/>
      <c r="H342" s="91" t="s">
        <v>4543</v>
      </c>
      <c r="I342" s="91" t="s">
        <v>4544</v>
      </c>
      <c r="J342" s="91" t="str">
        <f ca="1">IFERROR(__xludf.DUMMYFUNCTION("JOIN("": "",H342,I342)"),"3E-26-22-02-00-00-06: Eletroduto Flexível Cinza")</f>
        <v>3E-26-22-02-00-00-06: Eletroduto Flexível Cinza</v>
      </c>
      <c r="K342" s="91"/>
      <c r="L342" s="92" t="s">
        <v>4540</v>
      </c>
      <c r="M342" s="90"/>
      <c r="O342" s="93">
        <v>7</v>
      </c>
      <c r="P342" s="94">
        <v>1</v>
      </c>
      <c r="Q342" s="94">
        <v>4</v>
      </c>
      <c r="R342" s="94">
        <v>2</v>
      </c>
      <c r="S342" s="94">
        <f t="shared" si="2"/>
        <v>56</v>
      </c>
      <c r="U342" s="45" t="b">
        <f ca="1"/>
        <v>0</v>
      </c>
    </row>
    <row r="343" spans="1:26" ht="12.75" hidden="1">
      <c r="A343" s="95"/>
      <c r="B343" s="96"/>
      <c r="C343" s="96"/>
      <c r="D343" s="96"/>
      <c r="E343" s="96"/>
      <c r="F343" s="96"/>
      <c r="G343" s="96"/>
      <c r="H343" s="97" t="s">
        <v>4545</v>
      </c>
      <c r="I343" s="97" t="s">
        <v>4546</v>
      </c>
      <c r="J343" s="97" t="str">
        <f ca="1">IFERROR(__xludf.DUMMYFUNCTION("JOIN("": "",H343,I343)"),"3E-26-22-02-00-00-08: Eletroduto Rígido PVC Preto")</f>
        <v>3E-26-22-02-00-00-08: Eletroduto Rígido PVC Preto</v>
      </c>
      <c r="K343" s="97"/>
      <c r="L343" s="98" t="s">
        <v>4540</v>
      </c>
      <c r="M343" s="96"/>
      <c r="O343" s="99">
        <v>7</v>
      </c>
      <c r="P343" s="100">
        <v>1</v>
      </c>
      <c r="Q343" s="100">
        <v>5</v>
      </c>
      <c r="R343" s="100">
        <v>4</v>
      </c>
      <c r="S343" s="100">
        <f t="shared" si="2"/>
        <v>140</v>
      </c>
      <c r="U343" s="46" t="b">
        <f ca="1"/>
        <v>0</v>
      </c>
    </row>
    <row r="344" spans="1:26" ht="12.75" hidden="1">
      <c r="A344" s="56" t="s">
        <v>1349</v>
      </c>
      <c r="B344" s="58"/>
      <c r="C344" s="58"/>
      <c r="D344" s="58"/>
      <c r="E344" s="58"/>
      <c r="F344" s="58"/>
      <c r="G344" s="58"/>
      <c r="H344" s="59" t="s">
        <v>1350</v>
      </c>
      <c r="I344" s="59" t="s">
        <v>1351</v>
      </c>
      <c r="J344" s="60" t="str">
        <f ca="1">IFERROR(__xludf.DUMMYFUNCTION("JOIN("": "",H344,I344)"),"3E-26-22-04-00-00-00: Fixadores")</f>
        <v>3E-26-22-04-00-00-00: Fixadores</v>
      </c>
      <c r="K344" s="61"/>
      <c r="L344" s="62">
        <v>4</v>
      </c>
      <c r="M344" s="59"/>
      <c r="N344" s="59"/>
      <c r="O344" s="59"/>
      <c r="P344" s="59"/>
      <c r="Q344" s="63"/>
      <c r="R344" s="63"/>
      <c r="S344" s="63"/>
      <c r="T344" s="64">
        <v>52</v>
      </c>
      <c r="U344" s="45" t="b">
        <f ca="1"/>
        <v>0</v>
      </c>
      <c r="X344" s="12" t="s">
        <v>4547</v>
      </c>
      <c r="Y344" s="10">
        <v>52</v>
      </c>
    </row>
    <row r="345" spans="1:26" ht="12.75" hidden="1">
      <c r="A345" s="56" t="s">
        <v>1353</v>
      </c>
      <c r="B345" s="58"/>
      <c r="C345" s="58"/>
      <c r="D345" s="58"/>
      <c r="E345" s="58"/>
      <c r="F345" s="58"/>
      <c r="G345" s="58"/>
      <c r="H345" s="59" t="s">
        <v>1354</v>
      </c>
      <c r="I345" s="59" t="s">
        <v>1355</v>
      </c>
      <c r="J345" s="60" t="str">
        <f ca="1">IFERROR(__xludf.DUMMYFUNCTION("JOIN("": "",H345,I345)"),"3E-26-22-06-00-00-00: Grampos")</f>
        <v>3E-26-22-06-00-00-00: Grampos</v>
      </c>
      <c r="K345" s="61"/>
      <c r="L345" s="62">
        <v>4</v>
      </c>
      <c r="M345" s="59"/>
      <c r="N345" s="59"/>
      <c r="O345" s="59"/>
      <c r="P345" s="59"/>
      <c r="Q345" s="63"/>
      <c r="R345" s="63"/>
      <c r="S345" s="63"/>
      <c r="T345" s="64">
        <v>54</v>
      </c>
      <c r="U345" s="46" t="b">
        <f ca="1"/>
        <v>0</v>
      </c>
      <c r="X345" s="12" t="s">
        <v>4548</v>
      </c>
      <c r="Y345" s="10">
        <v>54</v>
      </c>
    </row>
    <row r="346" spans="1:26" ht="12.75" hidden="1">
      <c r="A346" s="56" t="s">
        <v>1357</v>
      </c>
      <c r="B346" s="58"/>
      <c r="C346" s="58"/>
      <c r="D346" s="58"/>
      <c r="E346" s="58"/>
      <c r="F346" s="58"/>
      <c r="G346" s="58"/>
      <c r="H346" s="59" t="s">
        <v>1358</v>
      </c>
      <c r="I346" s="59" t="s">
        <v>1359</v>
      </c>
      <c r="J346" s="60" t="str">
        <f ca="1">IFERROR(__xludf.DUMMYFUNCTION("JOIN("": "",H346,I346)"),"3E-26-22-08-00-00-00: Suportes")</f>
        <v>3E-26-22-08-00-00-00: Suportes</v>
      </c>
      <c r="K346" s="61"/>
      <c r="L346" s="62">
        <v>4</v>
      </c>
      <c r="M346" s="59"/>
      <c r="N346" s="59"/>
      <c r="O346" s="59"/>
      <c r="P346" s="59"/>
      <c r="Q346" s="63"/>
      <c r="R346" s="63"/>
      <c r="S346" s="63"/>
      <c r="T346" s="64">
        <v>56</v>
      </c>
      <c r="U346" s="45" t="b">
        <f ca="1"/>
        <v>0</v>
      </c>
      <c r="X346" s="12" t="s">
        <v>4549</v>
      </c>
      <c r="Y346" s="10">
        <v>56</v>
      </c>
    </row>
    <row r="347" spans="1:26" ht="12.75" hidden="1">
      <c r="A347" s="56" t="s">
        <v>1361</v>
      </c>
      <c r="B347" s="58"/>
      <c r="C347" s="58"/>
      <c r="D347" s="58"/>
      <c r="E347" s="58"/>
      <c r="F347" s="58"/>
      <c r="G347" s="58"/>
      <c r="H347" s="59" t="s">
        <v>1362</v>
      </c>
      <c r="I347" s="59" t="s">
        <v>1363</v>
      </c>
      <c r="J347" s="60" t="str">
        <f ca="1">IFERROR(__xludf.DUMMYFUNCTION("JOIN("": "",H347,I347)"),"3E-26-22-10-00-00-00: Conectores")</f>
        <v>3E-26-22-10-00-00-00: Conectores</v>
      </c>
      <c r="K347" s="61"/>
      <c r="L347" s="62">
        <v>4</v>
      </c>
      <c r="M347" s="59"/>
      <c r="N347" s="59"/>
      <c r="O347" s="59"/>
      <c r="P347" s="59"/>
      <c r="Q347" s="63"/>
      <c r="R347" s="63"/>
      <c r="S347" s="63"/>
      <c r="T347" s="64">
        <v>58</v>
      </c>
      <c r="U347" s="46" t="b">
        <f ca="1"/>
        <v>0</v>
      </c>
      <c r="X347" s="12" t="s">
        <v>4550</v>
      </c>
      <c r="Y347" s="10">
        <v>58</v>
      </c>
    </row>
    <row r="348" spans="1:26" ht="12.75" hidden="1">
      <c r="A348" s="65" t="s">
        <v>1365</v>
      </c>
      <c r="B348" s="67"/>
      <c r="C348" s="67"/>
      <c r="D348" s="67"/>
      <c r="E348" s="67"/>
      <c r="F348" s="67"/>
      <c r="G348" s="67"/>
      <c r="H348" s="68" t="s">
        <v>1366</v>
      </c>
      <c r="I348" s="68" t="s">
        <v>1367</v>
      </c>
      <c r="J348" s="69" t="str">
        <f ca="1">IFERROR(__xludf.DUMMYFUNCTION("JOIN("": "",H348,I348)"),"3E-26-22-10-02-00-00: Derivadores")</f>
        <v>3E-26-22-10-02-00-00: Derivadores</v>
      </c>
      <c r="K348" s="70"/>
      <c r="L348" s="71">
        <v>5</v>
      </c>
      <c r="M348" s="68"/>
      <c r="N348" s="68"/>
      <c r="O348" s="68"/>
      <c r="P348" s="68"/>
      <c r="Q348" s="72"/>
      <c r="R348" s="72"/>
      <c r="S348" s="72"/>
      <c r="T348" s="73">
        <v>60</v>
      </c>
      <c r="U348" s="45" t="b">
        <f ca="1"/>
        <v>0</v>
      </c>
      <c r="X348" s="12" t="s">
        <v>4551</v>
      </c>
      <c r="Y348" s="10">
        <v>60</v>
      </c>
    </row>
    <row r="349" spans="1:26" ht="12.75" hidden="1">
      <c r="A349" s="65" t="s">
        <v>1369</v>
      </c>
      <c r="B349" s="67"/>
      <c r="C349" s="67"/>
      <c r="D349" s="67"/>
      <c r="E349" s="67"/>
      <c r="F349" s="67"/>
      <c r="G349" s="67"/>
      <c r="H349" s="68" t="s">
        <v>1370</v>
      </c>
      <c r="I349" s="68" t="s">
        <v>1371</v>
      </c>
      <c r="J349" s="69" t="str">
        <f ca="1">IFERROR(__xludf.DUMMYFUNCTION("JOIN("": "",H349,I349)"),"3E-26-22-10-04-00-00: Emendas")</f>
        <v>3E-26-22-10-04-00-00: Emendas</v>
      </c>
      <c r="K349" s="70"/>
      <c r="L349" s="71">
        <v>5</v>
      </c>
      <c r="M349" s="68"/>
      <c r="N349" s="68"/>
      <c r="O349" s="68"/>
      <c r="P349" s="68"/>
      <c r="Q349" s="72"/>
      <c r="R349" s="72"/>
      <c r="S349" s="72"/>
      <c r="T349" s="73">
        <v>62</v>
      </c>
      <c r="U349" s="46" t="b">
        <f ca="1"/>
        <v>0</v>
      </c>
      <c r="X349" s="12" t="s">
        <v>4552</v>
      </c>
      <c r="Y349" s="10">
        <v>62</v>
      </c>
    </row>
    <row r="350" spans="1:26" ht="12.75" hidden="1">
      <c r="A350" s="65" t="s">
        <v>1373</v>
      </c>
      <c r="B350" s="67"/>
      <c r="C350" s="67"/>
      <c r="D350" s="67"/>
      <c r="E350" s="67"/>
      <c r="F350" s="67"/>
      <c r="G350" s="67"/>
      <c r="H350" s="68" t="s">
        <v>1374</v>
      </c>
      <c r="I350" s="68" t="s">
        <v>1375</v>
      </c>
      <c r="J350" s="69" t="str">
        <f ca="1">IFERROR(__xludf.DUMMYFUNCTION("JOIN("": "",H350,I350)"),"3E-26-22-10-06-00-00: Terminais")</f>
        <v>3E-26-22-10-06-00-00: Terminais</v>
      </c>
      <c r="K350" s="70"/>
      <c r="L350" s="71">
        <v>5</v>
      </c>
      <c r="M350" s="68"/>
      <c r="N350" s="68"/>
      <c r="O350" s="68"/>
      <c r="P350" s="68"/>
      <c r="Q350" s="72"/>
      <c r="R350" s="72"/>
      <c r="S350" s="72"/>
      <c r="T350" s="73">
        <v>64</v>
      </c>
      <c r="U350" s="45" t="b">
        <f ca="1"/>
        <v>0</v>
      </c>
      <c r="X350" s="12" t="s">
        <v>4553</v>
      </c>
      <c r="Y350" s="10">
        <v>64</v>
      </c>
    </row>
    <row r="351" spans="1:26" ht="12.75">
      <c r="A351" s="36" t="s">
        <v>1377</v>
      </c>
      <c r="B351" s="37"/>
      <c r="C351" s="37"/>
      <c r="D351" s="37"/>
      <c r="E351" s="37"/>
      <c r="F351" s="37"/>
      <c r="G351" s="37"/>
      <c r="H351" s="38" t="s">
        <v>1378</v>
      </c>
      <c r="I351" s="38" t="s">
        <v>1379</v>
      </c>
      <c r="J351" s="39" t="str">
        <f ca="1">IFERROR(__xludf.DUMMYFUNCTION("JOIN("": "",H351,I351)"),"3E-28-00-00-00-00-00: Elementos de iluminação")</f>
        <v>3E-28-00-00-00-00-00: Elementos de iluminação</v>
      </c>
      <c r="K351" s="40"/>
      <c r="L351" s="41">
        <v>2</v>
      </c>
      <c r="M351" s="42"/>
      <c r="N351" s="43"/>
      <c r="O351" s="43"/>
      <c r="P351" s="43"/>
      <c r="Q351" s="44">
        <v>6</v>
      </c>
      <c r="R351" s="44">
        <v>8</v>
      </c>
      <c r="S351" s="44">
        <v>8</v>
      </c>
      <c r="T351" s="44">
        <v>28</v>
      </c>
      <c r="U351" s="46" t="b">
        <f ca="1"/>
        <v>0</v>
      </c>
      <c r="W351" s="7" t="str">
        <f>MID(H351, 1, FIND("-", H351, FIND("-", H351)+1)-1)</f>
        <v>3E-28</v>
      </c>
      <c r="X351" s="12" t="s">
        <v>4554</v>
      </c>
      <c r="Y351" s="10">
        <v>28</v>
      </c>
      <c r="Z351" s="7" t="str">
        <f>SUBSTITUTE(I351, "Elementos de ", "")</f>
        <v>iluminação</v>
      </c>
    </row>
    <row r="352" spans="1:26" ht="12.75" hidden="1">
      <c r="A352" s="47" t="s">
        <v>1381</v>
      </c>
      <c r="B352" s="48"/>
      <c r="C352" s="48"/>
      <c r="D352" s="48"/>
      <c r="E352" s="48"/>
      <c r="F352" s="48"/>
      <c r="G352" s="48"/>
      <c r="H352" s="49" t="s">
        <v>1382</v>
      </c>
      <c r="I352" s="49" t="s">
        <v>1383</v>
      </c>
      <c r="J352" s="50" t="str">
        <f ca="1">IFERROR(__xludf.DUMMYFUNCTION("JOIN("": "",H352,I352)"),"3E-28-02-00-00-00-00: Elementos de iluminação de uso geral")</f>
        <v>3E-28-02-00-00-00-00: Elementos de iluminação de uso geral</v>
      </c>
      <c r="K352" s="51"/>
      <c r="L352" s="52">
        <v>3</v>
      </c>
      <c r="M352" s="53"/>
      <c r="N352" s="53"/>
      <c r="O352" s="53"/>
      <c r="P352" s="53"/>
      <c r="Q352" s="54"/>
      <c r="R352" s="54"/>
      <c r="S352" s="54"/>
      <c r="T352" s="55">
        <v>30</v>
      </c>
      <c r="U352" s="45" t="b">
        <f ca="1"/>
        <v>0</v>
      </c>
      <c r="X352" s="12" t="s">
        <v>4555</v>
      </c>
      <c r="Y352" s="10">
        <v>30</v>
      </c>
    </row>
    <row r="353" spans="1:26" ht="12.75" hidden="1">
      <c r="A353" s="56" t="s">
        <v>1385</v>
      </c>
      <c r="B353" s="58"/>
      <c r="C353" s="58"/>
      <c r="D353" s="58"/>
      <c r="E353" s="58"/>
      <c r="F353" s="58"/>
      <c r="G353" s="58"/>
      <c r="H353" s="59" t="s">
        <v>1386</v>
      </c>
      <c r="I353" s="59" t="s">
        <v>1387</v>
      </c>
      <c r="J353" s="60" t="str">
        <f ca="1">IFERROR(__xludf.DUMMYFUNCTION("JOIN("": "",H353,I353)"),"3E-28-02-02-00-00-00: Fluxo luminoso direto")</f>
        <v>3E-28-02-02-00-00-00: Fluxo luminoso direto</v>
      </c>
      <c r="K353" s="61"/>
      <c r="L353" s="62">
        <v>4</v>
      </c>
      <c r="M353" s="59"/>
      <c r="N353" s="59"/>
      <c r="O353" s="59"/>
      <c r="P353" s="59"/>
      <c r="Q353" s="63"/>
      <c r="R353" s="63"/>
      <c r="S353" s="63"/>
      <c r="T353" s="64">
        <v>32</v>
      </c>
      <c r="U353" s="46" t="b">
        <f ca="1"/>
        <v>0</v>
      </c>
      <c r="X353" s="12" t="s">
        <v>4556</v>
      </c>
      <c r="Y353" s="10">
        <v>32</v>
      </c>
    </row>
    <row r="354" spans="1:26" ht="12.75" hidden="1">
      <c r="A354" s="56" t="s">
        <v>1389</v>
      </c>
      <c r="B354" s="58"/>
      <c r="C354" s="58"/>
      <c r="D354" s="58"/>
      <c r="E354" s="58"/>
      <c r="F354" s="58"/>
      <c r="G354" s="58"/>
      <c r="H354" s="59" t="s">
        <v>1390</v>
      </c>
      <c r="I354" s="59" t="s">
        <v>1391</v>
      </c>
      <c r="J354" s="60" t="str">
        <f ca="1">IFERROR(__xludf.DUMMYFUNCTION("JOIN("": "",H354,I354)"),"3E-28-02-04-00-00-00: Fluxo luminoso indireto")</f>
        <v>3E-28-02-04-00-00-00: Fluxo luminoso indireto</v>
      </c>
      <c r="K354" s="61"/>
      <c r="L354" s="62">
        <v>4</v>
      </c>
      <c r="M354" s="59"/>
      <c r="N354" s="59"/>
      <c r="O354" s="59"/>
      <c r="P354" s="59"/>
      <c r="Q354" s="63"/>
      <c r="R354" s="63"/>
      <c r="S354" s="63"/>
      <c r="T354" s="64">
        <v>34</v>
      </c>
      <c r="U354" s="45" t="b">
        <f ca="1"/>
        <v>0</v>
      </c>
      <c r="X354" s="12" t="s">
        <v>4557</v>
      </c>
      <c r="Y354" s="10">
        <v>34</v>
      </c>
    </row>
    <row r="355" spans="1:26" ht="12.75" hidden="1">
      <c r="A355" s="56" t="s">
        <v>1393</v>
      </c>
      <c r="B355" s="58"/>
      <c r="C355" s="58"/>
      <c r="D355" s="58"/>
      <c r="E355" s="58"/>
      <c r="F355" s="58"/>
      <c r="G355" s="58"/>
      <c r="H355" s="59" t="s">
        <v>1394</v>
      </c>
      <c r="I355" s="59" t="s">
        <v>1395</v>
      </c>
      <c r="J355" s="60" t="str">
        <f ca="1">IFERROR(__xludf.DUMMYFUNCTION("JOIN("": "",H355,I355)"),"3E-28-02-06-00-00-00: Fluxo luminoso semidireto")</f>
        <v>3E-28-02-06-00-00-00: Fluxo luminoso semidireto</v>
      </c>
      <c r="K355" s="61"/>
      <c r="L355" s="62">
        <v>4</v>
      </c>
      <c r="M355" s="59"/>
      <c r="N355" s="59"/>
      <c r="O355" s="59"/>
      <c r="P355" s="59"/>
      <c r="Q355" s="63"/>
      <c r="R355" s="63"/>
      <c r="S355" s="63"/>
      <c r="T355" s="64">
        <v>36</v>
      </c>
      <c r="U355" s="46" t="b">
        <f ca="1"/>
        <v>0</v>
      </c>
      <c r="X355" s="12" t="s">
        <v>4558</v>
      </c>
      <c r="Y355" s="10">
        <v>36</v>
      </c>
    </row>
    <row r="356" spans="1:26" ht="12.75" hidden="1">
      <c r="A356" s="56" t="s">
        <v>1397</v>
      </c>
      <c r="B356" s="58"/>
      <c r="C356" s="58"/>
      <c r="D356" s="58"/>
      <c r="E356" s="58"/>
      <c r="F356" s="58"/>
      <c r="G356" s="58"/>
      <c r="H356" s="59" t="s">
        <v>1398</v>
      </c>
      <c r="I356" s="59" t="s">
        <v>1399</v>
      </c>
      <c r="J356" s="60" t="str">
        <f ca="1">IFERROR(__xludf.DUMMYFUNCTION("JOIN("": "",H356,I356)"),"3E-28-02-08-00-00-00: Fluxo luminoso semi-indireto")</f>
        <v>3E-28-02-08-00-00-00: Fluxo luminoso semi-indireto</v>
      </c>
      <c r="K356" s="61"/>
      <c r="L356" s="62">
        <v>4</v>
      </c>
      <c r="M356" s="59"/>
      <c r="N356" s="59"/>
      <c r="O356" s="59"/>
      <c r="P356" s="59"/>
      <c r="Q356" s="63"/>
      <c r="R356" s="63"/>
      <c r="S356" s="63"/>
      <c r="T356" s="64">
        <v>38</v>
      </c>
      <c r="U356" s="45" t="b">
        <f ca="1"/>
        <v>0</v>
      </c>
      <c r="X356" s="12" t="s">
        <v>4559</v>
      </c>
      <c r="Y356" s="10">
        <v>38</v>
      </c>
    </row>
    <row r="357" spans="1:26" ht="12.75" hidden="1">
      <c r="A357" s="56" t="s">
        <v>1401</v>
      </c>
      <c r="B357" s="58"/>
      <c r="C357" s="58"/>
      <c r="D357" s="58"/>
      <c r="E357" s="58"/>
      <c r="F357" s="58"/>
      <c r="G357" s="58"/>
      <c r="H357" s="59" t="s">
        <v>1402</v>
      </c>
      <c r="I357" s="59" t="s">
        <v>1403</v>
      </c>
      <c r="J357" s="60" t="str">
        <f ca="1">IFERROR(__xludf.DUMMYFUNCTION("JOIN("": "",H357,I357)"),"3E-28-02-10-00-00-00: Fluxo luminoso geral-difuso")</f>
        <v>3E-28-02-10-00-00-00: Fluxo luminoso geral-difuso</v>
      </c>
      <c r="K357" s="61"/>
      <c r="L357" s="62">
        <v>4</v>
      </c>
      <c r="M357" s="59"/>
      <c r="N357" s="59"/>
      <c r="O357" s="59"/>
      <c r="P357" s="59"/>
      <c r="Q357" s="63"/>
      <c r="R357" s="63"/>
      <c r="S357" s="63"/>
      <c r="T357" s="64">
        <v>40</v>
      </c>
      <c r="U357" s="46" t="b">
        <f ca="1"/>
        <v>0</v>
      </c>
      <c r="X357" s="12" t="s">
        <v>4560</v>
      </c>
      <c r="Y357" s="10">
        <v>40</v>
      </c>
    </row>
    <row r="358" spans="1:26" ht="12.75" hidden="1">
      <c r="A358" s="47" t="s">
        <v>1405</v>
      </c>
      <c r="B358" s="48"/>
      <c r="C358" s="48"/>
      <c r="D358" s="48"/>
      <c r="E358" s="48"/>
      <c r="F358" s="48"/>
      <c r="G358" s="48"/>
      <c r="H358" s="49" t="s">
        <v>1406</v>
      </c>
      <c r="I358" s="49" t="s">
        <v>1407</v>
      </c>
      <c r="J358" s="50" t="str">
        <f ca="1">IFERROR(__xludf.DUMMYFUNCTION("JOIN("": "",H358,I358)"),"3E-28-04-00-00-00-00: Elementos para modificar fluxos luminosos")</f>
        <v>3E-28-04-00-00-00-00: Elementos para modificar fluxos luminosos</v>
      </c>
      <c r="K358" s="51"/>
      <c r="L358" s="52">
        <v>3</v>
      </c>
      <c r="M358" s="53"/>
      <c r="N358" s="53"/>
      <c r="O358" s="53"/>
      <c r="P358" s="53"/>
      <c r="Q358" s="54"/>
      <c r="R358" s="54"/>
      <c r="S358" s="54"/>
      <c r="T358" s="55">
        <v>32</v>
      </c>
      <c r="U358" s="45" t="b">
        <f ca="1"/>
        <v>0</v>
      </c>
      <c r="X358" s="12" t="s">
        <v>4561</v>
      </c>
      <c r="Y358" s="10">
        <v>32</v>
      </c>
    </row>
    <row r="359" spans="1:26" ht="12.75" hidden="1">
      <c r="A359" s="56" t="s">
        <v>1409</v>
      </c>
      <c r="B359" s="58"/>
      <c r="C359" s="58"/>
      <c r="D359" s="58"/>
      <c r="E359" s="58"/>
      <c r="F359" s="58"/>
      <c r="G359" s="58"/>
      <c r="H359" s="59" t="s">
        <v>1410</v>
      </c>
      <c r="I359" s="59" t="s">
        <v>1411</v>
      </c>
      <c r="J359" s="60" t="str">
        <f ca="1">IFERROR(__xludf.DUMMYFUNCTION("JOIN("": "",H359,I359)"),"3E-28-04-02-00-00-00: Superfície de absorção")</f>
        <v>3E-28-04-02-00-00-00: Superfície de absorção</v>
      </c>
      <c r="K359" s="61"/>
      <c r="L359" s="62">
        <v>4</v>
      </c>
      <c r="M359" s="59"/>
      <c r="N359" s="59"/>
      <c r="O359" s="59"/>
      <c r="P359" s="59"/>
      <c r="Q359" s="63"/>
      <c r="R359" s="63"/>
      <c r="S359" s="63"/>
      <c r="T359" s="64">
        <v>34</v>
      </c>
      <c r="U359" s="46" t="b">
        <f ca="1"/>
        <v>0</v>
      </c>
      <c r="X359" s="12" t="s">
        <v>4562</v>
      </c>
      <c r="Y359" s="10">
        <v>34</v>
      </c>
    </row>
    <row r="360" spans="1:26" ht="12.75" hidden="1">
      <c r="A360" s="56" t="s">
        <v>1413</v>
      </c>
      <c r="B360" s="58"/>
      <c r="C360" s="58"/>
      <c r="D360" s="58"/>
      <c r="E360" s="58"/>
      <c r="F360" s="58"/>
      <c r="G360" s="58"/>
      <c r="H360" s="59" t="s">
        <v>1414</v>
      </c>
      <c r="I360" s="59" t="s">
        <v>1415</v>
      </c>
      <c r="J360" s="60" t="str">
        <f ca="1">IFERROR(__xludf.DUMMYFUNCTION("JOIN("": "",H360,I360)"),"3E-28-04-04-00-00-00: Superfície de refração")</f>
        <v>3E-28-04-04-00-00-00: Superfície de refração</v>
      </c>
      <c r="K360" s="61"/>
      <c r="L360" s="62">
        <v>4</v>
      </c>
      <c r="M360" s="59"/>
      <c r="N360" s="59"/>
      <c r="O360" s="59"/>
      <c r="P360" s="59"/>
      <c r="Q360" s="63"/>
      <c r="R360" s="63"/>
      <c r="S360" s="63"/>
      <c r="T360" s="64">
        <v>36</v>
      </c>
      <c r="U360" s="45" t="b">
        <f ca="1"/>
        <v>0</v>
      </c>
      <c r="X360" s="12" t="s">
        <v>4563</v>
      </c>
      <c r="Y360" s="10">
        <v>36</v>
      </c>
    </row>
    <row r="361" spans="1:26" ht="12.75" hidden="1">
      <c r="A361" s="56" t="s">
        <v>1417</v>
      </c>
      <c r="B361" s="58"/>
      <c r="C361" s="58"/>
      <c r="D361" s="58"/>
      <c r="E361" s="58"/>
      <c r="F361" s="58"/>
      <c r="G361" s="58"/>
      <c r="H361" s="59" t="s">
        <v>1418</v>
      </c>
      <c r="I361" s="59" t="s">
        <v>1419</v>
      </c>
      <c r="J361" s="60" t="str">
        <f ca="1">IFERROR(__xludf.DUMMYFUNCTION("JOIN("": "",H361,I361)"),"3E-28-04-06-00-00-00: Superficie de reflexão")</f>
        <v>3E-28-04-06-00-00-00: Superficie de reflexão</v>
      </c>
      <c r="K361" s="61"/>
      <c r="L361" s="62">
        <v>4</v>
      </c>
      <c r="M361" s="59"/>
      <c r="N361" s="59"/>
      <c r="O361" s="59"/>
      <c r="P361" s="59"/>
      <c r="Q361" s="63"/>
      <c r="R361" s="63"/>
      <c r="S361" s="63"/>
      <c r="T361" s="64">
        <v>38</v>
      </c>
      <c r="U361" s="46" t="b">
        <f ca="1"/>
        <v>0</v>
      </c>
      <c r="X361" s="12" t="s">
        <v>4564</v>
      </c>
      <c r="Y361" s="10">
        <v>38</v>
      </c>
    </row>
    <row r="362" spans="1:26" ht="12.75" hidden="1">
      <c r="A362" s="56" t="s">
        <v>1421</v>
      </c>
      <c r="B362" s="58"/>
      <c r="C362" s="58"/>
      <c r="D362" s="58"/>
      <c r="E362" s="58"/>
      <c r="F362" s="58"/>
      <c r="G362" s="58"/>
      <c r="H362" s="59" t="s">
        <v>1422</v>
      </c>
      <c r="I362" s="59" t="s">
        <v>1423</v>
      </c>
      <c r="J362" s="60" t="str">
        <f ca="1">IFERROR(__xludf.DUMMYFUNCTION("JOIN("": "",H362,I362)"),"3E-28-04-08-00-00-00: Superfície de difusão")</f>
        <v>3E-28-04-08-00-00-00: Superfície de difusão</v>
      </c>
      <c r="K362" s="61"/>
      <c r="L362" s="62">
        <v>4</v>
      </c>
      <c r="M362" s="59"/>
      <c r="N362" s="59"/>
      <c r="O362" s="59"/>
      <c r="P362" s="59"/>
      <c r="Q362" s="63"/>
      <c r="R362" s="63"/>
      <c r="S362" s="63"/>
      <c r="T362" s="64">
        <v>40</v>
      </c>
      <c r="U362" s="45" t="b">
        <f ca="1"/>
        <v>0</v>
      </c>
      <c r="X362" s="12" t="s">
        <v>4565</v>
      </c>
      <c r="Y362" s="10">
        <v>40</v>
      </c>
    </row>
    <row r="363" spans="1:26" ht="12.75" hidden="1">
      <c r="A363" s="56" t="s">
        <v>1425</v>
      </c>
      <c r="B363" s="58"/>
      <c r="C363" s="58"/>
      <c r="D363" s="58"/>
      <c r="E363" s="58"/>
      <c r="F363" s="58"/>
      <c r="G363" s="58"/>
      <c r="H363" s="59" t="s">
        <v>1426</v>
      </c>
      <c r="I363" s="59" t="s">
        <v>1427</v>
      </c>
      <c r="J363" s="60" t="str">
        <f ca="1">IFERROR(__xludf.DUMMYFUNCTION("JOIN("": "",H363,I363)"),"3E-28-04-10-00-00-00: Superfície louver")</f>
        <v>3E-28-04-10-00-00-00: Superfície louver</v>
      </c>
      <c r="K363" s="61"/>
      <c r="L363" s="62">
        <v>4</v>
      </c>
      <c r="M363" s="59"/>
      <c r="N363" s="59"/>
      <c r="O363" s="59"/>
      <c r="P363" s="59"/>
      <c r="Q363" s="63"/>
      <c r="R363" s="63"/>
      <c r="S363" s="63"/>
      <c r="T363" s="64">
        <v>42</v>
      </c>
      <c r="U363" s="46" t="b">
        <f ca="1"/>
        <v>0</v>
      </c>
      <c r="X363" s="12" t="s">
        <v>4566</v>
      </c>
      <c r="Y363" s="10">
        <v>42</v>
      </c>
    </row>
    <row r="364" spans="1:26" ht="12.75" hidden="1">
      <c r="A364" s="47" t="s">
        <v>1429</v>
      </c>
      <c r="B364" s="48"/>
      <c r="C364" s="48"/>
      <c r="D364" s="48"/>
      <c r="E364" s="48"/>
      <c r="F364" s="48"/>
      <c r="G364" s="48"/>
      <c r="H364" s="49" t="s">
        <v>1430</v>
      </c>
      <c r="I364" s="49" t="s">
        <v>1431</v>
      </c>
      <c r="J364" s="50" t="str">
        <f ca="1">IFERROR(__xludf.DUMMYFUNCTION("JOIN("": "",H364,I364)"),"3E-28-06-00-00-00-00: Elementos de iluminação de emergência")</f>
        <v>3E-28-06-00-00-00-00: Elementos de iluminação de emergência</v>
      </c>
      <c r="K364" s="51"/>
      <c r="L364" s="52">
        <v>3</v>
      </c>
      <c r="M364" s="53"/>
      <c r="N364" s="53"/>
      <c r="O364" s="53"/>
      <c r="P364" s="53"/>
      <c r="Q364" s="54"/>
      <c r="R364" s="54"/>
      <c r="S364" s="54"/>
      <c r="T364" s="55">
        <v>34</v>
      </c>
      <c r="U364" s="45" t="b">
        <f ca="1"/>
        <v>0</v>
      </c>
      <c r="X364" s="12" t="s">
        <v>4567</v>
      </c>
      <c r="Y364" s="10">
        <v>34</v>
      </c>
    </row>
    <row r="365" spans="1:26" ht="12.75">
      <c r="A365" s="36" t="s">
        <v>1433</v>
      </c>
      <c r="B365" s="37"/>
      <c r="C365" s="37"/>
      <c r="D365" s="37"/>
      <c r="E365" s="37"/>
      <c r="F365" s="37"/>
      <c r="G365" s="37"/>
      <c r="H365" s="38" t="s">
        <v>1434</v>
      </c>
      <c r="I365" s="38" t="s">
        <v>1435</v>
      </c>
      <c r="J365" s="39" t="str">
        <f ca="1">IFERROR(__xludf.DUMMYFUNCTION("JOIN("": "",H365,I365)"),"3E-30-00-00-00-00-00: Elementos de ventilação e exaustão")</f>
        <v>3E-30-00-00-00-00-00: Elementos de ventilação e exaustão</v>
      </c>
      <c r="K365" s="40"/>
      <c r="L365" s="41">
        <v>2</v>
      </c>
      <c r="M365" s="42"/>
      <c r="N365" s="43"/>
      <c r="O365" s="43"/>
      <c r="P365" s="43"/>
      <c r="Q365" s="44">
        <v>4</v>
      </c>
      <c r="R365" s="44">
        <v>5</v>
      </c>
      <c r="S365" s="44">
        <v>5</v>
      </c>
      <c r="T365" s="44">
        <v>30</v>
      </c>
      <c r="U365" s="46" t="b">
        <f ca="1"/>
        <v>0</v>
      </c>
      <c r="W365" s="7" t="str">
        <f>MID(H365, 1, FIND("-", H365, FIND("-", H365)+1)-1)</f>
        <v>3E-30</v>
      </c>
      <c r="X365" s="12" t="s">
        <v>4568</v>
      </c>
      <c r="Y365" s="10">
        <v>30</v>
      </c>
      <c r="Z365" s="7" t="str">
        <f>SUBSTITUTE(I365, "Elementos de ", "")</f>
        <v>ventilação e exaustão</v>
      </c>
    </row>
    <row r="366" spans="1:26" ht="12.75" hidden="1">
      <c r="A366" s="47" t="s">
        <v>1437</v>
      </c>
      <c r="B366" s="48"/>
      <c r="C366" s="48"/>
      <c r="D366" s="48"/>
      <c r="E366" s="48"/>
      <c r="F366" s="48"/>
      <c r="G366" s="48"/>
      <c r="H366" s="49" t="s">
        <v>1438</v>
      </c>
      <c r="I366" s="49" t="s">
        <v>1439</v>
      </c>
      <c r="J366" s="50" t="str">
        <f ca="1">IFERROR(__xludf.DUMMYFUNCTION("JOIN("": "",H366,I366)"),"3E-30-02-00-00-00-00: Elementos de ventilação")</f>
        <v>3E-30-02-00-00-00-00: Elementos de ventilação</v>
      </c>
      <c r="K366" s="51"/>
      <c r="L366" s="52">
        <v>3</v>
      </c>
      <c r="M366" s="53"/>
      <c r="N366" s="53"/>
      <c r="O366" s="53"/>
      <c r="P366" s="53"/>
      <c r="Q366" s="54"/>
      <c r="R366" s="54"/>
      <c r="S366" s="54"/>
      <c r="T366" s="55">
        <v>32</v>
      </c>
      <c r="U366" s="45" t="b">
        <f ca="1"/>
        <v>0</v>
      </c>
      <c r="X366" s="12" t="s">
        <v>4569</v>
      </c>
      <c r="Y366" s="10">
        <v>32</v>
      </c>
    </row>
    <row r="367" spans="1:26" ht="12.75" hidden="1">
      <c r="A367" s="56" t="s">
        <v>1441</v>
      </c>
      <c r="B367" s="58"/>
      <c r="C367" s="58"/>
      <c r="D367" s="58"/>
      <c r="E367" s="58"/>
      <c r="F367" s="58"/>
      <c r="G367" s="58"/>
      <c r="H367" s="59" t="s">
        <v>1442</v>
      </c>
      <c r="I367" s="59" t="s">
        <v>1443</v>
      </c>
      <c r="J367" s="60" t="str">
        <f ca="1">IFERROR(__xludf.DUMMYFUNCTION("JOIN("": "",H367,I367)"),"3E-30-02-02-00-00-00: Ventilador centrífugo")</f>
        <v>3E-30-02-02-00-00-00: Ventilador centrífugo</v>
      </c>
      <c r="K367" s="61"/>
      <c r="L367" s="62">
        <v>4</v>
      </c>
      <c r="M367" s="59"/>
      <c r="N367" s="59"/>
      <c r="O367" s="59"/>
      <c r="P367" s="59"/>
      <c r="Q367" s="63"/>
      <c r="R367" s="63"/>
      <c r="S367" s="63"/>
      <c r="T367" s="64">
        <v>34</v>
      </c>
      <c r="U367" s="46" t="b">
        <f ca="1"/>
        <v>0</v>
      </c>
      <c r="X367" s="12" t="s">
        <v>4570</v>
      </c>
      <c r="Y367" s="10">
        <v>34</v>
      </c>
    </row>
    <row r="368" spans="1:26" ht="12.75" hidden="1">
      <c r="A368" s="56" t="s">
        <v>1445</v>
      </c>
      <c r="B368" s="58"/>
      <c r="C368" s="58"/>
      <c r="D368" s="58"/>
      <c r="E368" s="58"/>
      <c r="F368" s="58"/>
      <c r="G368" s="58"/>
      <c r="H368" s="59" t="s">
        <v>1446</v>
      </c>
      <c r="I368" s="59" t="s">
        <v>1447</v>
      </c>
      <c r="J368" s="60" t="str">
        <f ca="1">IFERROR(__xludf.DUMMYFUNCTION("JOIN("": "",H368,I368)"),"3E-30-02-04-00-00-00: Ventilador axial ou tipo hélice")</f>
        <v>3E-30-02-04-00-00-00: Ventilador axial ou tipo hélice</v>
      </c>
      <c r="K368" s="61"/>
      <c r="L368" s="62">
        <v>4</v>
      </c>
      <c r="M368" s="59"/>
      <c r="N368" s="59"/>
      <c r="O368" s="59"/>
      <c r="P368" s="59"/>
      <c r="Q368" s="63"/>
      <c r="R368" s="63"/>
      <c r="S368" s="63"/>
      <c r="T368" s="64">
        <v>36</v>
      </c>
      <c r="U368" s="45" t="b">
        <f ca="1"/>
        <v>0</v>
      </c>
      <c r="X368" s="12" t="s">
        <v>4571</v>
      </c>
      <c r="Y368" s="10">
        <v>36</v>
      </c>
    </row>
    <row r="369" spans="1:26" ht="12.75" hidden="1">
      <c r="A369" s="47" t="s">
        <v>1449</v>
      </c>
      <c r="B369" s="48"/>
      <c r="C369" s="48"/>
      <c r="D369" s="48"/>
      <c r="E369" s="48"/>
      <c r="F369" s="48"/>
      <c r="G369" s="48"/>
      <c r="H369" s="49" t="s">
        <v>1450</v>
      </c>
      <c r="I369" s="49" t="s">
        <v>1451</v>
      </c>
      <c r="J369" s="50" t="str">
        <f ca="1">IFERROR(__xludf.DUMMYFUNCTION("JOIN("": "",H369,I369)"),"3E-30-04-00-00-00-00: Elementos de exaustão")</f>
        <v>3E-30-04-00-00-00-00: Elementos de exaustão</v>
      </c>
      <c r="K369" s="51"/>
      <c r="L369" s="52">
        <v>3</v>
      </c>
      <c r="M369" s="53"/>
      <c r="N369" s="53"/>
      <c r="O369" s="53"/>
      <c r="P369" s="53"/>
      <c r="Q369" s="54"/>
      <c r="R369" s="54"/>
      <c r="S369" s="54"/>
      <c r="T369" s="55">
        <v>34</v>
      </c>
      <c r="U369" s="46" t="b">
        <f ca="1"/>
        <v>0</v>
      </c>
      <c r="X369" s="12" t="s">
        <v>4572</v>
      </c>
      <c r="Y369" s="10">
        <v>34</v>
      </c>
    </row>
    <row r="370" spans="1:26" ht="12.75" hidden="1">
      <c r="A370" s="56" t="s">
        <v>1453</v>
      </c>
      <c r="B370" s="58"/>
      <c r="C370" s="58"/>
      <c r="D370" s="58"/>
      <c r="E370" s="58"/>
      <c r="F370" s="58"/>
      <c r="G370" s="58"/>
      <c r="H370" s="59" t="s">
        <v>1454</v>
      </c>
      <c r="I370" s="59" t="s">
        <v>1455</v>
      </c>
      <c r="J370" s="60" t="str">
        <f ca="1">IFERROR(__xludf.DUMMYFUNCTION("JOIN("": "",H370,I370)"),"3E-30-04-02-00-00-00: Captor de exaustão")</f>
        <v>3E-30-04-02-00-00-00: Captor de exaustão</v>
      </c>
      <c r="K370" s="61"/>
      <c r="L370" s="62">
        <v>4</v>
      </c>
      <c r="M370" s="59"/>
      <c r="N370" s="59"/>
      <c r="O370" s="59"/>
      <c r="P370" s="59"/>
      <c r="Q370" s="63"/>
      <c r="R370" s="63"/>
      <c r="S370" s="63"/>
      <c r="T370" s="64">
        <v>36</v>
      </c>
      <c r="U370" s="45" t="b">
        <f ca="1"/>
        <v>0</v>
      </c>
      <c r="X370" s="12" t="s">
        <v>4573</v>
      </c>
      <c r="Y370" s="10">
        <v>36</v>
      </c>
    </row>
    <row r="371" spans="1:26" ht="12.75" hidden="1">
      <c r="A371" s="56" t="s">
        <v>1457</v>
      </c>
      <c r="B371" s="58"/>
      <c r="C371" s="58"/>
      <c r="D371" s="58"/>
      <c r="E371" s="58"/>
      <c r="F371" s="58"/>
      <c r="G371" s="58"/>
      <c r="H371" s="59" t="s">
        <v>1458</v>
      </c>
      <c r="I371" s="59" t="s">
        <v>1459</v>
      </c>
      <c r="J371" s="60" t="str">
        <f ca="1">IFERROR(__xludf.DUMMYFUNCTION("JOIN("": "",H371,I371)"),"3E-30-04-04-00-00-00: Duto de ar de exaustão")</f>
        <v>3E-30-04-04-00-00-00: Duto de ar de exaustão</v>
      </c>
      <c r="K371" s="61"/>
      <c r="L371" s="62">
        <v>4</v>
      </c>
      <c r="M371" s="59"/>
      <c r="N371" s="59"/>
      <c r="O371" s="59"/>
      <c r="P371" s="59"/>
      <c r="Q371" s="63"/>
      <c r="R371" s="63"/>
      <c r="S371" s="63"/>
      <c r="T371" s="64">
        <v>38</v>
      </c>
      <c r="U371" s="46" t="b">
        <f ca="1"/>
        <v>0</v>
      </c>
      <c r="X371" s="12" t="s">
        <v>4574</v>
      </c>
      <c r="Y371" s="10">
        <v>38</v>
      </c>
    </row>
    <row r="372" spans="1:26" ht="12.75" hidden="1">
      <c r="A372" s="56" t="s">
        <v>1461</v>
      </c>
      <c r="B372" s="58"/>
      <c r="C372" s="58"/>
      <c r="D372" s="58"/>
      <c r="E372" s="58"/>
      <c r="F372" s="58"/>
      <c r="G372" s="58"/>
      <c r="H372" s="59" t="s">
        <v>1462</v>
      </c>
      <c r="I372" s="59" t="s">
        <v>1463</v>
      </c>
      <c r="J372" s="60" t="str">
        <f ca="1">IFERROR(__xludf.DUMMYFUNCTION("JOIN("": "",H372,I372)"),"3E-30-04-06-00-00-00: Ventilador de exaustão")</f>
        <v>3E-30-04-06-00-00-00: Ventilador de exaustão</v>
      </c>
      <c r="K372" s="61"/>
      <c r="L372" s="62">
        <v>4</v>
      </c>
      <c r="M372" s="59"/>
      <c r="N372" s="59"/>
      <c r="O372" s="59"/>
      <c r="P372" s="59"/>
      <c r="Q372" s="63"/>
      <c r="R372" s="63"/>
      <c r="S372" s="63"/>
      <c r="T372" s="64">
        <v>40</v>
      </c>
      <c r="U372" s="45" t="b">
        <f ca="1"/>
        <v>0</v>
      </c>
      <c r="X372" s="12" t="s">
        <v>4575</v>
      </c>
      <c r="Y372" s="10">
        <v>40</v>
      </c>
    </row>
    <row r="373" spans="1:26" ht="12.75" hidden="1">
      <c r="A373" s="56" t="s">
        <v>1465</v>
      </c>
      <c r="B373" s="58"/>
      <c r="C373" s="58"/>
      <c r="D373" s="58"/>
      <c r="E373" s="58"/>
      <c r="F373" s="58"/>
      <c r="G373" s="58"/>
      <c r="H373" s="59" t="s">
        <v>1466</v>
      </c>
      <c r="I373" s="59" t="s">
        <v>1467</v>
      </c>
      <c r="J373" s="60" t="str">
        <f ca="1">IFERROR(__xludf.DUMMYFUNCTION("JOIN("": "",H373,I373)"),"3E-30-04-08-00-00-00: Chaminé de exaustão")</f>
        <v>3E-30-04-08-00-00-00: Chaminé de exaustão</v>
      </c>
      <c r="K373" s="61"/>
      <c r="L373" s="62">
        <v>4</v>
      </c>
      <c r="M373" s="59"/>
      <c r="N373" s="59"/>
      <c r="O373" s="59"/>
      <c r="P373" s="59"/>
      <c r="Q373" s="63"/>
      <c r="R373" s="63"/>
      <c r="S373" s="63"/>
      <c r="T373" s="64">
        <v>42</v>
      </c>
      <c r="U373" s="46" t="b">
        <f ca="1"/>
        <v>0</v>
      </c>
      <c r="X373" s="12" t="s">
        <v>4576</v>
      </c>
      <c r="Y373" s="10">
        <v>42</v>
      </c>
    </row>
    <row r="374" spans="1:26" ht="12.75">
      <c r="A374" s="36" t="s">
        <v>1469</v>
      </c>
      <c r="B374" s="37"/>
      <c r="C374" s="37"/>
      <c r="D374" s="37"/>
      <c r="E374" s="37"/>
      <c r="F374" s="37"/>
      <c r="G374" s="37"/>
      <c r="H374" s="38" t="s">
        <v>1470</v>
      </c>
      <c r="I374" s="38" t="s">
        <v>1471</v>
      </c>
      <c r="J374" s="39" t="str">
        <f ca="1">IFERROR(__xludf.DUMMYFUNCTION("JOIN("": "",H374,I374)"),"3E-32-00-00-00-00-00: Elementos de rede de distribuição de telecomunicações")</f>
        <v>3E-32-00-00-00-00-00: Elementos de rede de distribuição de telecomunicações</v>
      </c>
      <c r="K374" s="40"/>
      <c r="L374" s="41">
        <v>2</v>
      </c>
      <c r="M374" s="42"/>
      <c r="N374" s="43"/>
      <c r="O374" s="43"/>
      <c r="P374" s="43"/>
      <c r="Q374" s="44">
        <v>3</v>
      </c>
      <c r="R374" s="44">
        <v>3</v>
      </c>
      <c r="S374" s="44">
        <v>4</v>
      </c>
      <c r="T374" s="44">
        <v>32</v>
      </c>
      <c r="U374" s="45" t="b">
        <f ca="1"/>
        <v>0</v>
      </c>
      <c r="W374" s="7" t="str">
        <f>MID(H374, 1, FIND("-", H374, FIND("-", H374)+1)-1)</f>
        <v>3E-32</v>
      </c>
      <c r="X374" s="12" t="s">
        <v>4577</v>
      </c>
      <c r="Y374" s="10">
        <v>32</v>
      </c>
      <c r="Z374" s="7" t="str">
        <f>SUBSTITUTE(I374, "Elementos de ", "")</f>
        <v>rede de distribuição de telecomunicações</v>
      </c>
    </row>
    <row r="375" spans="1:26" ht="12.75" hidden="1">
      <c r="A375" s="47" t="s">
        <v>1473</v>
      </c>
      <c r="B375" s="48"/>
      <c r="C375" s="48"/>
      <c r="D375" s="48"/>
      <c r="E375" s="48"/>
      <c r="F375" s="48"/>
      <c r="G375" s="48"/>
      <c r="H375" s="49" t="s">
        <v>1474</v>
      </c>
      <c r="I375" s="49" t="s">
        <v>1475</v>
      </c>
      <c r="J375" s="50" t="str">
        <f ca="1">IFERROR(__xludf.DUMMYFUNCTION("JOIN("": "",H375,I375)"),"3E-32-02-00-00-00-00: Elementos de rede de distribuição de telefonia")</f>
        <v>3E-32-02-00-00-00-00: Elementos de rede de distribuição de telefonia</v>
      </c>
      <c r="K375" s="51"/>
      <c r="L375" s="52">
        <v>3</v>
      </c>
      <c r="M375" s="53"/>
      <c r="N375" s="53"/>
      <c r="O375" s="53"/>
      <c r="P375" s="53"/>
      <c r="Q375" s="54"/>
      <c r="R375" s="54"/>
      <c r="S375" s="54"/>
      <c r="T375" s="55">
        <v>34</v>
      </c>
      <c r="U375" s="46" t="b">
        <f ca="1"/>
        <v>0</v>
      </c>
      <c r="X375" s="12" t="s">
        <v>4578</v>
      </c>
      <c r="Y375" s="10">
        <v>34</v>
      </c>
    </row>
    <row r="376" spans="1:26" ht="12.75" hidden="1">
      <c r="A376" s="56" t="s">
        <v>1477</v>
      </c>
      <c r="B376" s="58"/>
      <c r="C376" s="58"/>
      <c r="D376" s="58"/>
      <c r="E376" s="58"/>
      <c r="F376" s="58"/>
      <c r="G376" s="58"/>
      <c r="H376" s="59" t="s">
        <v>1478</v>
      </c>
      <c r="I376" s="59" t="s">
        <v>1479</v>
      </c>
      <c r="J376" s="60" t="str">
        <f ca="1">IFERROR(__xludf.DUMMYFUNCTION("JOIN("": "",H376,I376)"),"3E-32-02-02-00-00-00: Elementos da rede primária de distribuição de telefonia")</f>
        <v>3E-32-02-02-00-00-00: Elementos da rede primária de distribuição de telefonia</v>
      </c>
      <c r="K376" s="61"/>
      <c r="L376" s="62">
        <v>4</v>
      </c>
      <c r="M376" s="59"/>
      <c r="N376" s="59"/>
      <c r="O376" s="59"/>
      <c r="P376" s="59"/>
      <c r="Q376" s="63"/>
      <c r="R376" s="63"/>
      <c r="S376" s="63"/>
      <c r="T376" s="64">
        <v>36</v>
      </c>
      <c r="U376" s="45" t="b">
        <f ca="1"/>
        <v>0</v>
      </c>
      <c r="X376" s="12" t="s">
        <v>4579</v>
      </c>
      <c r="Y376" s="10">
        <v>36</v>
      </c>
    </row>
    <row r="377" spans="1:26" ht="12.75" hidden="1">
      <c r="A377" s="56" t="s">
        <v>1481</v>
      </c>
      <c r="B377" s="58"/>
      <c r="C377" s="58"/>
      <c r="D377" s="58"/>
      <c r="E377" s="58"/>
      <c r="F377" s="58"/>
      <c r="G377" s="58"/>
      <c r="H377" s="59" t="s">
        <v>1482</v>
      </c>
      <c r="I377" s="59" t="s">
        <v>1483</v>
      </c>
      <c r="J377" s="60" t="str">
        <f ca="1">IFERROR(__xludf.DUMMYFUNCTION("JOIN("": "",H377,I377)"),"3E-32-02-04-00-00-00: Elementos da rede secundária de distribuição de telefonia")</f>
        <v>3E-32-02-04-00-00-00: Elementos da rede secundária de distribuição de telefonia</v>
      </c>
      <c r="K377" s="61"/>
      <c r="L377" s="62">
        <v>4</v>
      </c>
      <c r="M377" s="59"/>
      <c r="N377" s="59"/>
      <c r="O377" s="59"/>
      <c r="P377" s="59"/>
      <c r="Q377" s="63"/>
      <c r="R377" s="63"/>
      <c r="S377" s="63"/>
      <c r="T377" s="64">
        <v>38</v>
      </c>
      <c r="U377" s="46" t="b">
        <f ca="1"/>
        <v>0</v>
      </c>
      <c r="X377" s="12" t="s">
        <v>4580</v>
      </c>
      <c r="Y377" s="10">
        <v>38</v>
      </c>
    </row>
    <row r="378" spans="1:26" ht="12.75" hidden="1">
      <c r="A378" s="47" t="s">
        <v>1485</v>
      </c>
      <c r="B378" s="48"/>
      <c r="C378" s="48"/>
      <c r="D378" s="48"/>
      <c r="E378" s="48"/>
      <c r="F378" s="48"/>
      <c r="G378" s="48"/>
      <c r="H378" s="49" t="s">
        <v>1486</v>
      </c>
      <c r="I378" s="49" t="s">
        <v>1487</v>
      </c>
      <c r="J378" s="50" t="str">
        <f ca="1">IFERROR(__xludf.DUMMYFUNCTION("JOIN("": "",H378,I378)"),"3E-32-04-00-00-00-00: Elementos para redes de rádio")</f>
        <v>3E-32-04-00-00-00-00: Elementos para redes de rádio</v>
      </c>
      <c r="K378" s="51"/>
      <c r="L378" s="52">
        <v>3</v>
      </c>
      <c r="M378" s="53"/>
      <c r="N378" s="53"/>
      <c r="O378" s="53"/>
      <c r="P378" s="53"/>
      <c r="Q378" s="54"/>
      <c r="R378" s="54"/>
      <c r="S378" s="54"/>
      <c r="T378" s="55">
        <v>36</v>
      </c>
      <c r="U378" s="45" t="b">
        <f ca="1"/>
        <v>0</v>
      </c>
      <c r="X378" s="12" t="s">
        <v>4581</v>
      </c>
      <c r="Y378" s="10">
        <v>36</v>
      </c>
    </row>
    <row r="379" spans="1:26" ht="12.75" hidden="1">
      <c r="A379" s="47" t="s">
        <v>1489</v>
      </c>
      <c r="B379" s="48"/>
      <c r="C379" s="48"/>
      <c r="D379" s="48"/>
      <c r="E379" s="48"/>
      <c r="F379" s="48"/>
      <c r="G379" s="48"/>
      <c r="H379" s="49" t="s">
        <v>1490</v>
      </c>
      <c r="I379" s="49" t="s">
        <v>1491</v>
      </c>
      <c r="J379" s="50" t="str">
        <f ca="1">IFERROR(__xludf.DUMMYFUNCTION("JOIN("": "",H379,I379)"),"3E-32-06-00-00-00-00: Elementos para redes de tv")</f>
        <v>3E-32-06-00-00-00-00: Elementos para redes de tv</v>
      </c>
      <c r="K379" s="51"/>
      <c r="L379" s="52">
        <v>3</v>
      </c>
      <c r="M379" s="53"/>
      <c r="N379" s="53"/>
      <c r="O379" s="53"/>
      <c r="P379" s="53"/>
      <c r="Q379" s="54"/>
      <c r="R379" s="54"/>
      <c r="S379" s="54"/>
      <c r="T379" s="55">
        <v>38</v>
      </c>
      <c r="U379" s="46" t="b">
        <f ca="1"/>
        <v>0</v>
      </c>
      <c r="X379" s="12" t="s">
        <v>4582</v>
      </c>
      <c r="Y379" s="10">
        <v>38</v>
      </c>
    </row>
    <row r="380" spans="1:26" ht="12.75" hidden="1">
      <c r="A380" s="47" t="s">
        <v>1493</v>
      </c>
      <c r="B380" s="48"/>
      <c r="C380" s="48"/>
      <c r="D380" s="48"/>
      <c r="E380" s="48"/>
      <c r="F380" s="48"/>
      <c r="G380" s="48"/>
      <c r="H380" s="49" t="s">
        <v>1494</v>
      </c>
      <c r="I380" s="49" t="s">
        <v>1495</v>
      </c>
      <c r="J380" s="50" t="str">
        <f ca="1">IFERROR(__xludf.DUMMYFUNCTION("JOIN("": "",H380,I380)"),"3E-32-08-00-00-00-00: Elementos para distribuição de internet")</f>
        <v>3E-32-08-00-00-00-00: Elementos para distribuição de internet</v>
      </c>
      <c r="K380" s="51"/>
      <c r="L380" s="52">
        <v>3</v>
      </c>
      <c r="M380" s="53"/>
      <c r="N380" s="53"/>
      <c r="O380" s="53"/>
      <c r="P380" s="53"/>
      <c r="Q380" s="54"/>
      <c r="R380" s="54"/>
      <c r="S380" s="54"/>
      <c r="T380" s="55">
        <v>40</v>
      </c>
      <c r="U380" s="45" t="b">
        <f ca="1"/>
        <v>0</v>
      </c>
      <c r="X380" s="12" t="s">
        <v>4583</v>
      </c>
      <c r="Y380" s="10">
        <v>40</v>
      </c>
    </row>
    <row r="381" spans="1:26" ht="12.75">
      <c r="A381" s="36" t="s">
        <v>1497</v>
      </c>
      <c r="B381" s="37"/>
      <c r="C381" s="37"/>
      <c r="D381" s="37"/>
      <c r="E381" s="37"/>
      <c r="F381" s="37"/>
      <c r="G381" s="37"/>
      <c r="H381" s="38" t="s">
        <v>1498</v>
      </c>
      <c r="I381" s="38" t="s">
        <v>1499</v>
      </c>
      <c r="J381" s="39" t="str">
        <f ca="1">IFERROR(__xludf.DUMMYFUNCTION("JOIN("": "",H381,I381)"),"3E-34-00-00-00-00-00: Elementos de instalações prediais de telecomunicações")</f>
        <v>3E-34-00-00-00-00-00: Elementos de instalações prediais de telecomunicações</v>
      </c>
      <c r="K381" s="40"/>
      <c r="L381" s="41">
        <v>2</v>
      </c>
      <c r="M381" s="42"/>
      <c r="N381" s="43"/>
      <c r="O381" s="43"/>
      <c r="P381" s="43"/>
      <c r="Q381" s="44">
        <v>3</v>
      </c>
      <c r="R381" s="44">
        <v>3</v>
      </c>
      <c r="S381" s="44">
        <v>2</v>
      </c>
      <c r="T381" s="44">
        <v>34</v>
      </c>
      <c r="U381" s="46" t="b">
        <f ca="1"/>
        <v>0</v>
      </c>
      <c r="W381" s="7" t="str">
        <f>MID(H381, 1, FIND("-", H381, FIND("-", H381)+1)-1)</f>
        <v>3E-34</v>
      </c>
      <c r="X381" s="12" t="s">
        <v>4584</v>
      </c>
      <c r="Y381" s="10">
        <v>34</v>
      </c>
      <c r="Z381" s="7" t="str">
        <f>SUBSTITUTE(I381, "Elementos de ", "")</f>
        <v>instalações prediais de telecomunicações</v>
      </c>
    </row>
    <row r="382" spans="1:26" ht="12.75" hidden="1">
      <c r="A382" s="47" t="s">
        <v>1501</v>
      </c>
      <c r="B382" s="48"/>
      <c r="C382" s="48"/>
      <c r="D382" s="48"/>
      <c r="E382" s="48"/>
      <c r="F382" s="48"/>
      <c r="G382" s="48"/>
      <c r="H382" s="49" t="s">
        <v>1502</v>
      </c>
      <c r="I382" s="49" t="s">
        <v>1503</v>
      </c>
      <c r="J382" s="50" t="str">
        <f ca="1">IFERROR(__xludf.DUMMYFUNCTION("JOIN("": "",H382,I382)"),"3E-34-02-00-00-00-00: Elementos de instalações de telefonia")</f>
        <v>3E-34-02-00-00-00-00: Elementos de instalações de telefonia</v>
      </c>
      <c r="K382" s="51"/>
      <c r="L382" s="52">
        <v>3</v>
      </c>
      <c r="M382" s="53"/>
      <c r="N382" s="53"/>
      <c r="O382" s="53"/>
      <c r="P382" s="53"/>
      <c r="Q382" s="54"/>
      <c r="R382" s="54"/>
      <c r="S382" s="54"/>
      <c r="T382" s="55">
        <v>36</v>
      </c>
      <c r="U382" s="45" t="b">
        <f ca="1"/>
        <v>0</v>
      </c>
      <c r="X382" s="12" t="s">
        <v>4585</v>
      </c>
      <c r="Y382" s="10">
        <v>36</v>
      </c>
    </row>
    <row r="383" spans="1:26" ht="12.75" hidden="1">
      <c r="A383" s="56" t="s">
        <v>1505</v>
      </c>
      <c r="B383" s="58"/>
      <c r="C383" s="58"/>
      <c r="D383" s="58"/>
      <c r="E383" s="58"/>
      <c r="F383" s="58"/>
      <c r="G383" s="58"/>
      <c r="H383" s="59" t="s">
        <v>1506</v>
      </c>
      <c r="I383" s="59" t="s">
        <v>1507</v>
      </c>
      <c r="J383" s="60" t="str">
        <f ca="1">IFERROR(__xludf.DUMMYFUNCTION("JOIN("": "",H383,I383)"),"3E-34-02-02-00-00-00: Elementos de entrada telefônica")</f>
        <v>3E-34-02-02-00-00-00: Elementos de entrada telefônica</v>
      </c>
      <c r="K383" s="61"/>
      <c r="L383" s="62">
        <v>4</v>
      </c>
      <c r="M383" s="59"/>
      <c r="N383" s="59"/>
      <c r="O383" s="59"/>
      <c r="P383" s="59"/>
      <c r="Q383" s="63"/>
      <c r="R383" s="63"/>
      <c r="S383" s="63"/>
      <c r="T383" s="64">
        <v>38</v>
      </c>
      <c r="U383" s="46" t="b">
        <f ca="1"/>
        <v>0</v>
      </c>
      <c r="X383" s="12" t="s">
        <v>4586</v>
      </c>
      <c r="Y383" s="10">
        <v>38</v>
      </c>
    </row>
    <row r="384" spans="1:26" ht="12.75" hidden="1">
      <c r="A384" s="56" t="s">
        <v>1509</v>
      </c>
      <c r="B384" s="58"/>
      <c r="C384" s="58"/>
      <c r="D384" s="58"/>
      <c r="E384" s="58"/>
      <c r="F384" s="58"/>
      <c r="G384" s="58"/>
      <c r="H384" s="59" t="s">
        <v>1510</v>
      </c>
      <c r="I384" s="59" t="s">
        <v>1511</v>
      </c>
      <c r="J384" s="60" t="str">
        <f ca="1">IFERROR(__xludf.DUMMYFUNCTION("JOIN("": "",H384,I384)"),"3E-34-02-04-00-00-00: Elementos de ramais de entrada telefônica")</f>
        <v>3E-34-02-04-00-00-00: Elementos de ramais de entrada telefônica</v>
      </c>
      <c r="K384" s="61"/>
      <c r="L384" s="62">
        <v>4</v>
      </c>
      <c r="M384" s="59"/>
      <c r="N384" s="59"/>
      <c r="O384" s="59"/>
      <c r="P384" s="59"/>
      <c r="Q384" s="63"/>
      <c r="R384" s="63"/>
      <c r="S384" s="63"/>
      <c r="T384" s="64">
        <v>40</v>
      </c>
      <c r="U384" s="45" t="b">
        <f ca="1"/>
        <v>0</v>
      </c>
      <c r="X384" s="12" t="s">
        <v>4587</v>
      </c>
      <c r="Y384" s="10">
        <v>40</v>
      </c>
    </row>
    <row r="385" spans="1:32" ht="12.75" hidden="1">
      <c r="A385" s="56" t="s">
        <v>1513</v>
      </c>
      <c r="B385" s="58"/>
      <c r="C385" s="58"/>
      <c r="D385" s="58"/>
      <c r="E385" s="58"/>
      <c r="F385" s="58"/>
      <c r="G385" s="58"/>
      <c r="H385" s="59" t="s">
        <v>1514</v>
      </c>
      <c r="I385" s="59" t="s">
        <v>1515</v>
      </c>
      <c r="J385" s="60" t="str">
        <f ca="1">IFERROR(__xludf.DUMMYFUNCTION("JOIN("": "",H385,I385)"),"3E-34-02-06-00-00-00: Elementos para distribuição interna de telefonia")</f>
        <v>3E-34-02-06-00-00-00: Elementos para distribuição interna de telefonia</v>
      </c>
      <c r="K385" s="61"/>
      <c r="L385" s="62">
        <v>4</v>
      </c>
      <c r="M385" s="59"/>
      <c r="N385" s="59"/>
      <c r="O385" s="59"/>
      <c r="P385" s="59"/>
      <c r="Q385" s="63"/>
      <c r="R385" s="63"/>
      <c r="S385" s="63"/>
      <c r="T385" s="64">
        <v>42</v>
      </c>
      <c r="U385" s="46" t="b">
        <f ca="1"/>
        <v>0</v>
      </c>
      <c r="X385" s="12" t="s">
        <v>4588</v>
      </c>
      <c r="Y385" s="10">
        <v>42</v>
      </c>
    </row>
    <row r="386" spans="1:32" ht="12.75" hidden="1">
      <c r="A386" s="47" t="s">
        <v>1517</v>
      </c>
      <c r="B386" s="48"/>
      <c r="C386" s="48"/>
      <c r="D386" s="48"/>
      <c r="E386" s="48"/>
      <c r="F386" s="48"/>
      <c r="G386" s="48"/>
      <c r="H386" s="49" t="s">
        <v>1518</v>
      </c>
      <c r="I386" s="49" t="s">
        <v>1519</v>
      </c>
      <c r="J386" s="50" t="str">
        <f ca="1">IFERROR(__xludf.DUMMYFUNCTION("JOIN("": "",H386,I386)"),"3E-34-04-00-00-00-00: Elementos para instalações de internet")</f>
        <v>3E-34-04-00-00-00-00: Elementos para instalações de internet</v>
      </c>
      <c r="K386" s="51"/>
      <c r="L386" s="52">
        <v>3</v>
      </c>
      <c r="M386" s="53"/>
      <c r="N386" s="53"/>
      <c r="O386" s="53"/>
      <c r="P386" s="53"/>
      <c r="Q386" s="54"/>
      <c r="R386" s="54"/>
      <c r="S386" s="54"/>
      <c r="T386" s="55">
        <v>38</v>
      </c>
      <c r="U386" s="45" t="b">
        <f ca="1"/>
        <v>0</v>
      </c>
      <c r="X386" s="12" t="s">
        <v>4589</v>
      </c>
      <c r="Y386" s="10">
        <v>38</v>
      </c>
    </row>
    <row r="387" spans="1:32" ht="12.75" hidden="1">
      <c r="A387" s="47" t="s">
        <v>1521</v>
      </c>
      <c r="B387" s="48"/>
      <c r="C387" s="48"/>
      <c r="D387" s="48"/>
      <c r="E387" s="48"/>
      <c r="F387" s="48"/>
      <c r="G387" s="48"/>
      <c r="H387" s="49" t="s">
        <v>1522</v>
      </c>
      <c r="I387" s="49" t="s">
        <v>1523</v>
      </c>
      <c r="J387" s="50" t="str">
        <f ca="1">IFERROR(__xludf.DUMMYFUNCTION("JOIN("": "",H387,I387)"),"3E-34-06-00-00-00-00: Elementos para instalações de recepção de sinal de rádio")</f>
        <v>3E-34-06-00-00-00-00: Elementos para instalações de recepção de sinal de rádio</v>
      </c>
      <c r="K387" s="51"/>
      <c r="L387" s="52">
        <v>3</v>
      </c>
      <c r="M387" s="53"/>
      <c r="N387" s="53"/>
      <c r="O387" s="53"/>
      <c r="P387" s="53"/>
      <c r="Q387" s="54"/>
      <c r="R387" s="54"/>
      <c r="S387" s="54"/>
      <c r="T387" s="55">
        <v>40</v>
      </c>
      <c r="U387" s="46" t="b">
        <f ca="1"/>
        <v>0</v>
      </c>
      <c r="X387" s="12" t="s">
        <v>4590</v>
      </c>
      <c r="Y387" s="10">
        <v>40</v>
      </c>
    </row>
    <row r="388" spans="1:32" ht="12.75" hidden="1">
      <c r="A388" s="47" t="s">
        <v>1525</v>
      </c>
      <c r="B388" s="48"/>
      <c r="C388" s="48"/>
      <c r="D388" s="48"/>
      <c r="E388" s="48"/>
      <c r="F388" s="48"/>
      <c r="G388" s="48"/>
      <c r="H388" s="49" t="s">
        <v>1526</v>
      </c>
      <c r="I388" s="49" t="s">
        <v>1527</v>
      </c>
      <c r="J388" s="50" t="str">
        <f ca="1">IFERROR(__xludf.DUMMYFUNCTION("JOIN("": "",H388,I388)"),"3E-34-08-00-00-00-00: Elementos para instalações de recepção de sinal de tv")</f>
        <v>3E-34-08-00-00-00-00: Elementos para instalações de recepção de sinal de tv</v>
      </c>
      <c r="K388" s="51"/>
      <c r="L388" s="52">
        <v>3</v>
      </c>
      <c r="M388" s="53"/>
      <c r="N388" s="53"/>
      <c r="O388" s="53"/>
      <c r="P388" s="53"/>
      <c r="Q388" s="54"/>
      <c r="R388" s="54"/>
      <c r="S388" s="54"/>
      <c r="T388" s="55">
        <v>42</v>
      </c>
      <c r="U388" s="45" t="b">
        <f ca="1"/>
        <v>0</v>
      </c>
      <c r="X388" s="12" t="s">
        <v>4591</v>
      </c>
      <c r="Y388" s="10">
        <v>42</v>
      </c>
    </row>
    <row r="389" spans="1:32" ht="12.75">
      <c r="A389" s="36" t="s">
        <v>1529</v>
      </c>
      <c r="B389" s="37"/>
      <c r="C389" s="37"/>
      <c r="D389" s="37"/>
      <c r="E389" s="37"/>
      <c r="F389" s="37"/>
      <c r="G389" s="37"/>
      <c r="H389" s="38" t="s">
        <v>1530</v>
      </c>
      <c r="I389" s="38" t="s">
        <v>1531</v>
      </c>
      <c r="J389" s="39" t="str">
        <f ca="1">IFERROR(__xludf.DUMMYFUNCTION("JOIN("": "",H389,I389)"),"3E-36-00-00-00-00-00: Elementos para sistemas de abastecimento de água")</f>
        <v>3E-36-00-00-00-00-00: Elementos para sistemas de abastecimento de água</v>
      </c>
      <c r="K389" s="40"/>
      <c r="L389" s="41">
        <v>2</v>
      </c>
      <c r="M389" s="42"/>
      <c r="N389" s="43"/>
      <c r="O389" s="43"/>
      <c r="P389" s="43"/>
      <c r="Q389" s="44">
        <v>5</v>
      </c>
      <c r="R389" s="44">
        <v>6</v>
      </c>
      <c r="S389" s="44">
        <v>3</v>
      </c>
      <c r="T389" s="44">
        <v>36</v>
      </c>
      <c r="U389" s="46" t="b">
        <f ca="1"/>
        <v>0</v>
      </c>
      <c r="W389" s="7" t="str">
        <f>MID(H389, 1, FIND("-", H389, FIND("-", H389)+1)-1)</f>
        <v>3E-36</v>
      </c>
      <c r="X389" s="12" t="s">
        <v>4592</v>
      </c>
      <c r="Y389" s="10">
        <v>36</v>
      </c>
      <c r="Z389" s="7" t="str">
        <f>SUBSTITUTE(I389, "Elementos de ", "")</f>
        <v>Elementos para sistemas de abastecimento de água</v>
      </c>
    </row>
    <row r="390" spans="1:32" ht="12.75" hidden="1">
      <c r="A390" s="47" t="s">
        <v>1533</v>
      </c>
      <c r="B390" s="48"/>
      <c r="C390" s="48"/>
      <c r="D390" s="48"/>
      <c r="E390" s="48"/>
      <c r="F390" s="48"/>
      <c r="G390" s="48"/>
      <c r="H390" s="49" t="s">
        <v>1534</v>
      </c>
      <c r="I390" s="49" t="s">
        <v>1535</v>
      </c>
      <c r="J390" s="50" t="str">
        <f ca="1">IFERROR(__xludf.DUMMYFUNCTION("JOIN("": "",H390,I390)"),"3E-36-02-00-00-00-00: Elementos para captação de água bruta")</f>
        <v>3E-36-02-00-00-00-00: Elementos para captação de água bruta</v>
      </c>
      <c r="K390" s="51"/>
      <c r="L390" s="52">
        <v>3</v>
      </c>
      <c r="M390" s="53"/>
      <c r="N390" s="53"/>
      <c r="O390" s="53"/>
      <c r="P390" s="53"/>
      <c r="Q390" s="54"/>
      <c r="R390" s="54"/>
      <c r="S390" s="54"/>
      <c r="T390" s="55">
        <v>38</v>
      </c>
      <c r="U390" s="45" t="b">
        <f ca="1"/>
        <v>0</v>
      </c>
      <c r="X390" s="12" t="s">
        <v>4593</v>
      </c>
      <c r="Y390" s="10">
        <v>38</v>
      </c>
    </row>
    <row r="391" spans="1:32" ht="12.75" hidden="1">
      <c r="A391" s="47" t="s">
        <v>1537</v>
      </c>
      <c r="B391" s="48"/>
      <c r="C391" s="48"/>
      <c r="D391" s="48"/>
      <c r="E391" s="48"/>
      <c r="F391" s="48"/>
      <c r="G391" s="48"/>
      <c r="H391" s="49" t="s">
        <v>1538</v>
      </c>
      <c r="I391" s="49" t="s">
        <v>1539</v>
      </c>
      <c r="J391" s="50" t="str">
        <f ca="1">IFERROR(__xludf.DUMMYFUNCTION("JOIN("": "",H391,I391)"),"3E-36-04-00-00-00-00: Elementos para adução de água bruta")</f>
        <v>3E-36-04-00-00-00-00: Elementos para adução de água bruta</v>
      </c>
      <c r="K391" s="51"/>
      <c r="L391" s="52">
        <v>3</v>
      </c>
      <c r="M391" s="53"/>
      <c r="N391" s="53"/>
      <c r="O391" s="53"/>
      <c r="P391" s="53"/>
      <c r="Q391" s="54"/>
      <c r="R391" s="54"/>
      <c r="S391" s="54"/>
      <c r="T391" s="55">
        <v>40</v>
      </c>
      <c r="U391" s="46" t="b">
        <f ca="1"/>
        <v>0</v>
      </c>
      <c r="X391" s="12" t="s">
        <v>4594</v>
      </c>
      <c r="Y391" s="10">
        <v>40</v>
      </c>
    </row>
    <row r="392" spans="1:32" ht="12.75" hidden="1">
      <c r="A392" s="47" t="s">
        <v>1541</v>
      </c>
      <c r="B392" s="48"/>
      <c r="C392" s="48"/>
      <c r="D392" s="48"/>
      <c r="E392" s="48"/>
      <c r="F392" s="48"/>
      <c r="G392" s="48"/>
      <c r="H392" s="49" t="s">
        <v>1542</v>
      </c>
      <c r="I392" s="49" t="s">
        <v>1543</v>
      </c>
      <c r="J392" s="50" t="str">
        <f ca="1">IFERROR(__xludf.DUMMYFUNCTION("JOIN("": "",H392,I392)"),"3E-36-06-00-00-00-00: Elementos para reservação de água bruta")</f>
        <v>3E-36-06-00-00-00-00: Elementos para reservação de água bruta</v>
      </c>
      <c r="K392" s="51"/>
      <c r="L392" s="52">
        <v>3</v>
      </c>
      <c r="M392" s="53"/>
      <c r="N392" s="53"/>
      <c r="O392" s="53"/>
      <c r="P392" s="53"/>
      <c r="Q392" s="54"/>
      <c r="R392" s="54"/>
      <c r="S392" s="54"/>
      <c r="T392" s="55">
        <v>42</v>
      </c>
      <c r="U392" s="45" t="b">
        <f ca="1"/>
        <v>0</v>
      </c>
      <c r="X392" s="12" t="s">
        <v>4595</v>
      </c>
      <c r="Y392" s="10">
        <v>42</v>
      </c>
    </row>
    <row r="393" spans="1:32" ht="12.75" hidden="1">
      <c r="A393" s="47" t="s">
        <v>1545</v>
      </c>
      <c r="B393" s="48"/>
      <c r="C393" s="48"/>
      <c r="D393" s="48"/>
      <c r="E393" s="48"/>
      <c r="F393" s="48"/>
      <c r="G393" s="48"/>
      <c r="H393" s="49" t="s">
        <v>1546</v>
      </c>
      <c r="I393" s="49" t="s">
        <v>1547</v>
      </c>
      <c r="J393" s="50" t="str">
        <f ca="1">IFERROR(__xludf.DUMMYFUNCTION("JOIN("": "",H393,I393)"),"3E-36-08-00-00-00-00: Elementos para tratamento de água bruta")</f>
        <v>3E-36-08-00-00-00-00: Elementos para tratamento de água bruta</v>
      </c>
      <c r="K393" s="51"/>
      <c r="L393" s="52">
        <v>3</v>
      </c>
      <c r="M393" s="53"/>
      <c r="N393" s="53"/>
      <c r="O393" s="53"/>
      <c r="P393" s="53"/>
      <c r="Q393" s="54"/>
      <c r="R393" s="54"/>
      <c r="S393" s="54"/>
      <c r="T393" s="55">
        <v>44</v>
      </c>
      <c r="U393" s="46" t="b">
        <f ca="1"/>
        <v>0</v>
      </c>
      <c r="X393" s="12" t="s">
        <v>4596</v>
      </c>
      <c r="Y393" s="10">
        <v>44</v>
      </c>
    </row>
    <row r="394" spans="1:32" ht="12.75" hidden="1">
      <c r="A394" s="47" t="s">
        <v>1549</v>
      </c>
      <c r="B394" s="48"/>
      <c r="C394" s="48"/>
      <c r="D394" s="48"/>
      <c r="E394" s="48"/>
      <c r="F394" s="48"/>
      <c r="G394" s="48"/>
      <c r="H394" s="49" t="s">
        <v>1550</v>
      </c>
      <c r="I394" s="49" t="s">
        <v>1551</v>
      </c>
      <c r="J394" s="50" t="str">
        <f ca="1">IFERROR(__xludf.DUMMYFUNCTION("JOIN("": "",H394,I394)"),"3E-36-10-00-00-00-00: Elementos para adução de água potável")</f>
        <v>3E-36-10-00-00-00-00: Elementos para adução de água potável</v>
      </c>
      <c r="K394" s="51"/>
      <c r="L394" s="52">
        <v>3</v>
      </c>
      <c r="M394" s="53"/>
      <c r="N394" s="53"/>
      <c r="O394" s="53"/>
      <c r="P394" s="53"/>
      <c r="Q394" s="54"/>
      <c r="R394" s="54"/>
      <c r="S394" s="54"/>
      <c r="T394" s="55">
        <v>46</v>
      </c>
      <c r="U394" s="45" t="b">
        <f ca="1"/>
        <v>0</v>
      </c>
      <c r="X394" s="12" t="s">
        <v>4597</v>
      </c>
      <c r="Y394" s="10">
        <v>46</v>
      </c>
    </row>
    <row r="395" spans="1:32" ht="12.75" hidden="1">
      <c r="A395" s="47" t="s">
        <v>1553</v>
      </c>
      <c r="B395" s="48"/>
      <c r="C395" s="48"/>
      <c r="D395" s="48"/>
      <c r="E395" s="48"/>
      <c r="F395" s="48"/>
      <c r="G395" s="48"/>
      <c r="H395" s="49" t="s">
        <v>1554</v>
      </c>
      <c r="I395" s="49" t="s">
        <v>1555</v>
      </c>
      <c r="J395" s="50" t="str">
        <f ca="1">IFERROR(__xludf.DUMMYFUNCTION("JOIN("": "",H395,I395)"),"3E-36-12-00-00-00-00: Elementos para reservação de água potável")</f>
        <v>3E-36-12-00-00-00-00: Elementos para reservação de água potável</v>
      </c>
      <c r="K395" s="51"/>
      <c r="L395" s="52">
        <v>3</v>
      </c>
      <c r="M395" s="53"/>
      <c r="N395" s="53"/>
      <c r="O395" s="53"/>
      <c r="P395" s="53"/>
      <c r="Q395" s="54"/>
      <c r="R395" s="54"/>
      <c r="S395" s="54"/>
      <c r="T395" s="55">
        <v>48</v>
      </c>
      <c r="U395" s="46" t="b">
        <f ca="1"/>
        <v>0</v>
      </c>
      <c r="X395" s="12" t="s">
        <v>4598</v>
      </c>
      <c r="Y395" s="10">
        <v>48</v>
      </c>
    </row>
    <row r="396" spans="1:32" ht="12.75" hidden="1">
      <c r="A396" s="47" t="s">
        <v>1557</v>
      </c>
      <c r="B396" s="48"/>
      <c r="C396" s="48"/>
      <c r="D396" s="48"/>
      <c r="E396" s="48"/>
      <c r="F396" s="48"/>
      <c r="G396" s="48"/>
      <c r="H396" s="49" t="s">
        <v>1558</v>
      </c>
      <c r="I396" s="49" t="s">
        <v>1559</v>
      </c>
      <c r="J396" s="50" t="str">
        <f ca="1">IFERROR(__xludf.DUMMYFUNCTION("JOIN("": "",H396,I396)"),"3E-36-14-00-00-00-00: Elementos para distribuição de água potável")</f>
        <v>3E-36-14-00-00-00-00: Elementos para distribuição de água potável</v>
      </c>
      <c r="K396" s="51"/>
      <c r="L396" s="52">
        <v>3</v>
      </c>
      <c r="M396" s="53"/>
      <c r="N396" s="53"/>
      <c r="O396" s="53"/>
      <c r="P396" s="53"/>
      <c r="Q396" s="54"/>
      <c r="R396" s="54"/>
      <c r="S396" s="54"/>
      <c r="T396" s="55">
        <v>50</v>
      </c>
      <c r="U396" s="45" t="b">
        <f ca="1"/>
        <v>0</v>
      </c>
      <c r="X396" s="12" t="s">
        <v>4599</v>
      </c>
      <c r="Y396" s="10">
        <v>50</v>
      </c>
      <c r="AE396" s="7"/>
      <c r="AF396" s="35"/>
    </row>
    <row r="397" spans="1:32" ht="12.75" hidden="1">
      <c r="A397" s="56" t="s">
        <v>1561</v>
      </c>
      <c r="B397" s="58"/>
      <c r="C397" s="58"/>
      <c r="D397" s="58"/>
      <c r="E397" s="58"/>
      <c r="F397" s="58"/>
      <c r="G397" s="58"/>
      <c r="H397" s="59" t="s">
        <v>1562</v>
      </c>
      <c r="I397" s="59" t="s">
        <v>1563</v>
      </c>
      <c r="J397" s="60" t="str">
        <f ca="1">IFERROR(__xludf.DUMMYFUNCTION("JOIN("": "",H397,I397)"),"3E-36-14-02-00-00-00: Elementos para distribuição direta de água potável")</f>
        <v>3E-36-14-02-00-00-00: Elementos para distribuição direta de água potável</v>
      </c>
      <c r="K397" s="61"/>
      <c r="L397" s="62">
        <v>4</v>
      </c>
      <c r="M397" s="59"/>
      <c r="N397" s="59"/>
      <c r="O397" s="59"/>
      <c r="P397" s="59"/>
      <c r="Q397" s="63"/>
      <c r="R397" s="63"/>
      <c r="S397" s="63"/>
      <c r="T397" s="64">
        <v>52</v>
      </c>
      <c r="U397" s="46" t="b">
        <f ca="1"/>
        <v>0</v>
      </c>
      <c r="X397" s="12" t="s">
        <v>4600</v>
      </c>
      <c r="Y397" s="10">
        <v>52</v>
      </c>
    </row>
    <row r="398" spans="1:32" ht="12.75" hidden="1">
      <c r="A398" s="56" t="s">
        <v>1565</v>
      </c>
      <c r="B398" s="58"/>
      <c r="C398" s="58"/>
      <c r="D398" s="58"/>
      <c r="E398" s="58"/>
      <c r="F398" s="58"/>
      <c r="G398" s="58"/>
      <c r="H398" s="59" t="s">
        <v>1566</v>
      </c>
      <c r="I398" s="59" t="s">
        <v>1567</v>
      </c>
      <c r="J398" s="60" t="str">
        <f ca="1">IFERROR(__xludf.DUMMYFUNCTION("JOIN("": "",H398,I398)"),"3E-36-14-04-00-00-00: Elementos para distribuição indireta de água potável")</f>
        <v>3E-36-14-04-00-00-00: Elementos para distribuição indireta de água potável</v>
      </c>
      <c r="K398" s="61"/>
      <c r="L398" s="62">
        <v>4</v>
      </c>
      <c r="M398" s="59"/>
      <c r="N398" s="59"/>
      <c r="O398" s="59"/>
      <c r="P398" s="59"/>
      <c r="Q398" s="63"/>
      <c r="R398" s="63"/>
      <c r="S398" s="63"/>
      <c r="T398" s="64">
        <v>54</v>
      </c>
      <c r="U398" s="45" t="b">
        <f ca="1"/>
        <v>0</v>
      </c>
      <c r="X398" s="12" t="s">
        <v>4601</v>
      </c>
      <c r="Y398" s="10">
        <v>54</v>
      </c>
    </row>
    <row r="399" spans="1:32" ht="12.75" hidden="1">
      <c r="A399" s="65" t="s">
        <v>1569</v>
      </c>
      <c r="B399" s="67"/>
      <c r="C399" s="67"/>
      <c r="D399" s="67"/>
      <c r="E399" s="67"/>
      <c r="F399" s="67"/>
      <c r="G399" s="67"/>
      <c r="H399" s="68" t="s">
        <v>1570</v>
      </c>
      <c r="I399" s="68" t="s">
        <v>1571</v>
      </c>
      <c r="J399" s="69" t="str">
        <f ca="1">IFERROR(__xludf.DUMMYFUNCTION("JOIN("": "",H399,I399)"),"3E-36-14-04-02-00-00: Elementos para distribuição indireta de água potável sem bombeamento")</f>
        <v>3E-36-14-04-02-00-00: Elementos para distribuição indireta de água potável sem bombeamento</v>
      </c>
      <c r="K399" s="70"/>
      <c r="L399" s="71">
        <v>5</v>
      </c>
      <c r="M399" s="68"/>
      <c r="N399" s="68"/>
      <c r="O399" s="68"/>
      <c r="P399" s="68"/>
      <c r="Q399" s="72"/>
      <c r="R399" s="72"/>
      <c r="S399" s="72"/>
      <c r="T399" s="73">
        <v>56</v>
      </c>
      <c r="U399" s="46" t="b">
        <f ca="1"/>
        <v>0</v>
      </c>
      <c r="X399" s="12" t="s">
        <v>4602</v>
      </c>
      <c r="Y399" s="10">
        <v>56</v>
      </c>
    </row>
    <row r="400" spans="1:32" ht="12.75" hidden="1">
      <c r="A400" s="65" t="s">
        <v>1573</v>
      </c>
      <c r="B400" s="67"/>
      <c r="C400" s="67"/>
      <c r="D400" s="67"/>
      <c r="E400" s="67"/>
      <c r="F400" s="67"/>
      <c r="G400" s="67"/>
      <c r="H400" s="68" t="s">
        <v>1574</v>
      </c>
      <c r="I400" s="68" t="s">
        <v>1575</v>
      </c>
      <c r="J400" s="69" t="str">
        <f ca="1">IFERROR(__xludf.DUMMYFUNCTION("JOIN("": "",H400,I400)"),"3E-36-14-04-04-00-00: Elementos para distribuição indireta de água potável com bombeamento")</f>
        <v>3E-36-14-04-04-00-00: Elementos para distribuição indireta de água potável com bombeamento</v>
      </c>
      <c r="K400" s="70"/>
      <c r="L400" s="71">
        <v>5</v>
      </c>
      <c r="M400" s="68"/>
      <c r="N400" s="68"/>
      <c r="O400" s="68"/>
      <c r="P400" s="68"/>
      <c r="Q400" s="72"/>
      <c r="R400" s="72"/>
      <c r="S400" s="72"/>
      <c r="T400" s="73">
        <v>58</v>
      </c>
      <c r="U400" s="45" t="b">
        <f ca="1"/>
        <v>0</v>
      </c>
      <c r="X400" s="12" t="s">
        <v>4603</v>
      </c>
      <c r="Y400" s="10">
        <v>58</v>
      </c>
    </row>
    <row r="401" spans="1:26" ht="12.75" hidden="1">
      <c r="A401" s="56" t="s">
        <v>1577</v>
      </c>
      <c r="B401" s="58"/>
      <c r="C401" s="58"/>
      <c r="D401" s="58"/>
      <c r="E401" s="58"/>
      <c r="F401" s="58"/>
      <c r="G401" s="58"/>
      <c r="H401" s="59" t="s">
        <v>1578</v>
      </c>
      <c r="I401" s="59" t="s">
        <v>1579</v>
      </c>
      <c r="J401" s="60" t="str">
        <f ca="1">IFERROR(__xludf.DUMMYFUNCTION("JOIN("": "",H401,I401)"),"3E-36-14-06-00-00-00: Elementos para distribuição mista de água potável")</f>
        <v>3E-36-14-06-00-00-00: Elementos para distribuição mista de água potável</v>
      </c>
      <c r="K401" s="61"/>
      <c r="L401" s="62">
        <v>4</v>
      </c>
      <c r="M401" s="59"/>
      <c r="N401" s="59"/>
      <c r="O401" s="59"/>
      <c r="P401" s="59"/>
      <c r="Q401" s="63"/>
      <c r="R401" s="63"/>
      <c r="S401" s="63"/>
      <c r="T401" s="64">
        <v>56</v>
      </c>
      <c r="U401" s="46" t="b">
        <f ca="1"/>
        <v>0</v>
      </c>
      <c r="X401" s="12" t="s">
        <v>4604</v>
      </c>
      <c r="Y401" s="10">
        <v>56</v>
      </c>
    </row>
    <row r="402" spans="1:26" ht="12.75" hidden="1">
      <c r="A402" s="56" t="s">
        <v>1581</v>
      </c>
      <c r="B402" s="58"/>
      <c r="C402" s="58"/>
      <c r="D402" s="58"/>
      <c r="E402" s="58"/>
      <c r="F402" s="58"/>
      <c r="G402" s="58"/>
      <c r="H402" s="59" t="s">
        <v>1582</v>
      </c>
      <c r="I402" s="59" t="s">
        <v>1583</v>
      </c>
      <c r="J402" s="60" t="str">
        <f ca="1">IFERROR(__xludf.DUMMYFUNCTION("JOIN("": "",H402,I402)"),"3E-36-14-08-00-00-00: Elementos para distribuição hidropneumática de água potável")</f>
        <v>3E-36-14-08-00-00-00: Elementos para distribuição hidropneumática de água potável</v>
      </c>
      <c r="K402" s="61"/>
      <c r="L402" s="62">
        <v>4</v>
      </c>
      <c r="M402" s="59"/>
      <c r="N402" s="59"/>
      <c r="O402" s="59"/>
      <c r="P402" s="59"/>
      <c r="Q402" s="63"/>
      <c r="R402" s="63"/>
      <c r="S402" s="63"/>
      <c r="T402" s="64">
        <v>58</v>
      </c>
      <c r="U402" s="45" t="b">
        <f ca="1"/>
        <v>0</v>
      </c>
      <c r="X402" s="12" t="s">
        <v>4605</v>
      </c>
      <c r="Y402" s="10">
        <v>58</v>
      </c>
    </row>
    <row r="403" spans="1:26" ht="12.75">
      <c r="A403" s="36" t="s">
        <v>1585</v>
      </c>
      <c r="B403" s="37"/>
      <c r="C403" s="37"/>
      <c r="D403" s="37"/>
      <c r="E403" s="37"/>
      <c r="F403" s="37"/>
      <c r="G403" s="37"/>
      <c r="H403" s="38" t="s">
        <v>1586</v>
      </c>
      <c r="I403" s="38" t="s">
        <v>1587</v>
      </c>
      <c r="J403" s="39" t="str">
        <f ca="1">IFERROR(__xludf.DUMMYFUNCTION("JOIN("": "",H403,I403)"),"3E-38-00-00-00-00-00: Elementos de instalações hidráulicas")</f>
        <v>3E-38-00-00-00-00-00: Elementos de instalações hidráulicas</v>
      </c>
      <c r="K403" s="40"/>
      <c r="L403" s="41">
        <v>2</v>
      </c>
      <c r="M403" s="42"/>
      <c r="N403" s="43"/>
      <c r="O403" s="43"/>
      <c r="P403" s="43"/>
      <c r="Q403" s="44">
        <v>3</v>
      </c>
      <c r="R403" s="44">
        <v>3</v>
      </c>
      <c r="S403" s="44">
        <v>3</v>
      </c>
      <c r="T403" s="44">
        <v>38</v>
      </c>
      <c r="U403" s="46" t="b">
        <f ca="1"/>
        <v>0</v>
      </c>
      <c r="W403" s="7" t="str">
        <f>MID(H403, 1, FIND("-", H403, FIND("-", H403)+1)-1)</f>
        <v>3E-38</v>
      </c>
      <c r="X403" s="12" t="s">
        <v>4606</v>
      </c>
      <c r="Y403" s="10">
        <v>38</v>
      </c>
      <c r="Z403" s="7" t="str">
        <f>SUBSTITUTE(I403, "Elementos de ", "")</f>
        <v>instalações hidráulicas</v>
      </c>
    </row>
    <row r="404" spans="1:26" ht="12.75" hidden="1">
      <c r="A404" s="47" t="s">
        <v>1589</v>
      </c>
      <c r="B404" s="48"/>
      <c r="C404" s="48"/>
      <c r="D404" s="48"/>
      <c r="E404" s="48"/>
      <c r="F404" s="48"/>
      <c r="G404" s="48"/>
      <c r="H404" s="49" t="s">
        <v>1590</v>
      </c>
      <c r="I404" s="49" t="s">
        <v>1591</v>
      </c>
      <c r="J404" s="50" t="str">
        <f ca="1">IFERROR(__xludf.DUMMYFUNCTION("JOIN("": "",H404,I404)"),"3E-38-02-00-00-00-00: Elementos alimentadores em instalações hidráulicas")</f>
        <v>3E-38-02-00-00-00-00: Elementos alimentadores em instalações hidráulicas</v>
      </c>
      <c r="K404" s="51"/>
      <c r="L404" s="52">
        <v>3</v>
      </c>
      <c r="M404" s="53"/>
      <c r="N404" s="53"/>
      <c r="O404" s="53"/>
      <c r="P404" s="53"/>
      <c r="Q404" s="54"/>
      <c r="R404" s="54"/>
      <c r="S404" s="54"/>
      <c r="T404" s="55">
        <v>40</v>
      </c>
      <c r="U404" s="45" t="b">
        <f ca="1"/>
        <v>0</v>
      </c>
      <c r="X404" s="12" t="s">
        <v>4607</v>
      </c>
      <c r="Y404" s="10">
        <v>40</v>
      </c>
    </row>
    <row r="405" spans="1:26" ht="12.75" hidden="1">
      <c r="A405" s="56" t="s">
        <v>1593</v>
      </c>
      <c r="B405" s="58"/>
      <c r="C405" s="58"/>
      <c r="D405" s="58"/>
      <c r="E405" s="58"/>
      <c r="F405" s="58"/>
      <c r="G405" s="58"/>
      <c r="H405" s="59" t="s">
        <v>1594</v>
      </c>
      <c r="I405" s="59" t="s">
        <v>1595</v>
      </c>
      <c r="J405" s="60" t="str">
        <f ca="1">IFERROR(__xludf.DUMMYFUNCTION("JOIN("": "",H405,I405)"),"3E-38-02-02-00-00-00: Ramal de alimentação de água")</f>
        <v>3E-38-02-02-00-00-00: Ramal de alimentação de água</v>
      </c>
      <c r="K405" s="61"/>
      <c r="L405" s="62">
        <v>4</v>
      </c>
      <c r="M405" s="59"/>
      <c r="N405" s="59"/>
      <c r="O405" s="59"/>
      <c r="P405" s="59"/>
      <c r="Q405" s="63"/>
      <c r="R405" s="63"/>
      <c r="S405" s="63"/>
      <c r="T405" s="64">
        <v>42</v>
      </c>
      <c r="U405" s="46" t="b">
        <f ca="1"/>
        <v>0</v>
      </c>
      <c r="X405" s="12" t="s">
        <v>4608</v>
      </c>
      <c r="Y405" s="10">
        <v>42</v>
      </c>
    </row>
    <row r="406" spans="1:26" ht="12.75" hidden="1">
      <c r="A406" s="56" t="s">
        <v>1597</v>
      </c>
      <c r="B406" s="58"/>
      <c r="C406" s="58"/>
      <c r="D406" s="58"/>
      <c r="E406" s="58"/>
      <c r="F406" s="58"/>
      <c r="G406" s="58"/>
      <c r="H406" s="59" t="s">
        <v>1598</v>
      </c>
      <c r="I406" s="59" t="s">
        <v>1599</v>
      </c>
      <c r="J406" s="60" t="str">
        <f ca="1">IFERROR(__xludf.DUMMYFUNCTION("JOIN("": "",H406,I406)"),"3E-38-02-04-00-00-00: Alimentador de água")</f>
        <v>3E-38-02-04-00-00-00: Alimentador de água</v>
      </c>
      <c r="K406" s="61"/>
      <c r="L406" s="62">
        <v>4</v>
      </c>
      <c r="M406" s="59"/>
      <c r="N406" s="59"/>
      <c r="O406" s="59"/>
      <c r="P406" s="59"/>
      <c r="Q406" s="63"/>
      <c r="R406" s="63"/>
      <c r="S406" s="63"/>
      <c r="T406" s="64">
        <v>44</v>
      </c>
      <c r="U406" s="45" t="b">
        <f ca="1"/>
        <v>0</v>
      </c>
      <c r="X406" s="12" t="s">
        <v>4609</v>
      </c>
      <c r="Y406" s="10">
        <v>44</v>
      </c>
    </row>
    <row r="407" spans="1:26" ht="12.75" hidden="1">
      <c r="A407" s="56" t="s">
        <v>1601</v>
      </c>
      <c r="B407" s="58"/>
      <c r="C407" s="58"/>
      <c r="D407" s="58"/>
      <c r="E407" s="58"/>
      <c r="F407" s="58"/>
      <c r="G407" s="58"/>
      <c r="H407" s="59" t="s">
        <v>1602</v>
      </c>
      <c r="I407" s="59" t="s">
        <v>1603</v>
      </c>
      <c r="J407" s="60" t="str">
        <f ca="1">IFERROR(__xludf.DUMMYFUNCTION("JOIN("": "",H407,I407)"),"3E-38-02-06-00-00-00: Cavalete de água")</f>
        <v>3E-38-02-06-00-00-00: Cavalete de água</v>
      </c>
      <c r="K407" s="61"/>
      <c r="L407" s="62">
        <v>4</v>
      </c>
      <c r="M407" s="59"/>
      <c r="N407" s="59"/>
      <c r="O407" s="59"/>
      <c r="P407" s="59"/>
      <c r="Q407" s="63"/>
      <c r="R407" s="63"/>
      <c r="S407" s="63"/>
      <c r="T407" s="64">
        <v>46</v>
      </c>
      <c r="U407" s="46" t="b">
        <f ca="1"/>
        <v>0</v>
      </c>
      <c r="X407" s="12" t="s">
        <v>4610</v>
      </c>
      <c r="Y407" s="10">
        <v>46</v>
      </c>
    </row>
    <row r="408" spans="1:26" ht="12.75" hidden="1">
      <c r="A408" s="56" t="s">
        <v>1605</v>
      </c>
      <c r="B408" s="58"/>
      <c r="C408" s="58"/>
      <c r="D408" s="58"/>
      <c r="E408" s="58"/>
      <c r="F408" s="58"/>
      <c r="G408" s="58"/>
      <c r="H408" s="59" t="s">
        <v>1606</v>
      </c>
      <c r="I408" s="59" t="s">
        <v>1607</v>
      </c>
      <c r="J408" s="60" t="str">
        <f ca="1">IFERROR(__xludf.DUMMYFUNCTION("JOIN("": "",H408,I408)"),"3E-38-02-08-00-00-00: Reservatório de água")</f>
        <v>3E-38-02-08-00-00-00: Reservatório de água</v>
      </c>
      <c r="K408" s="61"/>
      <c r="L408" s="62">
        <v>4</v>
      </c>
      <c r="M408" s="59"/>
      <c r="N408" s="59"/>
      <c r="O408" s="59"/>
      <c r="P408" s="59"/>
      <c r="Q408" s="63"/>
      <c r="R408" s="63"/>
      <c r="S408" s="63"/>
      <c r="T408" s="64">
        <v>48</v>
      </c>
      <c r="U408" s="45" t="b">
        <f ca="1"/>
        <v>0</v>
      </c>
      <c r="X408" s="12" t="s">
        <v>4611</v>
      </c>
      <c r="Y408" s="10">
        <v>48</v>
      </c>
    </row>
    <row r="409" spans="1:26" ht="12.75" hidden="1">
      <c r="A409" s="56" t="s">
        <v>1609</v>
      </c>
      <c r="B409" s="58"/>
      <c r="C409" s="58"/>
      <c r="D409" s="58"/>
      <c r="E409" s="58"/>
      <c r="F409" s="58"/>
      <c r="G409" s="58"/>
      <c r="H409" s="59" t="s">
        <v>1610</v>
      </c>
      <c r="I409" s="59" t="s">
        <v>1611</v>
      </c>
      <c r="J409" s="60" t="str">
        <f ca="1">IFERROR(__xludf.DUMMYFUNCTION("JOIN("": "",H409,I409)"),"3E-38-02-10-00-00-00: Condutor de recalque de água")</f>
        <v>3E-38-02-10-00-00-00: Condutor de recalque de água</v>
      </c>
      <c r="K409" s="61"/>
      <c r="L409" s="62">
        <v>4</v>
      </c>
      <c r="M409" s="59"/>
      <c r="N409" s="59"/>
      <c r="O409" s="59"/>
      <c r="P409" s="59"/>
      <c r="Q409" s="63"/>
      <c r="R409" s="63"/>
      <c r="S409" s="63"/>
      <c r="T409" s="64">
        <v>50</v>
      </c>
      <c r="U409" s="46" t="b">
        <f ca="1"/>
        <v>0</v>
      </c>
      <c r="X409" s="12" t="s">
        <v>4612</v>
      </c>
      <c r="Y409" s="10">
        <v>50</v>
      </c>
    </row>
    <row r="410" spans="1:26" ht="12.75" hidden="1">
      <c r="A410" s="56" t="s">
        <v>1613</v>
      </c>
      <c r="B410" s="58"/>
      <c r="C410" s="58"/>
      <c r="D410" s="58"/>
      <c r="E410" s="58"/>
      <c r="F410" s="58"/>
      <c r="G410" s="58"/>
      <c r="H410" s="59" t="s">
        <v>1614</v>
      </c>
      <c r="I410" s="59" t="s">
        <v>1615</v>
      </c>
      <c r="J410" s="60" t="str">
        <f ca="1">IFERROR(__xludf.DUMMYFUNCTION("JOIN("": "",H410,I410)"),"3E-38-02-12-00-00-00: Dispositivo para sucção de água")</f>
        <v>3E-38-02-12-00-00-00: Dispositivo para sucção de água</v>
      </c>
      <c r="K410" s="61"/>
      <c r="L410" s="62">
        <v>4</v>
      </c>
      <c r="M410" s="59"/>
      <c r="N410" s="59"/>
      <c r="O410" s="59"/>
      <c r="P410" s="59"/>
      <c r="Q410" s="63"/>
      <c r="R410" s="63"/>
      <c r="S410" s="63"/>
      <c r="T410" s="64">
        <v>52</v>
      </c>
      <c r="U410" s="45" t="b">
        <f ca="1"/>
        <v>0</v>
      </c>
      <c r="X410" s="12" t="s">
        <v>4613</v>
      </c>
      <c r="Y410" s="10">
        <v>52</v>
      </c>
    </row>
    <row r="411" spans="1:26" ht="12.75" hidden="1">
      <c r="A411" s="56" t="s">
        <v>1617</v>
      </c>
      <c r="B411" s="58"/>
      <c r="C411" s="58"/>
      <c r="D411" s="58"/>
      <c r="E411" s="58"/>
      <c r="F411" s="58"/>
      <c r="G411" s="58"/>
      <c r="H411" s="59" t="s">
        <v>1618</v>
      </c>
      <c r="I411" s="59" t="s">
        <v>1619</v>
      </c>
      <c r="J411" s="60" t="str">
        <f ca="1">IFERROR(__xludf.DUMMYFUNCTION("JOIN("": "",H411,I411)"),"3E-38-02-14-00-00-00: Dispositivo para ventilação de água")</f>
        <v>3E-38-02-14-00-00-00: Dispositivo para ventilação de água</v>
      </c>
      <c r="K411" s="61"/>
      <c r="L411" s="62">
        <v>4</v>
      </c>
      <c r="M411" s="59"/>
      <c r="N411" s="59"/>
      <c r="O411" s="59"/>
      <c r="P411" s="59"/>
      <c r="Q411" s="63"/>
      <c r="R411" s="63"/>
      <c r="S411" s="63"/>
      <c r="T411" s="64">
        <v>54</v>
      </c>
      <c r="U411" s="46" t="b">
        <f ca="1"/>
        <v>0</v>
      </c>
      <c r="X411" s="12" t="s">
        <v>4614</v>
      </c>
      <c r="Y411" s="10">
        <v>54</v>
      </c>
    </row>
    <row r="412" spans="1:26" ht="12.75" hidden="1">
      <c r="A412" s="47" t="s">
        <v>1621</v>
      </c>
      <c r="B412" s="48"/>
      <c r="C412" s="48"/>
      <c r="D412" s="48"/>
      <c r="E412" s="48"/>
      <c r="F412" s="48"/>
      <c r="G412" s="48"/>
      <c r="H412" s="49" t="s">
        <v>1622</v>
      </c>
      <c r="I412" s="49" t="s">
        <v>1623</v>
      </c>
      <c r="J412" s="50" t="str">
        <f ca="1">IFERROR(__xludf.DUMMYFUNCTION("JOIN("": "",H412,I412)"),"3E-38-04-00-00-00-00: Elementos extravasores em instalações hidráulicas")</f>
        <v>3E-38-04-00-00-00-00: Elementos extravasores em instalações hidráulicas</v>
      </c>
      <c r="K412" s="51"/>
      <c r="L412" s="52">
        <v>3</v>
      </c>
      <c r="M412" s="53"/>
      <c r="N412" s="53"/>
      <c r="O412" s="53"/>
      <c r="P412" s="53"/>
      <c r="Q412" s="54"/>
      <c r="R412" s="54"/>
      <c r="S412" s="54"/>
      <c r="T412" s="55">
        <v>42</v>
      </c>
      <c r="U412" s="45" t="b">
        <f ca="1"/>
        <v>0</v>
      </c>
      <c r="X412" s="12" t="s">
        <v>4615</v>
      </c>
      <c r="Y412" s="10">
        <v>42</v>
      </c>
    </row>
    <row r="413" spans="1:26" ht="12.75" hidden="1">
      <c r="A413" s="56" t="s">
        <v>1625</v>
      </c>
      <c r="B413" s="58"/>
      <c r="C413" s="58"/>
      <c r="D413" s="58"/>
      <c r="E413" s="58"/>
      <c r="F413" s="58"/>
      <c r="G413" s="58"/>
      <c r="H413" s="59" t="s">
        <v>1626</v>
      </c>
      <c r="I413" s="59" t="s">
        <v>1627</v>
      </c>
      <c r="J413" s="60" t="str">
        <f ca="1">IFERROR(__xludf.DUMMYFUNCTION("JOIN("": "",H413,I413)"),"3E-38-04-02-00-00-00: Tubulação para extravasão de água")</f>
        <v>3E-38-04-02-00-00-00: Tubulação para extravasão de água</v>
      </c>
      <c r="K413" s="61"/>
      <c r="L413" s="62">
        <v>4</v>
      </c>
      <c r="M413" s="59"/>
      <c r="N413" s="59"/>
      <c r="O413" s="59"/>
      <c r="P413" s="59"/>
      <c r="Q413" s="63"/>
      <c r="R413" s="63"/>
      <c r="S413" s="63"/>
      <c r="T413" s="64">
        <v>44</v>
      </c>
      <c r="U413" s="46" t="b">
        <f ca="1"/>
        <v>0</v>
      </c>
      <c r="X413" s="12" t="s">
        <v>4616</v>
      </c>
      <c r="Y413" s="10">
        <v>44</v>
      </c>
    </row>
    <row r="414" spans="1:26" ht="12.75" hidden="1">
      <c r="A414" s="56" t="s">
        <v>1629</v>
      </c>
      <c r="B414" s="58"/>
      <c r="C414" s="58"/>
      <c r="D414" s="58"/>
      <c r="E414" s="58"/>
      <c r="F414" s="58"/>
      <c r="G414" s="58"/>
      <c r="H414" s="59" t="s">
        <v>1630</v>
      </c>
      <c r="I414" s="59" t="s">
        <v>1631</v>
      </c>
      <c r="J414" s="60" t="str">
        <f ca="1">IFERROR(__xludf.DUMMYFUNCTION("JOIN("": "",H414,I414)"),"3E-38-04-04-00-00-00: Tubulação para limpeza de água")</f>
        <v>3E-38-04-04-00-00-00: Tubulação para limpeza de água</v>
      </c>
      <c r="K414" s="61"/>
      <c r="L414" s="62">
        <v>4</v>
      </c>
      <c r="M414" s="59"/>
      <c r="N414" s="59"/>
      <c r="O414" s="59"/>
      <c r="P414" s="59"/>
      <c r="Q414" s="63"/>
      <c r="R414" s="63"/>
      <c r="S414" s="63"/>
      <c r="T414" s="64">
        <v>46</v>
      </c>
      <c r="U414" s="45" t="b">
        <f ca="1"/>
        <v>0</v>
      </c>
      <c r="X414" s="12" t="s">
        <v>4617</v>
      </c>
      <c r="Y414" s="10">
        <v>46</v>
      </c>
    </row>
    <row r="415" spans="1:26" ht="12.75" hidden="1">
      <c r="A415" s="47" t="s">
        <v>1633</v>
      </c>
      <c r="B415" s="48"/>
      <c r="C415" s="48"/>
      <c r="D415" s="48"/>
      <c r="E415" s="48"/>
      <c r="F415" s="48"/>
      <c r="G415" s="48"/>
      <c r="H415" s="49" t="s">
        <v>1634</v>
      </c>
      <c r="I415" s="49" t="s">
        <v>1635</v>
      </c>
      <c r="J415" s="50" t="str">
        <f ca="1">IFERROR(__xludf.DUMMYFUNCTION("JOIN("": "",H415,I415)"),"3E-38-06-00-00-00-00: Elementos distribuidores em instalações hidráulicas")</f>
        <v>3E-38-06-00-00-00-00: Elementos distribuidores em instalações hidráulicas</v>
      </c>
      <c r="K415" s="51"/>
      <c r="L415" s="52">
        <v>3</v>
      </c>
      <c r="M415" s="53"/>
      <c r="N415" s="53"/>
      <c r="O415" s="53"/>
      <c r="P415" s="53"/>
      <c r="Q415" s="54"/>
      <c r="R415" s="54"/>
      <c r="S415" s="54"/>
      <c r="T415" s="55">
        <v>44</v>
      </c>
      <c r="U415" s="46" t="b">
        <f ca="1"/>
        <v>0</v>
      </c>
      <c r="X415" s="12" t="s">
        <v>4618</v>
      </c>
      <c r="Y415" s="10">
        <v>44</v>
      </c>
    </row>
    <row r="416" spans="1:26" ht="12.75" hidden="1">
      <c r="A416" s="56" t="s">
        <v>1637</v>
      </c>
      <c r="B416" s="58"/>
      <c r="C416" s="58"/>
      <c r="D416" s="58"/>
      <c r="E416" s="58"/>
      <c r="F416" s="58"/>
      <c r="G416" s="58"/>
      <c r="H416" s="59" t="s">
        <v>1638</v>
      </c>
      <c r="I416" s="59" t="s">
        <v>1639</v>
      </c>
      <c r="J416" s="60" t="str">
        <f ca="1">IFERROR(__xludf.DUMMYFUNCTION("JOIN("": "",H416,I416)"),"3E-38-06-02-00-00-00: Barrilete de água")</f>
        <v>3E-38-06-02-00-00-00: Barrilete de água</v>
      </c>
      <c r="K416" s="61"/>
      <c r="L416" s="62">
        <v>4</v>
      </c>
      <c r="M416" s="59"/>
      <c r="N416" s="59"/>
      <c r="O416" s="59"/>
      <c r="P416" s="59"/>
      <c r="Q416" s="63"/>
      <c r="R416" s="63"/>
      <c r="S416" s="63"/>
      <c r="T416" s="64">
        <v>46</v>
      </c>
      <c r="U416" s="45" t="b">
        <f ca="1"/>
        <v>0</v>
      </c>
      <c r="X416" s="12" t="s">
        <v>4619</v>
      </c>
      <c r="Y416" s="10">
        <v>46</v>
      </c>
    </row>
    <row r="417" spans="1:25" ht="12.75" hidden="1">
      <c r="A417" s="65" t="s">
        <v>1641</v>
      </c>
      <c r="B417" s="67"/>
      <c r="C417" s="67"/>
      <c r="D417" s="67"/>
      <c r="E417" s="67"/>
      <c r="F417" s="67"/>
      <c r="G417" s="67"/>
      <c r="H417" s="68" t="s">
        <v>1642</v>
      </c>
      <c r="I417" s="68" t="s">
        <v>1643</v>
      </c>
      <c r="J417" s="69" t="str">
        <f ca="1">IFERROR(__xludf.DUMMYFUNCTION("JOIN("": "",H417,I417)"),"3E-38-06-02-02-00-00: Barrilete de água unificado")</f>
        <v>3E-38-06-02-02-00-00: Barrilete de água unificado</v>
      </c>
      <c r="K417" s="70"/>
      <c r="L417" s="71">
        <v>5</v>
      </c>
      <c r="M417" s="68"/>
      <c r="N417" s="68"/>
      <c r="O417" s="68"/>
      <c r="P417" s="68"/>
      <c r="Q417" s="72"/>
      <c r="R417" s="72"/>
      <c r="S417" s="72"/>
      <c r="T417" s="73">
        <v>48</v>
      </c>
      <c r="U417" s="46" t="b">
        <f ca="1"/>
        <v>0</v>
      </c>
      <c r="X417" s="12" t="s">
        <v>4620</v>
      </c>
      <c r="Y417" s="10">
        <v>48</v>
      </c>
    </row>
    <row r="418" spans="1:25" ht="12.75" hidden="1">
      <c r="A418" s="65" t="s">
        <v>1645</v>
      </c>
      <c r="B418" s="67"/>
      <c r="C418" s="67"/>
      <c r="D418" s="67"/>
      <c r="E418" s="67"/>
      <c r="F418" s="67"/>
      <c r="G418" s="67"/>
      <c r="H418" s="68" t="s">
        <v>1646</v>
      </c>
      <c r="I418" s="68" t="s">
        <v>1647</v>
      </c>
      <c r="J418" s="69" t="str">
        <f ca="1">IFERROR(__xludf.DUMMYFUNCTION("JOIN("": "",H418,I418)"),"3E-38-06-02-04-00-00: Barrilete de água ramificado")</f>
        <v>3E-38-06-02-04-00-00: Barrilete de água ramificado</v>
      </c>
      <c r="K418" s="70"/>
      <c r="L418" s="71">
        <v>5</v>
      </c>
      <c r="M418" s="68"/>
      <c r="N418" s="68"/>
      <c r="O418" s="68"/>
      <c r="P418" s="68"/>
      <c r="Q418" s="72"/>
      <c r="R418" s="72"/>
      <c r="S418" s="72"/>
      <c r="T418" s="73">
        <v>50</v>
      </c>
      <c r="U418" s="45" t="b">
        <f ca="1"/>
        <v>0</v>
      </c>
      <c r="X418" s="12" t="s">
        <v>4621</v>
      </c>
      <c r="Y418" s="10">
        <v>50</v>
      </c>
    </row>
    <row r="419" spans="1:25" ht="12.75" hidden="1">
      <c r="A419" s="56" t="s">
        <v>1649</v>
      </c>
      <c r="B419" s="58"/>
      <c r="C419" s="58"/>
      <c r="D419" s="58"/>
      <c r="E419" s="58"/>
      <c r="F419" s="58"/>
      <c r="G419" s="58"/>
      <c r="H419" s="59" t="s">
        <v>1650</v>
      </c>
      <c r="I419" s="59" t="s">
        <v>1651</v>
      </c>
      <c r="J419" s="60" t="str">
        <f ca="1">IFERROR(__xludf.DUMMYFUNCTION("JOIN("": "",H419,I419)"),"3E-38-06-04-00-00-00: Prumada de água")</f>
        <v>3E-38-06-04-00-00-00: Prumada de água</v>
      </c>
      <c r="K419" s="61"/>
      <c r="L419" s="62">
        <v>4</v>
      </c>
      <c r="M419" s="59"/>
      <c r="N419" s="59"/>
      <c r="O419" s="59"/>
      <c r="P419" s="59"/>
      <c r="Q419" s="63"/>
      <c r="R419" s="63"/>
      <c r="S419" s="63"/>
      <c r="T419" s="64">
        <v>48</v>
      </c>
      <c r="U419" s="46" t="b">
        <f ca="1"/>
        <v>0</v>
      </c>
      <c r="X419" s="12" t="s">
        <v>4622</v>
      </c>
      <c r="Y419" s="10">
        <v>48</v>
      </c>
    </row>
    <row r="420" spans="1:25" ht="12.75" hidden="1">
      <c r="A420" s="56" t="s">
        <v>1653</v>
      </c>
      <c r="B420" s="58"/>
      <c r="C420" s="58"/>
      <c r="D420" s="58"/>
      <c r="E420" s="58"/>
      <c r="F420" s="58"/>
      <c r="G420" s="58"/>
      <c r="H420" s="59" t="s">
        <v>1654</v>
      </c>
      <c r="I420" s="59" t="s">
        <v>1655</v>
      </c>
      <c r="J420" s="60" t="str">
        <f ca="1">IFERROR(__xludf.DUMMYFUNCTION("JOIN("": "",H420,I420)"),"3E-38-06-06-00-00-00: Coluna de água")</f>
        <v>3E-38-06-06-00-00-00: Coluna de água</v>
      </c>
      <c r="K420" s="61"/>
      <c r="L420" s="62">
        <v>4</v>
      </c>
      <c r="M420" s="59"/>
      <c r="N420" s="59"/>
      <c r="O420" s="59"/>
      <c r="P420" s="59"/>
      <c r="Q420" s="63"/>
      <c r="R420" s="63"/>
      <c r="S420" s="63"/>
      <c r="T420" s="64">
        <v>50</v>
      </c>
      <c r="U420" s="45" t="b">
        <f ca="1"/>
        <v>0</v>
      </c>
      <c r="X420" s="12" t="s">
        <v>4623</v>
      </c>
      <c r="Y420" s="10">
        <v>50</v>
      </c>
    </row>
    <row r="421" spans="1:25" ht="12.75" hidden="1">
      <c r="A421" s="56" t="s">
        <v>1657</v>
      </c>
      <c r="B421" s="58"/>
      <c r="C421" s="58"/>
      <c r="D421" s="58"/>
      <c r="E421" s="58"/>
      <c r="F421" s="58"/>
      <c r="G421" s="58"/>
      <c r="H421" s="59" t="s">
        <v>1658</v>
      </c>
      <c r="I421" s="59" t="s">
        <v>1659</v>
      </c>
      <c r="J421" s="60" t="str">
        <f ca="1">IFERROR(__xludf.DUMMYFUNCTION("JOIN("": "",H421,I421)"),"3E-38-06-08-00-00-00: Ramal de distribuição de água")</f>
        <v>3E-38-06-08-00-00-00: Ramal de distribuição de água</v>
      </c>
      <c r="K421" s="61"/>
      <c r="L421" s="62">
        <v>4</v>
      </c>
      <c r="M421" s="59"/>
      <c r="N421" s="59"/>
      <c r="O421" s="59"/>
      <c r="P421" s="59"/>
      <c r="Q421" s="63"/>
      <c r="R421" s="63"/>
      <c r="S421" s="63"/>
      <c r="T421" s="64">
        <v>52</v>
      </c>
      <c r="U421" s="46" t="b">
        <f ca="1"/>
        <v>0</v>
      </c>
      <c r="X421" s="12" t="s">
        <v>4624</v>
      </c>
      <c r="Y421" s="10">
        <v>52</v>
      </c>
    </row>
    <row r="422" spans="1:25" ht="12.75" hidden="1">
      <c r="A422" s="56" t="s">
        <v>1661</v>
      </c>
      <c r="B422" s="58"/>
      <c r="C422" s="58"/>
      <c r="D422" s="58"/>
      <c r="E422" s="58"/>
      <c r="F422" s="58"/>
      <c r="G422" s="58"/>
      <c r="H422" s="59" t="s">
        <v>1662</v>
      </c>
      <c r="I422" s="59" t="s">
        <v>1663</v>
      </c>
      <c r="J422" s="60" t="str">
        <f ca="1">IFERROR(__xludf.DUMMYFUNCTION("JOIN("": "",H422,I422)"),"3E-38-06-10-00-00-00: Sub-ramal de distribuição de água")</f>
        <v>3E-38-06-10-00-00-00: Sub-ramal de distribuição de água</v>
      </c>
      <c r="K422" s="61"/>
      <c r="L422" s="62">
        <v>4</v>
      </c>
      <c r="M422" s="59"/>
      <c r="N422" s="59"/>
      <c r="O422" s="59"/>
      <c r="P422" s="59"/>
      <c r="Q422" s="63"/>
      <c r="R422" s="63"/>
      <c r="S422" s="63"/>
      <c r="T422" s="64">
        <v>54</v>
      </c>
      <c r="U422" s="45" t="b">
        <f ca="1"/>
        <v>0</v>
      </c>
      <c r="X422" s="12" t="s">
        <v>4625</v>
      </c>
      <c r="Y422" s="10">
        <v>54</v>
      </c>
    </row>
    <row r="423" spans="1:25" ht="12.75" hidden="1">
      <c r="A423" s="47" t="s">
        <v>1665</v>
      </c>
      <c r="B423" s="48"/>
      <c r="C423" s="48"/>
      <c r="D423" s="48"/>
      <c r="E423" s="48"/>
      <c r="F423" s="48"/>
      <c r="G423" s="48"/>
      <c r="H423" s="49" t="s">
        <v>1666</v>
      </c>
      <c r="I423" s="49" t="s">
        <v>1667</v>
      </c>
      <c r="J423" s="50" t="str">
        <f ca="1">IFERROR(__xludf.DUMMYFUNCTION("JOIN("": "",H423,I423)"),"3E-38-08-00-00-00-00: Elementos conectores em instalações hidráulicas")</f>
        <v>3E-38-08-00-00-00-00: Elementos conectores em instalações hidráulicas</v>
      </c>
      <c r="K423" s="51"/>
      <c r="L423" s="52">
        <v>3</v>
      </c>
      <c r="M423" s="53"/>
      <c r="N423" s="53"/>
      <c r="O423" s="53"/>
      <c r="P423" s="53"/>
      <c r="Q423" s="54"/>
      <c r="R423" s="54"/>
      <c r="S423" s="54"/>
      <c r="T423" s="55">
        <v>46</v>
      </c>
      <c r="U423" s="46" t="b">
        <f ca="1"/>
        <v>0</v>
      </c>
      <c r="X423" s="12" t="s">
        <v>4626</v>
      </c>
      <c r="Y423" s="10">
        <v>46</v>
      </c>
    </row>
    <row r="424" spans="1:25" ht="12.75" hidden="1">
      <c r="A424" s="47" t="s">
        <v>1669</v>
      </c>
      <c r="B424" s="48"/>
      <c r="C424" s="48"/>
      <c r="D424" s="48"/>
      <c r="E424" s="48"/>
      <c r="F424" s="48"/>
      <c r="G424" s="48"/>
      <c r="H424" s="49" t="s">
        <v>1670</v>
      </c>
      <c r="I424" s="49" t="s">
        <v>1671</v>
      </c>
      <c r="J424" s="50" t="str">
        <f ca="1">IFERROR(__xludf.DUMMYFUNCTION("JOIN("": "",H424,I424)"),"3E-38-10-00-00-00-00: Elementos aquecedores para instalações hidráulicas")</f>
        <v>3E-38-10-00-00-00-00: Elementos aquecedores para instalações hidráulicas</v>
      </c>
      <c r="K424" s="51"/>
      <c r="L424" s="52">
        <v>3</v>
      </c>
      <c r="M424" s="53"/>
      <c r="N424" s="53"/>
      <c r="O424" s="53"/>
      <c r="P424" s="53"/>
      <c r="Q424" s="54"/>
      <c r="R424" s="54"/>
      <c r="S424" s="54"/>
      <c r="T424" s="55">
        <v>48</v>
      </c>
      <c r="U424" s="45" t="b">
        <f ca="1"/>
        <v>0</v>
      </c>
      <c r="X424" s="12" t="s">
        <v>4627</v>
      </c>
      <c r="Y424" s="10">
        <v>48</v>
      </c>
    </row>
    <row r="425" spans="1:25" ht="12.75" hidden="1">
      <c r="A425" s="56" t="s">
        <v>1673</v>
      </c>
      <c r="B425" s="58"/>
      <c r="C425" s="58"/>
      <c r="D425" s="58"/>
      <c r="E425" s="58"/>
      <c r="F425" s="58"/>
      <c r="G425" s="58"/>
      <c r="H425" s="59" t="s">
        <v>1674</v>
      </c>
      <c r="I425" s="59" t="s">
        <v>1675</v>
      </c>
      <c r="J425" s="60" t="str">
        <f ca="1">IFERROR(__xludf.DUMMYFUNCTION("JOIN("": "",H425,I425)"),"3E-38-10-02-00-00-00: Aquecedor elétrico para instalações hidráulicas")</f>
        <v>3E-38-10-02-00-00-00: Aquecedor elétrico para instalações hidráulicas</v>
      </c>
      <c r="K425" s="61"/>
      <c r="L425" s="62">
        <v>4</v>
      </c>
      <c r="M425" s="59"/>
      <c r="N425" s="59"/>
      <c r="O425" s="59"/>
      <c r="P425" s="59"/>
      <c r="Q425" s="63"/>
      <c r="R425" s="63"/>
      <c r="S425" s="63"/>
      <c r="T425" s="64">
        <v>50</v>
      </c>
      <c r="U425" s="46" t="b">
        <f ca="1"/>
        <v>0</v>
      </c>
      <c r="X425" s="12" t="s">
        <v>4628</v>
      </c>
      <c r="Y425" s="10">
        <v>50</v>
      </c>
    </row>
    <row r="426" spans="1:25" ht="12.75" hidden="1">
      <c r="A426" s="65" t="s">
        <v>1677</v>
      </c>
      <c r="B426" s="67"/>
      <c r="C426" s="67"/>
      <c r="D426" s="67"/>
      <c r="E426" s="67"/>
      <c r="F426" s="67"/>
      <c r="G426" s="67"/>
      <c r="H426" s="68" t="s">
        <v>1678</v>
      </c>
      <c r="I426" s="68" t="s">
        <v>1679</v>
      </c>
      <c r="J426" s="69" t="str">
        <f ca="1">IFERROR(__xludf.DUMMYFUNCTION("JOIN("": "",H426,I426)"),"3E-38-10-02-02-00-00: Aquecedor elétrico de passagem para instalações hidráulicas")</f>
        <v>3E-38-10-02-02-00-00: Aquecedor elétrico de passagem para instalações hidráulicas</v>
      </c>
      <c r="K426" s="70"/>
      <c r="L426" s="71">
        <v>5</v>
      </c>
      <c r="M426" s="68"/>
      <c r="N426" s="68"/>
      <c r="O426" s="68"/>
      <c r="P426" s="68"/>
      <c r="Q426" s="72"/>
      <c r="R426" s="72"/>
      <c r="S426" s="72"/>
      <c r="T426" s="73">
        <v>52</v>
      </c>
      <c r="U426" s="45" t="b">
        <f ca="1"/>
        <v>0</v>
      </c>
      <c r="X426" s="12" t="s">
        <v>4629</v>
      </c>
      <c r="Y426" s="10">
        <v>52</v>
      </c>
    </row>
    <row r="427" spans="1:25" ht="12.75" hidden="1">
      <c r="A427" s="65" t="s">
        <v>1681</v>
      </c>
      <c r="B427" s="67"/>
      <c r="C427" s="67"/>
      <c r="D427" s="67"/>
      <c r="E427" s="67"/>
      <c r="F427" s="67"/>
      <c r="G427" s="67"/>
      <c r="H427" s="68" t="s">
        <v>1682</v>
      </c>
      <c r="I427" s="68" t="s">
        <v>1683</v>
      </c>
      <c r="J427" s="69" t="str">
        <f ca="1">IFERROR(__xludf.DUMMYFUNCTION("JOIN("": "",H427,I427)"),"3E-38-10-02-04-00-00: Aquecedor elétrico por acumulação para instalações hidráulicas")</f>
        <v>3E-38-10-02-04-00-00: Aquecedor elétrico por acumulação para instalações hidráulicas</v>
      </c>
      <c r="K427" s="70"/>
      <c r="L427" s="71">
        <v>5</v>
      </c>
      <c r="M427" s="68"/>
      <c r="N427" s="68"/>
      <c r="O427" s="68"/>
      <c r="P427" s="68"/>
      <c r="Q427" s="72"/>
      <c r="R427" s="72"/>
      <c r="S427" s="72"/>
      <c r="T427" s="73">
        <v>54</v>
      </c>
      <c r="U427" s="46" t="b">
        <f ca="1"/>
        <v>0</v>
      </c>
      <c r="X427" s="12" t="s">
        <v>4630</v>
      </c>
      <c r="Y427" s="10">
        <v>54</v>
      </c>
    </row>
    <row r="428" spans="1:25" ht="12.75" hidden="1">
      <c r="A428" s="56" t="s">
        <v>1685</v>
      </c>
      <c r="B428" s="58"/>
      <c r="C428" s="58"/>
      <c r="D428" s="58"/>
      <c r="E428" s="58"/>
      <c r="F428" s="58"/>
      <c r="G428" s="58"/>
      <c r="H428" s="59" t="s">
        <v>1686</v>
      </c>
      <c r="I428" s="59" t="s">
        <v>1687</v>
      </c>
      <c r="J428" s="60" t="str">
        <f ca="1">IFERROR(__xludf.DUMMYFUNCTION("JOIN("": "",H428,I428)"),"3E-38-10-04-00-00-00: Aquecedor a gás para instalações hidráulicas")</f>
        <v>3E-38-10-04-00-00-00: Aquecedor a gás para instalações hidráulicas</v>
      </c>
      <c r="K428" s="61"/>
      <c r="L428" s="62">
        <v>4</v>
      </c>
      <c r="M428" s="59"/>
      <c r="N428" s="59"/>
      <c r="O428" s="59"/>
      <c r="P428" s="59"/>
      <c r="Q428" s="63"/>
      <c r="R428" s="63"/>
      <c r="S428" s="63"/>
      <c r="T428" s="64">
        <v>52</v>
      </c>
      <c r="U428" s="45" t="b">
        <f ca="1"/>
        <v>0</v>
      </c>
      <c r="X428" s="12" t="s">
        <v>4631</v>
      </c>
      <c r="Y428" s="10">
        <v>52</v>
      </c>
    </row>
    <row r="429" spans="1:25" ht="12.75" hidden="1">
      <c r="A429" s="65" t="s">
        <v>1689</v>
      </c>
      <c r="B429" s="67"/>
      <c r="C429" s="67"/>
      <c r="D429" s="67"/>
      <c r="E429" s="67"/>
      <c r="F429" s="67"/>
      <c r="G429" s="67"/>
      <c r="H429" s="68" t="s">
        <v>1690</v>
      </c>
      <c r="I429" s="68" t="s">
        <v>1691</v>
      </c>
      <c r="J429" s="69" t="str">
        <f ca="1">IFERROR(__xludf.DUMMYFUNCTION("JOIN("": "",H429,I429)"),"3E-38-10-04-02-00-00: Aquecedor a gás de passagem para instalações hidráulicas")</f>
        <v>3E-38-10-04-02-00-00: Aquecedor a gás de passagem para instalações hidráulicas</v>
      </c>
      <c r="K429" s="70"/>
      <c r="L429" s="71">
        <v>5</v>
      </c>
      <c r="M429" s="68"/>
      <c r="N429" s="68"/>
      <c r="O429" s="68"/>
      <c r="P429" s="68"/>
      <c r="Q429" s="72"/>
      <c r="R429" s="72"/>
      <c r="S429" s="72"/>
      <c r="T429" s="73">
        <v>54</v>
      </c>
      <c r="U429" s="46" t="b">
        <f ca="1"/>
        <v>0</v>
      </c>
      <c r="X429" s="12" t="s">
        <v>4632</v>
      </c>
      <c r="Y429" s="10">
        <v>54</v>
      </c>
    </row>
    <row r="430" spans="1:25" ht="12.75" hidden="1">
      <c r="A430" s="65" t="s">
        <v>1693</v>
      </c>
      <c r="B430" s="67"/>
      <c r="C430" s="67"/>
      <c r="D430" s="67"/>
      <c r="E430" s="67"/>
      <c r="F430" s="67"/>
      <c r="G430" s="67"/>
      <c r="H430" s="68" t="s">
        <v>1694</v>
      </c>
      <c r="I430" s="68" t="s">
        <v>1695</v>
      </c>
      <c r="J430" s="69" t="str">
        <f ca="1">IFERROR(__xludf.DUMMYFUNCTION("JOIN("": "",H430,I430)"),"3E-38-10-04-04-00-00: Aquecedor a gás por acumulação para instalações hidráulicas")</f>
        <v>3E-38-10-04-04-00-00: Aquecedor a gás por acumulação para instalações hidráulicas</v>
      </c>
      <c r="K430" s="70"/>
      <c r="L430" s="71">
        <v>5</v>
      </c>
      <c r="M430" s="68"/>
      <c r="N430" s="68"/>
      <c r="O430" s="68"/>
      <c r="P430" s="68"/>
      <c r="Q430" s="72"/>
      <c r="R430" s="72"/>
      <c r="S430" s="72"/>
      <c r="T430" s="73">
        <v>56</v>
      </c>
      <c r="U430" s="45" t="b">
        <f ca="1"/>
        <v>0</v>
      </c>
      <c r="X430" s="12" t="s">
        <v>4633</v>
      </c>
      <c r="Y430" s="10">
        <v>56</v>
      </c>
    </row>
    <row r="431" spans="1:25" ht="12.75" hidden="1">
      <c r="A431" s="47" t="s">
        <v>1697</v>
      </c>
      <c r="B431" s="48"/>
      <c r="C431" s="48"/>
      <c r="D431" s="48"/>
      <c r="E431" s="48"/>
      <c r="F431" s="48"/>
      <c r="G431" s="48"/>
      <c r="H431" s="49" t="s">
        <v>1698</v>
      </c>
      <c r="I431" s="49" t="s">
        <v>1699</v>
      </c>
      <c r="J431" s="50" t="str">
        <f ca="1">IFERROR(__xludf.DUMMYFUNCTION("JOIN("": "",H431,I431)"),"3E-38-12-00-00-00-00: Elementos de isolamento térmico para instalações hidráulicas")</f>
        <v>3E-38-12-00-00-00-00: Elementos de isolamento térmico para instalações hidráulicas</v>
      </c>
      <c r="K431" s="51"/>
      <c r="L431" s="52">
        <v>3</v>
      </c>
      <c r="M431" s="53"/>
      <c r="N431" s="53"/>
      <c r="O431" s="53"/>
      <c r="P431" s="53"/>
      <c r="Q431" s="54"/>
      <c r="R431" s="54"/>
      <c r="S431" s="54"/>
      <c r="T431" s="55">
        <v>50</v>
      </c>
      <c r="U431" s="46" t="b">
        <f ca="1"/>
        <v>0</v>
      </c>
      <c r="X431" s="12" t="s">
        <v>4634</v>
      </c>
      <c r="Y431" s="10">
        <v>50</v>
      </c>
    </row>
    <row r="432" spans="1:25" ht="12.75" hidden="1">
      <c r="A432" s="101" t="s">
        <v>1701</v>
      </c>
      <c r="B432" s="102"/>
      <c r="C432" s="102"/>
      <c r="D432" s="102"/>
      <c r="E432" s="102"/>
      <c r="F432" s="102"/>
      <c r="G432" s="102"/>
      <c r="H432" s="103" t="s">
        <v>1702</v>
      </c>
      <c r="I432" s="49" t="s">
        <v>1703</v>
      </c>
      <c r="J432" s="50" t="str">
        <f ca="1">IFERROR(__xludf.DUMMYFUNCTION("JOIN("": "",H432,I432)"),"3E-38-14-00-00-00-00: Elementos controladores de fluxo em instalações hidráulicas")</f>
        <v>3E-38-14-00-00-00-00: Elementos controladores de fluxo em instalações hidráulicas</v>
      </c>
      <c r="K432" s="51"/>
      <c r="L432" s="52">
        <v>3</v>
      </c>
      <c r="M432" s="53"/>
      <c r="N432" s="53"/>
      <c r="O432" s="53"/>
      <c r="P432" s="53"/>
      <c r="Q432" s="54"/>
      <c r="R432" s="54"/>
      <c r="S432" s="54"/>
      <c r="T432" s="55">
        <v>52</v>
      </c>
      <c r="U432" s="45" t="b">
        <f ca="1"/>
        <v>0</v>
      </c>
      <c r="X432" s="12" t="s">
        <v>4635</v>
      </c>
      <c r="Y432" s="10">
        <v>52</v>
      </c>
    </row>
    <row r="433" spans="1:26" ht="12.75" hidden="1">
      <c r="A433" s="47" t="s">
        <v>1705</v>
      </c>
      <c r="B433" s="48"/>
      <c r="C433" s="48"/>
      <c r="D433" s="48"/>
      <c r="E433" s="48"/>
      <c r="F433" s="48"/>
      <c r="G433" s="48"/>
      <c r="H433" s="49" t="s">
        <v>1706</v>
      </c>
      <c r="I433" s="49" t="s">
        <v>1707</v>
      </c>
      <c r="J433" s="50" t="str">
        <f ca="1">IFERROR(__xludf.DUMMYFUNCTION("JOIN("": "",H433,I433)"),"3E-38-16-00-00-00-00: Elementos terminais em instalações hidráulicas")</f>
        <v>3E-38-16-00-00-00-00: Elementos terminais em instalações hidráulicas</v>
      </c>
      <c r="K433" s="51"/>
      <c r="L433" s="52">
        <v>3</v>
      </c>
      <c r="M433" s="53"/>
      <c r="N433" s="53"/>
      <c r="O433" s="53"/>
      <c r="P433" s="53"/>
      <c r="Q433" s="54"/>
      <c r="R433" s="54"/>
      <c r="S433" s="54"/>
      <c r="T433" s="55">
        <v>54</v>
      </c>
      <c r="U433" s="46" t="b">
        <f ca="1"/>
        <v>0</v>
      </c>
      <c r="X433" s="12" t="s">
        <v>4636</v>
      </c>
      <c r="Y433" s="10">
        <v>54</v>
      </c>
    </row>
    <row r="434" spans="1:26" ht="12.75">
      <c r="A434" s="36" t="s">
        <v>1709</v>
      </c>
      <c r="B434" s="37"/>
      <c r="C434" s="37"/>
      <c r="D434" s="37"/>
      <c r="E434" s="37"/>
      <c r="F434" s="37"/>
      <c r="G434" s="37"/>
      <c r="H434" s="38" t="s">
        <v>1710</v>
      </c>
      <c r="I434" s="38" t="s">
        <v>1711</v>
      </c>
      <c r="J434" s="39" t="str">
        <f ca="1">IFERROR(__xludf.DUMMYFUNCTION("JOIN("": "",H434,I434)"),"3E-40-00-00-00-00-00: Elementos de instalações de água pluvial")</f>
        <v>3E-40-00-00-00-00-00: Elementos de instalações de água pluvial</v>
      </c>
      <c r="K434" s="40"/>
      <c r="L434" s="41">
        <v>2</v>
      </c>
      <c r="M434" s="42"/>
      <c r="N434" s="43"/>
      <c r="O434" s="43"/>
      <c r="P434" s="43"/>
      <c r="Q434" s="44">
        <v>7</v>
      </c>
      <c r="R434" s="44">
        <v>6</v>
      </c>
      <c r="S434" s="44">
        <v>8</v>
      </c>
      <c r="T434" s="44">
        <v>40</v>
      </c>
      <c r="U434" s="45" t="b">
        <f ca="1"/>
        <v>0</v>
      </c>
      <c r="W434" s="7" t="str">
        <f>MID(H434, 1, FIND("-", H434, FIND("-", H434)+1)-1)</f>
        <v>3E-40</v>
      </c>
      <c r="X434" s="12" t="s">
        <v>4637</v>
      </c>
      <c r="Y434" s="10">
        <v>40</v>
      </c>
      <c r="Z434" s="7" t="str">
        <f>SUBSTITUTE(I434, "Elementos de ", "")</f>
        <v>instalações de água pluvial</v>
      </c>
    </row>
    <row r="435" spans="1:26" ht="12.75" hidden="1">
      <c r="A435" s="47" t="s">
        <v>1713</v>
      </c>
      <c r="B435" s="48"/>
      <c r="C435" s="48"/>
      <c r="D435" s="48"/>
      <c r="E435" s="48"/>
      <c r="F435" s="48"/>
      <c r="G435" s="48"/>
      <c r="H435" s="49" t="s">
        <v>1714</v>
      </c>
      <c r="I435" s="49" t="s">
        <v>1715</v>
      </c>
      <c r="J435" s="50" t="str">
        <f ca="1">IFERROR(__xludf.DUMMYFUNCTION("JOIN("": "",H435,I435)"),"3E-40-02-00-00-00-00: Elementos para captação de águas pluviais")</f>
        <v>3E-40-02-00-00-00-00: Elementos para captação de águas pluviais</v>
      </c>
      <c r="K435" s="51"/>
      <c r="L435" s="52">
        <v>3</v>
      </c>
      <c r="M435" s="53"/>
      <c r="N435" s="53"/>
      <c r="O435" s="53"/>
      <c r="P435" s="53"/>
      <c r="Q435" s="54"/>
      <c r="R435" s="54"/>
      <c r="S435" s="54"/>
      <c r="T435" s="55">
        <v>42</v>
      </c>
      <c r="U435" s="46" t="b">
        <f ca="1"/>
        <v>0</v>
      </c>
      <c r="X435" s="12" t="s">
        <v>4638</v>
      </c>
      <c r="Y435" s="10">
        <v>42</v>
      </c>
    </row>
    <row r="436" spans="1:26" ht="12.75" hidden="1">
      <c r="A436" s="47" t="s">
        <v>1717</v>
      </c>
      <c r="B436" s="48"/>
      <c r="C436" s="48"/>
      <c r="D436" s="48"/>
      <c r="E436" s="48"/>
      <c r="F436" s="48"/>
      <c r="G436" s="48"/>
      <c r="H436" s="49" t="s">
        <v>1718</v>
      </c>
      <c r="I436" s="49" t="s">
        <v>1719</v>
      </c>
      <c r="J436" s="50" t="str">
        <f ca="1">IFERROR(__xludf.DUMMYFUNCTION("JOIN("": "",H436,I436)"),"3E-40-04-00-00-00-00: Elementos para inspeção de instalações de água pluvial")</f>
        <v>3E-40-04-00-00-00-00: Elementos para inspeção de instalações de água pluvial</v>
      </c>
      <c r="K436" s="51"/>
      <c r="L436" s="52">
        <v>3</v>
      </c>
      <c r="M436" s="53"/>
      <c r="N436" s="53"/>
      <c r="O436" s="53"/>
      <c r="P436" s="53"/>
      <c r="Q436" s="54"/>
      <c r="R436" s="54"/>
      <c r="S436" s="54"/>
      <c r="T436" s="55">
        <v>44</v>
      </c>
      <c r="U436" s="45" t="b">
        <f ca="1"/>
        <v>0</v>
      </c>
      <c r="X436" s="12" t="s">
        <v>4639</v>
      </c>
      <c r="Y436" s="10">
        <v>44</v>
      </c>
    </row>
    <row r="437" spans="1:26" ht="12.75" hidden="1">
      <c r="A437" s="47" t="s">
        <v>1721</v>
      </c>
      <c r="B437" s="48"/>
      <c r="C437" s="48"/>
      <c r="D437" s="48"/>
      <c r="E437" s="48"/>
      <c r="F437" s="48"/>
      <c r="G437" s="48"/>
      <c r="H437" s="49" t="s">
        <v>1722</v>
      </c>
      <c r="I437" s="49" t="s">
        <v>1723</v>
      </c>
      <c r="J437" s="50" t="str">
        <f ca="1">IFERROR(__xludf.DUMMYFUNCTION("JOIN("": "",H437,I437)"),"3E-40-06-00-00-00-00: Elementos para tratamento de águas pluviais")</f>
        <v>3E-40-06-00-00-00-00: Elementos para tratamento de águas pluviais</v>
      </c>
      <c r="K437" s="51"/>
      <c r="L437" s="52">
        <v>3</v>
      </c>
      <c r="M437" s="53"/>
      <c r="N437" s="53"/>
      <c r="O437" s="53"/>
      <c r="P437" s="53"/>
      <c r="Q437" s="54"/>
      <c r="R437" s="54"/>
      <c r="S437" s="54"/>
      <c r="T437" s="55">
        <v>46</v>
      </c>
      <c r="U437" s="46" t="b">
        <f ca="1"/>
        <v>0</v>
      </c>
      <c r="X437" s="12" t="s">
        <v>4640</v>
      </c>
      <c r="Y437" s="10">
        <v>46</v>
      </c>
    </row>
    <row r="438" spans="1:26" ht="12.75" hidden="1">
      <c r="A438" s="56" t="s">
        <v>1725</v>
      </c>
      <c r="B438" s="58"/>
      <c r="C438" s="58"/>
      <c r="D438" s="58"/>
      <c r="E438" s="58"/>
      <c r="F438" s="58"/>
      <c r="G438" s="58"/>
      <c r="H438" s="59" t="s">
        <v>1726</v>
      </c>
      <c r="I438" s="59" t="s">
        <v>1727</v>
      </c>
      <c r="J438" s="60" t="str">
        <f ca="1">IFERROR(__xludf.DUMMYFUNCTION("JOIN("": "",H438,I438)"),"3E-40-06-02-00-00-00: Dispositivo de descarte das primeiras águas")</f>
        <v>3E-40-06-02-00-00-00: Dispositivo de descarte das primeiras águas</v>
      </c>
      <c r="K438" s="61"/>
      <c r="L438" s="62">
        <v>4</v>
      </c>
      <c r="M438" s="59"/>
      <c r="N438" s="59"/>
      <c r="O438" s="59"/>
      <c r="P438" s="59"/>
      <c r="Q438" s="63"/>
      <c r="R438" s="63"/>
      <c r="S438" s="63"/>
      <c r="T438" s="64">
        <v>48</v>
      </c>
      <c r="U438" s="45" t="b">
        <f ca="1"/>
        <v>0</v>
      </c>
      <c r="X438" s="12" t="s">
        <v>4641</v>
      </c>
      <c r="Y438" s="10">
        <v>48</v>
      </c>
    </row>
    <row r="439" spans="1:26" ht="12.75" hidden="1">
      <c r="A439" s="56" t="s">
        <v>1729</v>
      </c>
      <c r="B439" s="58"/>
      <c r="C439" s="58"/>
      <c r="D439" s="58"/>
      <c r="E439" s="58"/>
      <c r="F439" s="58"/>
      <c r="G439" s="58"/>
      <c r="H439" s="59" t="s">
        <v>1730</v>
      </c>
      <c r="I439" s="59" t="s">
        <v>1731</v>
      </c>
      <c r="J439" s="60" t="str">
        <f ca="1">IFERROR(__xludf.DUMMYFUNCTION("JOIN("": "",H439,I439)"),"3E-40-06-04-00-00-00: Separador de materiais grosseiros para aproveitamento de águas pluviais")</f>
        <v>3E-40-06-04-00-00-00: Separador de materiais grosseiros para aproveitamento de águas pluviais</v>
      </c>
      <c r="K439" s="61"/>
      <c r="L439" s="62">
        <v>4</v>
      </c>
      <c r="M439" s="59"/>
      <c r="N439" s="59"/>
      <c r="O439" s="59"/>
      <c r="P439" s="59"/>
      <c r="Q439" s="63"/>
      <c r="R439" s="63"/>
      <c r="S439" s="63"/>
      <c r="T439" s="64">
        <v>50</v>
      </c>
      <c r="U439" s="46" t="b">
        <f ca="1"/>
        <v>0</v>
      </c>
      <c r="X439" s="12" t="s">
        <v>4642</v>
      </c>
      <c r="Y439" s="10">
        <v>50</v>
      </c>
    </row>
    <row r="440" spans="1:26" ht="12.75" hidden="1">
      <c r="A440" s="56" t="s">
        <v>1733</v>
      </c>
      <c r="B440" s="58"/>
      <c r="C440" s="58"/>
      <c r="D440" s="58"/>
      <c r="E440" s="58"/>
      <c r="F440" s="58"/>
      <c r="G440" s="58"/>
      <c r="H440" s="59" t="s">
        <v>1734</v>
      </c>
      <c r="I440" s="59" t="s">
        <v>1735</v>
      </c>
      <c r="J440" s="60" t="str">
        <f ca="1">IFERROR(__xludf.DUMMYFUNCTION("JOIN("": "",H440,I440)"),"3E-40-06-06-00-00-00: Sistema de tratamento e desinfecção para aproveitamento de águas pluviais")</f>
        <v>3E-40-06-06-00-00-00: Sistema de tratamento e desinfecção para aproveitamento de águas pluviais</v>
      </c>
      <c r="K440" s="61"/>
      <c r="L440" s="62">
        <v>4</v>
      </c>
      <c r="M440" s="59"/>
      <c r="N440" s="59"/>
      <c r="O440" s="59"/>
      <c r="P440" s="59"/>
      <c r="Q440" s="63"/>
      <c r="R440" s="63"/>
      <c r="S440" s="63"/>
      <c r="T440" s="64">
        <v>52</v>
      </c>
      <c r="U440" s="45" t="b">
        <f ca="1"/>
        <v>0</v>
      </c>
      <c r="X440" s="12" t="s">
        <v>4643</v>
      </c>
      <c r="Y440" s="10">
        <v>52</v>
      </c>
    </row>
    <row r="441" spans="1:26" ht="12.75" hidden="1">
      <c r="A441" s="56" t="s">
        <v>1737</v>
      </c>
      <c r="B441" s="58"/>
      <c r="C441" s="58"/>
      <c r="D441" s="58"/>
      <c r="E441" s="58"/>
      <c r="F441" s="58"/>
      <c r="G441" s="58"/>
      <c r="H441" s="59" t="s">
        <v>1738</v>
      </c>
      <c r="I441" s="59" t="s">
        <v>1739</v>
      </c>
      <c r="J441" s="60" t="str">
        <f ca="1">IFERROR(__xludf.DUMMYFUNCTION("JOIN("": "",H441,I441)"),"3E-40-06-08-00-00-00: Reservatório para aproveitamento de águas pluviais")</f>
        <v>3E-40-06-08-00-00-00: Reservatório para aproveitamento de águas pluviais</v>
      </c>
      <c r="K441" s="61"/>
      <c r="L441" s="62">
        <v>4</v>
      </c>
      <c r="M441" s="59"/>
      <c r="N441" s="59"/>
      <c r="O441" s="59"/>
      <c r="P441" s="59"/>
      <c r="Q441" s="63"/>
      <c r="R441" s="63"/>
      <c r="S441" s="63"/>
      <c r="T441" s="64">
        <v>54</v>
      </c>
      <c r="U441" s="46" t="b">
        <f ca="1"/>
        <v>0</v>
      </c>
      <c r="X441" s="12" t="s">
        <v>4644</v>
      </c>
      <c r="Y441" s="10">
        <v>54</v>
      </c>
    </row>
    <row r="442" spans="1:26" ht="12.75" hidden="1">
      <c r="A442" s="56" t="s">
        <v>1741</v>
      </c>
      <c r="B442" s="58"/>
      <c r="C442" s="58"/>
      <c r="D442" s="58"/>
      <c r="E442" s="58"/>
      <c r="F442" s="58"/>
      <c r="G442" s="58"/>
      <c r="H442" s="59" t="s">
        <v>1742</v>
      </c>
      <c r="I442" s="59" t="s">
        <v>1743</v>
      </c>
      <c r="J442" s="60" t="str">
        <f ca="1">IFERROR(__xludf.DUMMYFUNCTION("JOIN("": "",H442,I442)"),"3E-40-06-10-00-00-00: Bomba de recalque para aproveitamento de águas pluviais")</f>
        <v>3E-40-06-10-00-00-00: Bomba de recalque para aproveitamento de águas pluviais</v>
      </c>
      <c r="K442" s="61"/>
      <c r="L442" s="62">
        <v>4</v>
      </c>
      <c r="M442" s="59"/>
      <c r="N442" s="59"/>
      <c r="O442" s="59"/>
      <c r="P442" s="59"/>
      <c r="Q442" s="63"/>
      <c r="R442" s="63"/>
      <c r="S442" s="63"/>
      <c r="T442" s="64">
        <v>56</v>
      </c>
      <c r="U442" s="45" t="b">
        <f ca="1"/>
        <v>0</v>
      </c>
      <c r="X442" s="12" t="s">
        <v>4645</v>
      </c>
      <c r="Y442" s="10">
        <v>56</v>
      </c>
    </row>
    <row r="443" spans="1:26" ht="12.75" hidden="1">
      <c r="A443" s="56" t="s">
        <v>1745</v>
      </c>
      <c r="B443" s="58"/>
      <c r="C443" s="58"/>
      <c r="D443" s="58"/>
      <c r="E443" s="58"/>
      <c r="F443" s="58"/>
      <c r="G443" s="58"/>
      <c r="H443" s="59" t="s">
        <v>1746</v>
      </c>
      <c r="I443" s="59" t="s">
        <v>1747</v>
      </c>
      <c r="J443" s="60" t="str">
        <f ca="1">IFERROR(__xludf.DUMMYFUNCTION("JOIN("": "",H443,I443)"),"3E-40-06-12-00-00-00: Poço de infiltração para aproveitamento de águas pluviais")</f>
        <v>3E-40-06-12-00-00-00: Poço de infiltração para aproveitamento de águas pluviais</v>
      </c>
      <c r="K443" s="61"/>
      <c r="L443" s="62">
        <v>4</v>
      </c>
      <c r="M443" s="59"/>
      <c r="N443" s="59"/>
      <c r="O443" s="59"/>
      <c r="P443" s="59"/>
      <c r="Q443" s="63"/>
      <c r="R443" s="63"/>
      <c r="S443" s="63"/>
      <c r="T443" s="64">
        <v>58</v>
      </c>
      <c r="U443" s="46" t="b">
        <f ca="1"/>
        <v>0</v>
      </c>
      <c r="X443" s="12" t="s">
        <v>4646</v>
      </c>
      <c r="Y443" s="10">
        <v>58</v>
      </c>
    </row>
    <row r="444" spans="1:26" ht="12.75" hidden="1">
      <c r="A444" s="56" t="s">
        <v>1749</v>
      </c>
      <c r="B444" s="58"/>
      <c r="C444" s="58"/>
      <c r="D444" s="58"/>
      <c r="E444" s="58"/>
      <c r="F444" s="58"/>
      <c r="G444" s="58"/>
      <c r="H444" s="59" t="s">
        <v>1750</v>
      </c>
      <c r="I444" s="59" t="s">
        <v>1751</v>
      </c>
      <c r="J444" s="60" t="str">
        <f ca="1">IFERROR(__xludf.DUMMYFUNCTION("JOIN("": "",H444,I444)"),"3E-40-06-14-00-00-00: Extravasor para aproveitamento de águas pluviais")</f>
        <v>3E-40-06-14-00-00-00: Extravasor para aproveitamento de águas pluviais</v>
      </c>
      <c r="K444" s="61"/>
      <c r="L444" s="62">
        <v>4</v>
      </c>
      <c r="M444" s="59"/>
      <c r="N444" s="59"/>
      <c r="O444" s="59"/>
      <c r="P444" s="59"/>
      <c r="Q444" s="63"/>
      <c r="R444" s="63"/>
      <c r="S444" s="63"/>
      <c r="T444" s="64">
        <v>60</v>
      </c>
      <c r="U444" s="45" t="b">
        <f ca="1"/>
        <v>0</v>
      </c>
      <c r="X444" s="12" t="s">
        <v>4647</v>
      </c>
      <c r="Y444" s="10">
        <v>60</v>
      </c>
    </row>
    <row r="445" spans="1:26" ht="12.75" hidden="1">
      <c r="A445" s="47" t="s">
        <v>1753</v>
      </c>
      <c r="B445" s="48"/>
      <c r="C445" s="48"/>
      <c r="D445" s="48"/>
      <c r="E445" s="48"/>
      <c r="F445" s="48"/>
      <c r="G445" s="48"/>
      <c r="H445" s="49" t="s">
        <v>1754</v>
      </c>
      <c r="I445" s="49" t="s">
        <v>1755</v>
      </c>
      <c r="J445" s="50" t="str">
        <f ca="1">IFERROR(__xludf.DUMMYFUNCTION("JOIN("": "",H445,I445)"),"3E-40-08-00-00-00-00: Elementos para esgotamento de águas pluviais")</f>
        <v>3E-40-08-00-00-00-00: Elementos para esgotamento de águas pluviais</v>
      </c>
      <c r="K445" s="51"/>
      <c r="L445" s="52">
        <v>3</v>
      </c>
      <c r="M445" s="53"/>
      <c r="N445" s="53"/>
      <c r="O445" s="53"/>
      <c r="P445" s="53"/>
      <c r="Q445" s="54"/>
      <c r="R445" s="54"/>
      <c r="S445" s="54"/>
      <c r="T445" s="55">
        <v>48</v>
      </c>
      <c r="U445" s="46" t="b">
        <f ca="1"/>
        <v>0</v>
      </c>
      <c r="X445" s="12" t="s">
        <v>4648</v>
      </c>
      <c r="Y445" s="10">
        <v>48</v>
      </c>
    </row>
    <row r="446" spans="1:26" ht="12.75">
      <c r="A446" s="36" t="s">
        <v>1757</v>
      </c>
      <c r="B446" s="37"/>
      <c r="C446" s="37"/>
      <c r="D446" s="37"/>
      <c r="E446" s="37"/>
      <c r="F446" s="37"/>
      <c r="G446" s="37"/>
      <c r="H446" s="38" t="s">
        <v>1758</v>
      </c>
      <c r="I446" s="38" t="s">
        <v>1759</v>
      </c>
      <c r="J446" s="39" t="str">
        <f ca="1">IFERROR(__xludf.DUMMYFUNCTION("JOIN("": "",H446,I446)"),"3E-42-00-00-00-00-00: Elementos de instalações sanitárias")</f>
        <v>3E-42-00-00-00-00-00: Elementos de instalações sanitárias</v>
      </c>
      <c r="K446" s="40"/>
      <c r="L446" s="41">
        <v>2</v>
      </c>
      <c r="M446" s="42"/>
      <c r="N446" s="43"/>
      <c r="O446" s="43"/>
      <c r="P446" s="43"/>
      <c r="Q446" s="44">
        <v>4</v>
      </c>
      <c r="R446" s="44">
        <v>5</v>
      </c>
      <c r="S446" s="44">
        <v>6</v>
      </c>
      <c r="T446" s="44">
        <v>42</v>
      </c>
      <c r="U446" s="45" t="b">
        <f ca="1"/>
        <v>0</v>
      </c>
      <c r="W446" s="7" t="str">
        <f>MID(H446, 1, FIND("-", H446, FIND("-", H446)+1)-1)</f>
        <v>3E-42</v>
      </c>
      <c r="X446" s="12" t="s">
        <v>4649</v>
      </c>
      <c r="Y446" s="10">
        <v>42</v>
      </c>
      <c r="Z446" s="7" t="str">
        <f>SUBSTITUTE(I446, "Elementos de ", "")</f>
        <v>instalações sanitárias</v>
      </c>
    </row>
    <row r="447" spans="1:26" ht="12.75" hidden="1">
      <c r="A447" s="47" t="s">
        <v>1761</v>
      </c>
      <c r="B447" s="48"/>
      <c r="C447" s="48"/>
      <c r="D447" s="48"/>
      <c r="E447" s="48"/>
      <c r="F447" s="48"/>
      <c r="G447" s="48"/>
      <c r="H447" s="49" t="s">
        <v>1762</v>
      </c>
      <c r="I447" s="49" t="s">
        <v>1763</v>
      </c>
      <c r="J447" s="50" t="str">
        <f ca="1">IFERROR(__xludf.DUMMYFUNCTION("JOIN("": "",H447,I447)"),"3E-42-02-00-00-00-00: Elementos controladores de fluxo em instalações sanitárias")</f>
        <v>3E-42-02-00-00-00-00: Elementos controladores de fluxo em instalações sanitárias</v>
      </c>
      <c r="K447" s="51"/>
      <c r="L447" s="52">
        <v>3</v>
      </c>
      <c r="M447" s="53"/>
      <c r="N447" s="53"/>
      <c r="O447" s="53"/>
      <c r="P447" s="53"/>
      <c r="Q447" s="54"/>
      <c r="R447" s="54"/>
      <c r="S447" s="54"/>
      <c r="T447" s="55">
        <v>44</v>
      </c>
      <c r="U447" s="46" t="b">
        <f ca="1"/>
        <v>0</v>
      </c>
      <c r="X447" s="12" t="s">
        <v>4650</v>
      </c>
      <c r="Y447" s="10">
        <v>44</v>
      </c>
    </row>
    <row r="448" spans="1:26" ht="12.75" hidden="1">
      <c r="A448" s="56" t="s">
        <v>1765</v>
      </c>
      <c r="B448" s="58"/>
      <c r="C448" s="58"/>
      <c r="D448" s="58"/>
      <c r="E448" s="58"/>
      <c r="F448" s="58"/>
      <c r="G448" s="58"/>
      <c r="H448" s="59" t="s">
        <v>1766</v>
      </c>
      <c r="I448" s="59" t="s">
        <v>1767</v>
      </c>
      <c r="J448" s="60" t="str">
        <f ca="1">IFERROR(__xludf.DUMMYFUNCTION("JOIN("": "",H448,I448)"),"3E-42-02-02-00-00-00: Válvula de retenção de instalação sanitária")</f>
        <v>3E-42-02-02-00-00-00: Válvula de retenção de instalação sanitária</v>
      </c>
      <c r="K448" s="61"/>
      <c r="L448" s="62">
        <v>4</v>
      </c>
      <c r="M448" s="59"/>
      <c r="N448" s="59"/>
      <c r="O448" s="59"/>
      <c r="P448" s="59"/>
      <c r="Q448" s="63"/>
      <c r="R448" s="63"/>
      <c r="S448" s="63"/>
      <c r="T448" s="64">
        <v>46</v>
      </c>
      <c r="U448" s="45" t="b">
        <f ca="1"/>
        <v>0</v>
      </c>
      <c r="X448" s="12" t="s">
        <v>4651</v>
      </c>
      <c r="Y448" s="10">
        <v>46</v>
      </c>
    </row>
    <row r="449" spans="1:25" ht="12.75" hidden="1">
      <c r="A449" s="65" t="s">
        <v>1769</v>
      </c>
      <c r="B449" s="67"/>
      <c r="C449" s="67"/>
      <c r="D449" s="67"/>
      <c r="E449" s="67"/>
      <c r="F449" s="67"/>
      <c r="G449" s="67"/>
      <c r="H449" s="68" t="s">
        <v>1770</v>
      </c>
      <c r="I449" s="68" t="s">
        <v>1771</v>
      </c>
      <c r="J449" s="69" t="str">
        <f ca="1">IFERROR(__xludf.DUMMYFUNCTION("JOIN("": "",H449,I449)"),"3E-42-02-02-02-00-00: Tipo leve")</f>
        <v>3E-42-02-02-02-00-00: Tipo leve</v>
      </c>
      <c r="K449" s="70"/>
      <c r="L449" s="71">
        <v>5</v>
      </c>
      <c r="M449" s="68"/>
      <c r="N449" s="68"/>
      <c r="O449" s="68"/>
      <c r="P449" s="68"/>
      <c r="Q449" s="72"/>
      <c r="R449" s="72"/>
      <c r="S449" s="72"/>
      <c r="T449" s="73">
        <v>48</v>
      </c>
      <c r="U449" s="46" t="b">
        <f ca="1"/>
        <v>0</v>
      </c>
      <c r="X449" s="12" t="s">
        <v>4652</v>
      </c>
      <c r="Y449" s="10">
        <v>48</v>
      </c>
    </row>
    <row r="450" spans="1:25" ht="12.75" hidden="1">
      <c r="A450" s="65" t="s">
        <v>1773</v>
      </c>
      <c r="B450" s="67"/>
      <c r="C450" s="67"/>
      <c r="D450" s="67"/>
      <c r="E450" s="67"/>
      <c r="F450" s="67"/>
      <c r="G450" s="67"/>
      <c r="H450" s="68" t="s">
        <v>1774</v>
      </c>
      <c r="I450" s="68" t="s">
        <v>1775</v>
      </c>
      <c r="J450" s="69" t="str">
        <f ca="1">IFERROR(__xludf.DUMMYFUNCTION("JOIN("": "",H450,I450)"),"3E-42-02-02-04-00-00: Tipo pesado")</f>
        <v>3E-42-02-02-04-00-00: Tipo pesado</v>
      </c>
      <c r="K450" s="70"/>
      <c r="L450" s="71">
        <v>5</v>
      </c>
      <c r="M450" s="68"/>
      <c r="N450" s="68"/>
      <c r="O450" s="68"/>
      <c r="P450" s="68"/>
      <c r="Q450" s="72"/>
      <c r="R450" s="72"/>
      <c r="S450" s="72"/>
      <c r="T450" s="73">
        <v>50</v>
      </c>
      <c r="U450" s="45" t="b">
        <f ca="1"/>
        <v>0</v>
      </c>
      <c r="X450" s="12" t="s">
        <v>4653</v>
      </c>
      <c r="Y450" s="10">
        <v>50</v>
      </c>
    </row>
    <row r="451" spans="1:25" ht="12.75" hidden="1">
      <c r="A451" s="56" t="s">
        <v>1777</v>
      </c>
      <c r="B451" s="58"/>
      <c r="C451" s="58"/>
      <c r="D451" s="58"/>
      <c r="E451" s="58"/>
      <c r="F451" s="58"/>
      <c r="G451" s="58"/>
      <c r="H451" s="59" t="s">
        <v>1778</v>
      </c>
      <c r="I451" s="59" t="s">
        <v>1779</v>
      </c>
      <c r="J451" s="60" t="str">
        <f ca="1">IFERROR(__xludf.DUMMYFUNCTION("JOIN("": "",H451,I451)"),"3E-42-02-04-00-00-00: Registro de instalação sanitária")</f>
        <v>3E-42-02-04-00-00-00: Registro de instalação sanitária</v>
      </c>
      <c r="K451" s="61"/>
      <c r="L451" s="62">
        <v>4</v>
      </c>
      <c r="M451" s="59"/>
      <c r="N451" s="59"/>
      <c r="O451" s="59"/>
      <c r="P451" s="59"/>
      <c r="Q451" s="63"/>
      <c r="R451" s="63"/>
      <c r="S451" s="63"/>
      <c r="T451" s="64">
        <v>48</v>
      </c>
      <c r="U451" s="46" t="b">
        <f ca="1"/>
        <v>0</v>
      </c>
      <c r="X451" s="12" t="s">
        <v>4654</v>
      </c>
      <c r="Y451" s="10">
        <v>48</v>
      </c>
    </row>
    <row r="452" spans="1:25" ht="12.75" hidden="1">
      <c r="A452" s="65" t="s">
        <v>1781</v>
      </c>
      <c r="B452" s="67"/>
      <c r="C452" s="67"/>
      <c r="D452" s="67"/>
      <c r="E452" s="67"/>
      <c r="F452" s="67"/>
      <c r="G452" s="67"/>
      <c r="H452" s="68" t="s">
        <v>1782</v>
      </c>
      <c r="I452" s="68" t="s">
        <v>1783</v>
      </c>
      <c r="J452" s="69" t="str">
        <f ca="1">IFERROR(__xludf.DUMMYFUNCTION("JOIN("": "",H452,I452)"),"3E-42-02-04-02-00-00: Registro globo aberto")</f>
        <v>3E-42-02-04-02-00-00: Registro globo aberto</v>
      </c>
      <c r="K452" s="70"/>
      <c r="L452" s="71">
        <v>5</v>
      </c>
      <c r="M452" s="68"/>
      <c r="N452" s="68"/>
      <c r="O452" s="68"/>
      <c r="P452" s="68"/>
      <c r="Q452" s="72"/>
      <c r="R452" s="72"/>
      <c r="S452" s="72"/>
      <c r="T452" s="73">
        <v>50</v>
      </c>
      <c r="U452" s="45" t="b">
        <f ca="1"/>
        <v>0</v>
      </c>
      <c r="X452" s="12" t="s">
        <v>4655</v>
      </c>
      <c r="Y452" s="10">
        <v>50</v>
      </c>
    </row>
    <row r="453" spans="1:25" ht="12.75" hidden="1">
      <c r="A453" s="65" t="s">
        <v>1785</v>
      </c>
      <c r="B453" s="67"/>
      <c r="C453" s="67"/>
      <c r="D453" s="67"/>
      <c r="E453" s="67"/>
      <c r="F453" s="67"/>
      <c r="G453" s="67"/>
      <c r="H453" s="68" t="s">
        <v>1786</v>
      </c>
      <c r="I453" s="68" t="s">
        <v>1787</v>
      </c>
      <c r="J453" s="69" t="str">
        <f ca="1">IFERROR(__xludf.DUMMYFUNCTION("JOIN("": "",H453,I453)"),"3E-42-02-04-04-00-00: Registro gaveta aberto")</f>
        <v>3E-42-02-04-04-00-00: Registro gaveta aberto</v>
      </c>
      <c r="K453" s="70"/>
      <c r="L453" s="71">
        <v>5</v>
      </c>
      <c r="M453" s="68"/>
      <c r="N453" s="68"/>
      <c r="O453" s="68"/>
      <c r="P453" s="68"/>
      <c r="Q453" s="72"/>
      <c r="R453" s="72"/>
      <c r="S453" s="72"/>
      <c r="T453" s="73">
        <v>52</v>
      </c>
      <c r="U453" s="46" t="b">
        <f ca="1"/>
        <v>0</v>
      </c>
      <c r="X453" s="12" t="s">
        <v>4656</v>
      </c>
      <c r="Y453" s="10">
        <v>52</v>
      </c>
    </row>
    <row r="454" spans="1:25" ht="12.75" hidden="1">
      <c r="A454" s="65" t="s">
        <v>1789</v>
      </c>
      <c r="B454" s="67"/>
      <c r="C454" s="67"/>
      <c r="D454" s="67"/>
      <c r="E454" s="67"/>
      <c r="F454" s="67"/>
      <c r="G454" s="67"/>
      <c r="H454" s="68" t="s">
        <v>1790</v>
      </c>
      <c r="I454" s="68" t="s">
        <v>1791</v>
      </c>
      <c r="J454" s="69" t="str">
        <f ca="1">IFERROR(__xludf.DUMMYFUNCTION("JOIN("": "",H454,I454)"),"3E-42-02-04-06-00-00: Registro ângulo aberto")</f>
        <v>3E-42-02-04-06-00-00: Registro ângulo aberto</v>
      </c>
      <c r="K454" s="70"/>
      <c r="L454" s="71">
        <v>5</v>
      </c>
      <c r="M454" s="68"/>
      <c r="N454" s="68"/>
      <c r="O454" s="68"/>
      <c r="P454" s="68"/>
      <c r="Q454" s="72"/>
      <c r="R454" s="72"/>
      <c r="S454" s="72"/>
      <c r="T454" s="73">
        <v>54</v>
      </c>
      <c r="U454" s="45" t="b">
        <f ca="1"/>
        <v>0</v>
      </c>
      <c r="X454" s="12" t="s">
        <v>4657</v>
      </c>
      <c r="Y454" s="10">
        <v>54</v>
      </c>
    </row>
    <row r="455" spans="1:25" ht="12.75" hidden="1">
      <c r="A455" s="47" t="s">
        <v>1793</v>
      </c>
      <c r="B455" s="48"/>
      <c r="C455" s="48"/>
      <c r="D455" s="48"/>
      <c r="E455" s="48"/>
      <c r="F455" s="48"/>
      <c r="G455" s="48"/>
      <c r="H455" s="49" t="s">
        <v>1794</v>
      </c>
      <c r="I455" s="49" t="s">
        <v>1795</v>
      </c>
      <c r="J455" s="50" t="str">
        <f ca="1">IFERROR(__xludf.DUMMYFUNCTION("JOIN("": "",H455,I455)"),"3E-42-04-00-00-00-00: Elementos coletores em instalações sanitárias")</f>
        <v>3E-42-04-00-00-00-00: Elementos coletores em instalações sanitárias</v>
      </c>
      <c r="K455" s="51"/>
      <c r="L455" s="52">
        <v>3</v>
      </c>
      <c r="M455" s="53"/>
      <c r="N455" s="53"/>
      <c r="O455" s="53"/>
      <c r="P455" s="53"/>
      <c r="Q455" s="54"/>
      <c r="R455" s="54"/>
      <c r="S455" s="54"/>
      <c r="T455" s="55">
        <v>46</v>
      </c>
      <c r="U455" s="46" t="b">
        <f ca="1"/>
        <v>0</v>
      </c>
      <c r="X455" s="12" t="s">
        <v>4658</v>
      </c>
      <c r="Y455" s="10">
        <v>46</v>
      </c>
    </row>
    <row r="456" spans="1:25" ht="12.75" hidden="1">
      <c r="A456" s="56" t="s">
        <v>1797</v>
      </c>
      <c r="B456" s="58"/>
      <c r="C456" s="58"/>
      <c r="D456" s="58"/>
      <c r="E456" s="58"/>
      <c r="F456" s="58"/>
      <c r="G456" s="58"/>
      <c r="H456" s="59" t="s">
        <v>1798</v>
      </c>
      <c r="I456" s="59" t="s">
        <v>1799</v>
      </c>
      <c r="J456" s="60" t="str">
        <f ca="1">IFERROR(__xludf.DUMMYFUNCTION("JOIN("": "",H456,I456)"),"3E-42-04-02-00-00-00: Coletor de instalação sanitária")</f>
        <v>3E-42-04-02-00-00-00: Coletor de instalação sanitária</v>
      </c>
      <c r="K456" s="61"/>
      <c r="L456" s="62">
        <v>4</v>
      </c>
      <c r="M456" s="59"/>
      <c r="N456" s="59"/>
      <c r="O456" s="59"/>
      <c r="P456" s="59"/>
      <c r="Q456" s="63"/>
      <c r="R456" s="63"/>
      <c r="S456" s="63"/>
      <c r="T456" s="64">
        <v>48</v>
      </c>
      <c r="U456" s="45" t="b">
        <f ca="1"/>
        <v>0</v>
      </c>
      <c r="X456" s="12" t="s">
        <v>4659</v>
      </c>
      <c r="Y456" s="10">
        <v>48</v>
      </c>
    </row>
    <row r="457" spans="1:25" ht="12.75" hidden="1">
      <c r="A457" s="56" t="s">
        <v>1801</v>
      </c>
      <c r="B457" s="58"/>
      <c r="C457" s="58"/>
      <c r="D457" s="58"/>
      <c r="E457" s="58"/>
      <c r="F457" s="58"/>
      <c r="G457" s="58"/>
      <c r="H457" s="59" t="s">
        <v>1802</v>
      </c>
      <c r="I457" s="59" t="s">
        <v>1803</v>
      </c>
      <c r="J457" s="60" t="str">
        <f ca="1">IFERROR(__xludf.DUMMYFUNCTION("JOIN("": "",H457,I457)"),"3E-42-04-04-00-00-00: Sub-coletor de instalação sanitária")</f>
        <v>3E-42-04-04-00-00-00: Sub-coletor de instalação sanitária</v>
      </c>
      <c r="K457" s="61"/>
      <c r="L457" s="62">
        <v>4</v>
      </c>
      <c r="M457" s="59"/>
      <c r="N457" s="59"/>
      <c r="O457" s="59"/>
      <c r="P457" s="59"/>
      <c r="Q457" s="63"/>
      <c r="R457" s="63"/>
      <c r="S457" s="63"/>
      <c r="T457" s="64">
        <v>50</v>
      </c>
      <c r="U457" s="46" t="b">
        <f ca="1"/>
        <v>0</v>
      </c>
      <c r="X457" s="12" t="s">
        <v>4660</v>
      </c>
      <c r="Y457" s="10">
        <v>50</v>
      </c>
    </row>
    <row r="458" spans="1:25" ht="12.75" hidden="1">
      <c r="A458" s="47" t="s">
        <v>1805</v>
      </c>
      <c r="B458" s="48"/>
      <c r="C458" s="48"/>
      <c r="D458" s="48"/>
      <c r="E458" s="48"/>
      <c r="F458" s="48"/>
      <c r="G458" s="48"/>
      <c r="H458" s="49" t="s">
        <v>1806</v>
      </c>
      <c r="I458" s="49" t="s">
        <v>1807</v>
      </c>
      <c r="J458" s="50" t="str">
        <f ca="1">IFERROR(__xludf.DUMMYFUNCTION("JOIN("": "",H458,I458)"),"3E-42-06-00-00-00-00: Elementos distribuidores em instalações sanitárias")</f>
        <v>3E-42-06-00-00-00-00: Elementos distribuidores em instalações sanitárias</v>
      </c>
      <c r="K458" s="51"/>
      <c r="L458" s="52">
        <v>3</v>
      </c>
      <c r="M458" s="53"/>
      <c r="N458" s="53"/>
      <c r="O458" s="53"/>
      <c r="P458" s="53"/>
      <c r="Q458" s="54"/>
      <c r="R458" s="54"/>
      <c r="S458" s="54"/>
      <c r="T458" s="55">
        <v>48</v>
      </c>
      <c r="U458" s="45" t="b">
        <f ca="1"/>
        <v>0</v>
      </c>
      <c r="X458" s="12" t="s">
        <v>4661</v>
      </c>
      <c r="Y458" s="10">
        <v>48</v>
      </c>
    </row>
    <row r="459" spans="1:25" ht="12.75" hidden="1">
      <c r="A459" s="56" t="s">
        <v>1809</v>
      </c>
      <c r="B459" s="58"/>
      <c r="C459" s="58"/>
      <c r="D459" s="58"/>
      <c r="E459" s="58"/>
      <c r="F459" s="58"/>
      <c r="G459" s="58"/>
      <c r="H459" s="59" t="s">
        <v>1810</v>
      </c>
      <c r="I459" s="59" t="s">
        <v>1811</v>
      </c>
      <c r="J459" s="60" t="str">
        <f ca="1">IFERROR(__xludf.DUMMYFUNCTION("JOIN("": "",H459,I459)"),"3E-42-06-02-00-00-00: Distribuição primária de instalação sanitária")</f>
        <v>3E-42-06-02-00-00-00: Distribuição primária de instalação sanitária</v>
      </c>
      <c r="K459" s="61"/>
      <c r="L459" s="62">
        <v>4</v>
      </c>
      <c r="M459" s="59"/>
      <c r="N459" s="59"/>
      <c r="O459" s="59"/>
      <c r="P459" s="59"/>
      <c r="Q459" s="63"/>
      <c r="R459" s="63"/>
      <c r="S459" s="63"/>
      <c r="T459" s="64">
        <v>50</v>
      </c>
      <c r="U459" s="46" t="b">
        <f ca="1"/>
        <v>0</v>
      </c>
      <c r="X459" s="12" t="s">
        <v>4662</v>
      </c>
      <c r="Y459" s="10">
        <v>50</v>
      </c>
    </row>
    <row r="460" spans="1:25" ht="12.75" hidden="1">
      <c r="A460" s="56" t="s">
        <v>1813</v>
      </c>
      <c r="B460" s="58"/>
      <c r="C460" s="58"/>
      <c r="D460" s="58"/>
      <c r="E460" s="58"/>
      <c r="F460" s="58"/>
      <c r="G460" s="58"/>
      <c r="H460" s="59" t="s">
        <v>1814</v>
      </c>
      <c r="I460" s="59" t="s">
        <v>1815</v>
      </c>
      <c r="J460" s="60" t="str">
        <f ca="1">IFERROR(__xludf.DUMMYFUNCTION("JOIN("": "",H460,I460)"),"3E-42-06-04-00-00-00: Distribuição secundária de instalação sanitária")</f>
        <v>3E-42-06-04-00-00-00: Distribuição secundária de instalação sanitária</v>
      </c>
      <c r="K460" s="61"/>
      <c r="L460" s="62">
        <v>4</v>
      </c>
      <c r="M460" s="59"/>
      <c r="N460" s="59"/>
      <c r="O460" s="59"/>
      <c r="P460" s="59"/>
      <c r="Q460" s="63"/>
      <c r="R460" s="63"/>
      <c r="S460" s="63"/>
      <c r="T460" s="64">
        <v>52</v>
      </c>
      <c r="U460" s="45" t="b">
        <f ca="1"/>
        <v>0</v>
      </c>
      <c r="X460" s="12" t="s">
        <v>4663</v>
      </c>
      <c r="Y460" s="10">
        <v>52</v>
      </c>
    </row>
    <row r="461" spans="1:25" ht="12.75" hidden="1">
      <c r="A461" s="56" t="s">
        <v>1817</v>
      </c>
      <c r="B461" s="58"/>
      <c r="C461" s="58"/>
      <c r="D461" s="58"/>
      <c r="E461" s="58"/>
      <c r="F461" s="58"/>
      <c r="G461" s="58"/>
      <c r="H461" s="59" t="s">
        <v>1818</v>
      </c>
      <c r="I461" s="59" t="s">
        <v>1819</v>
      </c>
      <c r="J461" s="60" t="str">
        <f ca="1">IFERROR(__xludf.DUMMYFUNCTION("JOIN("": "",H461,I461)"),"3E-42-06-06-00-00-00: Ramal de esgoto de instalação sanitária")</f>
        <v>3E-42-06-06-00-00-00: Ramal de esgoto de instalação sanitária</v>
      </c>
      <c r="K461" s="61"/>
      <c r="L461" s="62">
        <v>4</v>
      </c>
      <c r="M461" s="59"/>
      <c r="N461" s="59"/>
      <c r="O461" s="59"/>
      <c r="P461" s="59"/>
      <c r="Q461" s="63"/>
      <c r="R461" s="63"/>
      <c r="S461" s="63"/>
      <c r="T461" s="64">
        <v>54</v>
      </c>
      <c r="U461" s="46" t="b">
        <f ca="1"/>
        <v>0</v>
      </c>
      <c r="X461" s="12" t="s">
        <v>4664</v>
      </c>
      <c r="Y461" s="10">
        <v>54</v>
      </c>
    </row>
    <row r="462" spans="1:25" ht="12.75" hidden="1">
      <c r="A462" s="56" t="s">
        <v>1821</v>
      </c>
      <c r="B462" s="58"/>
      <c r="C462" s="58"/>
      <c r="D462" s="58"/>
      <c r="E462" s="58"/>
      <c r="F462" s="58"/>
      <c r="G462" s="58"/>
      <c r="H462" s="59" t="s">
        <v>1822</v>
      </c>
      <c r="I462" s="59" t="s">
        <v>1823</v>
      </c>
      <c r="J462" s="60" t="str">
        <f ca="1">IFERROR(__xludf.DUMMYFUNCTION("JOIN("": "",H462,I462)"),"3E-42-06-08-00-00-00: Ramal de descarga de instalação sanitária")</f>
        <v>3E-42-06-08-00-00-00: Ramal de descarga de instalação sanitária</v>
      </c>
      <c r="K462" s="61"/>
      <c r="L462" s="62">
        <v>4</v>
      </c>
      <c r="M462" s="59"/>
      <c r="N462" s="59"/>
      <c r="O462" s="59"/>
      <c r="P462" s="59"/>
      <c r="Q462" s="63"/>
      <c r="R462" s="63"/>
      <c r="S462" s="63"/>
      <c r="T462" s="64">
        <v>56</v>
      </c>
      <c r="U462" s="45" t="b">
        <f ca="1"/>
        <v>0</v>
      </c>
      <c r="X462" s="12" t="s">
        <v>4665</v>
      </c>
      <c r="Y462" s="10">
        <v>56</v>
      </c>
    </row>
    <row r="463" spans="1:25" ht="12.75" hidden="1">
      <c r="A463" s="56" t="s">
        <v>1825</v>
      </c>
      <c r="B463" s="58"/>
      <c r="C463" s="58"/>
      <c r="D463" s="58"/>
      <c r="E463" s="58"/>
      <c r="F463" s="58"/>
      <c r="G463" s="58"/>
      <c r="H463" s="59" t="s">
        <v>1826</v>
      </c>
      <c r="I463" s="59" t="s">
        <v>1827</v>
      </c>
      <c r="J463" s="60" t="str">
        <f ca="1">IFERROR(__xludf.DUMMYFUNCTION("JOIN("": "",H463,I463)"),"3E-42-06-10-00-00-00: Prumada de queda de instalação sanitária")</f>
        <v>3E-42-06-10-00-00-00: Prumada de queda de instalação sanitária</v>
      </c>
      <c r="K463" s="61"/>
      <c r="L463" s="62">
        <v>4</v>
      </c>
      <c r="M463" s="59"/>
      <c r="N463" s="59"/>
      <c r="O463" s="59"/>
      <c r="P463" s="59"/>
      <c r="Q463" s="63"/>
      <c r="R463" s="63"/>
      <c r="S463" s="63"/>
      <c r="T463" s="64">
        <v>58</v>
      </c>
      <c r="U463" s="46" t="b">
        <f ca="1"/>
        <v>0</v>
      </c>
      <c r="X463" s="12" t="s">
        <v>4666</v>
      </c>
      <c r="Y463" s="10">
        <v>58</v>
      </c>
    </row>
    <row r="464" spans="1:25" ht="12.75" hidden="1">
      <c r="A464" s="56" t="s">
        <v>1829</v>
      </c>
      <c r="B464" s="58"/>
      <c r="C464" s="58"/>
      <c r="D464" s="58"/>
      <c r="E464" s="58"/>
      <c r="F464" s="58"/>
      <c r="G464" s="58"/>
      <c r="H464" s="59" t="s">
        <v>1830</v>
      </c>
      <c r="I464" s="59" t="s">
        <v>1831</v>
      </c>
      <c r="J464" s="60" t="str">
        <f ca="1">IFERROR(__xludf.DUMMYFUNCTION("JOIN("": "",H464,I464)"),"3E-42-06-12-00-00-00: Coluna de queda de instalação sanitária")</f>
        <v>3E-42-06-12-00-00-00: Coluna de queda de instalação sanitária</v>
      </c>
      <c r="K464" s="61"/>
      <c r="L464" s="62">
        <v>4</v>
      </c>
      <c r="M464" s="59"/>
      <c r="N464" s="59"/>
      <c r="O464" s="59"/>
      <c r="P464" s="59"/>
      <c r="Q464" s="63"/>
      <c r="R464" s="63"/>
      <c r="S464" s="63"/>
      <c r="T464" s="64">
        <v>60</v>
      </c>
      <c r="U464" s="45" t="b">
        <f ca="1"/>
        <v>0</v>
      </c>
      <c r="X464" s="12" t="s">
        <v>4667</v>
      </c>
      <c r="Y464" s="10">
        <v>60</v>
      </c>
    </row>
    <row r="465" spans="1:25" ht="12.75" hidden="1">
      <c r="A465" s="47" t="s">
        <v>1833</v>
      </c>
      <c r="B465" s="48"/>
      <c r="C465" s="48"/>
      <c r="D465" s="48"/>
      <c r="E465" s="48"/>
      <c r="F465" s="48"/>
      <c r="G465" s="48"/>
      <c r="H465" s="49" t="s">
        <v>1834</v>
      </c>
      <c r="I465" s="49" t="s">
        <v>1835</v>
      </c>
      <c r="J465" s="50" t="str">
        <f ca="1">IFERROR(__xludf.DUMMYFUNCTION("JOIN("": "",H465,I465)"),"3E-42-08-00-00-00-00: Elementos conectores em instalações sanitárias")</f>
        <v>3E-42-08-00-00-00-00: Elementos conectores em instalações sanitárias</v>
      </c>
      <c r="K465" s="51"/>
      <c r="L465" s="52">
        <v>3</v>
      </c>
      <c r="M465" s="53"/>
      <c r="N465" s="53"/>
      <c r="O465" s="53"/>
      <c r="P465" s="53"/>
      <c r="Q465" s="54"/>
      <c r="R465" s="54"/>
      <c r="S465" s="54"/>
      <c r="T465" s="55">
        <v>50</v>
      </c>
      <c r="U465" s="46" t="b">
        <f ca="1"/>
        <v>0</v>
      </c>
      <c r="X465" s="12" t="s">
        <v>4668</v>
      </c>
      <c r="Y465" s="10">
        <v>50</v>
      </c>
    </row>
    <row r="466" spans="1:25" ht="12.75" hidden="1">
      <c r="A466" s="47" t="s">
        <v>1837</v>
      </c>
      <c r="B466" s="48"/>
      <c r="C466" s="48"/>
      <c r="D466" s="48"/>
      <c r="E466" s="48"/>
      <c r="F466" s="48"/>
      <c r="G466" s="48"/>
      <c r="H466" s="49" t="s">
        <v>1838</v>
      </c>
      <c r="I466" s="49" t="s">
        <v>1839</v>
      </c>
      <c r="J466" s="50" t="str">
        <f ca="1">IFERROR(__xludf.DUMMYFUNCTION("JOIN("": "",H466,I466)"),"3E-42-10-00-00-00-00: Elementos para ventilação em instalações sanitárias")</f>
        <v>3E-42-10-00-00-00-00: Elementos para ventilação em instalações sanitárias</v>
      </c>
      <c r="K466" s="51"/>
      <c r="L466" s="52">
        <v>3</v>
      </c>
      <c r="M466" s="53"/>
      <c r="N466" s="53"/>
      <c r="O466" s="53"/>
      <c r="P466" s="53"/>
      <c r="Q466" s="54"/>
      <c r="R466" s="54"/>
      <c r="S466" s="54"/>
      <c r="T466" s="55">
        <v>52</v>
      </c>
      <c r="U466" s="45" t="b">
        <f ca="1"/>
        <v>0</v>
      </c>
      <c r="X466" s="12" t="s">
        <v>4669</v>
      </c>
      <c r="Y466" s="10">
        <v>52</v>
      </c>
    </row>
    <row r="467" spans="1:25" ht="12.75" hidden="1">
      <c r="A467" s="56" t="s">
        <v>1841</v>
      </c>
      <c r="B467" s="58"/>
      <c r="C467" s="58"/>
      <c r="D467" s="58"/>
      <c r="E467" s="58"/>
      <c r="F467" s="58"/>
      <c r="G467" s="58"/>
      <c r="H467" s="59" t="s">
        <v>1842</v>
      </c>
      <c r="I467" s="59" t="s">
        <v>1843</v>
      </c>
      <c r="J467" s="60" t="str">
        <f ca="1">IFERROR(__xludf.DUMMYFUNCTION("JOIN("": "",H467,I467)"),"3E-42-10-02-00-00-00: Ramal de ventilação de instalação sanitária")</f>
        <v>3E-42-10-02-00-00-00: Ramal de ventilação de instalação sanitária</v>
      </c>
      <c r="K467" s="61"/>
      <c r="L467" s="62">
        <v>4</v>
      </c>
      <c r="M467" s="59"/>
      <c r="N467" s="59"/>
      <c r="O467" s="59"/>
      <c r="P467" s="59"/>
      <c r="Q467" s="63"/>
      <c r="R467" s="63"/>
      <c r="S467" s="63"/>
      <c r="T467" s="64">
        <v>54</v>
      </c>
      <c r="U467" s="46" t="b">
        <f ca="1"/>
        <v>0</v>
      </c>
      <c r="X467" s="12" t="s">
        <v>4670</v>
      </c>
      <c r="Y467" s="10">
        <v>54</v>
      </c>
    </row>
    <row r="468" spans="1:25" ht="12.75" hidden="1">
      <c r="A468" s="56" t="s">
        <v>1845</v>
      </c>
      <c r="B468" s="58"/>
      <c r="C468" s="58"/>
      <c r="D468" s="58"/>
      <c r="E468" s="58"/>
      <c r="F468" s="58"/>
      <c r="G468" s="58"/>
      <c r="H468" s="59" t="s">
        <v>1846</v>
      </c>
      <c r="I468" s="59" t="s">
        <v>1847</v>
      </c>
      <c r="J468" s="60" t="str">
        <f ca="1">IFERROR(__xludf.DUMMYFUNCTION("JOIN("": "",H468,I468)"),"3E-42-10-04-00-00-00: Coluna de ventilação de instalação sanitária")</f>
        <v>3E-42-10-04-00-00-00: Coluna de ventilação de instalação sanitária</v>
      </c>
      <c r="K468" s="61"/>
      <c r="L468" s="62">
        <v>4</v>
      </c>
      <c r="M468" s="59"/>
      <c r="N468" s="59"/>
      <c r="O468" s="59"/>
      <c r="P468" s="59"/>
      <c r="Q468" s="63"/>
      <c r="R468" s="63"/>
      <c r="S468" s="63"/>
      <c r="T468" s="64">
        <v>56</v>
      </c>
      <c r="U468" s="45" t="b">
        <f ca="1"/>
        <v>0</v>
      </c>
      <c r="X468" s="12" t="s">
        <v>4671</v>
      </c>
      <c r="Y468" s="10">
        <v>56</v>
      </c>
    </row>
    <row r="469" spans="1:25" ht="12.75" hidden="1">
      <c r="A469" s="56" t="s">
        <v>1849</v>
      </c>
      <c r="B469" s="58"/>
      <c r="C469" s="58"/>
      <c r="D469" s="58"/>
      <c r="E469" s="58"/>
      <c r="F469" s="58"/>
      <c r="G469" s="58"/>
      <c r="H469" s="59" t="s">
        <v>1850</v>
      </c>
      <c r="I469" s="59" t="s">
        <v>1851</v>
      </c>
      <c r="J469" s="60" t="str">
        <f ca="1">IFERROR(__xludf.DUMMYFUNCTION("JOIN("": "",H469,I469)"),"3E-42-10-06-00-00-00: Ventilador primário de instalação sanitária")</f>
        <v>3E-42-10-06-00-00-00: Ventilador primário de instalação sanitária</v>
      </c>
      <c r="K469" s="61"/>
      <c r="L469" s="62">
        <v>4</v>
      </c>
      <c r="M469" s="59"/>
      <c r="N469" s="59"/>
      <c r="O469" s="59"/>
      <c r="P469" s="59"/>
      <c r="Q469" s="63"/>
      <c r="R469" s="63"/>
      <c r="S469" s="63"/>
      <c r="T469" s="64">
        <v>58</v>
      </c>
      <c r="U469" s="46" t="b">
        <f ca="1"/>
        <v>0</v>
      </c>
      <c r="X469" s="12" t="s">
        <v>4672</v>
      </c>
      <c r="Y469" s="10">
        <v>58</v>
      </c>
    </row>
    <row r="470" spans="1:25" ht="12.75" hidden="1">
      <c r="A470" s="56" t="s">
        <v>1853</v>
      </c>
      <c r="B470" s="58"/>
      <c r="C470" s="58"/>
      <c r="D470" s="58"/>
      <c r="E470" s="58"/>
      <c r="F470" s="58"/>
      <c r="G470" s="58"/>
      <c r="H470" s="59" t="s">
        <v>1854</v>
      </c>
      <c r="I470" s="59" t="s">
        <v>1855</v>
      </c>
      <c r="J470" s="60" t="str">
        <f ca="1">IFERROR(__xludf.DUMMYFUNCTION("JOIN("": "",H470,I470)"),"3E-42-10-08-00-00-00: Ventilador secundário de instalação sanitária")</f>
        <v>3E-42-10-08-00-00-00: Ventilador secundário de instalação sanitária</v>
      </c>
      <c r="K470" s="61"/>
      <c r="L470" s="62">
        <v>4</v>
      </c>
      <c r="M470" s="59"/>
      <c r="N470" s="59"/>
      <c r="O470" s="59"/>
      <c r="P470" s="59"/>
      <c r="Q470" s="63"/>
      <c r="R470" s="63"/>
      <c r="S470" s="63"/>
      <c r="T470" s="64">
        <v>60</v>
      </c>
      <c r="U470" s="45" t="b">
        <f ca="1"/>
        <v>0</v>
      </c>
      <c r="X470" s="12" t="s">
        <v>4673</v>
      </c>
      <c r="Y470" s="10">
        <v>60</v>
      </c>
    </row>
    <row r="471" spans="1:25" ht="12.75" hidden="1">
      <c r="A471" s="47" t="s">
        <v>1857</v>
      </c>
      <c r="B471" s="48"/>
      <c r="C471" s="48"/>
      <c r="D471" s="48"/>
      <c r="E471" s="48"/>
      <c r="F471" s="48"/>
      <c r="G471" s="48"/>
      <c r="H471" s="49" t="s">
        <v>1858</v>
      </c>
      <c r="I471" s="49" t="s">
        <v>1859</v>
      </c>
      <c r="J471" s="50" t="str">
        <f ca="1">IFERROR(__xludf.DUMMYFUNCTION("JOIN("": "",H471,I471)"),"3E-42-12-00-00-00-00: Elementos de inspeção de instalações sanitárias")</f>
        <v>3E-42-12-00-00-00-00: Elementos de inspeção de instalações sanitárias</v>
      </c>
      <c r="K471" s="51"/>
      <c r="L471" s="52">
        <v>3</v>
      </c>
      <c r="M471" s="53"/>
      <c r="N471" s="53"/>
      <c r="O471" s="53"/>
      <c r="P471" s="53"/>
      <c r="Q471" s="54"/>
      <c r="R471" s="54"/>
      <c r="S471" s="54"/>
      <c r="T471" s="55">
        <v>54</v>
      </c>
      <c r="U471" s="46" t="b">
        <f ca="1"/>
        <v>0</v>
      </c>
      <c r="X471" s="12" t="s">
        <v>4674</v>
      </c>
      <c r="Y471" s="10">
        <v>54</v>
      </c>
    </row>
    <row r="472" spans="1:25" ht="12.75" hidden="1">
      <c r="A472" s="47" t="s">
        <v>1861</v>
      </c>
      <c r="B472" s="48"/>
      <c r="C472" s="48"/>
      <c r="D472" s="48"/>
      <c r="E472" s="48"/>
      <c r="F472" s="48"/>
      <c r="G472" s="48"/>
      <c r="H472" s="49" t="s">
        <v>1862</v>
      </c>
      <c r="I472" s="49" t="s">
        <v>1863</v>
      </c>
      <c r="J472" s="50" t="str">
        <f ca="1">IFERROR(__xludf.DUMMYFUNCTION("JOIN("": "",H472,I472)"),"3E-42-14-00-00-00-00: Elementos de reúso de águas cinzas")</f>
        <v>3E-42-14-00-00-00-00: Elementos de reúso de águas cinzas</v>
      </c>
      <c r="K472" s="51"/>
      <c r="L472" s="52">
        <v>3</v>
      </c>
      <c r="M472" s="53"/>
      <c r="N472" s="53"/>
      <c r="O472" s="53"/>
      <c r="P472" s="53"/>
      <c r="Q472" s="54"/>
      <c r="R472" s="54"/>
      <c r="S472" s="54"/>
      <c r="T472" s="55">
        <v>56</v>
      </c>
      <c r="U472" s="45" t="b">
        <f ca="1"/>
        <v>0</v>
      </c>
      <c r="X472" s="12" t="s">
        <v>4675</v>
      </c>
      <c r="Y472" s="10">
        <v>56</v>
      </c>
    </row>
    <row r="473" spans="1:25" ht="12.75" hidden="1">
      <c r="A473" s="56" t="s">
        <v>1865</v>
      </c>
      <c r="B473" s="58"/>
      <c r="C473" s="58"/>
      <c r="D473" s="58"/>
      <c r="E473" s="58"/>
      <c r="F473" s="58"/>
      <c r="G473" s="58"/>
      <c r="H473" s="59" t="s">
        <v>1866</v>
      </c>
      <c r="I473" s="59" t="s">
        <v>1867</v>
      </c>
      <c r="J473" s="60" t="str">
        <f ca="1">IFERROR(__xludf.DUMMYFUNCTION("JOIN("": "",H473,I473)"),"3E-42-14-02-00-00-00: Coleta de reúso de águas cinzas")</f>
        <v>3E-42-14-02-00-00-00: Coleta de reúso de águas cinzas</v>
      </c>
      <c r="K473" s="61"/>
      <c r="L473" s="62">
        <v>4</v>
      </c>
      <c r="M473" s="59"/>
      <c r="N473" s="59"/>
      <c r="O473" s="59"/>
      <c r="P473" s="59"/>
      <c r="Q473" s="63"/>
      <c r="R473" s="63"/>
      <c r="S473" s="63"/>
      <c r="T473" s="64">
        <v>58</v>
      </c>
      <c r="U473" s="46" t="b">
        <f ca="1"/>
        <v>0</v>
      </c>
      <c r="X473" s="12" t="s">
        <v>4676</v>
      </c>
      <c r="Y473" s="10">
        <v>58</v>
      </c>
    </row>
    <row r="474" spans="1:25" ht="12.75" hidden="1">
      <c r="A474" s="56" t="s">
        <v>1869</v>
      </c>
      <c r="B474" s="58"/>
      <c r="C474" s="58"/>
      <c r="D474" s="58"/>
      <c r="E474" s="58"/>
      <c r="F474" s="58"/>
      <c r="G474" s="58"/>
      <c r="H474" s="59" t="s">
        <v>1870</v>
      </c>
      <c r="I474" s="59" t="s">
        <v>1871</v>
      </c>
      <c r="J474" s="60" t="str">
        <f ca="1">IFERROR(__xludf.DUMMYFUNCTION("JOIN("": "",H474,I474)"),"3E-42-14-04-00-00-00: Estação de tratamento de reúso de águas cinzas")</f>
        <v>3E-42-14-04-00-00-00: Estação de tratamento de reúso de águas cinzas</v>
      </c>
      <c r="K474" s="61"/>
      <c r="L474" s="62">
        <v>4</v>
      </c>
      <c r="M474" s="59"/>
      <c r="N474" s="59"/>
      <c r="O474" s="59"/>
      <c r="P474" s="59"/>
      <c r="Q474" s="63"/>
      <c r="R474" s="63"/>
      <c r="S474" s="63"/>
      <c r="T474" s="64">
        <v>60</v>
      </c>
      <c r="U474" s="45" t="b">
        <f ca="1"/>
        <v>0</v>
      </c>
      <c r="X474" s="12" t="s">
        <v>4677</v>
      </c>
      <c r="Y474" s="10">
        <v>60</v>
      </c>
    </row>
    <row r="475" spans="1:25" ht="12.75" hidden="1">
      <c r="A475" s="56" t="s">
        <v>1873</v>
      </c>
      <c r="B475" s="58"/>
      <c r="C475" s="58"/>
      <c r="D475" s="58"/>
      <c r="E475" s="58"/>
      <c r="F475" s="58"/>
      <c r="G475" s="58"/>
      <c r="H475" s="59" t="s">
        <v>1874</v>
      </c>
      <c r="I475" s="59" t="s">
        <v>1875</v>
      </c>
      <c r="J475" s="60" t="str">
        <f ca="1">IFERROR(__xludf.DUMMYFUNCTION("JOIN("": "",H475,I475)"),"3E-42-14-06-00-00-00: Reservatório de reúso de águas cinzas")</f>
        <v>3E-42-14-06-00-00-00: Reservatório de reúso de águas cinzas</v>
      </c>
      <c r="K475" s="61"/>
      <c r="L475" s="62">
        <v>4</v>
      </c>
      <c r="M475" s="59"/>
      <c r="N475" s="59"/>
      <c r="O475" s="59"/>
      <c r="P475" s="59"/>
      <c r="Q475" s="63"/>
      <c r="R475" s="63"/>
      <c r="S475" s="63"/>
      <c r="T475" s="64">
        <v>62</v>
      </c>
      <c r="U475" s="46" t="b">
        <f ca="1"/>
        <v>0</v>
      </c>
      <c r="X475" s="12" t="s">
        <v>4678</v>
      </c>
      <c r="Y475" s="10">
        <v>62</v>
      </c>
    </row>
    <row r="476" spans="1:25" ht="12.75" hidden="1">
      <c r="A476" s="56" t="s">
        <v>1877</v>
      </c>
      <c r="B476" s="58"/>
      <c r="C476" s="58"/>
      <c r="D476" s="58"/>
      <c r="E476" s="58"/>
      <c r="F476" s="58"/>
      <c r="G476" s="58"/>
      <c r="H476" s="59" t="s">
        <v>1878</v>
      </c>
      <c r="I476" s="59" t="s">
        <v>1879</v>
      </c>
      <c r="J476" s="60" t="str">
        <f ca="1">IFERROR(__xludf.DUMMYFUNCTION("JOIN("": "",H476,I476)"),"3E-42-14-08-00-00-00: Terminal de reúso de águas cinzas")</f>
        <v>3E-42-14-08-00-00-00: Terminal de reúso de águas cinzas</v>
      </c>
      <c r="K476" s="61"/>
      <c r="L476" s="62">
        <v>4</v>
      </c>
      <c r="M476" s="59"/>
      <c r="N476" s="59"/>
      <c r="O476" s="59"/>
      <c r="P476" s="59"/>
      <c r="Q476" s="63"/>
      <c r="R476" s="63"/>
      <c r="S476" s="63"/>
      <c r="T476" s="64">
        <v>64</v>
      </c>
      <c r="U476" s="45" t="b">
        <f ca="1"/>
        <v>0</v>
      </c>
      <c r="X476" s="12" t="s">
        <v>4679</v>
      </c>
      <c r="Y476" s="10">
        <v>64</v>
      </c>
    </row>
    <row r="477" spans="1:25" ht="12.75" hidden="1">
      <c r="A477" s="47" t="s">
        <v>1881</v>
      </c>
      <c r="B477" s="48"/>
      <c r="C477" s="48"/>
      <c r="D477" s="48"/>
      <c r="E477" s="48"/>
      <c r="F477" s="48"/>
      <c r="G477" s="48"/>
      <c r="H477" s="49" t="s">
        <v>1882</v>
      </c>
      <c r="I477" s="49" t="s">
        <v>1883</v>
      </c>
      <c r="J477" s="50" t="str">
        <f ca="1">IFERROR(__xludf.DUMMYFUNCTION("JOIN("": "",H477,I477)"),"3E-42-16-00-00-00-00: Elementos para esgotamento sanitário local")</f>
        <v>3E-42-16-00-00-00-00: Elementos para esgotamento sanitário local</v>
      </c>
      <c r="K477" s="51"/>
      <c r="L477" s="52">
        <v>3</v>
      </c>
      <c r="M477" s="53"/>
      <c r="N477" s="53"/>
      <c r="O477" s="53"/>
      <c r="P477" s="53"/>
      <c r="Q477" s="54"/>
      <c r="R477" s="54"/>
      <c r="S477" s="54"/>
      <c r="T477" s="55">
        <v>58</v>
      </c>
      <c r="U477" s="46" t="b">
        <f ca="1"/>
        <v>0</v>
      </c>
      <c r="X477" s="12" t="s">
        <v>4680</v>
      </c>
      <c r="Y477" s="10">
        <v>58</v>
      </c>
    </row>
    <row r="478" spans="1:25" ht="12.75" hidden="1">
      <c r="A478" s="56" t="s">
        <v>1885</v>
      </c>
      <c r="B478" s="58"/>
      <c r="C478" s="58"/>
      <c r="D478" s="58"/>
      <c r="E478" s="58"/>
      <c r="F478" s="58"/>
      <c r="G478" s="58"/>
      <c r="H478" s="59" t="s">
        <v>1886</v>
      </c>
      <c r="I478" s="59" t="s">
        <v>1907</v>
      </c>
      <c r="J478" s="60" t="str">
        <f ca="1">IFERROR(__xludf.DUMMYFUNCTION("JOIN("": "",H478,I478)"),"3E-42-16-02-00-00-00: Fossa negra")</f>
        <v>3E-42-16-02-00-00-00: Fossa negra</v>
      </c>
      <c r="K478" s="61"/>
      <c r="L478" s="62">
        <v>4</v>
      </c>
      <c r="M478" s="59"/>
      <c r="N478" s="59"/>
      <c r="O478" s="59"/>
      <c r="P478" s="59"/>
      <c r="Q478" s="63"/>
      <c r="R478" s="63"/>
      <c r="S478" s="63"/>
      <c r="T478" s="64">
        <v>60</v>
      </c>
      <c r="U478" s="45" t="b">
        <f ca="1"/>
        <v>0</v>
      </c>
      <c r="X478" s="12" t="s">
        <v>4681</v>
      </c>
      <c r="Y478" s="10">
        <v>60</v>
      </c>
    </row>
    <row r="479" spans="1:25" ht="12.75" hidden="1">
      <c r="A479" s="56" t="s">
        <v>1885</v>
      </c>
      <c r="B479" s="58"/>
      <c r="C479" s="58"/>
      <c r="D479" s="58"/>
      <c r="E479" s="58"/>
      <c r="F479" s="58"/>
      <c r="G479" s="58"/>
      <c r="H479" s="59" t="s">
        <v>1886</v>
      </c>
      <c r="I479" s="59" t="s">
        <v>1905</v>
      </c>
      <c r="J479" s="60" t="str">
        <f ca="1">IFERROR(__xludf.DUMMYFUNCTION("JOIN("": "",H479,I479)"),"3E-42-16-02-00-00-00: Fossa seca")</f>
        <v>3E-42-16-02-00-00-00: Fossa seca</v>
      </c>
      <c r="K479" s="61"/>
      <c r="L479" s="62">
        <v>4</v>
      </c>
      <c r="M479" s="59"/>
      <c r="N479" s="59"/>
      <c r="O479" s="59"/>
      <c r="P479" s="59"/>
      <c r="Q479" s="63"/>
      <c r="R479" s="63"/>
      <c r="S479" s="63"/>
      <c r="T479" s="64">
        <v>62</v>
      </c>
      <c r="U479" s="46" t="b">
        <f ca="1"/>
        <v>0</v>
      </c>
      <c r="X479" s="12" t="s">
        <v>4682</v>
      </c>
      <c r="Y479" s="10">
        <v>62</v>
      </c>
    </row>
    <row r="480" spans="1:25" ht="12.75" hidden="1">
      <c r="A480" s="56" t="s">
        <v>1885</v>
      </c>
      <c r="B480" s="58"/>
      <c r="C480" s="58"/>
      <c r="D480" s="58"/>
      <c r="E480" s="58"/>
      <c r="F480" s="58"/>
      <c r="G480" s="58"/>
      <c r="H480" s="59" t="s">
        <v>1886</v>
      </c>
      <c r="I480" s="59" t="s">
        <v>1887</v>
      </c>
      <c r="J480" s="60" t="str">
        <f ca="1">IFERROR(__xludf.DUMMYFUNCTION("JOIN("": "",H480,I480)"),"3E-42-16-02-00-00-00: Fossa séptica")</f>
        <v>3E-42-16-02-00-00-00: Fossa séptica</v>
      </c>
      <c r="K480" s="61"/>
      <c r="L480" s="62">
        <v>4</v>
      </c>
      <c r="M480" s="59"/>
      <c r="N480" s="59"/>
      <c r="O480" s="59"/>
      <c r="P480" s="59"/>
      <c r="Q480" s="63"/>
      <c r="R480" s="63"/>
      <c r="S480" s="63"/>
      <c r="T480" s="64">
        <v>64</v>
      </c>
      <c r="U480" s="45" t="b">
        <f ca="1"/>
        <v>0</v>
      </c>
      <c r="X480" s="12" t="s">
        <v>4683</v>
      </c>
      <c r="Y480" s="10">
        <v>64</v>
      </c>
    </row>
    <row r="481" spans="1:26" ht="12.75" hidden="1">
      <c r="A481" s="65" t="s">
        <v>1889</v>
      </c>
      <c r="B481" s="67"/>
      <c r="C481" s="67"/>
      <c r="D481" s="67"/>
      <c r="E481" s="67"/>
      <c r="F481" s="67"/>
      <c r="G481" s="67"/>
      <c r="H481" s="68" t="s">
        <v>1890</v>
      </c>
      <c r="I481" s="68" t="s">
        <v>1891</v>
      </c>
      <c r="J481" s="69" t="str">
        <f ca="1">IFERROR(__xludf.DUMMYFUNCTION("JOIN("": "",H481,I481)"),"3E-42-16-02-02-00-00: Sumidouro")</f>
        <v>3E-42-16-02-02-00-00: Sumidouro</v>
      </c>
      <c r="K481" s="70"/>
      <c r="L481" s="71">
        <v>5</v>
      </c>
      <c r="M481" s="68"/>
      <c r="N481" s="68"/>
      <c r="O481" s="68"/>
      <c r="P481" s="68"/>
      <c r="Q481" s="72"/>
      <c r="R481" s="72"/>
      <c r="S481" s="72"/>
      <c r="T481" s="73">
        <v>66</v>
      </c>
      <c r="U481" s="46" t="b">
        <f ca="1"/>
        <v>0</v>
      </c>
      <c r="X481" s="12" t="s">
        <v>4684</v>
      </c>
      <c r="Y481" s="10">
        <v>66</v>
      </c>
    </row>
    <row r="482" spans="1:26" ht="12.75" hidden="1">
      <c r="A482" s="65" t="s">
        <v>1893</v>
      </c>
      <c r="B482" s="67"/>
      <c r="C482" s="67"/>
      <c r="D482" s="67"/>
      <c r="E482" s="67"/>
      <c r="F482" s="67"/>
      <c r="G482" s="67"/>
      <c r="H482" s="68" t="s">
        <v>1894</v>
      </c>
      <c r="I482" s="68" t="s">
        <v>1895</v>
      </c>
      <c r="J482" s="69" t="str">
        <f ca="1">IFERROR(__xludf.DUMMYFUNCTION("JOIN("": "",H482,I482)"),"3E-42-16-02-04-00-00: Caixa de distribuição")</f>
        <v>3E-42-16-02-04-00-00: Caixa de distribuição</v>
      </c>
      <c r="K482" s="70"/>
      <c r="L482" s="71">
        <v>5</v>
      </c>
      <c r="M482" s="68"/>
      <c r="N482" s="68"/>
      <c r="O482" s="68"/>
      <c r="P482" s="68"/>
      <c r="Q482" s="72"/>
      <c r="R482" s="72"/>
      <c r="S482" s="72"/>
      <c r="T482" s="73">
        <v>68</v>
      </c>
      <c r="U482" s="45" t="b">
        <f ca="1"/>
        <v>0</v>
      </c>
      <c r="X482" s="12" t="s">
        <v>4685</v>
      </c>
      <c r="Y482" s="10">
        <v>68</v>
      </c>
    </row>
    <row r="483" spans="1:26" ht="12.75" hidden="1">
      <c r="A483" s="65" t="s">
        <v>1897</v>
      </c>
      <c r="B483" s="67"/>
      <c r="C483" s="67"/>
      <c r="D483" s="67"/>
      <c r="E483" s="67"/>
      <c r="F483" s="67"/>
      <c r="G483" s="67"/>
      <c r="H483" s="68" t="s">
        <v>1898</v>
      </c>
      <c r="I483" s="68" t="s">
        <v>1899</v>
      </c>
      <c r="J483" s="69" t="str">
        <f ca="1">IFERROR(__xludf.DUMMYFUNCTION("JOIN("": "",H483,I483)"),"3E-42-16-02-06-00-00: Vala de infiltração")</f>
        <v>3E-42-16-02-06-00-00: Vala de infiltração</v>
      </c>
      <c r="K483" s="70"/>
      <c r="L483" s="71">
        <v>5</v>
      </c>
      <c r="M483" s="68"/>
      <c r="N483" s="68"/>
      <c r="O483" s="68"/>
      <c r="P483" s="68"/>
      <c r="Q483" s="72"/>
      <c r="R483" s="72"/>
      <c r="S483" s="72"/>
      <c r="T483" s="73">
        <v>60</v>
      </c>
      <c r="U483" s="46" t="b">
        <f ca="1"/>
        <v>0</v>
      </c>
      <c r="X483" s="12" t="s">
        <v>4686</v>
      </c>
      <c r="Y483" s="10">
        <v>60</v>
      </c>
    </row>
    <row r="484" spans="1:26" ht="12.75" hidden="1">
      <c r="A484" s="65" t="s">
        <v>1901</v>
      </c>
      <c r="B484" s="67"/>
      <c r="C484" s="67"/>
      <c r="D484" s="67"/>
      <c r="E484" s="67"/>
      <c r="F484" s="67"/>
      <c r="G484" s="67"/>
      <c r="H484" s="68" t="s">
        <v>1902</v>
      </c>
      <c r="I484" s="68" t="s">
        <v>1903</v>
      </c>
      <c r="J484" s="69" t="str">
        <f ca="1">IFERROR(__xludf.DUMMYFUNCTION("JOIN("": "",H484,I484)"),"3E-42-16-02-08-00-00: Galeria filtrante")</f>
        <v>3E-42-16-02-08-00-00: Galeria filtrante</v>
      </c>
      <c r="K484" s="70"/>
      <c r="L484" s="71">
        <v>5</v>
      </c>
      <c r="M484" s="68"/>
      <c r="N484" s="68"/>
      <c r="O484" s="68"/>
      <c r="P484" s="68"/>
      <c r="Q484" s="72"/>
      <c r="R484" s="72"/>
      <c r="S484" s="72"/>
      <c r="T484" s="73">
        <v>60</v>
      </c>
      <c r="U484" s="45" t="b">
        <f ca="1"/>
        <v>0</v>
      </c>
      <c r="X484" s="12" t="s">
        <v>4687</v>
      </c>
      <c r="Y484" s="10">
        <v>60</v>
      </c>
    </row>
    <row r="485" spans="1:26" ht="12.75" hidden="1">
      <c r="A485" s="47" t="s">
        <v>1909</v>
      </c>
      <c r="B485" s="48"/>
      <c r="C485" s="48"/>
      <c r="D485" s="48"/>
      <c r="E485" s="48"/>
      <c r="F485" s="48"/>
      <c r="G485" s="48"/>
      <c r="H485" s="49" t="s">
        <v>1910</v>
      </c>
      <c r="I485" s="49" t="s">
        <v>1911</v>
      </c>
      <c r="J485" s="50" t="str">
        <f ca="1">IFERROR(__xludf.DUMMYFUNCTION("JOIN("": "",H485,I485)"),"3E-42-18-00-00-00-00: Elementos para esgotamento sanitário via rede coletora")</f>
        <v>3E-42-18-00-00-00-00: Elementos para esgotamento sanitário via rede coletora</v>
      </c>
      <c r="K485" s="51"/>
      <c r="L485" s="52">
        <v>3</v>
      </c>
      <c r="M485" s="53"/>
      <c r="N485" s="53"/>
      <c r="O485" s="53"/>
      <c r="P485" s="53"/>
      <c r="Q485" s="54"/>
      <c r="R485" s="54"/>
      <c r="S485" s="54"/>
      <c r="T485" s="55">
        <v>60</v>
      </c>
      <c r="U485" s="46" t="b">
        <f ca="1"/>
        <v>0</v>
      </c>
      <c r="X485" s="12" t="s">
        <v>4688</v>
      </c>
      <c r="Y485" s="10">
        <v>60</v>
      </c>
    </row>
    <row r="486" spans="1:26" ht="12.75" hidden="1">
      <c r="A486" s="56" t="s">
        <v>1913</v>
      </c>
      <c r="B486" s="58"/>
      <c r="C486" s="58"/>
      <c r="D486" s="58"/>
      <c r="E486" s="58"/>
      <c r="F486" s="58"/>
      <c r="G486" s="58"/>
      <c r="H486" s="59" t="s">
        <v>1914</v>
      </c>
      <c r="I486" s="59" t="s">
        <v>1915</v>
      </c>
      <c r="J486" s="60" t="str">
        <f ca="1">IFERROR(__xludf.DUMMYFUNCTION("JOIN("": "",H486,I486)"),"3E-42-18-02-00-00-00: Bacia de drenagem para a rede coletora de esgoto")</f>
        <v>3E-42-18-02-00-00-00: Bacia de drenagem para a rede coletora de esgoto</v>
      </c>
      <c r="K486" s="61"/>
      <c r="L486" s="62">
        <v>4</v>
      </c>
      <c r="M486" s="59"/>
      <c r="N486" s="59"/>
      <c r="O486" s="59"/>
      <c r="P486" s="59"/>
      <c r="Q486" s="63"/>
      <c r="R486" s="63"/>
      <c r="S486" s="63"/>
      <c r="T486" s="64">
        <v>62</v>
      </c>
      <c r="U486" s="45" t="b">
        <f ca="1"/>
        <v>0</v>
      </c>
      <c r="X486" s="12" t="s">
        <v>4689</v>
      </c>
      <c r="Y486" s="10">
        <v>62</v>
      </c>
    </row>
    <row r="487" spans="1:26" ht="12.75" hidden="1">
      <c r="A487" s="56" t="s">
        <v>1917</v>
      </c>
      <c r="B487" s="58"/>
      <c r="C487" s="58"/>
      <c r="D487" s="58"/>
      <c r="E487" s="58"/>
      <c r="F487" s="58"/>
      <c r="G487" s="58"/>
      <c r="H487" s="59" t="s">
        <v>1918</v>
      </c>
      <c r="I487" s="59" t="s">
        <v>1919</v>
      </c>
      <c r="J487" s="60" t="str">
        <f ca="1">IFERROR(__xludf.DUMMYFUNCTION("JOIN("": "",H487,I487)"),"3E-42-18-04-00-00-00: Caixa de passagem para a rede coletora de esgoto")</f>
        <v>3E-42-18-04-00-00-00: Caixa de passagem para a rede coletora de esgoto</v>
      </c>
      <c r="K487" s="61"/>
      <c r="L487" s="62">
        <v>4</v>
      </c>
      <c r="M487" s="59"/>
      <c r="N487" s="59"/>
      <c r="O487" s="59"/>
      <c r="P487" s="59"/>
      <c r="Q487" s="63"/>
      <c r="R487" s="63"/>
      <c r="S487" s="63"/>
      <c r="T487" s="64">
        <v>64</v>
      </c>
      <c r="U487" s="46" t="b">
        <f ca="1"/>
        <v>0</v>
      </c>
      <c r="X487" s="12" t="s">
        <v>4690</v>
      </c>
      <c r="Y487" s="10">
        <v>64</v>
      </c>
    </row>
    <row r="488" spans="1:26" ht="12.75" hidden="1">
      <c r="A488" s="56" t="s">
        <v>1921</v>
      </c>
      <c r="B488" s="58"/>
      <c r="C488" s="58"/>
      <c r="D488" s="58"/>
      <c r="E488" s="58"/>
      <c r="F488" s="58"/>
      <c r="G488" s="58"/>
      <c r="H488" s="59" t="s">
        <v>1922</v>
      </c>
      <c r="I488" s="59" t="s">
        <v>1923</v>
      </c>
      <c r="J488" s="60" t="str">
        <f ca="1">IFERROR(__xludf.DUMMYFUNCTION("JOIN("": "",H488,I488)"),"3E-42-18-06-00-00-00: Ligação predial para a rede coletora de esgoto")</f>
        <v>3E-42-18-06-00-00-00: Ligação predial para a rede coletora de esgoto</v>
      </c>
      <c r="K488" s="61"/>
      <c r="L488" s="62">
        <v>4</v>
      </c>
      <c r="M488" s="59"/>
      <c r="N488" s="59"/>
      <c r="O488" s="59"/>
      <c r="P488" s="59"/>
      <c r="Q488" s="63"/>
      <c r="R488" s="63"/>
      <c r="S488" s="63"/>
      <c r="T488" s="64">
        <v>66</v>
      </c>
      <c r="U488" s="45" t="b">
        <f ca="1"/>
        <v>0</v>
      </c>
      <c r="X488" s="12" t="s">
        <v>4691</v>
      </c>
      <c r="Y488" s="10">
        <v>66</v>
      </c>
    </row>
    <row r="489" spans="1:26" ht="12.75">
      <c r="A489" s="36" t="s">
        <v>1925</v>
      </c>
      <c r="B489" s="37"/>
      <c r="C489" s="37"/>
      <c r="D489" s="37"/>
      <c r="E489" s="37"/>
      <c r="F489" s="37"/>
      <c r="G489" s="37"/>
      <c r="H489" s="38" t="s">
        <v>1926</v>
      </c>
      <c r="I489" s="38" t="s">
        <v>1927</v>
      </c>
      <c r="J489" s="39" t="str">
        <f ca="1">IFERROR(__xludf.DUMMYFUNCTION("JOIN("": "",H489,I489)"),"3E-44-00-00-00-00-00: Elementos da rede de esgotamento sanitário")</f>
        <v>3E-44-00-00-00-00-00: Elementos da rede de esgotamento sanitário</v>
      </c>
      <c r="K489" s="40"/>
      <c r="L489" s="41">
        <v>2</v>
      </c>
      <c r="M489" s="42"/>
      <c r="N489" s="43"/>
      <c r="O489" s="43"/>
      <c r="P489" s="43"/>
      <c r="Q489" s="44">
        <v>5</v>
      </c>
      <c r="R489" s="44">
        <v>4</v>
      </c>
      <c r="S489" s="44">
        <v>5</v>
      </c>
      <c r="T489" s="44">
        <v>44</v>
      </c>
      <c r="U489" s="46" t="b">
        <f ca="1"/>
        <v>0</v>
      </c>
      <c r="W489" s="7" t="str">
        <f t="shared" ref="W489:W490" si="3">MID(H489, 1, FIND("-", H489, FIND("-", H489)+1)-1)</f>
        <v>3E-44</v>
      </c>
      <c r="X489" s="12" t="s">
        <v>4692</v>
      </c>
      <c r="Y489" s="10">
        <v>44</v>
      </c>
      <c r="Z489" s="7" t="str">
        <f t="shared" ref="Z489:Z490" si="4">SUBSTITUTE(I489, "Elementos de ", "")</f>
        <v>Elementos da rede de esgotamento sanitário</v>
      </c>
    </row>
    <row r="490" spans="1:26" ht="12.75">
      <c r="A490" s="36" t="s">
        <v>4693</v>
      </c>
      <c r="B490" s="37"/>
      <c r="C490" s="37"/>
      <c r="D490" s="37"/>
      <c r="E490" s="37"/>
      <c r="F490" s="37"/>
      <c r="G490" s="37"/>
      <c r="H490" s="38" t="s">
        <v>4694</v>
      </c>
      <c r="I490" s="38" t="s">
        <v>4695</v>
      </c>
      <c r="J490" s="39" t="str">
        <f ca="1">IFERROR(__xludf.DUMMYFUNCTION("JOIN("": "",H490,I490)"),"3E-46-00-00-00-00-00: Elementos especiais ou industrializados")</f>
        <v>3E-46-00-00-00-00-00: Elementos especiais ou industrializados</v>
      </c>
      <c r="K490" s="40"/>
      <c r="L490" s="41">
        <v>2</v>
      </c>
      <c r="M490" s="42"/>
      <c r="N490" s="43"/>
      <c r="O490" s="43"/>
      <c r="P490" s="43"/>
      <c r="Q490" s="44">
        <v>5</v>
      </c>
      <c r="R490" s="44">
        <v>4</v>
      </c>
      <c r="S490" s="44">
        <v>5</v>
      </c>
      <c r="T490" s="44">
        <v>44</v>
      </c>
      <c r="U490" s="45" t="b">
        <f ca="1"/>
        <v>0</v>
      </c>
      <c r="W490" s="7" t="str">
        <f t="shared" si="3"/>
        <v>3E-46</v>
      </c>
      <c r="X490" s="12" t="s">
        <v>4692</v>
      </c>
      <c r="Y490" s="10">
        <v>44</v>
      </c>
      <c r="Z490" s="7" t="str">
        <f t="shared" si="4"/>
        <v>Elementos especiais ou industrializados</v>
      </c>
    </row>
    <row r="491" spans="1:26" ht="12.75" hidden="1">
      <c r="A491" s="47" t="s">
        <v>1929</v>
      </c>
      <c r="B491" s="48"/>
      <c r="C491" s="48"/>
      <c r="D491" s="48"/>
      <c r="E491" s="48"/>
      <c r="F491" s="48"/>
      <c r="G491" s="48"/>
      <c r="H491" s="49" t="s">
        <v>1930</v>
      </c>
      <c r="I491" s="49" t="s">
        <v>1931</v>
      </c>
      <c r="J491" s="50" t="str">
        <f ca="1">IFERROR(__xludf.DUMMYFUNCTION("JOIN("": "",H491,I491)"),"3E-44-02-00-00-00-00: Elementos coletores de esgoto")</f>
        <v>3E-44-02-00-00-00-00: Elementos coletores de esgoto</v>
      </c>
      <c r="K491" s="51"/>
      <c r="L491" s="52">
        <v>3</v>
      </c>
      <c r="M491" s="53"/>
      <c r="N491" s="53"/>
      <c r="O491" s="53"/>
      <c r="P491" s="53"/>
      <c r="Q491" s="54"/>
      <c r="R491" s="54"/>
      <c r="S491" s="54"/>
      <c r="T491" s="55">
        <v>46</v>
      </c>
      <c r="U491" s="46" t="b">
        <f ca="1"/>
        <v>0</v>
      </c>
      <c r="X491" s="12" t="s">
        <v>4696</v>
      </c>
      <c r="Y491" s="10">
        <v>46</v>
      </c>
    </row>
    <row r="492" spans="1:26" ht="12.75" hidden="1">
      <c r="A492" s="56" t="s">
        <v>1933</v>
      </c>
      <c r="B492" s="58"/>
      <c r="C492" s="58"/>
      <c r="D492" s="58"/>
      <c r="E492" s="58"/>
      <c r="F492" s="58"/>
      <c r="G492" s="58"/>
      <c r="H492" s="59" t="s">
        <v>1934</v>
      </c>
      <c r="I492" s="59" t="s">
        <v>1935</v>
      </c>
      <c r="J492" s="60" t="str">
        <f ca="1">IFERROR(__xludf.DUMMYFUNCTION("JOIN("": "",H492,I492)"),"3E-44-02-02-00-00-00: Tubulação da rede coletora de esgoto")</f>
        <v>3E-44-02-02-00-00-00: Tubulação da rede coletora de esgoto</v>
      </c>
      <c r="K492" s="61"/>
      <c r="L492" s="62">
        <v>4</v>
      </c>
      <c r="M492" s="59"/>
      <c r="N492" s="59"/>
      <c r="O492" s="59"/>
      <c r="P492" s="59"/>
      <c r="Q492" s="63"/>
      <c r="R492" s="63"/>
      <c r="S492" s="63"/>
      <c r="T492" s="64">
        <v>48</v>
      </c>
      <c r="U492" s="45" t="b">
        <f ca="1"/>
        <v>0</v>
      </c>
      <c r="X492" s="12" t="s">
        <v>4697</v>
      </c>
      <c r="Y492" s="10">
        <v>48</v>
      </c>
    </row>
    <row r="493" spans="1:26" ht="12.75" hidden="1">
      <c r="A493" s="56" t="s">
        <v>1937</v>
      </c>
      <c r="B493" s="58"/>
      <c r="C493" s="58"/>
      <c r="D493" s="58"/>
      <c r="E493" s="58"/>
      <c r="F493" s="58"/>
      <c r="G493" s="58"/>
      <c r="H493" s="59" t="s">
        <v>1938</v>
      </c>
      <c r="I493" s="59" t="s">
        <v>1939</v>
      </c>
      <c r="J493" s="60" t="str">
        <f ca="1">IFERROR(__xludf.DUMMYFUNCTION("JOIN("": "",H493,I493)"),"3E-44-02-04-00-00-00: Estação elevatória de rede coletora de esgoto")</f>
        <v>3E-44-02-04-00-00-00: Estação elevatória de rede coletora de esgoto</v>
      </c>
      <c r="K493" s="61"/>
      <c r="L493" s="62">
        <v>4</v>
      </c>
      <c r="M493" s="59"/>
      <c r="N493" s="59"/>
      <c r="O493" s="59"/>
      <c r="P493" s="59"/>
      <c r="Q493" s="63"/>
      <c r="R493" s="63"/>
      <c r="S493" s="63"/>
      <c r="T493" s="64">
        <v>50</v>
      </c>
      <c r="U493" s="46" t="b">
        <f ca="1"/>
        <v>0</v>
      </c>
      <c r="X493" s="12" t="s">
        <v>4698</v>
      </c>
      <c r="Y493" s="10">
        <v>50</v>
      </c>
    </row>
    <row r="494" spans="1:26" ht="12.75" hidden="1">
      <c r="A494" s="65" t="s">
        <v>1941</v>
      </c>
      <c r="B494" s="67"/>
      <c r="C494" s="67"/>
      <c r="D494" s="67"/>
      <c r="E494" s="67"/>
      <c r="F494" s="67"/>
      <c r="G494" s="67"/>
      <c r="H494" s="68" t="s">
        <v>1942</v>
      </c>
      <c r="I494" s="68" t="s">
        <v>1943</v>
      </c>
      <c r="J494" s="69" t="str">
        <f ca="1">IFERROR(__xludf.DUMMYFUNCTION("JOIN("": "",H494,I494)"),"3E-44-02-04-02-00-00: Bomba de rede coletora de esgoto")</f>
        <v>3E-44-02-04-02-00-00: Bomba de rede coletora de esgoto</v>
      </c>
      <c r="K494" s="70"/>
      <c r="L494" s="71">
        <v>5</v>
      </c>
      <c r="M494" s="68"/>
      <c r="N494" s="68"/>
      <c r="O494" s="68"/>
      <c r="P494" s="68"/>
      <c r="Q494" s="72"/>
      <c r="R494" s="72"/>
      <c r="S494" s="72"/>
      <c r="T494" s="73">
        <v>52</v>
      </c>
      <c r="U494" s="45" t="b">
        <f ca="1"/>
        <v>0</v>
      </c>
      <c r="X494" s="12" t="s">
        <v>4699</v>
      </c>
      <c r="Y494" s="10">
        <v>52</v>
      </c>
    </row>
    <row r="495" spans="1:26" ht="12.75" hidden="1">
      <c r="A495" s="65" t="s">
        <v>1945</v>
      </c>
      <c r="B495" s="67"/>
      <c r="C495" s="67"/>
      <c r="D495" s="67"/>
      <c r="E495" s="67"/>
      <c r="F495" s="67"/>
      <c r="G495" s="67"/>
      <c r="H495" s="68" t="s">
        <v>1946</v>
      </c>
      <c r="I495" s="68"/>
      <c r="J495" s="69" t="str">
        <f ca="1">IFERROR(__xludf.DUMMYFUNCTION("JOIN("": "",H495,I495)"),"3E-44-02-04-04-00-00: ")</f>
        <v xml:space="preserve">3E-44-02-04-04-00-00: </v>
      </c>
      <c r="K495" s="70"/>
      <c r="L495" s="71">
        <v>5</v>
      </c>
      <c r="M495" s="68"/>
      <c r="N495" s="68"/>
      <c r="O495" s="68"/>
      <c r="P495" s="68"/>
      <c r="Q495" s="72"/>
      <c r="R495" s="72"/>
      <c r="S495" s="72"/>
      <c r="T495" s="73">
        <v>54</v>
      </c>
      <c r="U495" s="46" t="b">
        <f ca="1"/>
        <v>0</v>
      </c>
      <c r="X495" s="12" t="s">
        <v>4700</v>
      </c>
      <c r="Y495" s="10">
        <v>54</v>
      </c>
    </row>
    <row r="496" spans="1:26" ht="12.75" hidden="1">
      <c r="A496" s="65" t="s">
        <v>1949</v>
      </c>
      <c r="B496" s="67"/>
      <c r="C496" s="67"/>
      <c r="D496" s="67"/>
      <c r="E496" s="67"/>
      <c r="F496" s="67"/>
      <c r="G496" s="67"/>
      <c r="H496" s="68" t="s">
        <v>1950</v>
      </c>
      <c r="I496" s="68" t="s">
        <v>1951</v>
      </c>
      <c r="J496" s="69" t="str">
        <f ca="1">IFERROR(__xludf.DUMMYFUNCTION("JOIN("": "",H496,I496)"),"3E-44-02-04-06-00-00: Canalização de sucção de rede coletora de esgoto")</f>
        <v>3E-44-02-04-06-00-00: Canalização de sucção de rede coletora de esgoto</v>
      </c>
      <c r="K496" s="70"/>
      <c r="L496" s="71">
        <v>5</v>
      </c>
      <c r="M496" s="68"/>
      <c r="N496" s="68"/>
      <c r="O496" s="68"/>
      <c r="P496" s="68"/>
      <c r="Q496" s="72"/>
      <c r="R496" s="72"/>
      <c r="S496" s="72"/>
      <c r="T496" s="73">
        <v>56</v>
      </c>
      <c r="U496" s="45" t="b">
        <f ca="1"/>
        <v>0</v>
      </c>
      <c r="X496" s="12" t="s">
        <v>4701</v>
      </c>
      <c r="Y496" s="10">
        <v>56</v>
      </c>
    </row>
    <row r="497" spans="1:26" ht="12.75" hidden="1">
      <c r="A497" s="65" t="s">
        <v>1953</v>
      </c>
      <c r="B497" s="67"/>
      <c r="C497" s="67"/>
      <c r="D497" s="67"/>
      <c r="E497" s="67"/>
      <c r="F497" s="67"/>
      <c r="G497" s="67"/>
      <c r="H497" s="68" t="s">
        <v>1954</v>
      </c>
      <c r="I497" s="68" t="s">
        <v>1955</v>
      </c>
      <c r="J497" s="69" t="str">
        <f ca="1">IFERROR(__xludf.DUMMYFUNCTION("JOIN("": "",H497,I497)"),"3E-44-02-04-08-00-00: Recalque de rede coletora de esgoto")</f>
        <v>3E-44-02-04-08-00-00: Recalque de rede coletora de esgoto</v>
      </c>
      <c r="K497" s="70"/>
      <c r="L497" s="71">
        <v>5</v>
      </c>
      <c r="M497" s="68"/>
      <c r="N497" s="68"/>
      <c r="O497" s="68"/>
      <c r="P497" s="68"/>
      <c r="Q497" s="72"/>
      <c r="R497" s="72"/>
      <c r="S497" s="72"/>
      <c r="T497" s="73">
        <v>58</v>
      </c>
      <c r="U497" s="46" t="b">
        <f ca="1"/>
        <v>0</v>
      </c>
      <c r="X497" s="12" t="s">
        <v>4702</v>
      </c>
      <c r="Y497" s="10">
        <v>58</v>
      </c>
    </row>
    <row r="498" spans="1:26" ht="12.75" hidden="1">
      <c r="A498" s="65" t="s">
        <v>1957</v>
      </c>
      <c r="B498" s="67"/>
      <c r="C498" s="67"/>
      <c r="D498" s="67"/>
      <c r="E498" s="67"/>
      <c r="F498" s="67"/>
      <c r="G498" s="67"/>
      <c r="H498" s="68" t="s">
        <v>1958</v>
      </c>
      <c r="I498" s="68" t="s">
        <v>1959</v>
      </c>
      <c r="J498" s="69" t="str">
        <f ca="1">IFERROR(__xludf.DUMMYFUNCTION("JOIN("": "",H498,I498)"),"3E-44-02-04-1000-00: Dispositivo acessório de rede coletora de esgoto")</f>
        <v>3E-44-02-04-1000-00: Dispositivo acessório de rede coletora de esgoto</v>
      </c>
      <c r="K498" s="70"/>
      <c r="L498" s="71">
        <v>5</v>
      </c>
      <c r="M498" s="68"/>
      <c r="N498" s="68"/>
      <c r="O498" s="68"/>
      <c r="P498" s="68"/>
      <c r="Q498" s="72"/>
      <c r="R498" s="72"/>
      <c r="S498" s="72"/>
      <c r="T498" s="73">
        <v>60</v>
      </c>
      <c r="U498" s="45" t="b">
        <f ca="1"/>
        <v>0</v>
      </c>
      <c r="X498" s="12" t="s">
        <v>4703</v>
      </c>
      <c r="Y498" s="10">
        <v>60</v>
      </c>
    </row>
    <row r="499" spans="1:26" ht="12.75" hidden="1">
      <c r="A499" s="47" t="s">
        <v>1961</v>
      </c>
      <c r="B499" s="48"/>
      <c r="C499" s="48"/>
      <c r="D499" s="48"/>
      <c r="E499" s="48"/>
      <c r="F499" s="48"/>
      <c r="G499" s="48"/>
      <c r="H499" s="49" t="s">
        <v>1962</v>
      </c>
      <c r="I499" s="49" t="s">
        <v>1963</v>
      </c>
      <c r="J499" s="50" t="str">
        <f ca="1">IFERROR(__xludf.DUMMYFUNCTION("JOIN("": "",H499,I499)"),"3E-44-04-00-00-00-00: Elementos para tratamento de esgoto")</f>
        <v>3E-44-04-00-00-00-00: Elementos para tratamento de esgoto</v>
      </c>
      <c r="K499" s="51"/>
      <c r="L499" s="52">
        <v>3</v>
      </c>
      <c r="M499" s="53"/>
      <c r="N499" s="53"/>
      <c r="O499" s="53"/>
      <c r="P499" s="53"/>
      <c r="Q499" s="54"/>
      <c r="R499" s="54"/>
      <c r="S499" s="54"/>
      <c r="T499" s="55">
        <v>48</v>
      </c>
      <c r="U499" s="46" t="b">
        <f ca="1"/>
        <v>0</v>
      </c>
      <c r="X499" s="12" t="s">
        <v>4704</v>
      </c>
      <c r="Y499" s="10">
        <v>48</v>
      </c>
    </row>
    <row r="500" spans="1:26" ht="12.75" hidden="1">
      <c r="A500" s="56" t="s">
        <v>1965</v>
      </c>
      <c r="B500" s="58"/>
      <c r="C500" s="58"/>
      <c r="D500" s="58"/>
      <c r="E500" s="58"/>
      <c r="F500" s="58"/>
      <c r="G500" s="58"/>
      <c r="H500" s="59" t="s">
        <v>1966</v>
      </c>
      <c r="I500" s="59" t="s">
        <v>1967</v>
      </c>
      <c r="J500" s="60" t="str">
        <f ca="1">IFERROR(__xludf.DUMMYFUNCTION("JOIN("": "",H500,I500)"),"3E-44-04-02-00-00-00: Grade para tratamento de esgoto")</f>
        <v>3E-44-04-02-00-00-00: Grade para tratamento de esgoto</v>
      </c>
      <c r="K500" s="61"/>
      <c r="L500" s="62">
        <v>4</v>
      </c>
      <c r="M500" s="59"/>
      <c r="N500" s="59"/>
      <c r="O500" s="59"/>
      <c r="P500" s="59"/>
      <c r="Q500" s="63"/>
      <c r="R500" s="63"/>
      <c r="S500" s="63"/>
      <c r="T500" s="64">
        <v>50</v>
      </c>
      <c r="U500" s="45" t="b">
        <f ca="1"/>
        <v>0</v>
      </c>
      <c r="X500" s="12" t="s">
        <v>4705</v>
      </c>
      <c r="Y500" s="10">
        <v>50</v>
      </c>
    </row>
    <row r="501" spans="1:26" ht="12.75" hidden="1">
      <c r="A501" s="56" t="s">
        <v>1969</v>
      </c>
      <c r="B501" s="58"/>
      <c r="C501" s="58"/>
      <c r="D501" s="58"/>
      <c r="E501" s="58"/>
      <c r="F501" s="58"/>
      <c r="G501" s="58"/>
      <c r="H501" s="59" t="s">
        <v>1970</v>
      </c>
      <c r="I501" s="59" t="s">
        <v>1971</v>
      </c>
      <c r="J501" s="60" t="str">
        <f ca="1">IFERROR(__xludf.DUMMYFUNCTION("JOIN("": "",H501,I501)"),"3E-44-04-04-00-00-00: Tanque de areia para tratamento de esgoto")</f>
        <v>3E-44-04-04-00-00-00: Tanque de areia para tratamento de esgoto</v>
      </c>
      <c r="K501" s="61"/>
      <c r="L501" s="62">
        <v>4</v>
      </c>
      <c r="M501" s="59"/>
      <c r="N501" s="59"/>
      <c r="O501" s="59"/>
      <c r="P501" s="59"/>
      <c r="Q501" s="63"/>
      <c r="R501" s="63"/>
      <c r="S501" s="63"/>
      <c r="T501" s="64">
        <v>52</v>
      </c>
      <c r="U501" s="46" t="b">
        <f ca="1"/>
        <v>0</v>
      </c>
      <c r="X501" s="12" t="s">
        <v>4706</v>
      </c>
      <c r="Y501" s="10">
        <v>52</v>
      </c>
    </row>
    <row r="502" spans="1:26" ht="12.75" hidden="1">
      <c r="A502" s="56" t="s">
        <v>1973</v>
      </c>
      <c r="B502" s="58"/>
      <c r="C502" s="58"/>
      <c r="D502" s="58"/>
      <c r="E502" s="58"/>
      <c r="F502" s="58"/>
      <c r="G502" s="58"/>
      <c r="H502" s="59" t="s">
        <v>1974</v>
      </c>
      <c r="I502" s="59" t="s">
        <v>1975</v>
      </c>
      <c r="J502" s="60" t="str">
        <f ca="1">IFERROR(__xludf.DUMMYFUNCTION("JOIN("": "",H502,I502)"),"3E-44-04-06-00-00-00: Decantador primário para tratamento de esgoto")</f>
        <v>3E-44-04-06-00-00-00: Decantador primário para tratamento de esgoto</v>
      </c>
      <c r="K502" s="61"/>
      <c r="L502" s="62">
        <v>4</v>
      </c>
      <c r="M502" s="59"/>
      <c r="N502" s="59"/>
      <c r="O502" s="59"/>
      <c r="P502" s="59"/>
      <c r="Q502" s="63"/>
      <c r="R502" s="63"/>
      <c r="S502" s="63"/>
      <c r="T502" s="64">
        <v>54</v>
      </c>
      <c r="U502" s="45" t="b">
        <f ca="1"/>
        <v>0</v>
      </c>
      <c r="X502" s="12" t="s">
        <v>4707</v>
      </c>
      <c r="Y502" s="10">
        <v>54</v>
      </c>
    </row>
    <row r="503" spans="1:26" ht="12.75" hidden="1">
      <c r="A503" s="56" t="s">
        <v>1977</v>
      </c>
      <c r="B503" s="58"/>
      <c r="C503" s="58"/>
      <c r="D503" s="58"/>
      <c r="E503" s="58"/>
      <c r="F503" s="58"/>
      <c r="G503" s="58"/>
      <c r="H503" s="59" t="s">
        <v>1978</v>
      </c>
      <c r="I503" s="59" t="s">
        <v>1979</v>
      </c>
      <c r="J503" s="60" t="str">
        <f ca="1">IFERROR(__xludf.DUMMYFUNCTION("JOIN("": "",H503,I503)"),"3E-44-04-08-00-00-00: Câmara de aeração para tratamento de esgoto")</f>
        <v>3E-44-04-08-00-00-00: Câmara de aeração para tratamento de esgoto</v>
      </c>
      <c r="K503" s="61"/>
      <c r="L503" s="62">
        <v>4</v>
      </c>
      <c r="M503" s="59"/>
      <c r="N503" s="59"/>
      <c r="O503" s="59"/>
      <c r="P503" s="59"/>
      <c r="Q503" s="63"/>
      <c r="R503" s="63"/>
      <c r="S503" s="63"/>
      <c r="T503" s="64">
        <v>56</v>
      </c>
      <c r="U503" s="46" t="b">
        <f ca="1"/>
        <v>0</v>
      </c>
      <c r="X503" s="12" t="s">
        <v>4708</v>
      </c>
      <c r="Y503" s="10">
        <v>56</v>
      </c>
    </row>
    <row r="504" spans="1:26" ht="12.75" hidden="1">
      <c r="A504" s="56" t="s">
        <v>1981</v>
      </c>
      <c r="B504" s="58"/>
      <c r="C504" s="58"/>
      <c r="D504" s="58"/>
      <c r="E504" s="58"/>
      <c r="F504" s="58"/>
      <c r="G504" s="58"/>
      <c r="H504" s="59" t="s">
        <v>1982</v>
      </c>
      <c r="I504" s="59" t="s">
        <v>1983</v>
      </c>
      <c r="J504" s="60" t="str">
        <f ca="1">IFERROR(__xludf.DUMMYFUNCTION("JOIN("": "",H504,I504)"),"3E-44-04-10-00-00-00: Decantador secundário para tratamento de esgoto")</f>
        <v>3E-44-04-10-00-00-00: Decantador secundário para tratamento de esgoto</v>
      </c>
      <c r="K504" s="61"/>
      <c r="L504" s="62">
        <v>4</v>
      </c>
      <c r="M504" s="59"/>
      <c r="N504" s="59"/>
      <c r="O504" s="59"/>
      <c r="P504" s="59"/>
      <c r="Q504" s="63"/>
      <c r="R504" s="63"/>
      <c r="S504" s="63"/>
      <c r="T504" s="64">
        <v>58</v>
      </c>
      <c r="U504" s="45" t="b">
        <f ca="1"/>
        <v>0</v>
      </c>
      <c r="X504" s="12" t="s">
        <v>4709</v>
      </c>
      <c r="Y504" s="10">
        <v>58</v>
      </c>
    </row>
    <row r="505" spans="1:26" ht="12.75" hidden="1">
      <c r="A505" s="56" t="s">
        <v>1985</v>
      </c>
      <c r="B505" s="58"/>
      <c r="C505" s="58"/>
      <c r="D505" s="58"/>
      <c r="E505" s="58"/>
      <c r="F505" s="58"/>
      <c r="G505" s="58"/>
      <c r="H505" s="59" t="s">
        <v>1986</v>
      </c>
      <c r="I505" s="59" t="s">
        <v>1987</v>
      </c>
      <c r="J505" s="60" t="str">
        <f ca="1">IFERROR(__xludf.DUMMYFUNCTION("JOIN("": "",H505,I505)"),"3E-44-04-12-00-00-00: Digestor anaeróbio de para tratamento de esgoto")</f>
        <v>3E-44-04-12-00-00-00: Digestor anaeróbio de para tratamento de esgoto</v>
      </c>
      <c r="K505" s="61"/>
      <c r="L505" s="62">
        <v>4</v>
      </c>
      <c r="M505" s="59"/>
      <c r="N505" s="59"/>
      <c r="O505" s="59"/>
      <c r="P505" s="59"/>
      <c r="Q505" s="63"/>
      <c r="R505" s="63"/>
      <c r="S505" s="63"/>
      <c r="T505" s="64">
        <v>60</v>
      </c>
      <c r="U505" s="46" t="b">
        <f ca="1"/>
        <v>0</v>
      </c>
      <c r="X505" s="12" t="s">
        <v>4710</v>
      </c>
      <c r="Y505" s="10">
        <v>60</v>
      </c>
    </row>
    <row r="506" spans="1:26" ht="12.75" hidden="1">
      <c r="A506" s="56" t="s">
        <v>1989</v>
      </c>
      <c r="B506" s="58"/>
      <c r="C506" s="58"/>
      <c r="D506" s="58"/>
      <c r="E506" s="58"/>
      <c r="F506" s="58"/>
      <c r="G506" s="58"/>
      <c r="H506" s="59" t="s">
        <v>1990</v>
      </c>
      <c r="I506" s="59" t="s">
        <v>1991</v>
      </c>
      <c r="J506" s="60" t="str">
        <f ca="1">IFERROR(__xludf.DUMMYFUNCTION("JOIN("": "",H506,I506)"),"3E-44-04-14-00-00-00: Emissário de estação de tratamento de esgoto")</f>
        <v>3E-44-04-14-00-00-00: Emissário de estação de tratamento de esgoto</v>
      </c>
      <c r="K506" s="61"/>
      <c r="L506" s="62">
        <v>4</v>
      </c>
      <c r="M506" s="59"/>
      <c r="N506" s="59"/>
      <c r="O506" s="59"/>
      <c r="P506" s="59"/>
      <c r="Q506" s="63"/>
      <c r="R506" s="63"/>
      <c r="S506" s="63"/>
      <c r="T506" s="64">
        <v>62</v>
      </c>
      <c r="U506" s="45" t="b">
        <f ca="1"/>
        <v>0</v>
      </c>
      <c r="X506" s="12" t="s">
        <v>4711</v>
      </c>
      <c r="Y506" s="10">
        <v>62</v>
      </c>
    </row>
    <row r="507" spans="1:26" ht="12.75">
      <c r="A507" s="36" t="s">
        <v>1993</v>
      </c>
      <c r="B507" s="37"/>
      <c r="C507" s="37"/>
      <c r="D507" s="37"/>
      <c r="E507" s="37"/>
      <c r="F507" s="37"/>
      <c r="G507" s="37"/>
      <c r="H507" s="38" t="s">
        <v>1994</v>
      </c>
      <c r="I507" s="38" t="s">
        <v>1995</v>
      </c>
      <c r="J507" s="39" t="str">
        <f ca="1">IFERROR(__xludf.DUMMYFUNCTION("JOIN("": "",H507,I507)"),"3E-48-00-00-00-00-00: Elementos de tratamento de resíduos sólidos")</f>
        <v>3E-48-00-00-00-00-00: Elementos de tratamento de resíduos sólidos</v>
      </c>
      <c r="K507" s="40"/>
      <c r="L507" s="41">
        <v>2</v>
      </c>
      <c r="M507" s="42"/>
      <c r="N507" s="43"/>
      <c r="O507" s="43"/>
      <c r="P507" s="43"/>
      <c r="Q507" s="44">
        <v>4</v>
      </c>
      <c r="R507" s="44">
        <v>3</v>
      </c>
      <c r="S507" s="44">
        <v>4</v>
      </c>
      <c r="T507" s="44">
        <v>48</v>
      </c>
      <c r="U507" s="46" t="b">
        <f ca="1"/>
        <v>0</v>
      </c>
      <c r="W507" s="7" t="str">
        <f>MID(H507, 1, FIND("-", H507, FIND("-", H507)+1)-1)</f>
        <v>3E-48</v>
      </c>
      <c r="X507" s="12" t="s">
        <v>4712</v>
      </c>
      <c r="Y507" s="10">
        <v>48</v>
      </c>
      <c r="Z507" s="7" t="str">
        <f>SUBSTITUTE(I507, "Elementos de ", "")</f>
        <v>tratamento de resíduos sólidos</v>
      </c>
    </row>
    <row r="508" spans="1:26" ht="12.75" hidden="1">
      <c r="A508" s="47" t="s">
        <v>1997</v>
      </c>
      <c r="B508" s="48"/>
      <c r="C508" s="48"/>
      <c r="D508" s="48"/>
      <c r="E508" s="48"/>
      <c r="F508" s="48"/>
      <c r="G508" s="48"/>
      <c r="H508" s="49" t="s">
        <v>1998</v>
      </c>
      <c r="I508" s="49" t="s">
        <v>1999</v>
      </c>
      <c r="J508" s="50" t="str">
        <f ca="1">IFERROR(__xludf.DUMMYFUNCTION("JOIN("": "",H508,I508)"),"3E-48-02-00-00-00-00: Elementos para sistemas de coleta de resíduos sólidos")</f>
        <v>3E-48-02-00-00-00-00: Elementos para sistemas de coleta de resíduos sólidos</v>
      </c>
      <c r="K508" s="51"/>
      <c r="L508" s="52">
        <v>3</v>
      </c>
      <c r="M508" s="53"/>
      <c r="N508" s="53"/>
      <c r="O508" s="53"/>
      <c r="P508" s="53"/>
      <c r="Q508" s="54"/>
      <c r="R508" s="54"/>
      <c r="S508" s="54"/>
      <c r="T508" s="55">
        <v>50</v>
      </c>
      <c r="U508" s="45" t="b">
        <f ca="1"/>
        <v>0</v>
      </c>
      <c r="X508" s="12" t="s">
        <v>4713</v>
      </c>
      <c r="Y508" s="10">
        <v>50</v>
      </c>
    </row>
    <row r="509" spans="1:26" ht="12.75" hidden="1">
      <c r="A509" s="47" t="s">
        <v>2001</v>
      </c>
      <c r="B509" s="48"/>
      <c r="C509" s="48"/>
      <c r="D509" s="48"/>
      <c r="E509" s="48"/>
      <c r="F509" s="48"/>
      <c r="G509" s="48"/>
      <c r="H509" s="49" t="s">
        <v>2002</v>
      </c>
      <c r="I509" s="49" t="s">
        <v>2003</v>
      </c>
      <c r="J509" s="50" t="str">
        <f ca="1">IFERROR(__xludf.DUMMYFUNCTION("JOIN("": "",H509,I509)"),"3E-48-04-00-00-00-00: Elementos para tratamento mecânico de resíduos sólidos")</f>
        <v>3E-48-04-00-00-00-00: Elementos para tratamento mecânico de resíduos sólidos</v>
      </c>
      <c r="K509" s="51"/>
      <c r="L509" s="52">
        <v>3</v>
      </c>
      <c r="M509" s="53"/>
      <c r="N509" s="53"/>
      <c r="O509" s="53"/>
      <c r="P509" s="53"/>
      <c r="Q509" s="54"/>
      <c r="R509" s="54"/>
      <c r="S509" s="54"/>
      <c r="T509" s="55">
        <v>52</v>
      </c>
      <c r="U509" s="46" t="b">
        <f ca="1"/>
        <v>0</v>
      </c>
      <c r="X509" s="12" t="s">
        <v>4714</v>
      </c>
      <c r="Y509" s="10">
        <v>52</v>
      </c>
    </row>
    <row r="510" spans="1:26" ht="12.75" hidden="1">
      <c r="A510" s="56" t="s">
        <v>2005</v>
      </c>
      <c r="B510" s="58"/>
      <c r="C510" s="58"/>
      <c r="D510" s="58"/>
      <c r="E510" s="58"/>
      <c r="F510" s="58"/>
      <c r="G510" s="58"/>
      <c r="H510" s="59" t="s">
        <v>2006</v>
      </c>
      <c r="I510" s="59" t="s">
        <v>2007</v>
      </c>
      <c r="J510" s="60" t="str">
        <f ca="1">IFERROR(__xludf.DUMMYFUNCTION("JOIN("": "",H510,I510)"),"3E-48-04-02-00-00-00: Compactador de resíduos sólidos")</f>
        <v>3E-48-04-02-00-00-00: Compactador de resíduos sólidos</v>
      </c>
      <c r="K510" s="61"/>
      <c r="L510" s="62">
        <v>4</v>
      </c>
      <c r="M510" s="59"/>
      <c r="N510" s="59"/>
      <c r="O510" s="59"/>
      <c r="P510" s="59"/>
      <c r="Q510" s="63"/>
      <c r="R510" s="63"/>
      <c r="S510" s="63"/>
      <c r="T510" s="64">
        <v>54</v>
      </c>
      <c r="U510" s="45" t="b">
        <f ca="1"/>
        <v>0</v>
      </c>
      <c r="X510" s="12" t="s">
        <v>4715</v>
      </c>
      <c r="Y510" s="10">
        <v>54</v>
      </c>
    </row>
    <row r="511" spans="1:26" ht="12.75" hidden="1">
      <c r="A511" s="47" t="s">
        <v>2009</v>
      </c>
      <c r="B511" s="48"/>
      <c r="C511" s="48"/>
      <c r="D511" s="48"/>
      <c r="E511" s="48"/>
      <c r="F511" s="48"/>
      <c r="G511" s="48"/>
      <c r="H511" s="49" t="s">
        <v>2010</v>
      </c>
      <c r="I511" s="49" t="s">
        <v>2011</v>
      </c>
      <c r="J511" s="50" t="str">
        <f ca="1">IFERROR(__xludf.DUMMYFUNCTION("JOIN("": "",H511,I511)"),"3E-48-06-00-00-00-00: Elementos para tratamento bioquímico de resíduos sólidos")</f>
        <v>3E-48-06-00-00-00-00: Elementos para tratamento bioquímico de resíduos sólidos</v>
      </c>
      <c r="K511" s="51"/>
      <c r="L511" s="52">
        <v>3</v>
      </c>
      <c r="M511" s="53"/>
      <c r="N511" s="53"/>
      <c r="O511" s="53"/>
      <c r="P511" s="53"/>
      <c r="Q511" s="54"/>
      <c r="R511" s="54"/>
      <c r="S511" s="54"/>
      <c r="T511" s="55">
        <v>54</v>
      </c>
      <c r="U511" s="46" t="b">
        <f ca="1"/>
        <v>0</v>
      </c>
      <c r="X511" s="12" t="s">
        <v>4716</v>
      </c>
      <c r="Y511" s="10">
        <v>54</v>
      </c>
    </row>
    <row r="512" spans="1:26" ht="12.75" hidden="1">
      <c r="A512" s="56" t="s">
        <v>2013</v>
      </c>
      <c r="B512" s="58"/>
      <c r="C512" s="58"/>
      <c r="D512" s="58"/>
      <c r="E512" s="58"/>
      <c r="F512" s="58"/>
      <c r="G512" s="58"/>
      <c r="H512" s="59" t="s">
        <v>2014</v>
      </c>
      <c r="I512" s="59" t="s">
        <v>2015</v>
      </c>
      <c r="J512" s="60" t="str">
        <f ca="1">IFERROR(__xludf.DUMMYFUNCTION("JOIN("": "",H512,I512)"),"3E-48-06-02-00-00-00: Composteira de resíduos sólidos")</f>
        <v>3E-48-06-02-00-00-00: Composteira de resíduos sólidos</v>
      </c>
      <c r="K512" s="61"/>
      <c r="L512" s="62">
        <v>4</v>
      </c>
      <c r="M512" s="59"/>
      <c r="N512" s="59"/>
      <c r="O512" s="59"/>
      <c r="P512" s="59"/>
      <c r="Q512" s="63"/>
      <c r="R512" s="63"/>
      <c r="S512" s="63"/>
      <c r="T512" s="64">
        <v>56</v>
      </c>
      <c r="U512" s="45" t="b">
        <f ca="1"/>
        <v>0</v>
      </c>
      <c r="X512" s="12" t="s">
        <v>4717</v>
      </c>
      <c r="Y512" s="10">
        <v>56</v>
      </c>
    </row>
    <row r="513" spans="1:26" ht="12.75" hidden="1">
      <c r="A513" s="47" t="s">
        <v>2017</v>
      </c>
      <c r="B513" s="48"/>
      <c r="C513" s="48"/>
      <c r="D513" s="48"/>
      <c r="E513" s="48"/>
      <c r="F513" s="48"/>
      <c r="G513" s="48"/>
      <c r="H513" s="49" t="s">
        <v>2018</v>
      </c>
      <c r="I513" s="49" t="s">
        <v>2019</v>
      </c>
      <c r="J513" s="50" t="str">
        <f ca="1">IFERROR(__xludf.DUMMYFUNCTION("JOIN("": "",H513,I513)"),"3E-48-08-00-00-00-00: Elementos para tratamento térmico de resíduos sólidos")</f>
        <v>3E-48-08-00-00-00-00: Elementos para tratamento térmico de resíduos sólidos</v>
      </c>
      <c r="K513" s="51"/>
      <c r="L513" s="52">
        <v>3</v>
      </c>
      <c r="M513" s="53"/>
      <c r="N513" s="53"/>
      <c r="O513" s="53"/>
      <c r="P513" s="53"/>
      <c r="Q513" s="54"/>
      <c r="R513" s="54"/>
      <c r="S513" s="54"/>
      <c r="T513" s="55">
        <v>56</v>
      </c>
      <c r="U513" s="46" t="b">
        <f ca="1"/>
        <v>0</v>
      </c>
      <c r="X513" s="12" t="s">
        <v>4718</v>
      </c>
      <c r="Y513" s="10">
        <v>56</v>
      </c>
    </row>
    <row r="514" spans="1:26" ht="12.75" hidden="1">
      <c r="A514" s="56" t="s">
        <v>2021</v>
      </c>
      <c r="B514" s="58"/>
      <c r="C514" s="58"/>
      <c r="D514" s="58"/>
      <c r="E514" s="58"/>
      <c r="F514" s="58"/>
      <c r="G514" s="58"/>
      <c r="H514" s="59" t="s">
        <v>2022</v>
      </c>
      <c r="I514" s="59" t="s">
        <v>2023</v>
      </c>
      <c r="J514" s="60" t="str">
        <f ca="1">IFERROR(__xludf.DUMMYFUNCTION("JOIN("": "",H514,I514)"),"3E-48-08-02-00-00-00: Fomo de incineração de resíduos sólidos")</f>
        <v>3E-48-08-02-00-00-00: Fomo de incineração de resíduos sólidos</v>
      </c>
      <c r="K514" s="61"/>
      <c r="L514" s="62">
        <v>4</v>
      </c>
      <c r="M514" s="59"/>
      <c r="N514" s="59"/>
      <c r="O514" s="59"/>
      <c r="P514" s="59"/>
      <c r="Q514" s="63"/>
      <c r="R514" s="63"/>
      <c r="S514" s="63"/>
      <c r="T514" s="64">
        <v>58</v>
      </c>
      <c r="U514" s="45" t="b">
        <f ca="1"/>
        <v>0</v>
      </c>
      <c r="X514" s="12" t="s">
        <v>4719</v>
      </c>
      <c r="Y514" s="10">
        <v>58</v>
      </c>
    </row>
    <row r="515" spans="1:26" ht="12.75" hidden="1">
      <c r="A515" s="47" t="s">
        <v>2025</v>
      </c>
      <c r="B515" s="48"/>
      <c r="C515" s="48"/>
      <c r="D515" s="48"/>
      <c r="E515" s="48"/>
      <c r="F515" s="48"/>
      <c r="G515" s="48"/>
      <c r="H515" s="49" t="s">
        <v>2026</v>
      </c>
      <c r="I515" s="49" t="s">
        <v>2027</v>
      </c>
      <c r="J515" s="50" t="str">
        <f ca="1">IFERROR(__xludf.DUMMYFUNCTION("JOIN("": "",H515,I515)"),"3E-48-10-00-00-00-00: Elementos para a destinação de resíduos sólidos")</f>
        <v>3E-48-10-00-00-00-00: Elementos para a destinação de resíduos sólidos</v>
      </c>
      <c r="K515" s="51"/>
      <c r="L515" s="52">
        <v>3</v>
      </c>
      <c r="M515" s="53"/>
      <c r="N515" s="53"/>
      <c r="O515" s="53"/>
      <c r="P515" s="53"/>
      <c r="Q515" s="54"/>
      <c r="R515" s="54"/>
      <c r="S515" s="54"/>
      <c r="T515" s="55">
        <v>58</v>
      </c>
      <c r="U515" s="46" t="b">
        <f ca="1"/>
        <v>0</v>
      </c>
      <c r="X515" s="12" t="s">
        <v>4720</v>
      </c>
      <c r="Y515" s="10">
        <v>58</v>
      </c>
    </row>
    <row r="516" spans="1:26" ht="12.75">
      <c r="A516" s="36" t="s">
        <v>2029</v>
      </c>
      <c r="B516" s="37"/>
      <c r="C516" s="37"/>
      <c r="D516" s="37"/>
      <c r="E516" s="37"/>
      <c r="F516" s="37"/>
      <c r="G516" s="37"/>
      <c r="H516" s="38" t="s">
        <v>2030</v>
      </c>
      <c r="I516" s="38" t="s">
        <v>2031</v>
      </c>
      <c r="J516" s="39" t="str">
        <f ca="1">IFERROR(__xludf.DUMMYFUNCTION("JOIN("": "",H516,I516)"),"3E-50-00-00-00-00-00: Elementos de sistemas de refrigeração")</f>
        <v>3E-50-00-00-00-00-00: Elementos de sistemas de refrigeração</v>
      </c>
      <c r="K516" s="40"/>
      <c r="L516" s="41">
        <v>2</v>
      </c>
      <c r="M516" s="42"/>
      <c r="N516" s="43"/>
      <c r="O516" s="43"/>
      <c r="P516" s="43"/>
      <c r="Q516" s="44">
        <v>6</v>
      </c>
      <c r="R516" s="44">
        <v>5</v>
      </c>
      <c r="S516" s="44">
        <v>6</v>
      </c>
      <c r="T516" s="44">
        <v>50</v>
      </c>
      <c r="U516" s="45" t="b">
        <f ca="1"/>
        <v>0</v>
      </c>
      <c r="W516" s="7" t="str">
        <f>MID(H516, 1, FIND("-", H516, FIND("-", H516)+1)-1)</f>
        <v>3E-50</v>
      </c>
      <c r="X516" s="12" t="s">
        <v>4721</v>
      </c>
      <c r="Y516" s="10">
        <v>50</v>
      </c>
      <c r="Z516" s="7" t="str">
        <f>SUBSTITUTE(I516, "Elementos de ", "")</f>
        <v>sistemas de refrigeração</v>
      </c>
    </row>
    <row r="517" spans="1:26" ht="12.75" hidden="1">
      <c r="A517" s="47" t="s">
        <v>2033</v>
      </c>
      <c r="B517" s="48"/>
      <c r="C517" s="48"/>
      <c r="D517" s="48"/>
      <c r="E517" s="48"/>
      <c r="F517" s="48"/>
      <c r="G517" s="48"/>
      <c r="H517" s="49" t="s">
        <v>2034</v>
      </c>
      <c r="I517" s="49" t="s">
        <v>2035</v>
      </c>
      <c r="J517" s="50" t="str">
        <f ca="1">IFERROR(__xludf.DUMMYFUNCTION("JOIN("": "",H517,I517)"),"3E-50-02-00-00-00-00: Elementos de distribuição em sistemas de refrigeração")</f>
        <v>3E-50-02-00-00-00-00: Elementos de distribuição em sistemas de refrigeração</v>
      </c>
      <c r="K517" s="51"/>
      <c r="L517" s="52">
        <v>3</v>
      </c>
      <c r="M517" s="53"/>
      <c r="N517" s="53"/>
      <c r="O517" s="53"/>
      <c r="P517" s="53"/>
      <c r="Q517" s="54"/>
      <c r="R517" s="54"/>
      <c r="S517" s="54"/>
      <c r="T517" s="55">
        <v>52</v>
      </c>
      <c r="U517" s="46" t="b">
        <f ca="1"/>
        <v>0</v>
      </c>
      <c r="X517" s="12" t="s">
        <v>4722</v>
      </c>
      <c r="Y517" s="10">
        <v>52</v>
      </c>
    </row>
    <row r="518" spans="1:26" ht="12.75" hidden="1">
      <c r="A518" s="56" t="s">
        <v>2037</v>
      </c>
      <c r="B518" s="58"/>
      <c r="C518" s="58"/>
      <c r="D518" s="58"/>
      <c r="E518" s="58"/>
      <c r="F518" s="58"/>
      <c r="G518" s="58"/>
      <c r="H518" s="59" t="s">
        <v>2038</v>
      </c>
      <c r="I518" s="59" t="s">
        <v>2039</v>
      </c>
      <c r="J518" s="60" t="str">
        <f ca="1">IFERROR(__xludf.DUMMYFUNCTION("JOIN("": "",H518,I518)"),"3E-50-02-02-00-00-00: Isolamento térmico de rede de dutos")</f>
        <v>3E-50-02-02-00-00-00: Isolamento térmico de rede de dutos</v>
      </c>
      <c r="K518" s="61"/>
      <c r="L518" s="62">
        <v>4</v>
      </c>
      <c r="M518" s="59"/>
      <c r="N518" s="59"/>
      <c r="O518" s="59"/>
      <c r="P518" s="59"/>
      <c r="Q518" s="63"/>
      <c r="R518" s="63"/>
      <c r="S518" s="63"/>
      <c r="T518" s="64">
        <v>54</v>
      </c>
      <c r="U518" s="45" t="b">
        <f ca="1"/>
        <v>0</v>
      </c>
      <c r="X518" s="12" t="s">
        <v>4723</v>
      </c>
      <c r="Y518" s="10">
        <v>54</v>
      </c>
    </row>
    <row r="519" spans="1:26" ht="12.75" hidden="1">
      <c r="A519" s="56" t="s">
        <v>2041</v>
      </c>
      <c r="B519" s="58"/>
      <c r="C519" s="58"/>
      <c r="D519" s="58"/>
      <c r="E519" s="58"/>
      <c r="F519" s="58"/>
      <c r="G519" s="58"/>
      <c r="H519" s="59" t="s">
        <v>2042</v>
      </c>
      <c r="I519" s="59" t="s">
        <v>2043</v>
      </c>
      <c r="J519" s="60" t="str">
        <f ca="1">IFERROR(__xludf.DUMMYFUNCTION("JOIN("": "",H519,I519)"),"3E-50-02-04-00-00-00: Duto flexível para distribuição de ar refrigerado")</f>
        <v>3E-50-02-04-00-00-00: Duto flexível para distribuição de ar refrigerado</v>
      </c>
      <c r="K519" s="61"/>
      <c r="L519" s="62">
        <v>4</v>
      </c>
      <c r="M519" s="59"/>
      <c r="N519" s="59"/>
      <c r="O519" s="59"/>
      <c r="P519" s="59"/>
      <c r="Q519" s="63"/>
      <c r="R519" s="63"/>
      <c r="S519" s="63"/>
      <c r="T519" s="64">
        <v>56</v>
      </c>
      <c r="U519" s="46" t="b">
        <f ca="1"/>
        <v>0</v>
      </c>
      <c r="X519" s="12" t="s">
        <v>4724</v>
      </c>
      <c r="Y519" s="10">
        <v>56</v>
      </c>
    </row>
    <row r="520" spans="1:26" ht="12.75" hidden="1">
      <c r="A520" s="56" t="s">
        <v>2045</v>
      </c>
      <c r="B520" s="58"/>
      <c r="C520" s="58"/>
      <c r="D520" s="58"/>
      <c r="E520" s="58"/>
      <c r="F520" s="58"/>
      <c r="G520" s="58"/>
      <c r="H520" s="59" t="s">
        <v>2046</v>
      </c>
      <c r="I520" s="59" t="s">
        <v>2047</v>
      </c>
      <c r="J520" s="60" t="str">
        <f ca="1">IFERROR(__xludf.DUMMYFUNCTION("JOIN("": "",H520,I520)"),"3E-50-02-06-00-00-00: Duto rígido para distribuição de ar refrigerado")</f>
        <v>3E-50-02-06-00-00-00: Duto rígido para distribuição de ar refrigerado</v>
      </c>
      <c r="K520" s="61"/>
      <c r="L520" s="62">
        <v>4</v>
      </c>
      <c r="M520" s="59"/>
      <c r="N520" s="59"/>
      <c r="O520" s="59"/>
      <c r="P520" s="59"/>
      <c r="Q520" s="63"/>
      <c r="R520" s="63"/>
      <c r="S520" s="63"/>
      <c r="T520" s="64">
        <v>58</v>
      </c>
      <c r="U520" s="45" t="b">
        <f ca="1"/>
        <v>0</v>
      </c>
      <c r="X520" s="12" t="s">
        <v>4725</v>
      </c>
      <c r="Y520" s="10">
        <v>58</v>
      </c>
    </row>
    <row r="521" spans="1:26" ht="12.75" hidden="1">
      <c r="A521" s="56" t="s">
        <v>2049</v>
      </c>
      <c r="B521" s="58"/>
      <c r="C521" s="58"/>
      <c r="D521" s="58"/>
      <c r="E521" s="58"/>
      <c r="F521" s="58"/>
      <c r="G521" s="58"/>
      <c r="H521" s="59" t="s">
        <v>2050</v>
      </c>
      <c r="I521" s="59" t="s">
        <v>2051</v>
      </c>
      <c r="J521" s="60" t="str">
        <f ca="1">IFERROR(__xludf.DUMMYFUNCTION("JOIN("": "",H521,I521)"),"3E-50-02-08-00-00-00: Duto convencional retangular aparente")</f>
        <v>3E-50-02-08-00-00-00: Duto convencional retangular aparente</v>
      </c>
      <c r="K521" s="61"/>
      <c r="L521" s="62">
        <v>4</v>
      </c>
      <c r="M521" s="59"/>
      <c r="N521" s="59"/>
      <c r="O521" s="59"/>
      <c r="P521" s="59"/>
      <c r="Q521" s="63"/>
      <c r="R521" s="63"/>
      <c r="S521" s="63"/>
      <c r="T521" s="64">
        <v>60</v>
      </c>
      <c r="U521" s="46" t="b">
        <f ca="1"/>
        <v>0</v>
      </c>
      <c r="X521" s="12" t="s">
        <v>4726</v>
      </c>
      <c r="Y521" s="10">
        <v>60</v>
      </c>
    </row>
    <row r="522" spans="1:26" ht="12.75" hidden="1">
      <c r="A522" s="47" t="s">
        <v>2053</v>
      </c>
      <c r="B522" s="48"/>
      <c r="C522" s="48"/>
      <c r="D522" s="48"/>
      <c r="E522" s="48"/>
      <c r="F522" s="48"/>
      <c r="G522" s="48"/>
      <c r="H522" s="49" t="s">
        <v>2054</v>
      </c>
      <c r="I522" s="49" t="s">
        <v>2055</v>
      </c>
      <c r="J522" s="50" t="str">
        <f ca="1">IFERROR(__xludf.DUMMYFUNCTION("JOIN("": "",H522,I522)"),"3E-50-04-00-00-00-00: Elementos para difusão de ar")</f>
        <v>3E-50-04-00-00-00-00: Elementos para difusão de ar</v>
      </c>
      <c r="K522" s="51"/>
      <c r="L522" s="52">
        <v>3</v>
      </c>
      <c r="M522" s="53"/>
      <c r="N522" s="53"/>
      <c r="O522" s="53"/>
      <c r="P522" s="53"/>
      <c r="Q522" s="54"/>
      <c r="R522" s="54"/>
      <c r="S522" s="54"/>
      <c r="T522" s="55">
        <v>54</v>
      </c>
      <c r="U522" s="45" t="b">
        <f ca="1"/>
        <v>0</v>
      </c>
      <c r="X522" s="12" t="s">
        <v>4727</v>
      </c>
      <c r="Y522" s="10">
        <v>54</v>
      </c>
    </row>
    <row r="523" spans="1:26" ht="12.75" hidden="1">
      <c r="A523" s="56" t="s">
        <v>2057</v>
      </c>
      <c r="B523" s="58"/>
      <c r="C523" s="58"/>
      <c r="D523" s="58"/>
      <c r="E523" s="58"/>
      <c r="F523" s="58"/>
      <c r="G523" s="58"/>
      <c r="H523" s="59" t="s">
        <v>2058</v>
      </c>
      <c r="I523" s="59" t="s">
        <v>2059</v>
      </c>
      <c r="J523" s="60" t="str">
        <f ca="1">IFERROR(__xludf.DUMMYFUNCTION("JOIN("": "",H523,I523)"),"3E-50-04-02-00-00-00: Boca de ar")</f>
        <v>3E-50-04-02-00-00-00: Boca de ar</v>
      </c>
      <c r="K523" s="61"/>
      <c r="L523" s="62">
        <v>4</v>
      </c>
      <c r="M523" s="59"/>
      <c r="N523" s="59"/>
      <c r="O523" s="59"/>
      <c r="P523" s="59"/>
      <c r="Q523" s="63"/>
      <c r="R523" s="63"/>
      <c r="S523" s="63"/>
      <c r="T523" s="64">
        <v>56</v>
      </c>
      <c r="U523" s="46" t="b">
        <f ca="1"/>
        <v>0</v>
      </c>
      <c r="X523" s="12" t="s">
        <v>4728</v>
      </c>
      <c r="Y523" s="10">
        <v>56</v>
      </c>
    </row>
    <row r="524" spans="1:26" ht="12.75" hidden="1">
      <c r="A524" s="56" t="s">
        <v>2061</v>
      </c>
      <c r="B524" s="58"/>
      <c r="C524" s="58"/>
      <c r="D524" s="58"/>
      <c r="E524" s="58"/>
      <c r="F524" s="58"/>
      <c r="G524" s="58"/>
      <c r="H524" s="59" t="s">
        <v>2062</v>
      </c>
      <c r="I524" s="59" t="s">
        <v>2063</v>
      </c>
      <c r="J524" s="60" t="str">
        <f ca="1">IFERROR(__xludf.DUMMYFUNCTION("JOIN("": "",H524,I524)"),"3E-50-04-04-00-00-00: Difusor de insuflamento")</f>
        <v>3E-50-04-04-00-00-00: Difusor de insuflamento</v>
      </c>
      <c r="K524" s="61"/>
      <c r="L524" s="62">
        <v>4</v>
      </c>
      <c r="M524" s="59"/>
      <c r="N524" s="59"/>
      <c r="O524" s="59"/>
      <c r="P524" s="59"/>
      <c r="Q524" s="63"/>
      <c r="R524" s="63"/>
      <c r="S524" s="63"/>
      <c r="T524" s="64">
        <v>58</v>
      </c>
      <c r="U524" s="45" t="b">
        <f ca="1"/>
        <v>0</v>
      </c>
      <c r="X524" s="12" t="s">
        <v>4729</v>
      </c>
      <c r="Y524" s="10">
        <v>58</v>
      </c>
    </row>
    <row r="525" spans="1:26" ht="12.75" hidden="1">
      <c r="A525" s="56" t="s">
        <v>2065</v>
      </c>
      <c r="B525" s="58"/>
      <c r="C525" s="58"/>
      <c r="D525" s="58"/>
      <c r="E525" s="58"/>
      <c r="F525" s="58"/>
      <c r="G525" s="58"/>
      <c r="H525" s="59" t="s">
        <v>2066</v>
      </c>
      <c r="I525" s="59" t="s">
        <v>2067</v>
      </c>
      <c r="J525" s="60" t="str">
        <f ca="1">IFERROR(__xludf.DUMMYFUNCTION("JOIN("": "",H525,I525)"),"3E-50-04-06-00-00-00: Difusor de retomo")</f>
        <v>3E-50-04-06-00-00-00: Difusor de retomo</v>
      </c>
      <c r="K525" s="61"/>
      <c r="L525" s="62">
        <v>4</v>
      </c>
      <c r="M525" s="59"/>
      <c r="N525" s="59"/>
      <c r="O525" s="59"/>
      <c r="P525" s="59"/>
      <c r="Q525" s="63"/>
      <c r="R525" s="63"/>
      <c r="S525" s="63"/>
      <c r="T525" s="64">
        <v>60</v>
      </c>
      <c r="U525" s="46" t="b">
        <f ca="1"/>
        <v>0</v>
      </c>
      <c r="X525" s="12" t="s">
        <v>4730</v>
      </c>
      <c r="Y525" s="10">
        <v>60</v>
      </c>
    </row>
    <row r="526" spans="1:26" ht="12.75" hidden="1">
      <c r="A526" s="56" t="s">
        <v>2069</v>
      </c>
      <c r="B526" s="58"/>
      <c r="C526" s="58"/>
      <c r="D526" s="58"/>
      <c r="E526" s="58"/>
      <c r="F526" s="58"/>
      <c r="G526" s="58"/>
      <c r="H526" s="59" t="s">
        <v>2070</v>
      </c>
      <c r="I526" s="59" t="s">
        <v>2071</v>
      </c>
      <c r="J526" s="60" t="str">
        <f ca="1">IFERROR(__xludf.DUMMYFUNCTION("JOIN("": "",H526,I526)"),"3E-50-04-08-00-00-00: Grelha de insuflamento")</f>
        <v>3E-50-04-08-00-00-00: Grelha de insuflamento</v>
      </c>
      <c r="K526" s="61"/>
      <c r="L526" s="62">
        <v>4</v>
      </c>
      <c r="M526" s="59"/>
      <c r="N526" s="59"/>
      <c r="O526" s="59"/>
      <c r="P526" s="59"/>
      <c r="Q526" s="63"/>
      <c r="R526" s="63"/>
      <c r="S526" s="63"/>
      <c r="T526" s="64">
        <v>62</v>
      </c>
      <c r="U526" s="45" t="b">
        <f ca="1"/>
        <v>0</v>
      </c>
      <c r="X526" s="12" t="s">
        <v>4731</v>
      </c>
      <c r="Y526" s="10">
        <v>62</v>
      </c>
    </row>
    <row r="527" spans="1:26" ht="12.75" hidden="1">
      <c r="A527" s="56" t="s">
        <v>2073</v>
      </c>
      <c r="B527" s="58"/>
      <c r="C527" s="58"/>
      <c r="D527" s="58"/>
      <c r="E527" s="58"/>
      <c r="F527" s="58"/>
      <c r="G527" s="58"/>
      <c r="H527" s="59" t="s">
        <v>2074</v>
      </c>
      <c r="I527" s="59" t="s">
        <v>2075</v>
      </c>
      <c r="J527" s="60" t="str">
        <f ca="1">IFERROR(__xludf.DUMMYFUNCTION("JOIN("": "",H527,I527)"),"3E-50-04-10-00-00-00: Grelha de retomo")</f>
        <v>3E-50-04-10-00-00-00: Grelha de retomo</v>
      </c>
      <c r="K527" s="61"/>
      <c r="L527" s="62">
        <v>4</v>
      </c>
      <c r="M527" s="59"/>
      <c r="N527" s="59"/>
      <c r="O527" s="59"/>
      <c r="P527" s="59"/>
      <c r="Q527" s="63"/>
      <c r="R527" s="63"/>
      <c r="S527" s="63"/>
      <c r="T527" s="64">
        <v>64</v>
      </c>
      <c r="U527" s="46" t="b">
        <f ca="1"/>
        <v>0</v>
      </c>
      <c r="X527" s="12" t="s">
        <v>4732</v>
      </c>
      <c r="Y527" s="10">
        <v>64</v>
      </c>
    </row>
    <row r="528" spans="1:26" ht="12.75" hidden="1">
      <c r="A528" s="56" t="s">
        <v>2077</v>
      </c>
      <c r="B528" s="58"/>
      <c r="C528" s="58"/>
      <c r="D528" s="58"/>
      <c r="E528" s="58"/>
      <c r="F528" s="58"/>
      <c r="G528" s="58"/>
      <c r="H528" s="59" t="s">
        <v>2078</v>
      </c>
      <c r="I528" s="59" t="s">
        <v>2079</v>
      </c>
      <c r="J528" s="60" t="str">
        <f ca="1">IFERROR(__xludf.DUMMYFUNCTION("JOIN("": "",H528,I528)"),"3E-50-04-12-00-00-00: Tomada de ar extemo")</f>
        <v>3E-50-04-12-00-00-00: Tomada de ar extemo</v>
      </c>
      <c r="K528" s="61"/>
      <c r="L528" s="62">
        <v>4</v>
      </c>
      <c r="M528" s="59"/>
      <c r="N528" s="59"/>
      <c r="O528" s="59"/>
      <c r="P528" s="59"/>
      <c r="Q528" s="63"/>
      <c r="R528" s="63"/>
      <c r="S528" s="63"/>
      <c r="T528" s="64">
        <v>66</v>
      </c>
      <c r="U528" s="45" t="b">
        <f ca="1"/>
        <v>0</v>
      </c>
      <c r="X528" s="12" t="s">
        <v>4733</v>
      </c>
      <c r="Y528" s="10">
        <v>66</v>
      </c>
    </row>
    <row r="529" spans="1:25" ht="12.75" hidden="1">
      <c r="A529" s="56" t="s">
        <v>2081</v>
      </c>
      <c r="B529" s="58"/>
      <c r="C529" s="58"/>
      <c r="D529" s="58"/>
      <c r="E529" s="58"/>
      <c r="F529" s="58"/>
      <c r="G529" s="58"/>
      <c r="H529" s="59" t="s">
        <v>2082</v>
      </c>
      <c r="I529" s="59" t="s">
        <v>2083</v>
      </c>
      <c r="J529" s="60" t="str">
        <f ca="1">IFERROR(__xludf.DUMMYFUNCTION("JOIN("": "",H529,I529)"),"3E-50-04-14-00-00-00: Ventilador para distribuição de ar")</f>
        <v>3E-50-04-14-00-00-00: Ventilador para distribuição de ar</v>
      </c>
      <c r="K529" s="61"/>
      <c r="L529" s="62">
        <v>4</v>
      </c>
      <c r="M529" s="59"/>
      <c r="N529" s="59"/>
      <c r="O529" s="59"/>
      <c r="P529" s="59"/>
      <c r="Q529" s="63"/>
      <c r="R529" s="63"/>
      <c r="S529" s="63"/>
      <c r="T529" s="64">
        <v>68</v>
      </c>
      <c r="U529" s="46" t="b">
        <f ca="1"/>
        <v>0</v>
      </c>
      <c r="X529" s="12" t="s">
        <v>4734</v>
      </c>
      <c r="Y529" s="10">
        <v>68</v>
      </c>
    </row>
    <row r="530" spans="1:25" ht="12.75" hidden="1">
      <c r="A530" s="47" t="s">
        <v>2085</v>
      </c>
      <c r="B530" s="48"/>
      <c r="C530" s="48"/>
      <c r="D530" s="48"/>
      <c r="E530" s="48"/>
      <c r="F530" s="48"/>
      <c r="G530" s="48"/>
      <c r="H530" s="49" t="s">
        <v>2086</v>
      </c>
      <c r="I530" s="49" t="s">
        <v>2087</v>
      </c>
      <c r="J530" s="50" t="str">
        <f ca="1">IFERROR(__xludf.DUMMYFUNCTION("JOIN("": "",H530,I530)"),"3E-50-06-00-00-00-00: Elementos para troca de calor de sistemas de refrigeração")</f>
        <v>3E-50-06-00-00-00-00: Elementos para troca de calor de sistemas de refrigeração</v>
      </c>
      <c r="K530" s="51"/>
      <c r="L530" s="52">
        <v>3</v>
      </c>
      <c r="M530" s="53"/>
      <c r="N530" s="53"/>
      <c r="O530" s="53"/>
      <c r="P530" s="53"/>
      <c r="Q530" s="54"/>
      <c r="R530" s="54"/>
      <c r="S530" s="54"/>
      <c r="T530" s="55">
        <v>56</v>
      </c>
      <c r="U530" s="45" t="b">
        <f ca="1"/>
        <v>0</v>
      </c>
      <c r="X530" s="12" t="s">
        <v>4735</v>
      </c>
      <c r="Y530" s="10">
        <v>56</v>
      </c>
    </row>
    <row r="531" spans="1:25" ht="12.75" hidden="1">
      <c r="A531" s="56" t="s">
        <v>2089</v>
      </c>
      <c r="B531" s="58"/>
      <c r="C531" s="58"/>
      <c r="D531" s="58"/>
      <c r="E531" s="58"/>
      <c r="F531" s="58"/>
      <c r="G531" s="58"/>
      <c r="H531" s="59" t="s">
        <v>2090</v>
      </c>
      <c r="I531" s="59" t="s">
        <v>2091</v>
      </c>
      <c r="J531" s="60" t="str">
        <f ca="1">IFERROR(__xludf.DUMMYFUNCTION("JOIN("": "",H531,I531)"),"3E-50-06-02-00-00-00: Evaporador para troca de calor de sistemas de refrigeração")</f>
        <v>3E-50-06-02-00-00-00: Evaporador para troca de calor de sistemas de refrigeração</v>
      </c>
      <c r="K531" s="61"/>
      <c r="L531" s="62">
        <v>4</v>
      </c>
      <c r="M531" s="59"/>
      <c r="N531" s="59"/>
      <c r="O531" s="59"/>
      <c r="P531" s="59"/>
      <c r="Q531" s="63"/>
      <c r="R531" s="63"/>
      <c r="S531" s="63"/>
      <c r="T531" s="64">
        <v>58</v>
      </c>
      <c r="U531" s="46" t="b">
        <f ca="1"/>
        <v>0</v>
      </c>
      <c r="X531" s="12" t="s">
        <v>4736</v>
      </c>
      <c r="Y531" s="10">
        <v>58</v>
      </c>
    </row>
    <row r="532" spans="1:25" ht="12.75" hidden="1">
      <c r="A532" s="56" t="s">
        <v>2093</v>
      </c>
      <c r="B532" s="58"/>
      <c r="C532" s="58"/>
      <c r="D532" s="58"/>
      <c r="E532" s="58"/>
      <c r="F532" s="58"/>
      <c r="G532" s="58"/>
      <c r="H532" s="59" t="s">
        <v>2094</v>
      </c>
      <c r="I532" s="59" t="s">
        <v>2095</v>
      </c>
      <c r="J532" s="60" t="str">
        <f ca="1">IFERROR(__xludf.DUMMYFUNCTION("JOIN("": "",H532,I532)"),"3E-50-06-04-00-00-00: Condensador para troca de calor de sistemas de refrigeração")</f>
        <v>3E-50-06-04-00-00-00: Condensador para troca de calor de sistemas de refrigeração</v>
      </c>
      <c r="K532" s="61"/>
      <c r="L532" s="62">
        <v>4</v>
      </c>
      <c r="M532" s="59"/>
      <c r="N532" s="59"/>
      <c r="O532" s="59"/>
      <c r="P532" s="59"/>
      <c r="Q532" s="63"/>
      <c r="R532" s="63"/>
      <c r="S532" s="63"/>
      <c r="T532" s="64">
        <v>60</v>
      </c>
      <c r="U532" s="45" t="b">
        <f ca="1"/>
        <v>0</v>
      </c>
      <c r="X532" s="12" t="s">
        <v>4737</v>
      </c>
      <c r="Y532" s="10">
        <v>60</v>
      </c>
    </row>
    <row r="533" spans="1:25" ht="12.75" hidden="1">
      <c r="A533" s="47" t="s">
        <v>2097</v>
      </c>
      <c r="B533" s="48"/>
      <c r="C533" s="48"/>
      <c r="D533" s="48"/>
      <c r="E533" s="48"/>
      <c r="F533" s="48"/>
      <c r="G533" s="48"/>
      <c r="H533" s="49" t="s">
        <v>2098</v>
      </c>
      <c r="I533" s="49" t="s">
        <v>2099</v>
      </c>
      <c r="J533" s="50" t="str">
        <f ca="1">IFERROR(__xludf.DUMMYFUNCTION("JOIN("": "",H533,I533)"),"3E-50-08-00-00-00-00: Elementos de compressão de sistemas de refrigeração")</f>
        <v>3E-50-08-00-00-00-00: Elementos de compressão de sistemas de refrigeração</v>
      </c>
      <c r="K533" s="51"/>
      <c r="L533" s="52">
        <v>3</v>
      </c>
      <c r="M533" s="53"/>
      <c r="N533" s="53"/>
      <c r="O533" s="53"/>
      <c r="P533" s="53"/>
      <c r="Q533" s="54"/>
      <c r="R533" s="54"/>
      <c r="S533" s="54"/>
      <c r="T533" s="55">
        <v>58</v>
      </c>
      <c r="U533" s="46" t="b">
        <f ca="1"/>
        <v>0</v>
      </c>
      <c r="X533" s="12" t="s">
        <v>4738</v>
      </c>
      <c r="Y533" s="10">
        <v>58</v>
      </c>
    </row>
    <row r="534" spans="1:25" ht="12.75" hidden="1">
      <c r="A534" s="56" t="s">
        <v>2101</v>
      </c>
      <c r="B534" s="58"/>
      <c r="C534" s="58"/>
      <c r="D534" s="58"/>
      <c r="E534" s="58"/>
      <c r="F534" s="58"/>
      <c r="G534" s="58"/>
      <c r="H534" s="59" t="s">
        <v>2102</v>
      </c>
      <c r="I534" s="59" t="s">
        <v>2103</v>
      </c>
      <c r="J534" s="60" t="str">
        <f ca="1">IFERROR(__xludf.DUMMYFUNCTION("JOIN("": "",H534,I534)"),"3E-50-08-02-00-00-00: Compressor de êmbolo")</f>
        <v>3E-50-08-02-00-00-00: Compressor de êmbolo</v>
      </c>
      <c r="K534" s="61"/>
      <c r="L534" s="62">
        <v>4</v>
      </c>
      <c r="M534" s="59"/>
      <c r="N534" s="59"/>
      <c r="O534" s="59"/>
      <c r="P534" s="59"/>
      <c r="Q534" s="63"/>
      <c r="R534" s="63"/>
      <c r="S534" s="63"/>
      <c r="T534" s="64">
        <v>60</v>
      </c>
      <c r="U534" s="45" t="b">
        <f ca="1"/>
        <v>0</v>
      </c>
      <c r="X534" s="12" t="s">
        <v>4739</v>
      </c>
      <c r="Y534" s="10">
        <v>60</v>
      </c>
    </row>
    <row r="535" spans="1:25" ht="12.75" hidden="1">
      <c r="A535" s="56" t="s">
        <v>2105</v>
      </c>
      <c r="B535" s="58"/>
      <c r="C535" s="58"/>
      <c r="D535" s="58"/>
      <c r="E535" s="58"/>
      <c r="F535" s="58"/>
      <c r="G535" s="58"/>
      <c r="H535" s="59" t="s">
        <v>2106</v>
      </c>
      <c r="I535" s="59" t="s">
        <v>2107</v>
      </c>
      <c r="J535" s="60" t="str">
        <f ca="1">IFERROR(__xludf.DUMMYFUNCTION("JOIN("": "",H535,I535)"),"3E-50-08-04-00-00-00: Compressor de parafuso")</f>
        <v>3E-50-08-04-00-00-00: Compressor de parafuso</v>
      </c>
      <c r="K535" s="61"/>
      <c r="L535" s="62">
        <v>4</v>
      </c>
      <c r="M535" s="59"/>
      <c r="N535" s="59"/>
      <c r="O535" s="59"/>
      <c r="P535" s="59"/>
      <c r="Q535" s="63"/>
      <c r="R535" s="63"/>
      <c r="S535" s="63"/>
      <c r="T535" s="64">
        <v>62</v>
      </c>
      <c r="U535" s="46" t="b">
        <f ca="1"/>
        <v>0</v>
      </c>
      <c r="X535" s="12" t="s">
        <v>4740</v>
      </c>
      <c r="Y535" s="10">
        <v>62</v>
      </c>
    </row>
    <row r="536" spans="1:25" ht="12.75" hidden="1">
      <c r="A536" s="56" t="s">
        <v>2109</v>
      </c>
      <c r="B536" s="58"/>
      <c r="C536" s="58"/>
      <c r="D536" s="58"/>
      <c r="E536" s="58"/>
      <c r="F536" s="58"/>
      <c r="G536" s="58"/>
      <c r="H536" s="59" t="s">
        <v>2110</v>
      </c>
      <c r="I536" s="59" t="s">
        <v>2111</v>
      </c>
      <c r="J536" s="60" t="str">
        <f ca="1">IFERROR(__xludf.DUMMYFUNCTION("JOIN("": "",H536,I536)"),"3E-50-08-06-00-00-00: Compressor de palheta")</f>
        <v>3E-50-08-06-00-00-00: Compressor de palheta</v>
      </c>
      <c r="K536" s="61"/>
      <c r="L536" s="62">
        <v>4</v>
      </c>
      <c r="M536" s="59"/>
      <c r="N536" s="59"/>
      <c r="O536" s="59"/>
      <c r="P536" s="59"/>
      <c r="Q536" s="63"/>
      <c r="R536" s="63"/>
      <c r="S536" s="63"/>
      <c r="T536" s="64">
        <v>64</v>
      </c>
      <c r="U536" s="45" t="b">
        <f ca="1"/>
        <v>0</v>
      </c>
      <c r="X536" s="12" t="s">
        <v>4741</v>
      </c>
      <c r="Y536" s="10">
        <v>64</v>
      </c>
    </row>
    <row r="537" spans="1:25" ht="12.75" hidden="1">
      <c r="A537" s="56" t="s">
        <v>2113</v>
      </c>
      <c r="B537" s="58"/>
      <c r="C537" s="58"/>
      <c r="D537" s="58"/>
      <c r="E537" s="58"/>
      <c r="F537" s="58"/>
      <c r="G537" s="58"/>
      <c r="H537" s="59" t="s">
        <v>2114</v>
      </c>
      <c r="I537" s="59" t="s">
        <v>2115</v>
      </c>
      <c r="J537" s="60" t="str">
        <f ca="1">IFERROR(__xludf.DUMMYFUNCTION("JOIN("": "",H537,I537)"),"3E-50-08-08-00-00-00: Compressor centrífugo")</f>
        <v>3E-50-08-08-00-00-00: Compressor centrífugo</v>
      </c>
      <c r="K537" s="61"/>
      <c r="L537" s="62">
        <v>4</v>
      </c>
      <c r="M537" s="59"/>
      <c r="N537" s="59"/>
      <c r="O537" s="59"/>
      <c r="P537" s="59"/>
      <c r="Q537" s="63"/>
      <c r="R537" s="63"/>
      <c r="S537" s="63"/>
      <c r="T537" s="64">
        <v>66</v>
      </c>
      <c r="U537" s="46" t="b">
        <f ca="1"/>
        <v>0</v>
      </c>
      <c r="X537" s="12" t="s">
        <v>4742</v>
      </c>
      <c r="Y537" s="10">
        <v>66</v>
      </c>
    </row>
    <row r="538" spans="1:25" ht="12.75" hidden="1">
      <c r="A538" s="56" t="s">
        <v>2117</v>
      </c>
      <c r="B538" s="58"/>
      <c r="C538" s="58"/>
      <c r="D538" s="58"/>
      <c r="E538" s="58"/>
      <c r="F538" s="58"/>
      <c r="G538" s="58"/>
      <c r="H538" s="59" t="s">
        <v>2118</v>
      </c>
      <c r="I538" s="59" t="s">
        <v>2119</v>
      </c>
      <c r="J538" s="60" t="str">
        <f ca="1">IFERROR(__xludf.DUMMYFUNCTION("JOIN("": "",H538,I538)"),"3E-50-08-10-00-00-00: Compressor scroll")</f>
        <v>3E-50-08-10-00-00-00: Compressor scroll</v>
      </c>
      <c r="K538" s="61"/>
      <c r="L538" s="62">
        <v>4</v>
      </c>
      <c r="M538" s="59"/>
      <c r="N538" s="59"/>
      <c r="O538" s="59"/>
      <c r="P538" s="59"/>
      <c r="Q538" s="63"/>
      <c r="R538" s="63"/>
      <c r="S538" s="63"/>
      <c r="T538" s="64">
        <v>68</v>
      </c>
      <c r="U538" s="45" t="b">
        <f ca="1"/>
        <v>0</v>
      </c>
      <c r="X538" s="12" t="s">
        <v>4743</v>
      </c>
      <c r="Y538" s="10">
        <v>68</v>
      </c>
    </row>
    <row r="539" spans="1:25" ht="12.75" hidden="1">
      <c r="A539" s="47" t="s">
        <v>2121</v>
      </c>
      <c r="B539" s="48"/>
      <c r="C539" s="48"/>
      <c r="D539" s="48"/>
      <c r="E539" s="48"/>
      <c r="F539" s="48"/>
      <c r="G539" s="48"/>
      <c r="H539" s="49" t="s">
        <v>2122</v>
      </c>
      <c r="I539" s="49" t="s">
        <v>2123</v>
      </c>
      <c r="J539" s="50" t="str">
        <f ca="1">IFERROR(__xludf.DUMMYFUNCTION("JOIN("": "",H539,I539)"),"3E-50-10-00-00-00-00: Elementos de expansão de sistemas de refrigeração")</f>
        <v>3E-50-10-00-00-00-00: Elementos de expansão de sistemas de refrigeração</v>
      </c>
      <c r="K539" s="51"/>
      <c r="L539" s="52">
        <v>3</v>
      </c>
      <c r="M539" s="53"/>
      <c r="N539" s="53"/>
      <c r="O539" s="53"/>
      <c r="P539" s="53"/>
      <c r="Q539" s="54"/>
      <c r="R539" s="54"/>
      <c r="S539" s="54"/>
      <c r="T539" s="55">
        <v>60</v>
      </c>
      <c r="U539" s="46" t="b">
        <f ca="1"/>
        <v>0</v>
      </c>
      <c r="X539" s="12" t="s">
        <v>4744</v>
      </c>
      <c r="Y539" s="10">
        <v>60</v>
      </c>
    </row>
    <row r="540" spans="1:25" ht="12.75" hidden="1">
      <c r="A540" s="56" t="s">
        <v>2125</v>
      </c>
      <c r="B540" s="58"/>
      <c r="C540" s="58"/>
      <c r="D540" s="58"/>
      <c r="E540" s="58"/>
      <c r="F540" s="58"/>
      <c r="G540" s="58"/>
      <c r="H540" s="59" t="s">
        <v>2126</v>
      </c>
      <c r="I540" s="59" t="s">
        <v>2127</v>
      </c>
      <c r="J540" s="60" t="str">
        <f ca="1">IFERROR(__xludf.DUMMYFUNCTION("JOIN("": "",H540,I540)"),"3E-50-10-02-00-00-00: Ramal de expansão de sistemas de refrigeração")</f>
        <v>3E-50-10-02-00-00-00: Ramal de expansão de sistemas de refrigeração</v>
      </c>
      <c r="K540" s="61"/>
      <c r="L540" s="62">
        <v>4</v>
      </c>
      <c r="M540" s="59"/>
      <c r="N540" s="59"/>
      <c r="O540" s="59"/>
      <c r="P540" s="59"/>
      <c r="Q540" s="63"/>
      <c r="R540" s="63"/>
      <c r="S540" s="63"/>
      <c r="T540" s="64">
        <v>62</v>
      </c>
      <c r="U540" s="45" t="b">
        <f ca="1"/>
        <v>0</v>
      </c>
      <c r="X540" s="12" t="s">
        <v>4745</v>
      </c>
      <c r="Y540" s="10">
        <v>62</v>
      </c>
    </row>
    <row r="541" spans="1:25" ht="12.75" hidden="1">
      <c r="A541" s="56" t="s">
        <v>2129</v>
      </c>
      <c r="B541" s="58"/>
      <c r="C541" s="58"/>
      <c r="D541" s="58"/>
      <c r="E541" s="58"/>
      <c r="F541" s="58"/>
      <c r="G541" s="58"/>
      <c r="H541" s="59" t="s">
        <v>2130</v>
      </c>
      <c r="I541" s="59" t="s">
        <v>2131</v>
      </c>
      <c r="J541" s="60" t="str">
        <f ca="1">IFERROR(__xludf.DUMMYFUNCTION("JOIN("": "",H541,I541)"),"3E-50-10-04-00-00-00: Válvula de expansão de sistemas de refrigeração")</f>
        <v>3E-50-10-04-00-00-00: Válvula de expansão de sistemas de refrigeração</v>
      </c>
      <c r="K541" s="61"/>
      <c r="L541" s="62">
        <v>4</v>
      </c>
      <c r="M541" s="59"/>
      <c r="N541" s="59"/>
      <c r="O541" s="59"/>
      <c r="P541" s="59"/>
      <c r="Q541" s="63"/>
      <c r="R541" s="63"/>
      <c r="S541" s="63"/>
      <c r="T541" s="64">
        <v>64</v>
      </c>
      <c r="U541" s="46" t="b">
        <f ca="1"/>
        <v>0</v>
      </c>
      <c r="X541" s="12" t="s">
        <v>4746</v>
      </c>
      <c r="Y541" s="10">
        <v>64</v>
      </c>
    </row>
    <row r="542" spans="1:25" ht="12.75" hidden="1">
      <c r="A542" s="56" t="s">
        <v>2133</v>
      </c>
      <c r="B542" s="58"/>
      <c r="C542" s="58"/>
      <c r="D542" s="58"/>
      <c r="E542" s="58"/>
      <c r="F542" s="58"/>
      <c r="G542" s="58"/>
      <c r="H542" s="59" t="s">
        <v>2134</v>
      </c>
      <c r="I542" s="59" t="s">
        <v>2135</v>
      </c>
      <c r="J542" s="60" t="str">
        <f ca="1">IFERROR(__xludf.DUMMYFUNCTION("JOIN("": "",H542,I542)"),"3E-50-10-06-00-00-00: Depósito de água de expansão de sistemas de refrigeração")</f>
        <v>3E-50-10-06-00-00-00: Depósito de água de expansão de sistemas de refrigeração</v>
      </c>
      <c r="K542" s="61"/>
      <c r="L542" s="62">
        <v>4</v>
      </c>
      <c r="M542" s="59"/>
      <c r="N542" s="59"/>
      <c r="O542" s="59"/>
      <c r="P542" s="59"/>
      <c r="Q542" s="63"/>
      <c r="R542" s="63"/>
      <c r="S542" s="63"/>
      <c r="T542" s="64">
        <v>66</v>
      </c>
      <c r="U542" s="45" t="b">
        <f ca="1"/>
        <v>0</v>
      </c>
      <c r="X542" s="12" t="s">
        <v>4747</v>
      </c>
      <c r="Y542" s="10">
        <v>66</v>
      </c>
    </row>
    <row r="543" spans="1:25" ht="12.75" hidden="1">
      <c r="A543" s="56" t="s">
        <v>2137</v>
      </c>
      <c r="B543" s="58"/>
      <c r="C543" s="58"/>
      <c r="D543" s="58"/>
      <c r="E543" s="58"/>
      <c r="F543" s="58"/>
      <c r="G543" s="58"/>
      <c r="H543" s="59" t="s">
        <v>2138</v>
      </c>
      <c r="I543" s="59" t="s">
        <v>2139</v>
      </c>
      <c r="J543" s="60" t="str">
        <f ca="1">IFERROR(__xludf.DUMMYFUNCTION("JOIN("": "",H543,I543)"),"3E-50-10-08-00-00-00: Secador de expansão de sistemas de refrigeração")</f>
        <v>3E-50-10-08-00-00-00: Secador de expansão de sistemas de refrigeração</v>
      </c>
      <c r="K543" s="61"/>
      <c r="L543" s="62">
        <v>4</v>
      </c>
      <c r="M543" s="59"/>
      <c r="N543" s="59"/>
      <c r="O543" s="59"/>
      <c r="P543" s="59"/>
      <c r="Q543" s="63"/>
      <c r="R543" s="63"/>
      <c r="S543" s="63"/>
      <c r="T543" s="64">
        <v>68</v>
      </c>
      <c r="U543" s="46" t="b">
        <f ca="1"/>
        <v>0</v>
      </c>
      <c r="X543" s="12" t="s">
        <v>4748</v>
      </c>
      <c r="Y543" s="10">
        <v>68</v>
      </c>
    </row>
    <row r="544" spans="1:25" ht="12.75" hidden="1">
      <c r="A544" s="56" t="s">
        <v>2141</v>
      </c>
      <c r="B544" s="58"/>
      <c r="C544" s="58"/>
      <c r="D544" s="58"/>
      <c r="E544" s="58"/>
      <c r="F544" s="58"/>
      <c r="G544" s="58"/>
      <c r="H544" s="59" t="s">
        <v>2142</v>
      </c>
      <c r="I544" s="59" t="s">
        <v>2143</v>
      </c>
      <c r="J544" s="60" t="str">
        <f ca="1">IFERROR(__xludf.DUMMYFUNCTION("JOIN("": "",H544,I544)"),"3E-50-10-10-00-00-00: Filtro de expansão de sistemas de refrigeração")</f>
        <v>3E-50-10-10-00-00-00: Filtro de expansão de sistemas de refrigeração</v>
      </c>
      <c r="K544" s="61"/>
      <c r="L544" s="62">
        <v>4</v>
      </c>
      <c r="M544" s="59"/>
      <c r="N544" s="59"/>
      <c r="O544" s="59"/>
      <c r="P544" s="59"/>
      <c r="Q544" s="63"/>
      <c r="R544" s="63"/>
      <c r="S544" s="63"/>
      <c r="T544" s="64">
        <v>70</v>
      </c>
      <c r="U544" s="45" t="b">
        <f ca="1"/>
        <v>0</v>
      </c>
      <c r="X544" s="12" t="s">
        <v>4749</v>
      </c>
      <c r="Y544" s="10">
        <v>70</v>
      </c>
    </row>
    <row r="545" spans="1:25" ht="12.75" hidden="1">
      <c r="A545" s="56" t="s">
        <v>2145</v>
      </c>
      <c r="B545" s="58"/>
      <c r="C545" s="58"/>
      <c r="D545" s="58"/>
      <c r="E545" s="58"/>
      <c r="F545" s="58"/>
      <c r="G545" s="58"/>
      <c r="H545" s="59" t="s">
        <v>2146</v>
      </c>
      <c r="I545" s="59" t="s">
        <v>2147</v>
      </c>
      <c r="J545" s="60" t="str">
        <f ca="1">IFERROR(__xludf.DUMMYFUNCTION("JOIN("": "",H545,I545)"),"3E-50-10-12-00-00-00: Termostato de expansão de sistemas de refrigeração")</f>
        <v>3E-50-10-12-00-00-00: Termostato de expansão de sistemas de refrigeração</v>
      </c>
      <c r="K545" s="61"/>
      <c r="L545" s="62">
        <v>4</v>
      </c>
      <c r="M545" s="59"/>
      <c r="N545" s="59"/>
      <c r="O545" s="59"/>
      <c r="P545" s="59"/>
      <c r="Q545" s="63"/>
      <c r="R545" s="63"/>
      <c r="S545" s="63"/>
      <c r="T545" s="64">
        <v>72</v>
      </c>
      <c r="U545" s="46" t="b">
        <f ca="1"/>
        <v>0</v>
      </c>
      <c r="X545" s="12" t="s">
        <v>4750</v>
      </c>
      <c r="Y545" s="10">
        <v>72</v>
      </c>
    </row>
    <row r="546" spans="1:25" ht="12.75" hidden="1">
      <c r="A546" s="56" t="s">
        <v>2149</v>
      </c>
      <c r="B546" s="58"/>
      <c r="C546" s="58"/>
      <c r="D546" s="58"/>
      <c r="E546" s="58"/>
      <c r="F546" s="58"/>
      <c r="G546" s="58"/>
      <c r="H546" s="59" t="s">
        <v>2150</v>
      </c>
      <c r="I546" s="59" t="s">
        <v>2151</v>
      </c>
      <c r="J546" s="60" t="str">
        <f ca="1">IFERROR(__xludf.DUMMYFUNCTION("JOIN("": "",H546,I546)"),"3E-50-10-14-00-00-00: Fréon de expansão de sistemas de refrigeração")</f>
        <v>3E-50-10-14-00-00-00: Fréon de expansão de sistemas de refrigeração</v>
      </c>
      <c r="K546" s="61"/>
      <c r="L546" s="62">
        <v>4</v>
      </c>
      <c r="M546" s="59"/>
      <c r="N546" s="59"/>
      <c r="O546" s="59"/>
      <c r="P546" s="59"/>
      <c r="Q546" s="63"/>
      <c r="R546" s="63"/>
      <c r="S546" s="63"/>
      <c r="T546" s="64">
        <v>74</v>
      </c>
      <c r="U546" s="45" t="b">
        <f ca="1"/>
        <v>0</v>
      </c>
      <c r="X546" s="12" t="s">
        <v>4751</v>
      </c>
      <c r="Y546" s="10">
        <v>74</v>
      </c>
    </row>
    <row r="547" spans="1:25" ht="12.75" hidden="1">
      <c r="A547" s="65" t="s">
        <v>2153</v>
      </c>
      <c r="B547" s="67"/>
      <c r="C547" s="67"/>
      <c r="D547" s="67"/>
      <c r="E547" s="67"/>
      <c r="F547" s="67"/>
      <c r="G547" s="67"/>
      <c r="H547" s="68" t="s">
        <v>2154</v>
      </c>
      <c r="I547" s="68" t="s">
        <v>2155</v>
      </c>
      <c r="J547" s="69" t="str">
        <f ca="1">IFERROR(__xludf.DUMMYFUNCTION("JOIN("": "",H547,I547)"),"3E-50-10-14-02-00-00: Fréon gasoso")</f>
        <v>3E-50-10-14-02-00-00: Fréon gasoso</v>
      </c>
      <c r="K547" s="70"/>
      <c r="L547" s="71">
        <v>5</v>
      </c>
      <c r="M547" s="68"/>
      <c r="N547" s="68"/>
      <c r="O547" s="68"/>
      <c r="P547" s="68"/>
      <c r="Q547" s="72"/>
      <c r="R547" s="72"/>
      <c r="S547" s="72"/>
      <c r="T547" s="73">
        <v>76</v>
      </c>
      <c r="U547" s="46" t="b">
        <f ca="1"/>
        <v>0</v>
      </c>
      <c r="X547" s="12" t="s">
        <v>4752</v>
      </c>
      <c r="Y547" s="10">
        <v>76</v>
      </c>
    </row>
    <row r="548" spans="1:25" ht="12.75" hidden="1">
      <c r="A548" s="65" t="s">
        <v>2157</v>
      </c>
      <c r="B548" s="67"/>
      <c r="C548" s="67"/>
      <c r="D548" s="67"/>
      <c r="E548" s="67"/>
      <c r="F548" s="67"/>
      <c r="G548" s="67"/>
      <c r="H548" s="68" t="s">
        <v>2158</v>
      </c>
      <c r="I548" s="68" t="s">
        <v>2159</v>
      </c>
      <c r="J548" s="69" t="str">
        <f ca="1">IFERROR(__xludf.DUMMYFUNCTION("JOIN("": "",H548,I548)"),"3E-50-10-14-04-00-00: Fréon líquido")</f>
        <v>3E-50-10-14-04-00-00: Fréon líquido</v>
      </c>
      <c r="K548" s="70"/>
      <c r="L548" s="71">
        <v>5</v>
      </c>
      <c r="M548" s="68"/>
      <c r="N548" s="68"/>
      <c r="O548" s="68"/>
      <c r="P548" s="68"/>
      <c r="Q548" s="72"/>
      <c r="R548" s="72"/>
      <c r="S548" s="72"/>
      <c r="T548" s="73">
        <v>78</v>
      </c>
      <c r="U548" s="45" t="b">
        <f ca="1"/>
        <v>0</v>
      </c>
      <c r="X548" s="12" t="s">
        <v>4753</v>
      </c>
      <c r="Y548" s="10">
        <v>78</v>
      </c>
    </row>
    <row r="549" spans="1:25" ht="12.75" hidden="1">
      <c r="A549" s="56" t="s">
        <v>2161</v>
      </c>
      <c r="B549" s="58"/>
      <c r="C549" s="58"/>
      <c r="D549" s="58"/>
      <c r="E549" s="58"/>
      <c r="F549" s="58"/>
      <c r="G549" s="58"/>
      <c r="H549" s="59" t="s">
        <v>2162</v>
      </c>
      <c r="I549" s="59" t="s">
        <v>2163</v>
      </c>
      <c r="J549" s="60" t="str">
        <f ca="1">IFERROR(__xludf.DUMMYFUNCTION("JOIN("": "",H549,I549)"),"3E-50-10-16-00-00-00: Dreno de expansão de sistemas de refrigeração")</f>
        <v>3E-50-10-16-00-00-00: Dreno de expansão de sistemas de refrigeração</v>
      </c>
      <c r="K549" s="61"/>
      <c r="L549" s="62">
        <v>4</v>
      </c>
      <c r="M549" s="59"/>
      <c r="N549" s="59"/>
      <c r="O549" s="59"/>
      <c r="P549" s="59"/>
      <c r="Q549" s="63"/>
      <c r="R549" s="63"/>
      <c r="S549" s="63"/>
      <c r="T549" s="64">
        <v>76</v>
      </c>
      <c r="U549" s="46" t="b">
        <f ca="1"/>
        <v>0</v>
      </c>
      <c r="X549" s="12" t="s">
        <v>4754</v>
      </c>
      <c r="Y549" s="10">
        <v>76</v>
      </c>
    </row>
    <row r="550" spans="1:25" ht="12.75" hidden="1">
      <c r="A550" s="47" t="s">
        <v>2165</v>
      </c>
      <c r="B550" s="48"/>
      <c r="C550" s="48"/>
      <c r="D550" s="48"/>
      <c r="E550" s="48"/>
      <c r="F550" s="48"/>
      <c r="G550" s="48"/>
      <c r="H550" s="49" t="s">
        <v>2166</v>
      </c>
      <c r="I550" s="49" t="s">
        <v>2167</v>
      </c>
      <c r="J550" s="50" t="str">
        <f ca="1">IFERROR(__xludf.DUMMYFUNCTION("JOIN("": "",H550,I550)"),"3E-50-12-00-00-00-00: Elementos de sistemas de água gelada em sistemas de refrigeração")</f>
        <v>3E-50-12-00-00-00-00: Elementos de sistemas de água gelada em sistemas de refrigeração</v>
      </c>
      <c r="K550" s="51"/>
      <c r="L550" s="52">
        <v>3</v>
      </c>
      <c r="M550" s="53"/>
      <c r="N550" s="53"/>
      <c r="O550" s="53"/>
      <c r="P550" s="53"/>
      <c r="Q550" s="54"/>
      <c r="R550" s="54"/>
      <c r="S550" s="54"/>
      <c r="T550" s="55">
        <v>62</v>
      </c>
      <c r="U550" s="45" t="b">
        <f ca="1"/>
        <v>0</v>
      </c>
      <c r="X550" s="12" t="s">
        <v>4755</v>
      </c>
      <c r="Y550" s="10">
        <v>62</v>
      </c>
    </row>
    <row r="551" spans="1:25" ht="12.75" hidden="1">
      <c r="A551" s="56" t="s">
        <v>2169</v>
      </c>
      <c r="B551" s="58"/>
      <c r="C551" s="58"/>
      <c r="D551" s="58"/>
      <c r="E551" s="58"/>
      <c r="F551" s="58"/>
      <c r="G551" s="58"/>
      <c r="H551" s="59" t="s">
        <v>2170</v>
      </c>
      <c r="I551" s="59" t="s">
        <v>2171</v>
      </c>
      <c r="J551" s="60" t="str">
        <f ca="1">IFERROR(__xludf.DUMMYFUNCTION("JOIN("": "",H551,I551)"),"3E-50-12-02-00-00-00: Resfriador a água")</f>
        <v>3E-50-12-02-00-00-00: Resfriador a água</v>
      </c>
      <c r="K551" s="61"/>
      <c r="L551" s="62">
        <v>4</v>
      </c>
      <c r="M551" s="59"/>
      <c r="N551" s="59"/>
      <c r="O551" s="59"/>
      <c r="P551" s="59"/>
      <c r="Q551" s="63"/>
      <c r="R551" s="63"/>
      <c r="S551" s="63"/>
      <c r="T551" s="64">
        <v>64</v>
      </c>
      <c r="U551" s="46" t="b">
        <f ca="1"/>
        <v>0</v>
      </c>
      <c r="X551" s="12" t="s">
        <v>4756</v>
      </c>
      <c r="Y551" s="10">
        <v>64</v>
      </c>
    </row>
    <row r="552" spans="1:25" ht="12.75" hidden="1">
      <c r="A552" s="56" t="s">
        <v>2173</v>
      </c>
      <c r="B552" s="58"/>
      <c r="C552" s="58"/>
      <c r="D552" s="58"/>
      <c r="E552" s="58"/>
      <c r="F552" s="58"/>
      <c r="G552" s="58"/>
      <c r="H552" s="59" t="s">
        <v>2174</v>
      </c>
      <c r="I552" s="59" t="s">
        <v>2175</v>
      </c>
      <c r="J552" s="60" t="str">
        <f ca="1">IFERROR(__xludf.DUMMYFUNCTION("JOIN("": "",H552,I552)"),"3E-50-12-04-00-00-00: Resfriador a ar")</f>
        <v>3E-50-12-04-00-00-00: Resfriador a ar</v>
      </c>
      <c r="K552" s="61"/>
      <c r="L552" s="62">
        <v>4</v>
      </c>
      <c r="M552" s="59"/>
      <c r="N552" s="59"/>
      <c r="O552" s="59"/>
      <c r="P552" s="59"/>
      <c r="Q552" s="63"/>
      <c r="R552" s="63"/>
      <c r="S552" s="63"/>
      <c r="T552" s="64">
        <v>66</v>
      </c>
      <c r="U552" s="45" t="b">
        <f ca="1"/>
        <v>0</v>
      </c>
      <c r="X552" s="12" t="s">
        <v>4757</v>
      </c>
      <c r="Y552" s="10">
        <v>66</v>
      </c>
    </row>
    <row r="553" spans="1:25" ht="12.75" hidden="1">
      <c r="A553" s="56" t="s">
        <v>2177</v>
      </c>
      <c r="B553" s="58"/>
      <c r="C553" s="58"/>
      <c r="D553" s="58"/>
      <c r="E553" s="58"/>
      <c r="F553" s="58"/>
      <c r="G553" s="58"/>
      <c r="H553" s="59" t="s">
        <v>2178</v>
      </c>
      <c r="I553" s="59" t="s">
        <v>2179</v>
      </c>
      <c r="J553" s="60" t="str">
        <f ca="1">IFERROR(__xludf.DUMMYFUNCTION("JOIN("": "",H553,I553)"),"3E-50-12-06-00-00-00: Fan coil")</f>
        <v>3E-50-12-06-00-00-00: Fan coil</v>
      </c>
      <c r="K553" s="61"/>
      <c r="L553" s="62">
        <v>4</v>
      </c>
      <c r="M553" s="59"/>
      <c r="N553" s="59"/>
      <c r="O553" s="59"/>
      <c r="P553" s="59"/>
      <c r="Q553" s="63"/>
      <c r="R553" s="63"/>
      <c r="S553" s="63"/>
      <c r="T553" s="64">
        <v>68</v>
      </c>
      <c r="U553" s="46" t="b">
        <f ca="1"/>
        <v>0</v>
      </c>
      <c r="X553" s="12" t="s">
        <v>4758</v>
      </c>
      <c r="Y553" s="10">
        <v>68</v>
      </c>
    </row>
    <row r="554" spans="1:25" ht="12.75" hidden="1">
      <c r="A554" s="56" t="s">
        <v>2181</v>
      </c>
      <c r="B554" s="58"/>
      <c r="C554" s="58"/>
      <c r="D554" s="58"/>
      <c r="E554" s="58"/>
      <c r="F554" s="58"/>
      <c r="G554" s="58"/>
      <c r="H554" s="59" t="s">
        <v>2182</v>
      </c>
      <c r="I554" s="59" t="s">
        <v>2183</v>
      </c>
      <c r="J554" s="60" t="str">
        <f ca="1">IFERROR(__xludf.DUMMYFUNCTION("JOIN("": "",H554,I554)"),"3E-50-12-08-00-00-00: Torre de resfriamento")</f>
        <v>3E-50-12-08-00-00-00: Torre de resfriamento</v>
      </c>
      <c r="K554" s="61"/>
      <c r="L554" s="62">
        <v>4</v>
      </c>
      <c r="M554" s="59"/>
      <c r="N554" s="59"/>
      <c r="O554" s="59"/>
      <c r="P554" s="59"/>
      <c r="Q554" s="63"/>
      <c r="R554" s="63"/>
      <c r="S554" s="63"/>
      <c r="T554" s="64">
        <v>70</v>
      </c>
      <c r="U554" s="45" t="b">
        <f ca="1"/>
        <v>0</v>
      </c>
      <c r="X554" s="12" t="s">
        <v>4759</v>
      </c>
      <c r="Y554" s="10">
        <v>70</v>
      </c>
    </row>
    <row r="555" spans="1:25" ht="12.75" hidden="1">
      <c r="A555" s="65" t="s">
        <v>2185</v>
      </c>
      <c r="B555" s="67"/>
      <c r="C555" s="67"/>
      <c r="D555" s="67"/>
      <c r="E555" s="67"/>
      <c r="F555" s="67"/>
      <c r="G555" s="67"/>
      <c r="H555" s="68" t="s">
        <v>2186</v>
      </c>
      <c r="I555" s="68" t="s">
        <v>2187</v>
      </c>
      <c r="J555" s="69" t="str">
        <f ca="1">IFERROR(__xludf.DUMMYFUNCTION("JOIN("": "",H555,I555)"),"3E-50-12-10-02-00-00: Torre atmosférica")</f>
        <v>3E-50-12-10-02-00-00: Torre atmosférica</v>
      </c>
      <c r="K555" s="70"/>
      <c r="L555" s="71">
        <v>5</v>
      </c>
      <c r="M555" s="68"/>
      <c r="N555" s="68"/>
      <c r="O555" s="68"/>
      <c r="P555" s="68"/>
      <c r="Q555" s="72"/>
      <c r="R555" s="72"/>
      <c r="S555" s="72"/>
      <c r="T555" s="73">
        <v>74</v>
      </c>
      <c r="U555" s="46" t="b">
        <f ca="1"/>
        <v>0</v>
      </c>
      <c r="X555" s="12" t="s">
        <v>4760</v>
      </c>
      <c r="Y555" s="10">
        <v>74</v>
      </c>
    </row>
    <row r="556" spans="1:25" ht="12.75" hidden="1">
      <c r="A556" s="65" t="s">
        <v>2189</v>
      </c>
      <c r="B556" s="67"/>
      <c r="C556" s="67"/>
      <c r="D556" s="67"/>
      <c r="E556" s="67"/>
      <c r="F556" s="67"/>
      <c r="G556" s="67"/>
      <c r="H556" s="68" t="s">
        <v>2190</v>
      </c>
      <c r="I556" s="68" t="s">
        <v>2191</v>
      </c>
      <c r="J556" s="69" t="str">
        <f ca="1">IFERROR(__xludf.DUMMYFUNCTION("JOIN("": "",H556,I556)"),"3E-50-12-10-04-00-00: Torre de corrente de ar forçado")</f>
        <v>3E-50-12-10-04-00-00: Torre de corrente de ar forçado</v>
      </c>
      <c r="K556" s="70"/>
      <c r="L556" s="71">
        <v>5</v>
      </c>
      <c r="M556" s="68"/>
      <c r="N556" s="68"/>
      <c r="O556" s="68"/>
      <c r="P556" s="68"/>
      <c r="Q556" s="72"/>
      <c r="R556" s="72"/>
      <c r="S556" s="72"/>
      <c r="T556" s="73">
        <v>76</v>
      </c>
      <c r="U556" s="45" t="b">
        <f ca="1"/>
        <v>0</v>
      </c>
      <c r="X556" s="12" t="s">
        <v>4761</v>
      </c>
      <c r="Y556" s="10">
        <v>76</v>
      </c>
    </row>
    <row r="557" spans="1:25" ht="12.75" hidden="1">
      <c r="A557" s="65" t="s">
        <v>2193</v>
      </c>
      <c r="B557" s="67"/>
      <c r="C557" s="67"/>
      <c r="D557" s="67"/>
      <c r="E557" s="67"/>
      <c r="F557" s="67"/>
      <c r="G557" s="67"/>
      <c r="H557" s="68" t="s">
        <v>2194</v>
      </c>
      <c r="I557" s="68" t="s">
        <v>2195</v>
      </c>
      <c r="J557" s="69" t="str">
        <f ca="1">IFERROR(__xludf.DUMMYFUNCTION("JOIN("": "",H557,I557)"),"3E-50-12-10-06-00-00: Torre de corrente de ar induzido")</f>
        <v>3E-50-12-10-06-00-00: Torre de corrente de ar induzido</v>
      </c>
      <c r="K557" s="70"/>
      <c r="L557" s="71">
        <v>5</v>
      </c>
      <c r="M557" s="68"/>
      <c r="N557" s="68"/>
      <c r="O557" s="68"/>
      <c r="P557" s="68"/>
      <c r="Q557" s="72"/>
      <c r="R557" s="72"/>
      <c r="S557" s="72"/>
      <c r="T557" s="73">
        <v>78</v>
      </c>
      <c r="U557" s="46" t="b">
        <f ca="1"/>
        <v>0</v>
      </c>
      <c r="X557" s="12" t="s">
        <v>4762</v>
      </c>
      <c r="Y557" s="10">
        <v>78</v>
      </c>
    </row>
    <row r="558" spans="1:25" ht="12.75" hidden="1">
      <c r="A558" s="56" t="s">
        <v>2197</v>
      </c>
      <c r="B558" s="58"/>
      <c r="C558" s="58"/>
      <c r="D558" s="58"/>
      <c r="E558" s="58"/>
      <c r="F558" s="58"/>
      <c r="G558" s="58"/>
      <c r="H558" s="59" t="s">
        <v>2198</v>
      </c>
      <c r="I558" s="59" t="s">
        <v>2199</v>
      </c>
      <c r="J558" s="60" t="str">
        <f ca="1">IFERROR(__xludf.DUMMYFUNCTION("JOIN("": "",H558,I558)"),"3E-50-12-12-00-00-00: Bomba de água gelada")</f>
        <v>3E-50-12-12-00-00-00: Bomba de água gelada</v>
      </c>
      <c r="K558" s="61"/>
      <c r="L558" s="62">
        <v>4</v>
      </c>
      <c r="M558" s="59"/>
      <c r="N558" s="59"/>
      <c r="O558" s="59"/>
      <c r="P558" s="59"/>
      <c r="Q558" s="63"/>
      <c r="R558" s="63"/>
      <c r="S558" s="63"/>
      <c r="T558" s="64">
        <v>74</v>
      </c>
      <c r="U558" s="45" t="b">
        <f ca="1"/>
        <v>0</v>
      </c>
      <c r="X558" s="12" t="s">
        <v>4763</v>
      </c>
      <c r="Y558" s="10">
        <v>74</v>
      </c>
    </row>
    <row r="559" spans="1:25" ht="12.75" hidden="1">
      <c r="A559" s="56" t="s">
        <v>2201</v>
      </c>
      <c r="B559" s="58"/>
      <c r="C559" s="58"/>
      <c r="D559" s="58"/>
      <c r="E559" s="58"/>
      <c r="F559" s="58"/>
      <c r="G559" s="58"/>
      <c r="H559" s="59" t="s">
        <v>2202</v>
      </c>
      <c r="I559" s="59" t="s">
        <v>2203</v>
      </c>
      <c r="J559" s="60" t="str">
        <f ca="1">IFERROR(__xludf.DUMMYFUNCTION("JOIN("": "",H559,I559)"),"3E-50-12-14-00-00-00: Tanque de expansão")</f>
        <v>3E-50-12-14-00-00-00: Tanque de expansão</v>
      </c>
      <c r="K559" s="61"/>
      <c r="L559" s="62">
        <v>4</v>
      </c>
      <c r="M559" s="59"/>
      <c r="N559" s="59"/>
      <c r="O559" s="59"/>
      <c r="P559" s="59"/>
      <c r="Q559" s="63"/>
      <c r="R559" s="63"/>
      <c r="S559" s="63"/>
      <c r="T559" s="64">
        <v>76</v>
      </c>
      <c r="U559" s="46" t="b">
        <f ca="1"/>
        <v>0</v>
      </c>
      <c r="X559" s="12" t="s">
        <v>4764</v>
      </c>
      <c r="Y559" s="10">
        <v>76</v>
      </c>
    </row>
    <row r="560" spans="1:25" ht="12.75" hidden="1">
      <c r="A560" s="56" t="s">
        <v>2205</v>
      </c>
      <c r="B560" s="58"/>
      <c r="C560" s="58"/>
      <c r="D560" s="58"/>
      <c r="E560" s="58"/>
      <c r="F560" s="58"/>
      <c r="G560" s="58"/>
      <c r="H560" s="59" t="s">
        <v>2206</v>
      </c>
      <c r="I560" s="59" t="s">
        <v>2207</v>
      </c>
      <c r="J560" s="60" t="str">
        <f ca="1">IFERROR(__xludf.DUMMYFUNCTION("JOIN("": "",H560,I560)"),"3E-50-12-16-00-00-00: Termoacumulação de gelo")</f>
        <v>3E-50-12-16-00-00-00: Termoacumulação de gelo</v>
      </c>
      <c r="K560" s="61"/>
      <c r="L560" s="62">
        <v>4</v>
      </c>
      <c r="M560" s="59"/>
      <c r="N560" s="59"/>
      <c r="O560" s="59"/>
      <c r="P560" s="59"/>
      <c r="Q560" s="63"/>
      <c r="R560" s="63"/>
      <c r="S560" s="63"/>
      <c r="T560" s="64">
        <v>78</v>
      </c>
      <c r="U560" s="45" t="b">
        <f ca="1"/>
        <v>0</v>
      </c>
      <c r="X560" s="12" t="s">
        <v>4765</v>
      </c>
      <c r="Y560" s="10">
        <v>78</v>
      </c>
    </row>
    <row r="561" spans="1:25" ht="12.75" hidden="1">
      <c r="A561" s="47" t="s">
        <v>2209</v>
      </c>
      <c r="B561" s="48"/>
      <c r="C561" s="48"/>
      <c r="D561" s="48"/>
      <c r="E561" s="48"/>
      <c r="F561" s="48"/>
      <c r="G561" s="48"/>
      <c r="H561" s="49" t="s">
        <v>2210</v>
      </c>
      <c r="I561" s="49" t="s">
        <v>2211</v>
      </c>
      <c r="J561" s="50" t="str">
        <f ca="1">IFERROR(__xludf.DUMMYFUNCTION("JOIN("": "",H561,I561)"),"3E-50-14-00-00-00-00: Elementos de expansão direta - condensação a água")</f>
        <v>3E-50-14-00-00-00-00: Elementos de expansão direta - condensação a água</v>
      </c>
      <c r="K561" s="51"/>
      <c r="L561" s="52">
        <v>3</v>
      </c>
      <c r="M561" s="53"/>
      <c r="N561" s="53"/>
      <c r="O561" s="53"/>
      <c r="P561" s="53"/>
      <c r="Q561" s="54"/>
      <c r="R561" s="54"/>
      <c r="S561" s="54"/>
      <c r="T561" s="55">
        <v>64</v>
      </c>
      <c r="U561" s="46" t="b">
        <f ca="1"/>
        <v>0</v>
      </c>
      <c r="X561" s="12" t="s">
        <v>4766</v>
      </c>
      <c r="Y561" s="10">
        <v>64</v>
      </c>
    </row>
    <row r="562" spans="1:25" ht="12.75" hidden="1">
      <c r="A562" s="56" t="s">
        <v>2213</v>
      </c>
      <c r="B562" s="58"/>
      <c r="C562" s="58"/>
      <c r="D562" s="58"/>
      <c r="E562" s="58"/>
      <c r="F562" s="58"/>
      <c r="G562" s="58"/>
      <c r="H562" s="59" t="s">
        <v>2214</v>
      </c>
      <c r="I562" s="59" t="s">
        <v>2215</v>
      </c>
      <c r="J562" s="60" t="str">
        <f ca="1">IFERROR(__xludf.DUMMYFUNCTION("JOIN("": "",H562,I562)"),"3E-50-14-02-00-00-00: Bomba de água de condensação")</f>
        <v>3E-50-14-02-00-00-00: Bomba de água de condensação</v>
      </c>
      <c r="K562" s="61"/>
      <c r="L562" s="62">
        <v>4</v>
      </c>
      <c r="M562" s="59"/>
      <c r="N562" s="59"/>
      <c r="O562" s="59"/>
      <c r="P562" s="59"/>
      <c r="Q562" s="63"/>
      <c r="R562" s="63"/>
      <c r="S562" s="63"/>
      <c r="T562" s="64">
        <v>66</v>
      </c>
      <c r="U562" s="45" t="b">
        <f ca="1"/>
        <v>0</v>
      </c>
      <c r="X562" s="12" t="s">
        <v>4767</v>
      </c>
      <c r="Y562" s="10">
        <v>66</v>
      </c>
    </row>
    <row r="563" spans="1:25" ht="12.75" hidden="1">
      <c r="A563" s="56" t="s">
        <v>2217</v>
      </c>
      <c r="B563" s="58"/>
      <c r="C563" s="58"/>
      <c r="D563" s="58"/>
      <c r="E563" s="58"/>
      <c r="F563" s="58"/>
      <c r="G563" s="58"/>
      <c r="H563" s="59" t="s">
        <v>2218</v>
      </c>
      <c r="I563" s="59" t="s">
        <v>2219</v>
      </c>
      <c r="J563" s="60" t="str">
        <f ca="1">IFERROR(__xludf.DUMMYFUNCTION("JOIN("": "",H563,I563)"),"3E-50-14-04-00-00-00: Caixa d'água de condensação a água")</f>
        <v>3E-50-14-04-00-00-00: Caixa d'água de condensação a água</v>
      </c>
      <c r="K563" s="61"/>
      <c r="L563" s="62">
        <v>4</v>
      </c>
      <c r="M563" s="59"/>
      <c r="N563" s="59"/>
      <c r="O563" s="59"/>
      <c r="P563" s="59"/>
      <c r="Q563" s="63"/>
      <c r="R563" s="63"/>
      <c r="S563" s="63"/>
      <c r="T563" s="64">
        <v>68</v>
      </c>
      <c r="U563" s="46" t="b">
        <f ca="1"/>
        <v>0</v>
      </c>
      <c r="X563" s="12" t="s">
        <v>4768</v>
      </c>
      <c r="Y563" s="10">
        <v>68</v>
      </c>
    </row>
    <row r="564" spans="1:25" ht="12.75" hidden="1">
      <c r="A564" s="47" t="s">
        <v>2221</v>
      </c>
      <c r="B564" s="48"/>
      <c r="C564" s="48"/>
      <c r="D564" s="48"/>
      <c r="E564" s="48"/>
      <c r="F564" s="48"/>
      <c r="G564" s="48"/>
      <c r="H564" s="49" t="s">
        <v>2222</v>
      </c>
      <c r="I564" s="49" t="s">
        <v>2223</v>
      </c>
      <c r="J564" s="50" t="str">
        <f ca="1">IFERROR(__xludf.DUMMYFUNCTION("JOIN("": "",H564,I564)"),"3E-50-16-00-00-00-00: Elementos de expansão direta - unidades compactas")</f>
        <v>3E-50-16-00-00-00-00: Elementos de expansão direta - unidades compactas</v>
      </c>
      <c r="K564" s="51"/>
      <c r="L564" s="52">
        <v>3</v>
      </c>
      <c r="M564" s="53"/>
      <c r="N564" s="53"/>
      <c r="O564" s="53"/>
      <c r="P564" s="53"/>
      <c r="Q564" s="54"/>
      <c r="R564" s="54"/>
      <c r="S564" s="54"/>
      <c r="T564" s="55">
        <v>66</v>
      </c>
      <c r="U564" s="45" t="b">
        <f ca="1"/>
        <v>0</v>
      </c>
      <c r="X564" s="12" t="s">
        <v>4769</v>
      </c>
      <c r="Y564" s="10">
        <v>66</v>
      </c>
    </row>
    <row r="565" spans="1:25" ht="12.75" hidden="1">
      <c r="A565" s="56" t="s">
        <v>2225</v>
      </c>
      <c r="B565" s="58"/>
      <c r="C565" s="58"/>
      <c r="D565" s="58"/>
      <c r="E565" s="58"/>
      <c r="F565" s="58"/>
      <c r="G565" s="58"/>
      <c r="H565" s="59" t="s">
        <v>2226</v>
      </c>
      <c r="I565" s="59" t="s">
        <v>2227</v>
      </c>
      <c r="J565" s="60" t="str">
        <f ca="1">IFERROR(__xludf.DUMMYFUNCTION("JOIN("": "",H565,I565)"),"3E-50-16-02-00-00-00: Unidade compacta de condensação a água")</f>
        <v>3E-50-16-02-00-00-00: Unidade compacta de condensação a água</v>
      </c>
      <c r="K565" s="61"/>
      <c r="L565" s="62">
        <v>4</v>
      </c>
      <c r="M565" s="59"/>
      <c r="N565" s="59"/>
      <c r="O565" s="59"/>
      <c r="P565" s="59"/>
      <c r="Q565" s="63"/>
      <c r="R565" s="63"/>
      <c r="S565" s="63"/>
      <c r="T565" s="64">
        <v>68</v>
      </c>
      <c r="U565" s="46" t="b">
        <f ca="1"/>
        <v>0</v>
      </c>
      <c r="X565" s="12" t="s">
        <v>4770</v>
      </c>
      <c r="Y565" s="10">
        <v>68</v>
      </c>
    </row>
    <row r="566" spans="1:25" ht="12.75" hidden="1">
      <c r="A566" s="56" t="s">
        <v>2229</v>
      </c>
      <c r="B566" s="58"/>
      <c r="C566" s="58"/>
      <c r="D566" s="58"/>
      <c r="E566" s="58"/>
      <c r="F566" s="58"/>
      <c r="G566" s="58"/>
      <c r="H566" s="59" t="s">
        <v>2230</v>
      </c>
      <c r="I566" s="59" t="s">
        <v>2231</v>
      </c>
      <c r="J566" s="60" t="str">
        <f ca="1">IFERROR(__xludf.DUMMYFUNCTION("JOIN("": "",H566,I566)"),"3E-50-16-04-00-00-00: Torre de resfriamento para unidades compactas")</f>
        <v>3E-50-16-04-00-00-00: Torre de resfriamento para unidades compactas</v>
      </c>
      <c r="K566" s="61"/>
      <c r="L566" s="62">
        <v>4</v>
      </c>
      <c r="M566" s="59"/>
      <c r="N566" s="59"/>
      <c r="O566" s="59"/>
      <c r="P566" s="59"/>
      <c r="Q566" s="63"/>
      <c r="R566" s="63"/>
      <c r="S566" s="63"/>
      <c r="T566" s="64">
        <v>70</v>
      </c>
      <c r="U566" s="45" t="b">
        <f ca="1"/>
        <v>0</v>
      </c>
      <c r="X566" s="12" t="s">
        <v>4771</v>
      </c>
      <c r="Y566" s="10">
        <v>70</v>
      </c>
    </row>
    <row r="567" spans="1:25" ht="12.75" hidden="1">
      <c r="A567" s="56" t="s">
        <v>2233</v>
      </c>
      <c r="B567" s="58"/>
      <c r="C567" s="58"/>
      <c r="D567" s="58"/>
      <c r="E567" s="58"/>
      <c r="F567" s="58"/>
      <c r="G567" s="58"/>
      <c r="H567" s="59" t="s">
        <v>2234</v>
      </c>
      <c r="I567" s="59" t="s">
        <v>2235</v>
      </c>
      <c r="J567" s="60" t="str">
        <f ca="1">IFERROR(__xludf.DUMMYFUNCTION("JOIN("": "",H567,I567)"),"3E-50-16-06-00-00-00: Bomba para unidades compactas")</f>
        <v>3E-50-16-06-00-00-00: Bomba para unidades compactas</v>
      </c>
      <c r="K567" s="61"/>
      <c r="L567" s="62">
        <v>4</v>
      </c>
      <c r="M567" s="59"/>
      <c r="N567" s="59"/>
      <c r="O567" s="59"/>
      <c r="P567" s="59"/>
      <c r="Q567" s="63"/>
      <c r="R567" s="63"/>
      <c r="S567" s="63"/>
      <c r="T567" s="64">
        <v>72</v>
      </c>
      <c r="U567" s="46" t="b">
        <f ca="1"/>
        <v>0</v>
      </c>
      <c r="X567" s="12" t="s">
        <v>4772</v>
      </c>
      <c r="Y567" s="10">
        <v>72</v>
      </c>
    </row>
    <row r="568" spans="1:25" ht="12.75" hidden="1">
      <c r="A568" s="56" t="s">
        <v>2237</v>
      </c>
      <c r="B568" s="58"/>
      <c r="C568" s="58"/>
      <c r="D568" s="58"/>
      <c r="E568" s="58"/>
      <c r="F568" s="58"/>
      <c r="G568" s="58"/>
      <c r="H568" s="59" t="s">
        <v>2238</v>
      </c>
      <c r="I568" s="59" t="s">
        <v>2239</v>
      </c>
      <c r="J568" s="60" t="str">
        <f ca="1">IFERROR(__xludf.DUMMYFUNCTION("JOIN("": "",H568,I568)"),"3E-50-16-08-00-00-00: Ramal de recalque para unidades compactas")</f>
        <v>3E-50-16-08-00-00-00: Ramal de recalque para unidades compactas</v>
      </c>
      <c r="K568" s="61"/>
      <c r="L568" s="62">
        <v>4</v>
      </c>
      <c r="M568" s="59"/>
      <c r="N568" s="59"/>
      <c r="O568" s="59"/>
      <c r="P568" s="59"/>
      <c r="Q568" s="63"/>
      <c r="R568" s="63"/>
      <c r="S568" s="63"/>
      <c r="T568" s="64">
        <v>74</v>
      </c>
      <c r="U568" s="45" t="b">
        <f ca="1"/>
        <v>0</v>
      </c>
      <c r="X568" s="12" t="s">
        <v>4773</v>
      </c>
      <c r="Y568" s="10">
        <v>74</v>
      </c>
    </row>
    <row r="569" spans="1:25" ht="12.75" hidden="1">
      <c r="A569" s="56" t="s">
        <v>2241</v>
      </c>
      <c r="B569" s="58"/>
      <c r="C569" s="58"/>
      <c r="D569" s="58"/>
      <c r="E569" s="58"/>
      <c r="F569" s="58"/>
      <c r="G569" s="58"/>
      <c r="H569" s="59" t="s">
        <v>2242</v>
      </c>
      <c r="I569" s="59" t="s">
        <v>2243</v>
      </c>
      <c r="J569" s="60" t="str">
        <f ca="1">IFERROR(__xludf.DUMMYFUNCTION("JOIN("": "",H569,I569)"),"3E-50-16-10-00-00-00: Ramal de retomo para unidades compactas")</f>
        <v>3E-50-16-10-00-00-00: Ramal de retomo para unidades compactas</v>
      </c>
      <c r="K569" s="61"/>
      <c r="L569" s="62">
        <v>4</v>
      </c>
      <c r="M569" s="59"/>
      <c r="N569" s="59"/>
      <c r="O569" s="59"/>
      <c r="P569" s="59"/>
      <c r="Q569" s="63"/>
      <c r="R569" s="63"/>
      <c r="S569" s="63"/>
      <c r="T569" s="64">
        <v>76</v>
      </c>
      <c r="U569" s="46" t="b">
        <f ca="1"/>
        <v>0</v>
      </c>
      <c r="X569" s="12" t="s">
        <v>4774</v>
      </c>
      <c r="Y569" s="10">
        <v>76</v>
      </c>
    </row>
    <row r="570" spans="1:25" ht="12.75" hidden="1">
      <c r="A570" s="56" t="s">
        <v>2245</v>
      </c>
      <c r="B570" s="58"/>
      <c r="C570" s="58"/>
      <c r="D570" s="58"/>
      <c r="E570" s="58"/>
      <c r="F570" s="58"/>
      <c r="G570" s="58"/>
      <c r="H570" s="59" t="s">
        <v>2246</v>
      </c>
      <c r="I570" s="59" t="s">
        <v>2247</v>
      </c>
      <c r="J570" s="60" t="str">
        <f ca="1">IFERROR(__xludf.DUMMYFUNCTION("JOIN("": "",H570,I570)"),"3E-50-16-12-00-00-00: Registro de gaveta para unidades compactas")</f>
        <v>3E-50-16-12-00-00-00: Registro de gaveta para unidades compactas</v>
      </c>
      <c r="K570" s="61"/>
      <c r="L570" s="62">
        <v>4</v>
      </c>
      <c r="M570" s="59"/>
      <c r="N570" s="59"/>
      <c r="O570" s="59"/>
      <c r="P570" s="59"/>
      <c r="Q570" s="63"/>
      <c r="R570" s="63"/>
      <c r="S570" s="63"/>
      <c r="T570" s="64">
        <v>78</v>
      </c>
      <c r="U570" s="45" t="b">
        <f ca="1"/>
        <v>0</v>
      </c>
      <c r="X570" s="12" t="s">
        <v>4775</v>
      </c>
      <c r="Y570" s="10">
        <v>78</v>
      </c>
    </row>
    <row r="571" spans="1:25" ht="12.75" hidden="1">
      <c r="A571" s="56" t="s">
        <v>2249</v>
      </c>
      <c r="B571" s="58"/>
      <c r="C571" s="58"/>
      <c r="D571" s="58"/>
      <c r="E571" s="58"/>
      <c r="F571" s="58"/>
      <c r="G571" s="58"/>
      <c r="H571" s="59" t="s">
        <v>2250</v>
      </c>
      <c r="I571" s="59" t="s">
        <v>2251</v>
      </c>
      <c r="J571" s="60" t="str">
        <f ca="1">IFERROR(__xludf.DUMMYFUNCTION("JOIN("": "",H571,I571)"),"3E-50-16-14-00-00-00: Registro de globo para unidades compactas")</f>
        <v>3E-50-16-14-00-00-00: Registro de globo para unidades compactas</v>
      </c>
      <c r="K571" s="61"/>
      <c r="L571" s="62">
        <v>4</v>
      </c>
      <c r="M571" s="59"/>
      <c r="N571" s="59"/>
      <c r="O571" s="59"/>
      <c r="P571" s="59"/>
      <c r="Q571" s="63"/>
      <c r="R571" s="63"/>
      <c r="S571" s="63"/>
      <c r="T571" s="64">
        <v>80</v>
      </c>
      <c r="U571" s="46" t="b">
        <f ca="1"/>
        <v>0</v>
      </c>
      <c r="X571" s="12" t="s">
        <v>4776</v>
      </c>
      <c r="Y571" s="10">
        <v>80</v>
      </c>
    </row>
    <row r="572" spans="1:25" ht="12.75" hidden="1">
      <c r="A572" s="56" t="s">
        <v>2253</v>
      </c>
      <c r="B572" s="58"/>
      <c r="C572" s="58"/>
      <c r="D572" s="58"/>
      <c r="E572" s="58"/>
      <c r="F572" s="58"/>
      <c r="G572" s="58"/>
      <c r="H572" s="59" t="s">
        <v>2254</v>
      </c>
      <c r="I572" s="59" t="s">
        <v>2255</v>
      </c>
      <c r="J572" s="60" t="str">
        <f ca="1">IFERROR(__xludf.DUMMYFUNCTION("JOIN("": "",H572,I572)"),"3E-50-16-16-00-00-00: Válvula de retenção para unidades compactas")</f>
        <v>3E-50-16-16-00-00-00: Válvula de retenção para unidades compactas</v>
      </c>
      <c r="K572" s="61"/>
      <c r="L572" s="62">
        <v>4</v>
      </c>
      <c r="M572" s="59"/>
      <c r="N572" s="59"/>
      <c r="O572" s="59"/>
      <c r="P572" s="59"/>
      <c r="Q572" s="63"/>
      <c r="R572" s="63"/>
      <c r="S572" s="63"/>
      <c r="T572" s="64">
        <v>82</v>
      </c>
      <c r="U572" s="45" t="b">
        <f ca="1"/>
        <v>0</v>
      </c>
      <c r="X572" s="12" t="s">
        <v>4777</v>
      </c>
      <c r="Y572" s="10">
        <v>82</v>
      </c>
    </row>
    <row r="573" spans="1:25" ht="12.75" hidden="1">
      <c r="A573" s="47" t="s">
        <v>2257</v>
      </c>
      <c r="B573" s="48"/>
      <c r="C573" s="48"/>
      <c r="D573" s="48"/>
      <c r="E573" s="48"/>
      <c r="F573" s="48"/>
      <c r="G573" s="48"/>
      <c r="H573" s="49" t="s">
        <v>2258</v>
      </c>
      <c r="I573" s="49" t="s">
        <v>2259</v>
      </c>
      <c r="J573" s="50" t="str">
        <f ca="1">IFERROR(__xludf.DUMMYFUNCTION("JOIN("": "",H573,I573)"),"3E-50-18-00-00-00-00: Elementos para sistemas de expansão indireta de água gelada")</f>
        <v>3E-50-18-00-00-00-00: Elementos para sistemas de expansão indireta de água gelada</v>
      </c>
      <c r="K573" s="51"/>
      <c r="L573" s="52">
        <v>3</v>
      </c>
      <c r="M573" s="53"/>
      <c r="N573" s="53"/>
      <c r="O573" s="53"/>
      <c r="P573" s="53"/>
      <c r="Q573" s="54"/>
      <c r="R573" s="54"/>
      <c r="S573" s="54"/>
      <c r="T573" s="55">
        <v>68</v>
      </c>
      <c r="U573" s="46" t="b">
        <f ca="1"/>
        <v>0</v>
      </c>
      <c r="X573" s="12" t="s">
        <v>4778</v>
      </c>
      <c r="Y573" s="10">
        <v>68</v>
      </c>
    </row>
    <row r="574" spans="1:25" ht="12.75" hidden="1">
      <c r="A574" s="56" t="s">
        <v>2261</v>
      </c>
      <c r="B574" s="58"/>
      <c r="C574" s="58"/>
      <c r="D574" s="58"/>
      <c r="E574" s="58"/>
      <c r="F574" s="58"/>
      <c r="G574" s="58"/>
      <c r="H574" s="59" t="s">
        <v>2262</v>
      </c>
      <c r="I574" s="59" t="s">
        <v>2263</v>
      </c>
      <c r="J574" s="60" t="str">
        <f ca="1">IFERROR(__xludf.DUMMYFUNCTION("JOIN("": "",H574,I574)"),"3E-50-18-02-00-00-00: Entrada de água para sistemas de expansão indireta de água gelada")</f>
        <v>3E-50-18-02-00-00-00: Entrada de água para sistemas de expansão indireta de água gelada</v>
      </c>
      <c r="K574" s="61"/>
      <c r="L574" s="62">
        <v>4</v>
      </c>
      <c r="M574" s="59"/>
      <c r="N574" s="59"/>
      <c r="O574" s="59"/>
      <c r="P574" s="59"/>
      <c r="Q574" s="63"/>
      <c r="R574" s="63"/>
      <c r="S574" s="63"/>
      <c r="T574" s="64">
        <v>70</v>
      </c>
      <c r="U574" s="45" t="b">
        <f ca="1"/>
        <v>0</v>
      </c>
      <c r="X574" s="12" t="s">
        <v>4779</v>
      </c>
      <c r="Y574" s="10">
        <v>70</v>
      </c>
    </row>
    <row r="575" spans="1:25" ht="12.75" hidden="1">
      <c r="A575" s="56" t="s">
        <v>2265</v>
      </c>
      <c r="B575" s="58"/>
      <c r="C575" s="58"/>
      <c r="D575" s="58"/>
      <c r="E575" s="58"/>
      <c r="F575" s="58"/>
      <c r="G575" s="58"/>
      <c r="H575" s="59" t="s">
        <v>2266</v>
      </c>
      <c r="I575" s="59" t="s">
        <v>2267</v>
      </c>
      <c r="J575" s="60" t="str">
        <f ca="1">IFERROR(__xludf.DUMMYFUNCTION("JOIN("": "",H575,I575)"),"3E-50-18-04-00-00-00: Ladrão para sistemas de expansão indireta de água gelada")</f>
        <v>3E-50-18-04-00-00-00: Ladrão para sistemas de expansão indireta de água gelada</v>
      </c>
      <c r="K575" s="61"/>
      <c r="L575" s="62">
        <v>4</v>
      </c>
      <c r="M575" s="59"/>
      <c r="N575" s="59"/>
      <c r="O575" s="59"/>
      <c r="P575" s="59"/>
      <c r="Q575" s="63"/>
      <c r="R575" s="63"/>
      <c r="S575" s="63"/>
      <c r="T575" s="64">
        <v>72</v>
      </c>
      <c r="U575" s="46" t="b">
        <f ca="1"/>
        <v>0</v>
      </c>
      <c r="X575" s="12" t="s">
        <v>4780</v>
      </c>
      <c r="Y575" s="10">
        <v>72</v>
      </c>
    </row>
    <row r="576" spans="1:25" ht="12.75" hidden="1">
      <c r="A576" s="56" t="s">
        <v>2269</v>
      </c>
      <c r="B576" s="58"/>
      <c r="C576" s="58"/>
      <c r="D576" s="58"/>
      <c r="E576" s="58"/>
      <c r="F576" s="58"/>
      <c r="G576" s="58"/>
      <c r="H576" s="59" t="s">
        <v>2270</v>
      </c>
      <c r="I576" s="59" t="s">
        <v>2271</v>
      </c>
      <c r="J576" s="60" t="str">
        <f ca="1">IFERROR(__xludf.DUMMYFUNCTION("JOIN("": "",H576,I576)"),"3E-50-18-06-00-00-00: Caixa de expansão para sistemas de expansão indireta de água gelada")</f>
        <v>3E-50-18-06-00-00-00: Caixa de expansão para sistemas de expansão indireta de água gelada</v>
      </c>
      <c r="K576" s="61"/>
      <c r="L576" s="62">
        <v>4</v>
      </c>
      <c r="M576" s="59"/>
      <c r="N576" s="59"/>
      <c r="O576" s="59"/>
      <c r="P576" s="59"/>
      <c r="Q576" s="63"/>
      <c r="R576" s="63"/>
      <c r="S576" s="63"/>
      <c r="T576" s="64">
        <v>74</v>
      </c>
      <c r="U576" s="45" t="b">
        <f ca="1"/>
        <v>0</v>
      </c>
      <c r="X576" s="12" t="s">
        <v>4781</v>
      </c>
      <c r="Y576" s="10">
        <v>74</v>
      </c>
    </row>
    <row r="577" spans="1:25" ht="12.75" hidden="1">
      <c r="A577" s="56" t="s">
        <v>2273</v>
      </c>
      <c r="B577" s="58"/>
      <c r="C577" s="58"/>
      <c r="D577" s="58"/>
      <c r="E577" s="58"/>
      <c r="F577" s="58"/>
      <c r="G577" s="58"/>
      <c r="H577" s="59" t="s">
        <v>2274</v>
      </c>
      <c r="I577" s="59" t="s">
        <v>2275</v>
      </c>
      <c r="J577" s="60" t="str">
        <f ca="1">IFERROR(__xludf.DUMMYFUNCTION("JOIN("": "",H577,I577)"),"3E-50-18-08-00-00-00: Bomba para sistemas de expansão indireta de água gelada")</f>
        <v>3E-50-18-08-00-00-00: Bomba para sistemas de expansão indireta de água gelada</v>
      </c>
      <c r="K577" s="61"/>
      <c r="L577" s="62">
        <v>4</v>
      </c>
      <c r="M577" s="59"/>
      <c r="N577" s="59"/>
      <c r="O577" s="59"/>
      <c r="P577" s="59"/>
      <c r="Q577" s="63"/>
      <c r="R577" s="63"/>
      <c r="S577" s="63"/>
      <c r="T577" s="64">
        <v>76</v>
      </c>
      <c r="U577" s="46" t="b">
        <f ca="1"/>
        <v>0</v>
      </c>
      <c r="X577" s="12" t="s">
        <v>4782</v>
      </c>
      <c r="Y577" s="10">
        <v>76</v>
      </c>
    </row>
    <row r="578" spans="1:25" ht="12.75" hidden="1">
      <c r="A578" s="56" t="s">
        <v>2277</v>
      </c>
      <c r="B578" s="58"/>
      <c r="C578" s="58"/>
      <c r="D578" s="58"/>
      <c r="E578" s="58"/>
      <c r="F578" s="58"/>
      <c r="G578" s="58"/>
      <c r="H578" s="59" t="s">
        <v>2278</v>
      </c>
      <c r="I578" s="59" t="s">
        <v>2279</v>
      </c>
      <c r="J578" s="60" t="str">
        <f ca="1">IFERROR(__xludf.DUMMYFUNCTION("JOIN("": "",H578,I578)"),"3E-50-18-10-00-00-00: Bomba de circulação para sistemas de expansão indireta de água gelada")</f>
        <v>3E-50-18-10-00-00-00: Bomba de circulação para sistemas de expansão indireta de água gelada</v>
      </c>
      <c r="K578" s="61"/>
      <c r="L578" s="62">
        <v>4</v>
      </c>
      <c r="M578" s="59"/>
      <c r="N578" s="59"/>
      <c r="O578" s="59"/>
      <c r="P578" s="59"/>
      <c r="Q578" s="63"/>
      <c r="R578" s="63"/>
      <c r="S578" s="63"/>
      <c r="T578" s="64">
        <v>78</v>
      </c>
      <c r="U578" s="45" t="b">
        <f ca="1"/>
        <v>0</v>
      </c>
      <c r="X578" s="12" t="s">
        <v>4783</v>
      </c>
      <c r="Y578" s="10">
        <v>78</v>
      </c>
    </row>
    <row r="579" spans="1:25" ht="12.75" hidden="1">
      <c r="A579" s="56" t="s">
        <v>4784</v>
      </c>
      <c r="B579" s="58"/>
      <c r="C579" s="58"/>
      <c r="D579" s="58"/>
      <c r="E579" s="58"/>
      <c r="F579" s="58"/>
      <c r="G579" s="58"/>
      <c r="H579" s="59" t="s">
        <v>4785</v>
      </c>
      <c r="I579" s="59" t="s">
        <v>2282</v>
      </c>
      <c r="J579" s="60" t="str">
        <f ca="1">IFERROR(__xludf.DUMMYFUNCTION("JOIN("": "",H579,I579)"),"3E-50-18-12-00-00-00: Bomba de condensação para sistemas de expansão indireta de água gelada")</f>
        <v>3E-50-18-12-00-00-00: Bomba de condensação para sistemas de expansão indireta de água gelada</v>
      </c>
      <c r="K579" s="61"/>
      <c r="L579" s="62">
        <v>4</v>
      </c>
      <c r="M579" s="59"/>
      <c r="N579" s="59"/>
      <c r="O579" s="59"/>
      <c r="P579" s="59"/>
      <c r="Q579" s="63"/>
      <c r="R579" s="63"/>
      <c r="S579" s="63"/>
      <c r="T579" s="64">
        <v>5030</v>
      </c>
      <c r="U579" s="46" t="b">
        <f ca="1"/>
        <v>0</v>
      </c>
      <c r="X579" s="12" t="s">
        <v>4786</v>
      </c>
      <c r="Y579" s="10">
        <v>5030</v>
      </c>
    </row>
    <row r="580" spans="1:25" ht="12.75" hidden="1">
      <c r="A580" s="56" t="s">
        <v>2284</v>
      </c>
      <c r="B580" s="58"/>
      <c r="C580" s="58"/>
      <c r="D580" s="58"/>
      <c r="E580" s="58"/>
      <c r="F580" s="58"/>
      <c r="G580" s="58"/>
      <c r="H580" s="59" t="s">
        <v>2285</v>
      </c>
      <c r="I580" s="59" t="s">
        <v>2286</v>
      </c>
      <c r="J580" s="60" t="str">
        <f ca="1">IFERROR(__xludf.DUMMYFUNCTION("JOIN("": "",H580,I580)"),"3E-50-18-14-00-00-00: Resfriador para sistemas de expansão indireta de água gelada")</f>
        <v>3E-50-18-14-00-00-00: Resfriador para sistemas de expansão indireta de água gelada</v>
      </c>
      <c r="K580" s="61"/>
      <c r="L580" s="62">
        <v>4</v>
      </c>
      <c r="M580" s="59"/>
      <c r="N580" s="59"/>
      <c r="O580" s="59"/>
      <c r="P580" s="59"/>
      <c r="Q580" s="63"/>
      <c r="R580" s="63"/>
      <c r="S580" s="63"/>
      <c r="T580" s="64">
        <v>82</v>
      </c>
      <c r="U580" s="45" t="b">
        <f ca="1"/>
        <v>0</v>
      </c>
      <c r="X580" s="12" t="s">
        <v>4787</v>
      </c>
      <c r="Y580" s="10">
        <v>82</v>
      </c>
    </row>
    <row r="581" spans="1:25" ht="12.75" hidden="1">
      <c r="A581" s="56" t="s">
        <v>2288</v>
      </c>
      <c r="B581" s="58"/>
      <c r="C581" s="58"/>
      <c r="D581" s="58"/>
      <c r="E581" s="58"/>
      <c r="F581" s="58"/>
      <c r="G581" s="58"/>
      <c r="H581" s="59" t="s">
        <v>2289</v>
      </c>
      <c r="I581" s="59" t="s">
        <v>2290</v>
      </c>
      <c r="J581" s="60" t="str">
        <f ca="1">IFERROR(__xludf.DUMMYFUNCTION("JOIN("": "",H581,I581)"),"3E-50-18-16-00-00-00: Depósito para sistemas de expansão indireta de água gelada")</f>
        <v>3E-50-18-16-00-00-00: Depósito para sistemas de expansão indireta de água gelada</v>
      </c>
      <c r="K581" s="61"/>
      <c r="L581" s="62">
        <v>4</v>
      </c>
      <c r="M581" s="59"/>
      <c r="N581" s="59"/>
      <c r="O581" s="59"/>
      <c r="P581" s="59"/>
      <c r="Q581" s="63"/>
      <c r="R581" s="63"/>
      <c r="S581" s="63"/>
      <c r="T581" s="64">
        <v>84</v>
      </c>
      <c r="U581" s="46" t="b">
        <f ca="1"/>
        <v>0</v>
      </c>
      <c r="X581" s="12" t="s">
        <v>4788</v>
      </c>
      <c r="Y581" s="10">
        <v>84</v>
      </c>
    </row>
    <row r="582" spans="1:25" ht="12.75" hidden="1">
      <c r="A582" s="56" t="s">
        <v>2292</v>
      </c>
      <c r="B582" s="58"/>
      <c r="C582" s="58"/>
      <c r="D582" s="58"/>
      <c r="E582" s="58"/>
      <c r="F582" s="58"/>
      <c r="G582" s="58"/>
      <c r="H582" s="59" t="s">
        <v>2293</v>
      </c>
      <c r="I582" s="59" t="s">
        <v>2294</v>
      </c>
      <c r="J582" s="60" t="str">
        <f ca="1">IFERROR(__xludf.DUMMYFUNCTION("JOIN("": "",H582,I582)"),"3E-50-18-18-00-00-00: Alimentador principal para sistemas de expansão indireta de água gelada")</f>
        <v>3E-50-18-18-00-00-00: Alimentador principal para sistemas de expansão indireta de água gelada</v>
      </c>
      <c r="K582" s="61"/>
      <c r="L582" s="62">
        <v>4</v>
      </c>
      <c r="M582" s="59"/>
      <c r="N582" s="59"/>
      <c r="O582" s="59"/>
      <c r="P582" s="59"/>
      <c r="Q582" s="63"/>
      <c r="R582" s="63"/>
      <c r="S582" s="63"/>
      <c r="T582" s="64">
        <v>86</v>
      </c>
      <c r="U582" s="45" t="b">
        <f ca="1"/>
        <v>0</v>
      </c>
      <c r="X582" s="12" t="s">
        <v>4789</v>
      </c>
      <c r="Y582" s="10">
        <v>86</v>
      </c>
    </row>
    <row r="583" spans="1:25" ht="12.75" hidden="1">
      <c r="A583" s="56" t="s">
        <v>2296</v>
      </c>
      <c r="B583" s="58"/>
      <c r="C583" s="58"/>
      <c r="D583" s="58"/>
      <c r="E583" s="58"/>
      <c r="F583" s="58"/>
      <c r="G583" s="58"/>
      <c r="H583" s="59" t="s">
        <v>2297</v>
      </c>
      <c r="I583" s="59" t="s">
        <v>2298</v>
      </c>
      <c r="J583" s="60" t="str">
        <f ca="1">IFERROR(__xludf.DUMMYFUNCTION("JOIN("": "",H583,I583)"),"3E-50-18-20-00-00-00: Válvula de alívio de pressão para sistemas de expansão indireta de água gelada")</f>
        <v>3E-50-18-20-00-00-00: Válvula de alívio de pressão para sistemas de expansão indireta de água gelada</v>
      </c>
      <c r="K583" s="61"/>
      <c r="L583" s="62">
        <v>4</v>
      </c>
      <c r="M583" s="59"/>
      <c r="N583" s="59"/>
      <c r="O583" s="59"/>
      <c r="P583" s="59"/>
      <c r="Q583" s="63"/>
      <c r="R583" s="63"/>
      <c r="S583" s="63"/>
      <c r="T583" s="64">
        <v>88</v>
      </c>
      <c r="U583" s="46" t="b">
        <f ca="1"/>
        <v>0</v>
      </c>
      <c r="X583" s="12" t="s">
        <v>4790</v>
      </c>
      <c r="Y583" s="10">
        <v>88</v>
      </c>
    </row>
    <row r="584" spans="1:25" ht="12.75" hidden="1">
      <c r="A584" s="56" t="s">
        <v>2300</v>
      </c>
      <c r="B584" s="58"/>
      <c r="C584" s="58"/>
      <c r="D584" s="58"/>
      <c r="E584" s="58"/>
      <c r="F584" s="58"/>
      <c r="G584" s="58"/>
      <c r="H584" s="59" t="s">
        <v>2301</v>
      </c>
      <c r="I584" s="59" t="s">
        <v>2302</v>
      </c>
      <c r="J584" s="60" t="str">
        <f ca="1">IFERROR(__xludf.DUMMYFUNCTION("JOIN("": "",H584,I584)"),"3E-50-18-22-00-00-00: Válvula de três vias para sistemas de expansão indireta de água gelada")</f>
        <v>3E-50-18-22-00-00-00: Válvula de três vias para sistemas de expansão indireta de água gelada</v>
      </c>
      <c r="K584" s="61"/>
      <c r="L584" s="62">
        <v>4</v>
      </c>
      <c r="M584" s="59"/>
      <c r="N584" s="59"/>
      <c r="O584" s="59"/>
      <c r="P584" s="59"/>
      <c r="Q584" s="63"/>
      <c r="R584" s="63"/>
      <c r="S584" s="63"/>
      <c r="T584" s="64">
        <v>90</v>
      </c>
      <c r="U584" s="45" t="b">
        <f ca="1"/>
        <v>0</v>
      </c>
      <c r="X584" s="12" t="s">
        <v>4791</v>
      </c>
      <c r="Y584" s="10">
        <v>90</v>
      </c>
    </row>
    <row r="585" spans="1:25" ht="12.75" hidden="1">
      <c r="A585" s="47" t="s">
        <v>2304</v>
      </c>
      <c r="B585" s="48"/>
      <c r="C585" s="48"/>
      <c r="D585" s="48"/>
      <c r="E585" s="48"/>
      <c r="F585" s="48"/>
      <c r="G585" s="48"/>
      <c r="H585" s="49" t="s">
        <v>2305</v>
      </c>
      <c r="I585" s="49" t="s">
        <v>2306</v>
      </c>
      <c r="J585" s="50" t="str">
        <f ca="1">IFERROR(__xludf.DUMMYFUNCTION("JOIN("": "",H585,I585)"),"3E-50-20-00-00-00-00: Elementos para instalação central de água gelada")</f>
        <v>3E-50-20-00-00-00-00: Elementos para instalação central de água gelada</v>
      </c>
      <c r="K585" s="51"/>
      <c r="L585" s="52">
        <v>3</v>
      </c>
      <c r="M585" s="53"/>
      <c r="N585" s="53"/>
      <c r="O585" s="53"/>
      <c r="P585" s="53"/>
      <c r="Q585" s="54"/>
      <c r="R585" s="54"/>
      <c r="S585" s="54"/>
      <c r="T585" s="55">
        <v>70</v>
      </c>
      <c r="U585" s="46" t="b">
        <f ca="1"/>
        <v>0</v>
      </c>
      <c r="X585" s="12" t="s">
        <v>4792</v>
      </c>
      <c r="Y585" s="10">
        <v>70</v>
      </c>
    </row>
    <row r="586" spans="1:25" ht="12.75" hidden="1">
      <c r="A586" s="56" t="s">
        <v>2308</v>
      </c>
      <c r="B586" s="58"/>
      <c r="C586" s="58"/>
      <c r="D586" s="58"/>
      <c r="E586" s="58"/>
      <c r="F586" s="58"/>
      <c r="G586" s="58"/>
      <c r="H586" s="59" t="s">
        <v>2309</v>
      </c>
      <c r="I586" s="59" t="s">
        <v>2310</v>
      </c>
      <c r="J586" s="60" t="str">
        <f ca="1">IFERROR(__xludf.DUMMYFUNCTION("JOIN("": "",H586,I586)"),"3E-50-20-02-00-00-00: Alimentação de água gelada")</f>
        <v>3E-50-20-02-00-00-00: Alimentação de água gelada</v>
      </c>
      <c r="K586" s="61"/>
      <c r="L586" s="62">
        <v>4</v>
      </c>
      <c r="M586" s="59"/>
      <c r="N586" s="59"/>
      <c r="O586" s="59"/>
      <c r="P586" s="59"/>
      <c r="Q586" s="63"/>
      <c r="R586" s="63"/>
      <c r="S586" s="63"/>
      <c r="T586" s="64">
        <v>72</v>
      </c>
      <c r="U586" s="45" t="b">
        <f ca="1"/>
        <v>0</v>
      </c>
      <c r="X586" s="12" t="s">
        <v>4793</v>
      </c>
      <c r="Y586" s="10">
        <v>72</v>
      </c>
    </row>
    <row r="587" spans="1:25" ht="12.75" hidden="1">
      <c r="A587" s="56" t="s">
        <v>2312</v>
      </c>
      <c r="B587" s="58"/>
      <c r="C587" s="58"/>
      <c r="D587" s="58"/>
      <c r="E587" s="58"/>
      <c r="F587" s="58"/>
      <c r="G587" s="58"/>
      <c r="H587" s="59" t="s">
        <v>2313</v>
      </c>
      <c r="I587" s="59" t="s">
        <v>2314</v>
      </c>
      <c r="J587" s="60" t="str">
        <f ca="1">IFERROR(__xludf.DUMMYFUNCTION("JOIN("": "",H587,I587)"),"3E-50-20-04-00-00-00: Retorno de água gelada")</f>
        <v>3E-50-20-04-00-00-00: Retorno de água gelada</v>
      </c>
      <c r="K587" s="61"/>
      <c r="L587" s="62">
        <v>4</v>
      </c>
      <c r="M587" s="59"/>
      <c r="N587" s="59"/>
      <c r="O587" s="59"/>
      <c r="P587" s="59"/>
      <c r="Q587" s="63"/>
      <c r="R587" s="63"/>
      <c r="S587" s="63"/>
      <c r="T587" s="64">
        <v>74</v>
      </c>
      <c r="U587" s="46" t="b">
        <f ca="1"/>
        <v>0</v>
      </c>
      <c r="X587" s="12" t="s">
        <v>4794</v>
      </c>
      <c r="Y587" s="10">
        <v>74</v>
      </c>
    </row>
    <row r="588" spans="1:25" ht="12.75" hidden="1">
      <c r="A588" s="56" t="s">
        <v>2316</v>
      </c>
      <c r="B588" s="58"/>
      <c r="C588" s="58"/>
      <c r="D588" s="58"/>
      <c r="E588" s="58"/>
      <c r="F588" s="58"/>
      <c r="G588" s="58"/>
      <c r="H588" s="59" t="s">
        <v>2317</v>
      </c>
      <c r="I588" s="59" t="s">
        <v>2318</v>
      </c>
      <c r="J588" s="60" t="str">
        <f ca="1">IFERROR(__xludf.DUMMYFUNCTION("JOIN("": "",H588,I588)"),"3E-50-20-06-00-00-00: Alimentação de água de condensação")</f>
        <v>3E-50-20-06-00-00-00: Alimentação de água de condensação</v>
      </c>
      <c r="K588" s="61"/>
      <c r="L588" s="62">
        <v>4</v>
      </c>
      <c r="M588" s="59"/>
      <c r="N588" s="59"/>
      <c r="O588" s="59"/>
      <c r="P588" s="59"/>
      <c r="Q588" s="63"/>
      <c r="R588" s="63"/>
      <c r="S588" s="63"/>
      <c r="T588" s="64">
        <v>76</v>
      </c>
      <c r="U588" s="45" t="b">
        <f ca="1"/>
        <v>0</v>
      </c>
      <c r="X588" s="12" t="s">
        <v>4795</v>
      </c>
      <c r="Y588" s="10">
        <v>76</v>
      </c>
    </row>
    <row r="589" spans="1:25" ht="12.75" hidden="1">
      <c r="A589" s="56" t="s">
        <v>2320</v>
      </c>
      <c r="B589" s="58"/>
      <c r="C589" s="58"/>
      <c r="D589" s="58"/>
      <c r="E589" s="58"/>
      <c r="F589" s="58"/>
      <c r="G589" s="58"/>
      <c r="H589" s="59" t="s">
        <v>2321</v>
      </c>
      <c r="I589" s="59" t="s">
        <v>2322</v>
      </c>
      <c r="J589" s="60" t="str">
        <f ca="1">IFERROR(__xludf.DUMMYFUNCTION("JOIN("": "",H589,I589)"),"3E-50-20-08-00-00-00: Retorno de água de condensação")</f>
        <v>3E-50-20-08-00-00-00: Retorno de água de condensação</v>
      </c>
      <c r="K589" s="61"/>
      <c r="L589" s="62">
        <v>4</v>
      </c>
      <c r="M589" s="59"/>
      <c r="N589" s="59"/>
      <c r="O589" s="59"/>
      <c r="P589" s="59"/>
      <c r="Q589" s="63"/>
      <c r="R589" s="63"/>
      <c r="S589" s="63"/>
      <c r="T589" s="64">
        <v>78</v>
      </c>
      <c r="U589" s="46" t="b">
        <f ca="1"/>
        <v>0</v>
      </c>
      <c r="X589" s="12" t="s">
        <v>4796</v>
      </c>
      <c r="Y589" s="10">
        <v>78</v>
      </c>
    </row>
    <row r="590" spans="1:25" ht="12.75" hidden="1">
      <c r="A590" s="56" t="s">
        <v>2324</v>
      </c>
      <c r="B590" s="58"/>
      <c r="C590" s="58"/>
      <c r="D590" s="58"/>
      <c r="E590" s="58"/>
      <c r="F590" s="58"/>
      <c r="G590" s="58"/>
      <c r="H590" s="59" t="s">
        <v>2325</v>
      </c>
      <c r="I590" s="59" t="s">
        <v>2326</v>
      </c>
      <c r="J590" s="60" t="str">
        <f ca="1">IFERROR(__xludf.DUMMYFUNCTION("JOIN("": "",H590,I590)"),"3E-50-20-10-00-00-00: Bomba para o sistema de condensação")</f>
        <v>3E-50-20-10-00-00-00: Bomba para o sistema de condensação</v>
      </c>
      <c r="K590" s="61"/>
      <c r="L590" s="62">
        <v>4</v>
      </c>
      <c r="M590" s="59"/>
      <c r="N590" s="59"/>
      <c r="O590" s="59"/>
      <c r="P590" s="59"/>
      <c r="Q590" s="63"/>
      <c r="R590" s="63"/>
      <c r="S590" s="63"/>
      <c r="T590" s="64">
        <v>80</v>
      </c>
      <c r="U590" s="45" t="b">
        <f ca="1"/>
        <v>0</v>
      </c>
      <c r="X590" s="12" t="s">
        <v>4797</v>
      </c>
      <c r="Y590" s="10">
        <v>80</v>
      </c>
    </row>
    <row r="591" spans="1:25" ht="12.75" hidden="1">
      <c r="A591" s="56" t="s">
        <v>2328</v>
      </c>
      <c r="B591" s="58"/>
      <c r="C591" s="58"/>
      <c r="D591" s="58"/>
      <c r="E591" s="58"/>
      <c r="F591" s="58"/>
      <c r="G591" s="58"/>
      <c r="H591" s="59" t="s">
        <v>2329</v>
      </c>
      <c r="I591" s="59" t="s">
        <v>2330</v>
      </c>
      <c r="J591" s="60" t="str">
        <f ca="1">IFERROR(__xludf.DUMMYFUNCTION("JOIN("": "",H591,I591)"),"3E-50-20-12-00-00-00: Bomba para o sistema de água gelada")</f>
        <v>3E-50-20-12-00-00-00: Bomba para o sistema de água gelada</v>
      </c>
      <c r="K591" s="61"/>
      <c r="L591" s="62">
        <v>4</v>
      </c>
      <c r="M591" s="59"/>
      <c r="N591" s="59"/>
      <c r="O591" s="59"/>
      <c r="P591" s="59"/>
      <c r="Q591" s="63"/>
      <c r="R591" s="63"/>
      <c r="S591" s="63"/>
      <c r="T591" s="64">
        <v>82</v>
      </c>
      <c r="U591" s="46" t="b">
        <f ca="1"/>
        <v>0</v>
      </c>
      <c r="X591" s="12" t="s">
        <v>4798</v>
      </c>
      <c r="Y591" s="10">
        <v>82</v>
      </c>
    </row>
    <row r="592" spans="1:25" ht="12.75" hidden="1">
      <c r="A592" s="56" t="s">
        <v>2332</v>
      </c>
      <c r="B592" s="58"/>
      <c r="C592" s="58"/>
      <c r="D592" s="58"/>
      <c r="E592" s="58"/>
      <c r="F592" s="58"/>
      <c r="G592" s="58"/>
      <c r="H592" s="59" t="s">
        <v>2333</v>
      </c>
      <c r="I592" s="59" t="s">
        <v>2334</v>
      </c>
      <c r="J592" s="60" t="str">
        <f ca="1">IFERROR(__xludf.DUMMYFUNCTION("JOIN("": "",H592,I592)"),"3E-50-20-14-00-00-00: Resfriador para instalação central de água gelada")</f>
        <v>3E-50-20-14-00-00-00: Resfriador para instalação central de água gelada</v>
      </c>
      <c r="K592" s="61"/>
      <c r="L592" s="62">
        <v>4</v>
      </c>
      <c r="M592" s="59"/>
      <c r="N592" s="59"/>
      <c r="O592" s="59"/>
      <c r="P592" s="59"/>
      <c r="Q592" s="63"/>
      <c r="R592" s="63"/>
      <c r="S592" s="63"/>
      <c r="T592" s="64">
        <v>84</v>
      </c>
      <c r="U592" s="45" t="b">
        <f ca="1"/>
        <v>0</v>
      </c>
      <c r="X592" s="12" t="s">
        <v>4799</v>
      </c>
      <c r="Y592" s="10">
        <v>84</v>
      </c>
    </row>
    <row r="593" spans="1:26" ht="12.75" hidden="1">
      <c r="A593" s="56" t="s">
        <v>2336</v>
      </c>
      <c r="B593" s="58"/>
      <c r="C593" s="58"/>
      <c r="D593" s="58"/>
      <c r="E593" s="58"/>
      <c r="F593" s="58"/>
      <c r="G593" s="58"/>
      <c r="H593" s="59" t="s">
        <v>2337</v>
      </c>
      <c r="I593" s="59" t="s">
        <v>2338</v>
      </c>
      <c r="J593" s="60" t="str">
        <f ca="1">IFERROR(__xludf.DUMMYFUNCTION("JOIN("": "",H593,I593)"),"3E-50-20-16-00-00-00: Manômetro para instalação central de água gelada")</f>
        <v>3E-50-20-16-00-00-00: Manômetro para instalação central de água gelada</v>
      </c>
      <c r="K593" s="61"/>
      <c r="L593" s="62">
        <v>4</v>
      </c>
      <c r="M593" s="59"/>
      <c r="N593" s="59"/>
      <c r="O593" s="59"/>
      <c r="P593" s="59"/>
      <c r="Q593" s="63"/>
      <c r="R593" s="63"/>
      <c r="S593" s="63"/>
      <c r="T593" s="64">
        <v>86</v>
      </c>
      <c r="U593" s="46" t="b">
        <f ca="1"/>
        <v>0</v>
      </c>
      <c r="X593" s="12" t="s">
        <v>4800</v>
      </c>
      <c r="Y593" s="10">
        <v>86</v>
      </c>
    </row>
    <row r="594" spans="1:26" ht="12.75" hidden="1">
      <c r="A594" s="56" t="s">
        <v>2340</v>
      </c>
      <c r="B594" s="58"/>
      <c r="C594" s="58"/>
      <c r="D594" s="58"/>
      <c r="E594" s="58"/>
      <c r="F594" s="58"/>
      <c r="G594" s="58"/>
      <c r="H594" s="59" t="s">
        <v>2341</v>
      </c>
      <c r="I594" s="59" t="s">
        <v>2342</v>
      </c>
      <c r="J594" s="60" t="str">
        <f ca="1">IFERROR(__xludf.DUMMYFUNCTION("JOIN("": "",H594,I594)"),"3E-50-20-18-00-00-00: Termômetro para instalação central de água gelada")</f>
        <v>3E-50-20-18-00-00-00: Termômetro para instalação central de água gelada</v>
      </c>
      <c r="K594" s="61"/>
      <c r="L594" s="62">
        <v>4</v>
      </c>
      <c r="M594" s="59"/>
      <c r="N594" s="59"/>
      <c r="O594" s="59"/>
      <c r="P594" s="59"/>
      <c r="Q594" s="63"/>
      <c r="R594" s="63"/>
      <c r="S594" s="63"/>
      <c r="T594" s="64">
        <v>88</v>
      </c>
      <c r="U594" s="45" t="b">
        <f ca="1"/>
        <v>0</v>
      </c>
      <c r="X594" s="12" t="s">
        <v>4801</v>
      </c>
      <c r="Y594" s="10">
        <v>88</v>
      </c>
    </row>
    <row r="595" spans="1:26" ht="12.75" hidden="1">
      <c r="A595" s="56" t="s">
        <v>2344</v>
      </c>
      <c r="B595" s="58"/>
      <c r="C595" s="58"/>
      <c r="D595" s="58"/>
      <c r="E595" s="58"/>
      <c r="F595" s="58"/>
      <c r="G595" s="58"/>
      <c r="H595" s="59" t="s">
        <v>2345</v>
      </c>
      <c r="I595" s="59" t="s">
        <v>2346</v>
      </c>
      <c r="J595" s="60" t="str">
        <f ca="1">IFERROR(__xludf.DUMMYFUNCTION("JOIN("": "",H595,I595)"),"3E-50-20-20-00-00-00: Flow switch")</f>
        <v>3E-50-20-20-00-00-00: Flow switch</v>
      </c>
      <c r="K595" s="61"/>
      <c r="L595" s="62">
        <v>4</v>
      </c>
      <c r="M595" s="59"/>
      <c r="N595" s="59"/>
      <c r="O595" s="59"/>
      <c r="P595" s="59"/>
      <c r="Q595" s="63"/>
      <c r="R595" s="63"/>
      <c r="S595" s="63"/>
      <c r="T595" s="64">
        <v>90</v>
      </c>
      <c r="U595" s="46" t="b">
        <f ca="1"/>
        <v>0</v>
      </c>
      <c r="X595" s="12" t="s">
        <v>4802</v>
      </c>
      <c r="Y595" s="10">
        <v>90</v>
      </c>
    </row>
    <row r="596" spans="1:26" ht="12.75" hidden="1">
      <c r="A596" s="56" t="s">
        <v>2348</v>
      </c>
      <c r="B596" s="58"/>
      <c r="C596" s="58"/>
      <c r="D596" s="58"/>
      <c r="E596" s="58"/>
      <c r="F596" s="58"/>
      <c r="G596" s="58"/>
      <c r="H596" s="59" t="s">
        <v>2349</v>
      </c>
      <c r="I596" s="59" t="s">
        <v>2350</v>
      </c>
      <c r="J596" s="60" t="str">
        <f ca="1">IFERROR(__xludf.DUMMYFUNCTION("JOIN("": "",H596,I596)"),"3E-50-20-22-00-00-00: Flow meter")</f>
        <v>3E-50-20-22-00-00-00: Flow meter</v>
      </c>
      <c r="K596" s="61"/>
      <c r="L596" s="62">
        <v>4</v>
      </c>
      <c r="M596" s="59"/>
      <c r="N596" s="59"/>
      <c r="O596" s="59"/>
      <c r="P596" s="59"/>
      <c r="Q596" s="63"/>
      <c r="R596" s="63"/>
      <c r="S596" s="63"/>
      <c r="T596" s="64">
        <v>92</v>
      </c>
      <c r="U596" s="45" t="b">
        <f ca="1"/>
        <v>0</v>
      </c>
      <c r="X596" s="12" t="s">
        <v>4803</v>
      </c>
      <c r="Y596" s="10">
        <v>92</v>
      </c>
    </row>
    <row r="597" spans="1:26" ht="12.75" hidden="1">
      <c r="A597" s="56" t="s">
        <v>2352</v>
      </c>
      <c r="B597" s="58"/>
      <c r="C597" s="58"/>
      <c r="D597" s="58"/>
      <c r="E597" s="58"/>
      <c r="F597" s="58"/>
      <c r="G597" s="58"/>
      <c r="H597" s="59" t="s">
        <v>2353</v>
      </c>
      <c r="I597" s="59" t="s">
        <v>2354</v>
      </c>
      <c r="J597" s="60" t="str">
        <f ca="1">IFERROR(__xludf.DUMMYFUNCTION("JOIN("": "",H597,I597)"),"3E-50-20-24-00-00-00: Redução concêntrica para instalação central de água gelada")</f>
        <v>3E-50-20-24-00-00-00: Redução concêntrica para instalação central de água gelada</v>
      </c>
      <c r="K597" s="61"/>
      <c r="L597" s="62">
        <v>4</v>
      </c>
      <c r="M597" s="59"/>
      <c r="N597" s="59"/>
      <c r="O597" s="59"/>
      <c r="P597" s="59"/>
      <c r="Q597" s="63"/>
      <c r="R597" s="63"/>
      <c r="S597" s="63"/>
      <c r="T597" s="64">
        <v>94</v>
      </c>
      <c r="U597" s="46" t="b">
        <f ca="1"/>
        <v>0</v>
      </c>
      <c r="X597" s="12" t="s">
        <v>4804</v>
      </c>
      <c r="Y597" s="10">
        <v>94</v>
      </c>
    </row>
    <row r="598" spans="1:26" ht="12.75" hidden="1">
      <c r="A598" s="56" t="s">
        <v>2356</v>
      </c>
      <c r="B598" s="58"/>
      <c r="C598" s="58"/>
      <c r="D598" s="58"/>
      <c r="E598" s="58"/>
      <c r="F598" s="58"/>
      <c r="G598" s="58"/>
      <c r="H598" s="59" t="s">
        <v>2357</v>
      </c>
      <c r="I598" s="59" t="s">
        <v>2358</v>
      </c>
      <c r="J598" s="60" t="str">
        <f ca="1">IFERROR(__xludf.DUMMYFUNCTION("JOIN("": "",H598,I598)"),"3E-50-20-26-00-00-00: Redução excêntrica para instalação central de água gelada")</f>
        <v>3E-50-20-26-00-00-00: Redução excêntrica para instalação central de água gelada</v>
      </c>
      <c r="K598" s="61"/>
      <c r="L598" s="62">
        <v>4</v>
      </c>
      <c r="M598" s="59"/>
      <c r="N598" s="59"/>
      <c r="O598" s="59"/>
      <c r="P598" s="59"/>
      <c r="Q598" s="63"/>
      <c r="R598" s="63"/>
      <c r="S598" s="63"/>
      <c r="T598" s="64">
        <v>96</v>
      </c>
      <c r="U598" s="45" t="b">
        <f ca="1"/>
        <v>0</v>
      </c>
      <c r="X598" s="12" t="s">
        <v>4805</v>
      </c>
      <c r="Y598" s="10">
        <v>96</v>
      </c>
    </row>
    <row r="599" spans="1:26" ht="12.75" hidden="1">
      <c r="A599" s="56" t="s">
        <v>2360</v>
      </c>
      <c r="B599" s="58"/>
      <c r="C599" s="58"/>
      <c r="D599" s="58"/>
      <c r="E599" s="58"/>
      <c r="F599" s="58"/>
      <c r="G599" s="58"/>
      <c r="H599" s="59" t="s">
        <v>2361</v>
      </c>
      <c r="I599" s="59" t="s">
        <v>2362</v>
      </c>
      <c r="J599" s="60" t="str">
        <f ca="1">IFERROR(__xludf.DUMMYFUNCTION("JOIN("": "",H599,I599)"),"3E-50-20-28-00-00-00: Filtro de linha para instalação central de água gelada")</f>
        <v>3E-50-20-28-00-00-00: Filtro de linha para instalação central de água gelada</v>
      </c>
      <c r="K599" s="61"/>
      <c r="L599" s="62">
        <v>4</v>
      </c>
      <c r="M599" s="59"/>
      <c r="N599" s="59"/>
      <c r="O599" s="59"/>
      <c r="P599" s="59"/>
      <c r="Q599" s="63"/>
      <c r="R599" s="63"/>
      <c r="S599" s="63"/>
      <c r="T599" s="64">
        <v>98</v>
      </c>
      <c r="U599" s="46" t="b">
        <f ca="1"/>
        <v>0</v>
      </c>
      <c r="X599" s="12" t="s">
        <v>4806</v>
      </c>
      <c r="Y599" s="10">
        <v>98</v>
      </c>
    </row>
    <row r="600" spans="1:26" ht="12.75" hidden="1">
      <c r="A600" s="56" t="s">
        <v>2364</v>
      </c>
      <c r="B600" s="58"/>
      <c r="C600" s="58"/>
      <c r="D600" s="58"/>
      <c r="E600" s="58"/>
      <c r="F600" s="58"/>
      <c r="G600" s="58"/>
      <c r="H600" s="59" t="s">
        <v>2365</v>
      </c>
      <c r="I600" s="59" t="s">
        <v>4807</v>
      </c>
      <c r="J600" s="60" t="str">
        <f ca="1">IFERROR(__xludf.DUMMYFUNCTION("JOIN("": "",H600,I600)"),"3E-50-20-30-00-00-00: Amortecedor de vibração para instalação central de água gelada")</f>
        <v>3E-50-20-30-00-00-00: Amortecedor de vibração para instalação central de água gelada</v>
      </c>
      <c r="K600" s="61"/>
      <c r="L600" s="62">
        <v>4</v>
      </c>
      <c r="M600" s="59"/>
      <c r="N600" s="59"/>
      <c r="O600" s="59"/>
      <c r="P600" s="59"/>
      <c r="Q600" s="63"/>
      <c r="R600" s="63"/>
      <c r="S600" s="63"/>
      <c r="T600" s="64">
        <v>100</v>
      </c>
      <c r="U600" s="45" t="b">
        <f ca="1"/>
        <v>0</v>
      </c>
      <c r="X600" s="12" t="s">
        <v>4808</v>
      </c>
      <c r="Y600" s="10">
        <v>100</v>
      </c>
    </row>
    <row r="601" spans="1:26" ht="12.75">
      <c r="A601" s="36" t="s">
        <v>2368</v>
      </c>
      <c r="B601" s="37"/>
      <c r="C601" s="37"/>
      <c r="D601" s="37"/>
      <c r="E601" s="37"/>
      <c r="F601" s="37"/>
      <c r="G601" s="37"/>
      <c r="H601" s="38" t="s">
        <v>2369</v>
      </c>
      <c r="I601" s="38" t="s">
        <v>2370</v>
      </c>
      <c r="J601" s="39" t="str">
        <f ca="1">IFERROR(__xludf.DUMMYFUNCTION("JOIN("": "",H601,I601)"),"3E-52-00-00-00-00-00: Elementos de sistemas de aquecimento")</f>
        <v>3E-52-00-00-00-00-00: Elementos de sistemas de aquecimento</v>
      </c>
      <c r="K601" s="40"/>
      <c r="L601" s="41">
        <v>2</v>
      </c>
      <c r="M601" s="42"/>
      <c r="N601" s="43"/>
      <c r="O601" s="43"/>
      <c r="P601" s="43"/>
      <c r="Q601" s="44">
        <v>7</v>
      </c>
      <c r="R601" s="44">
        <v>6</v>
      </c>
      <c r="S601" s="44">
        <v>7</v>
      </c>
      <c r="T601" s="44">
        <v>52</v>
      </c>
      <c r="U601" s="46" t="b">
        <f ca="1"/>
        <v>0</v>
      </c>
      <c r="W601" s="7" t="str">
        <f>MID(H601, 1, FIND("-", H601, FIND("-", H601)+1)-1)</f>
        <v>3E-52</v>
      </c>
      <c r="X601" s="12" t="s">
        <v>4809</v>
      </c>
      <c r="Y601" s="10">
        <v>52</v>
      </c>
      <c r="Z601" s="7" t="str">
        <f>SUBSTITUTE(I601, "Elementos de ", "")</f>
        <v>sistemas de aquecimento</v>
      </c>
    </row>
    <row r="602" spans="1:26" ht="12.75" hidden="1">
      <c r="A602" s="47" t="s">
        <v>2372</v>
      </c>
      <c r="B602" s="48"/>
      <c r="C602" s="48"/>
      <c r="D602" s="48"/>
      <c r="E602" s="48"/>
      <c r="F602" s="48"/>
      <c r="G602" s="48"/>
      <c r="H602" s="49" t="s">
        <v>2373</v>
      </c>
      <c r="I602" s="49" t="s">
        <v>2374</v>
      </c>
      <c r="J602" s="50" t="str">
        <f ca="1">IFERROR(__xludf.DUMMYFUNCTION("JOIN("": "",H602,I602)"),"3E-52-02-00-00-00-00: Elementos para sistemas de aquecimento solar ativo")</f>
        <v>3E-52-02-00-00-00-00: Elementos para sistemas de aquecimento solar ativo</v>
      </c>
      <c r="K602" s="51"/>
      <c r="L602" s="52">
        <v>3</v>
      </c>
      <c r="M602" s="53"/>
      <c r="N602" s="53"/>
      <c r="O602" s="53"/>
      <c r="P602" s="53"/>
      <c r="Q602" s="54"/>
      <c r="R602" s="54"/>
      <c r="S602" s="54"/>
      <c r="T602" s="55">
        <v>54</v>
      </c>
      <c r="U602" s="45" t="b">
        <f ca="1"/>
        <v>0</v>
      </c>
      <c r="X602" s="12" t="s">
        <v>4810</v>
      </c>
      <c r="Y602" s="10">
        <v>54</v>
      </c>
    </row>
    <row r="603" spans="1:26" ht="12.75" hidden="1">
      <c r="A603" s="56" t="s">
        <v>2376</v>
      </c>
      <c r="B603" s="58"/>
      <c r="C603" s="58"/>
      <c r="D603" s="58"/>
      <c r="E603" s="58"/>
      <c r="F603" s="58"/>
      <c r="G603" s="58"/>
      <c r="H603" s="59" t="s">
        <v>2377</v>
      </c>
      <c r="I603" s="59" t="s">
        <v>2378</v>
      </c>
      <c r="J603" s="60" t="str">
        <f ca="1">IFERROR(__xludf.DUMMYFUNCTION("JOIN("": "",H603,I603)"),"3E-52-02-02-00-00-00: Coletor de placa plana")</f>
        <v>3E-52-02-02-00-00-00: Coletor de placa plana</v>
      </c>
      <c r="K603" s="61"/>
      <c r="L603" s="62">
        <v>4</v>
      </c>
      <c r="M603" s="59"/>
      <c r="N603" s="59"/>
      <c r="O603" s="59"/>
      <c r="P603" s="59"/>
      <c r="Q603" s="63"/>
      <c r="R603" s="63"/>
      <c r="S603" s="63"/>
      <c r="T603" s="64">
        <v>56</v>
      </c>
      <c r="U603" s="46" t="b">
        <f ca="1"/>
        <v>0</v>
      </c>
      <c r="X603" s="12" t="s">
        <v>4811</v>
      </c>
      <c r="Y603" s="10">
        <v>56</v>
      </c>
    </row>
    <row r="604" spans="1:26" ht="12.75" hidden="1">
      <c r="A604" s="56" t="s">
        <v>2380</v>
      </c>
      <c r="B604" s="58"/>
      <c r="C604" s="58"/>
      <c r="D604" s="58"/>
      <c r="E604" s="58"/>
      <c r="F604" s="58"/>
      <c r="G604" s="58"/>
      <c r="H604" s="59" t="s">
        <v>2381</v>
      </c>
      <c r="I604" s="59" t="s">
        <v>2382</v>
      </c>
      <c r="J604" s="60" t="str">
        <f ca="1">IFERROR(__xludf.DUMMYFUNCTION("JOIN("": "",H604,I604)"),"3E-52-02-04-00-00-00: Tanque de armazenamento para líquido quente")</f>
        <v>3E-52-02-04-00-00-00: Tanque de armazenamento para líquido quente</v>
      </c>
      <c r="K604" s="61"/>
      <c r="L604" s="62">
        <v>4</v>
      </c>
      <c r="M604" s="59"/>
      <c r="N604" s="59"/>
      <c r="O604" s="59"/>
      <c r="P604" s="59"/>
      <c r="Q604" s="63"/>
      <c r="R604" s="63"/>
      <c r="S604" s="63"/>
      <c r="T604" s="64">
        <v>58</v>
      </c>
      <c r="U604" s="45" t="b">
        <f ca="1"/>
        <v>0</v>
      </c>
      <c r="X604" s="12" t="s">
        <v>4812</v>
      </c>
      <c r="Y604" s="10">
        <v>58</v>
      </c>
    </row>
    <row r="605" spans="1:26" ht="12.75" hidden="1">
      <c r="A605" s="56" t="s">
        <v>2384</v>
      </c>
      <c r="B605" s="58"/>
      <c r="C605" s="58"/>
      <c r="D605" s="58"/>
      <c r="E605" s="58"/>
      <c r="F605" s="58"/>
      <c r="G605" s="58"/>
      <c r="H605" s="59" t="s">
        <v>2385</v>
      </c>
      <c r="I605" s="59" t="s">
        <v>2386</v>
      </c>
      <c r="J605" s="60" t="str">
        <f ca="1">IFERROR(__xludf.DUMMYFUNCTION("JOIN("": "",H605,I605)"),"3E-52-02-06-00-00-00: Bomba para sistemas de aquecimento solar ativo")</f>
        <v>3E-52-02-06-00-00-00: Bomba para sistemas de aquecimento solar ativo</v>
      </c>
      <c r="K605" s="61"/>
      <c r="L605" s="62">
        <v>4</v>
      </c>
      <c r="M605" s="59"/>
      <c r="N605" s="59"/>
      <c r="O605" s="59"/>
      <c r="P605" s="59"/>
      <c r="Q605" s="63"/>
      <c r="R605" s="63"/>
      <c r="S605" s="63"/>
      <c r="T605" s="64">
        <v>60</v>
      </c>
      <c r="U605" s="46" t="b">
        <f ca="1"/>
        <v>0</v>
      </c>
      <c r="X605" s="12" t="s">
        <v>4813</v>
      </c>
      <c r="Y605" s="10">
        <v>60</v>
      </c>
    </row>
    <row r="606" spans="1:26" ht="12.75" hidden="1">
      <c r="A606" s="56" t="s">
        <v>2388</v>
      </c>
      <c r="B606" s="58"/>
      <c r="C606" s="58"/>
      <c r="D606" s="58"/>
      <c r="E606" s="58"/>
      <c r="F606" s="58"/>
      <c r="G606" s="58"/>
      <c r="H606" s="59" t="s">
        <v>2389</v>
      </c>
      <c r="I606" s="59" t="s">
        <v>2390</v>
      </c>
      <c r="J606" s="60" t="str">
        <f ca="1">IFERROR(__xludf.DUMMYFUNCTION("JOIN("": "",H606,I606)"),"3E-52-02-08-00-00-00: Ventilador para sistemas de aquecimento solar ativo")</f>
        <v>3E-52-02-08-00-00-00: Ventilador para sistemas de aquecimento solar ativo</v>
      </c>
      <c r="K606" s="61"/>
      <c r="L606" s="62">
        <v>4</v>
      </c>
      <c r="M606" s="59"/>
      <c r="N606" s="59"/>
      <c r="O606" s="59"/>
      <c r="P606" s="59"/>
      <c r="Q606" s="63"/>
      <c r="R606" s="63"/>
      <c r="S606" s="63"/>
      <c r="T606" s="64">
        <v>62</v>
      </c>
      <c r="U606" s="45" t="b">
        <f ca="1"/>
        <v>0</v>
      </c>
      <c r="X606" s="12" t="s">
        <v>4814</v>
      </c>
      <c r="Y606" s="10">
        <v>62</v>
      </c>
    </row>
    <row r="607" spans="1:26" ht="12.75" hidden="1">
      <c r="A607" s="56" t="s">
        <v>2392</v>
      </c>
      <c r="B607" s="58"/>
      <c r="C607" s="58"/>
      <c r="D607" s="58"/>
      <c r="E607" s="58"/>
      <c r="F607" s="58"/>
      <c r="G607" s="58"/>
      <c r="H607" s="59" t="s">
        <v>2393</v>
      </c>
      <c r="I607" s="59" t="s">
        <v>2394</v>
      </c>
      <c r="J607" s="60" t="str">
        <f ca="1">IFERROR(__xludf.DUMMYFUNCTION("JOIN("": "",H607,I607)"),"3E-52-02-10-00-00-00: Serpentina para sistemas de aquecimento solar ativo")</f>
        <v>3E-52-02-10-00-00-00: Serpentina para sistemas de aquecimento solar ativo</v>
      </c>
      <c r="K607" s="61"/>
      <c r="L607" s="62">
        <v>4</v>
      </c>
      <c r="M607" s="59"/>
      <c r="N607" s="59"/>
      <c r="O607" s="59"/>
      <c r="P607" s="59"/>
      <c r="Q607" s="63"/>
      <c r="R607" s="63"/>
      <c r="S607" s="63"/>
      <c r="T607" s="64">
        <v>64</v>
      </c>
      <c r="U607" s="46" t="b">
        <f ca="1"/>
        <v>0</v>
      </c>
      <c r="X607" s="12" t="s">
        <v>4815</v>
      </c>
      <c r="Y607" s="10">
        <v>64</v>
      </c>
    </row>
    <row r="608" spans="1:26" ht="12.75" hidden="1">
      <c r="A608" s="56" t="s">
        <v>2396</v>
      </c>
      <c r="B608" s="58"/>
      <c r="C608" s="58"/>
      <c r="D608" s="58"/>
      <c r="E608" s="58"/>
      <c r="F608" s="58"/>
      <c r="G608" s="58"/>
      <c r="H608" s="59" t="s">
        <v>2397</v>
      </c>
      <c r="I608" s="59" t="s">
        <v>2398</v>
      </c>
      <c r="J608" s="60" t="str">
        <f ca="1">IFERROR(__xludf.DUMMYFUNCTION("JOIN("": "",H608,I608)"),"3E-52-02-12-00-00-00: Duto para sistemas de aquecimento solar ativo")</f>
        <v>3E-52-02-12-00-00-00: Duto para sistemas de aquecimento solar ativo</v>
      </c>
      <c r="K608" s="61"/>
      <c r="L608" s="62">
        <v>4</v>
      </c>
      <c r="M608" s="59"/>
      <c r="N608" s="59"/>
      <c r="O608" s="59"/>
      <c r="P608" s="59"/>
      <c r="Q608" s="63"/>
      <c r="R608" s="63"/>
      <c r="S608" s="63"/>
      <c r="T608" s="64">
        <v>66</v>
      </c>
      <c r="U608" s="45" t="b">
        <f ca="1"/>
        <v>0</v>
      </c>
      <c r="X608" s="12" t="s">
        <v>4816</v>
      </c>
      <c r="Y608" s="10">
        <v>66</v>
      </c>
    </row>
    <row r="609" spans="1:25" ht="12.75" hidden="1">
      <c r="A609" s="56" t="s">
        <v>2400</v>
      </c>
      <c r="B609" s="58"/>
      <c r="C609" s="58"/>
      <c r="D609" s="58"/>
      <c r="E609" s="58"/>
      <c r="F609" s="58"/>
      <c r="G609" s="58"/>
      <c r="H609" s="59" t="s">
        <v>2401</v>
      </c>
      <c r="I609" s="59" t="s">
        <v>2402</v>
      </c>
      <c r="J609" s="60" t="str">
        <f ca="1">IFERROR(__xludf.DUMMYFUNCTION("JOIN("": "",H609,I609)"),"3E-52-02-14-00-00-00: Difusor para sistemas de aquecimento solar ativo")</f>
        <v>3E-52-02-14-00-00-00: Difusor para sistemas de aquecimento solar ativo</v>
      </c>
      <c r="K609" s="61"/>
      <c r="L609" s="62">
        <v>4</v>
      </c>
      <c r="M609" s="59"/>
      <c r="N609" s="59"/>
      <c r="O609" s="59"/>
      <c r="P609" s="59"/>
      <c r="Q609" s="63"/>
      <c r="R609" s="63"/>
      <c r="S609" s="63"/>
      <c r="T609" s="64">
        <v>68</v>
      </c>
      <c r="U609" s="46" t="b">
        <f ca="1"/>
        <v>0</v>
      </c>
      <c r="X609" s="12" t="s">
        <v>4817</v>
      </c>
      <c r="Y609" s="10">
        <v>68</v>
      </c>
    </row>
    <row r="610" spans="1:25" ht="12.75" hidden="1">
      <c r="A610" s="47" t="s">
        <v>2404</v>
      </c>
      <c r="B610" s="48"/>
      <c r="C610" s="48"/>
      <c r="D610" s="48"/>
      <c r="E610" s="48"/>
      <c r="F610" s="48"/>
      <c r="G610" s="48"/>
      <c r="H610" s="49" t="s">
        <v>2405</v>
      </c>
      <c r="I610" s="49" t="s">
        <v>2406</v>
      </c>
      <c r="J610" s="50" t="str">
        <f ca="1">IFERROR(__xludf.DUMMYFUNCTION("JOIN("": "",H610,I610)"),"3E-52-04-00-00-00-00: Elementos para sistemas de aquecimento hidrônico por água quente")</f>
        <v>3E-52-04-00-00-00-00: Elementos para sistemas de aquecimento hidrônico por água quente</v>
      </c>
      <c r="K610" s="51"/>
      <c r="L610" s="52">
        <v>3</v>
      </c>
      <c r="M610" s="53"/>
      <c r="N610" s="53"/>
      <c r="O610" s="53"/>
      <c r="P610" s="53"/>
      <c r="Q610" s="54"/>
      <c r="R610" s="54"/>
      <c r="S610" s="54"/>
      <c r="T610" s="55">
        <v>56</v>
      </c>
      <c r="U610" s="45" t="b">
        <f ca="1"/>
        <v>0</v>
      </c>
      <c r="X610" s="12" t="s">
        <v>4818</v>
      </c>
      <c r="Y610" s="10">
        <v>56</v>
      </c>
    </row>
    <row r="611" spans="1:25" ht="12.75" hidden="1">
      <c r="A611" s="56" t="s">
        <v>2408</v>
      </c>
      <c r="B611" s="58"/>
      <c r="C611" s="58"/>
      <c r="D611" s="58"/>
      <c r="E611" s="58"/>
      <c r="F611" s="58"/>
      <c r="G611" s="58"/>
      <c r="H611" s="59" t="s">
        <v>2409</v>
      </c>
      <c r="I611" s="59" t="s">
        <v>2410</v>
      </c>
      <c r="J611" s="60" t="str">
        <f ca="1">IFERROR(__xludf.DUMMYFUNCTION("JOIN("": "",H611,I611)"),"3E-52-04-02-00-00-00: Caldeira para sistemas de aquecimento hidrônico por água quente")</f>
        <v>3E-52-04-02-00-00-00: Caldeira para sistemas de aquecimento hidrônico por água quente</v>
      </c>
      <c r="K611" s="61"/>
      <c r="L611" s="62">
        <v>4</v>
      </c>
      <c r="M611" s="59"/>
      <c r="N611" s="59"/>
      <c r="O611" s="59"/>
      <c r="P611" s="59"/>
      <c r="Q611" s="63"/>
      <c r="R611" s="63"/>
      <c r="S611" s="63"/>
      <c r="T611" s="64">
        <v>58</v>
      </c>
      <c r="U611" s="46" t="b">
        <f ca="1"/>
        <v>0</v>
      </c>
      <c r="X611" s="12" t="s">
        <v>4819</v>
      </c>
      <c r="Y611" s="10">
        <v>58</v>
      </c>
    </row>
    <row r="612" spans="1:25" ht="12.75" hidden="1">
      <c r="A612" s="56" t="s">
        <v>2412</v>
      </c>
      <c r="B612" s="58"/>
      <c r="C612" s="58"/>
      <c r="D612" s="58"/>
      <c r="E612" s="58"/>
      <c r="F612" s="58"/>
      <c r="G612" s="58"/>
      <c r="H612" s="59" t="s">
        <v>2413</v>
      </c>
      <c r="I612" s="59" t="s">
        <v>2414</v>
      </c>
      <c r="J612" s="60" t="str">
        <f ca="1">IFERROR(__xludf.DUMMYFUNCTION("JOIN("": "",H612,I612)"),"3E-52-04-04-00-00-00: Tanque de compressão para sistemas de aquecimento hidrônico por água quente")</f>
        <v>3E-52-04-04-00-00-00: Tanque de compressão para sistemas de aquecimento hidrônico por água quente</v>
      </c>
      <c r="K612" s="61"/>
      <c r="L612" s="62">
        <v>4</v>
      </c>
      <c r="M612" s="59"/>
      <c r="N612" s="59"/>
      <c r="O612" s="59"/>
      <c r="P612" s="59"/>
      <c r="Q612" s="63"/>
      <c r="R612" s="63"/>
      <c r="S612" s="63"/>
      <c r="T612" s="64">
        <v>60</v>
      </c>
      <c r="U612" s="45" t="b">
        <f ca="1"/>
        <v>0</v>
      </c>
      <c r="X612" s="12" t="s">
        <v>4820</v>
      </c>
      <c r="Y612" s="10">
        <v>60</v>
      </c>
    </row>
    <row r="613" spans="1:25" ht="12.75" hidden="1">
      <c r="A613" s="56" t="s">
        <v>2416</v>
      </c>
      <c r="B613" s="58"/>
      <c r="C613" s="58"/>
      <c r="D613" s="58"/>
      <c r="E613" s="58"/>
      <c r="F613" s="58"/>
      <c r="G613" s="58"/>
      <c r="H613" s="59" t="s">
        <v>2417</v>
      </c>
      <c r="I613" s="59" t="s">
        <v>2418</v>
      </c>
      <c r="J613" s="60" t="str">
        <f ca="1">IFERROR(__xludf.DUMMYFUNCTION("JOIN("": "",H613,I613)"),"3E-52-04-06-00-00-00: Bomba para sistemas de aquecimento hidrônico por água quente")</f>
        <v>3E-52-04-06-00-00-00: Bomba para sistemas de aquecimento hidrônico por água quente</v>
      </c>
      <c r="K613" s="61"/>
      <c r="L613" s="62">
        <v>4</v>
      </c>
      <c r="M613" s="59"/>
      <c r="N613" s="59"/>
      <c r="O613" s="59"/>
      <c r="P613" s="59"/>
      <c r="Q613" s="63"/>
      <c r="R613" s="63"/>
      <c r="S613" s="63"/>
      <c r="T613" s="64">
        <v>62</v>
      </c>
      <c r="U613" s="46" t="b">
        <f ca="1"/>
        <v>0</v>
      </c>
      <c r="X613" s="12" t="s">
        <v>4821</v>
      </c>
      <c r="Y613" s="10">
        <v>62</v>
      </c>
    </row>
    <row r="614" spans="1:25" ht="12.75" hidden="1">
      <c r="A614" s="56" t="s">
        <v>2420</v>
      </c>
      <c r="B614" s="58"/>
      <c r="C614" s="58"/>
      <c r="D614" s="58"/>
      <c r="E614" s="58"/>
      <c r="F614" s="58"/>
      <c r="G614" s="58"/>
      <c r="H614" s="59" t="s">
        <v>2421</v>
      </c>
      <c r="I614" s="59" t="s">
        <v>2422</v>
      </c>
      <c r="J614" s="60" t="str">
        <f ca="1">IFERROR(__xludf.DUMMYFUNCTION("JOIN("": "",H614,I614)"),"3E-52-04-08-00-00-00: Ramal de distribuição para sistemas de aquecimento hidrônico por água quente")</f>
        <v>3E-52-04-08-00-00-00: Ramal de distribuição para sistemas de aquecimento hidrônico por água quente</v>
      </c>
      <c r="K614" s="61"/>
      <c r="L614" s="62">
        <v>4</v>
      </c>
      <c r="M614" s="59"/>
      <c r="N614" s="59"/>
      <c r="O614" s="59"/>
      <c r="P614" s="59"/>
      <c r="Q614" s="63"/>
      <c r="R614" s="63"/>
      <c r="S614" s="63"/>
      <c r="T614" s="64">
        <v>64</v>
      </c>
      <c r="U614" s="45" t="b">
        <f ca="1"/>
        <v>0</v>
      </c>
      <c r="X614" s="12" t="s">
        <v>4822</v>
      </c>
      <c r="Y614" s="10">
        <v>64</v>
      </c>
    </row>
    <row r="615" spans="1:25" ht="12.75" hidden="1">
      <c r="A615" s="56" t="s">
        <v>2424</v>
      </c>
      <c r="B615" s="58"/>
      <c r="C615" s="58"/>
      <c r="D615" s="58"/>
      <c r="E615" s="58"/>
      <c r="F615" s="58"/>
      <c r="G615" s="58"/>
      <c r="H615" s="59" t="s">
        <v>2425</v>
      </c>
      <c r="I615" s="59" t="s">
        <v>2426</v>
      </c>
      <c r="J615" s="60" t="str">
        <f ca="1">IFERROR(__xludf.DUMMYFUNCTION("JOIN("": "",H615,I615)"),"3E-52-04-10-00-00-00: Válvula de pressão para sistemas de aquecimento hidrônico por água quente")</f>
        <v>3E-52-04-10-00-00-00: Válvula de pressão para sistemas de aquecimento hidrônico por água quente</v>
      </c>
      <c r="K615" s="61"/>
      <c r="L615" s="62">
        <v>4</v>
      </c>
      <c r="M615" s="59"/>
      <c r="N615" s="59"/>
      <c r="O615" s="59"/>
      <c r="P615" s="59"/>
      <c r="Q615" s="63"/>
      <c r="R615" s="63"/>
      <c r="S615" s="63"/>
      <c r="T615" s="64">
        <v>66</v>
      </c>
      <c r="U615" s="46" t="b">
        <f ca="1"/>
        <v>0</v>
      </c>
      <c r="X615" s="12" t="s">
        <v>4823</v>
      </c>
      <c r="Y615" s="10">
        <v>66</v>
      </c>
    </row>
    <row r="616" spans="1:25" ht="12.75" hidden="1">
      <c r="A616" s="56" t="s">
        <v>2428</v>
      </c>
      <c r="B616" s="58"/>
      <c r="C616" s="58"/>
      <c r="D616" s="58"/>
      <c r="E616" s="58"/>
      <c r="F616" s="58"/>
      <c r="G616" s="58"/>
      <c r="H616" s="59" t="s">
        <v>2429</v>
      </c>
      <c r="I616" s="59" t="s">
        <v>2430</v>
      </c>
      <c r="J616" s="60" t="str">
        <f ca="1">IFERROR(__xludf.DUMMYFUNCTION("JOIN("": "",H616,I616)"),"3E-52-04-12-00-00-00: Válvula de controle para sistemas de aquecimento hidrônico por água quente")</f>
        <v>3E-52-04-12-00-00-00: Válvula de controle para sistemas de aquecimento hidrônico por água quente</v>
      </c>
      <c r="K616" s="61"/>
      <c r="L616" s="62">
        <v>4</v>
      </c>
      <c r="M616" s="59"/>
      <c r="N616" s="59"/>
      <c r="O616" s="59"/>
      <c r="P616" s="59"/>
      <c r="Q616" s="63"/>
      <c r="R616" s="63"/>
      <c r="S616" s="63"/>
      <c r="T616" s="64">
        <v>68</v>
      </c>
      <c r="U616" s="45" t="b">
        <f ca="1"/>
        <v>0</v>
      </c>
      <c r="X616" s="12" t="s">
        <v>4824</v>
      </c>
      <c r="Y616" s="10">
        <v>68</v>
      </c>
    </row>
    <row r="617" spans="1:25" ht="12.75" hidden="1">
      <c r="A617" s="56" t="s">
        <v>2432</v>
      </c>
      <c r="B617" s="58"/>
      <c r="C617" s="58"/>
      <c r="D617" s="58"/>
      <c r="E617" s="58"/>
      <c r="F617" s="58"/>
      <c r="G617" s="58"/>
      <c r="H617" s="59" t="s">
        <v>2433</v>
      </c>
      <c r="I617" s="59" t="s">
        <v>2434</v>
      </c>
      <c r="J617" s="60" t="str">
        <f ca="1">IFERROR(__xludf.DUMMYFUNCTION("JOIN("": "",H617,I617)"),"3E-52-04-14-00-00-00: Radiador de calor para sistemas de aquecimento hidrônico por água quente")</f>
        <v>3E-52-04-14-00-00-00: Radiador de calor para sistemas de aquecimento hidrônico por água quente</v>
      </c>
      <c r="K617" s="61"/>
      <c r="L617" s="62">
        <v>4</v>
      </c>
      <c r="M617" s="59"/>
      <c r="N617" s="59"/>
      <c r="O617" s="59"/>
      <c r="P617" s="59"/>
      <c r="Q617" s="63"/>
      <c r="R617" s="63"/>
      <c r="S617" s="63"/>
      <c r="T617" s="64">
        <v>70</v>
      </c>
      <c r="U617" s="46" t="b">
        <f ca="1"/>
        <v>0</v>
      </c>
      <c r="X617" s="12" t="s">
        <v>4825</v>
      </c>
      <c r="Y617" s="10">
        <v>70</v>
      </c>
    </row>
    <row r="618" spans="1:25" ht="12.75" hidden="1">
      <c r="A618" s="47" t="s">
        <v>2436</v>
      </c>
      <c r="B618" s="48"/>
      <c r="C618" s="48"/>
      <c r="D618" s="48"/>
      <c r="E618" s="48"/>
      <c r="F618" s="48"/>
      <c r="G618" s="48"/>
      <c r="H618" s="49" t="s">
        <v>2437</v>
      </c>
      <c r="I618" s="49" t="s">
        <v>2438</v>
      </c>
      <c r="J618" s="50" t="str">
        <f ca="1">IFERROR(__xludf.DUMMYFUNCTION("JOIN("": "",H618,I618)"),"3E-52-06-00-00-00-00: Elementos para sistemas de aquecimento a vapor")</f>
        <v>3E-52-06-00-00-00-00: Elementos para sistemas de aquecimento a vapor</v>
      </c>
      <c r="K618" s="51"/>
      <c r="L618" s="52">
        <v>3</v>
      </c>
      <c r="M618" s="53"/>
      <c r="N618" s="53"/>
      <c r="O618" s="53"/>
      <c r="P618" s="53"/>
      <c r="Q618" s="54"/>
      <c r="R618" s="54"/>
      <c r="S618" s="54"/>
      <c r="T618" s="55">
        <v>58</v>
      </c>
      <c r="U618" s="45" t="b">
        <f ca="1"/>
        <v>0</v>
      </c>
      <c r="X618" s="12" t="s">
        <v>4826</v>
      </c>
      <c r="Y618" s="10">
        <v>58</v>
      </c>
    </row>
    <row r="619" spans="1:25" ht="12.75" hidden="1">
      <c r="A619" s="56" t="s">
        <v>2440</v>
      </c>
      <c r="B619" s="58"/>
      <c r="C619" s="58"/>
      <c r="D619" s="58"/>
      <c r="E619" s="58"/>
      <c r="F619" s="58"/>
      <c r="G619" s="58"/>
      <c r="H619" s="59" t="s">
        <v>2441</v>
      </c>
      <c r="I619" s="59" t="s">
        <v>2442</v>
      </c>
      <c r="J619" s="60" t="str">
        <f ca="1">IFERROR(__xludf.DUMMYFUNCTION("JOIN("": "",H619,I619)"),"3E-52-06-02-00-00-00: Caldeira para sistemas de aquecimento a vapor")</f>
        <v>3E-52-06-02-00-00-00: Caldeira para sistemas de aquecimento a vapor</v>
      </c>
      <c r="K619" s="61"/>
      <c r="L619" s="62">
        <v>4</v>
      </c>
      <c r="M619" s="59"/>
      <c r="N619" s="59"/>
      <c r="O619" s="59"/>
      <c r="P619" s="59"/>
      <c r="Q619" s="63"/>
      <c r="R619" s="63"/>
      <c r="S619" s="63"/>
      <c r="T619" s="64">
        <v>60</v>
      </c>
      <c r="U619" s="46" t="b">
        <f ca="1"/>
        <v>0</v>
      </c>
      <c r="X619" s="12" t="s">
        <v>4827</v>
      </c>
      <c r="Y619" s="10">
        <v>60</v>
      </c>
    </row>
    <row r="620" spans="1:25" ht="12.75" hidden="1">
      <c r="A620" s="56" t="s">
        <v>2444</v>
      </c>
      <c r="B620" s="58"/>
      <c r="C620" s="58"/>
      <c r="D620" s="58"/>
      <c r="E620" s="58"/>
      <c r="F620" s="58"/>
      <c r="G620" s="58"/>
      <c r="H620" s="59" t="s">
        <v>2445</v>
      </c>
      <c r="I620" s="59" t="s">
        <v>2446</v>
      </c>
      <c r="J620" s="60" t="str">
        <f ca="1">IFERROR(__xludf.DUMMYFUNCTION("JOIN("": "",H620,I620)"),"3E-52-06-04-00-00-00: Bomba de Vácuo para sistemas de aquecimento a vapor")</f>
        <v>3E-52-06-04-00-00-00: Bomba de Vácuo para sistemas de aquecimento a vapor</v>
      </c>
      <c r="K620" s="61"/>
      <c r="L620" s="62">
        <v>4</v>
      </c>
      <c r="M620" s="59"/>
      <c r="N620" s="59"/>
      <c r="O620" s="59"/>
      <c r="P620" s="59"/>
      <c r="Q620" s="63"/>
      <c r="R620" s="63"/>
      <c r="S620" s="63"/>
      <c r="T620" s="64">
        <v>62</v>
      </c>
      <c r="U620" s="45" t="b">
        <f ca="1"/>
        <v>0</v>
      </c>
      <c r="X620" s="12" t="s">
        <v>4828</v>
      </c>
      <c r="Y620" s="10">
        <v>62</v>
      </c>
    </row>
    <row r="621" spans="1:25" ht="12.75" hidden="1">
      <c r="A621" s="56" t="s">
        <v>2448</v>
      </c>
      <c r="B621" s="58"/>
      <c r="C621" s="58"/>
      <c r="D621" s="58"/>
      <c r="E621" s="58"/>
      <c r="F621" s="58"/>
      <c r="G621" s="58"/>
      <c r="H621" s="59" t="s">
        <v>2449</v>
      </c>
      <c r="I621" s="59" t="s">
        <v>2450</v>
      </c>
      <c r="J621" s="60" t="str">
        <f ca="1">IFERROR(__xludf.DUMMYFUNCTION("JOIN("": "",H621,I621)"),"3E-52-06-06-00-00-00: Ramal de alimentação para sistemas de aquecimento a vapor")</f>
        <v>3E-52-06-06-00-00-00: Ramal de alimentação para sistemas de aquecimento a vapor</v>
      </c>
      <c r="K621" s="61"/>
      <c r="L621" s="62">
        <v>4</v>
      </c>
      <c r="M621" s="59"/>
      <c r="N621" s="59"/>
      <c r="O621" s="59"/>
      <c r="P621" s="59"/>
      <c r="Q621" s="63"/>
      <c r="R621" s="63"/>
      <c r="S621" s="63"/>
      <c r="T621" s="64">
        <v>64</v>
      </c>
      <c r="U621" s="46" t="b">
        <f ca="1"/>
        <v>0</v>
      </c>
      <c r="X621" s="12" t="s">
        <v>4829</v>
      </c>
      <c r="Y621" s="10">
        <v>64</v>
      </c>
    </row>
    <row r="622" spans="1:25" ht="12.75" hidden="1">
      <c r="A622" s="56" t="s">
        <v>2452</v>
      </c>
      <c r="B622" s="58"/>
      <c r="C622" s="58"/>
      <c r="D622" s="58"/>
      <c r="E622" s="58"/>
      <c r="F622" s="58"/>
      <c r="G622" s="58"/>
      <c r="H622" s="59" t="s">
        <v>2453</v>
      </c>
      <c r="I622" s="59" t="s">
        <v>2454</v>
      </c>
      <c r="J622" s="60" t="str">
        <f ca="1">IFERROR(__xludf.DUMMYFUNCTION("JOIN("": "",H622,I622)"),"3E-52-06-08-00-00-00: Ramal de retorno da água para sistemas de aquecimento a vapor")</f>
        <v>3E-52-06-08-00-00-00: Ramal de retorno da água para sistemas de aquecimento a vapor</v>
      </c>
      <c r="K622" s="61"/>
      <c r="L622" s="62">
        <v>4</v>
      </c>
      <c r="M622" s="59"/>
      <c r="N622" s="59"/>
      <c r="O622" s="59"/>
      <c r="P622" s="59"/>
      <c r="Q622" s="63"/>
      <c r="R622" s="63"/>
      <c r="S622" s="63"/>
      <c r="T622" s="64">
        <v>66</v>
      </c>
      <c r="U622" s="45" t="b">
        <f ca="1"/>
        <v>0</v>
      </c>
      <c r="X622" s="12" t="s">
        <v>4830</v>
      </c>
      <c r="Y622" s="10">
        <v>66</v>
      </c>
    </row>
    <row r="623" spans="1:25" ht="12.75" hidden="1">
      <c r="A623" s="56" t="s">
        <v>2456</v>
      </c>
      <c r="B623" s="58"/>
      <c r="C623" s="58"/>
      <c r="D623" s="58"/>
      <c r="E623" s="58"/>
      <c r="F623" s="58"/>
      <c r="G623" s="58"/>
      <c r="H623" s="59" t="s">
        <v>2457</v>
      </c>
      <c r="I623" s="59" t="s">
        <v>2458</v>
      </c>
      <c r="J623" s="60" t="str">
        <f ca="1">IFERROR(__xludf.DUMMYFUNCTION("JOIN("": "",H623,I623)"),"3E-52-06-10-00-00-00: Válvula de controle para sistemas de aquecimento a vapor")</f>
        <v>3E-52-06-10-00-00-00: Válvula de controle para sistemas de aquecimento a vapor</v>
      </c>
      <c r="K623" s="61"/>
      <c r="L623" s="62">
        <v>4</v>
      </c>
      <c r="M623" s="59"/>
      <c r="N623" s="59"/>
      <c r="O623" s="59"/>
      <c r="P623" s="59"/>
      <c r="Q623" s="63"/>
      <c r="R623" s="63"/>
      <c r="S623" s="63"/>
      <c r="T623" s="64">
        <v>68</v>
      </c>
      <c r="U623" s="46" t="b">
        <f ca="1"/>
        <v>0</v>
      </c>
      <c r="X623" s="12" t="s">
        <v>4831</v>
      </c>
      <c r="Y623" s="10">
        <v>68</v>
      </c>
    </row>
    <row r="624" spans="1:25" ht="12.75" hidden="1">
      <c r="A624" s="56" t="s">
        <v>2460</v>
      </c>
      <c r="B624" s="58"/>
      <c r="C624" s="58"/>
      <c r="D624" s="58"/>
      <c r="E624" s="58"/>
      <c r="F624" s="58"/>
      <c r="G624" s="58"/>
      <c r="H624" s="59" t="s">
        <v>2461</v>
      </c>
      <c r="I624" s="59" t="s">
        <v>2462</v>
      </c>
      <c r="J624" s="60" t="str">
        <f ca="1">IFERROR(__xludf.DUMMYFUNCTION("JOIN("": "",H624,I624)"),"3E-52-06-12-00-00-00: Radiador para sistemas de aquecimento a vapor")</f>
        <v>3E-52-06-12-00-00-00: Radiador para sistemas de aquecimento a vapor</v>
      </c>
      <c r="K624" s="61"/>
      <c r="L624" s="62">
        <v>4</v>
      </c>
      <c r="M624" s="59"/>
      <c r="N624" s="59"/>
      <c r="O624" s="59"/>
      <c r="P624" s="59"/>
      <c r="Q624" s="63"/>
      <c r="R624" s="63"/>
      <c r="S624" s="63"/>
      <c r="T624" s="64">
        <v>70</v>
      </c>
      <c r="U624" s="45" t="b">
        <f ca="1"/>
        <v>0</v>
      </c>
      <c r="X624" s="12" t="s">
        <v>4832</v>
      </c>
      <c r="Y624" s="10">
        <v>70</v>
      </c>
    </row>
    <row r="625" spans="1:26" ht="12.75" hidden="1">
      <c r="A625" s="47" t="s">
        <v>2464</v>
      </c>
      <c r="B625" s="48"/>
      <c r="C625" s="48"/>
      <c r="D625" s="48"/>
      <c r="E625" s="48"/>
      <c r="F625" s="48"/>
      <c r="G625" s="48"/>
      <c r="H625" s="49" t="s">
        <v>2465</v>
      </c>
      <c r="I625" s="49" t="s">
        <v>2466</v>
      </c>
      <c r="J625" s="50" t="str">
        <f ca="1">IFERROR(__xludf.DUMMYFUNCTION("JOIN("": "",H625,I625)"),"3E-52-08-00-00-00-00: Elementos para sistemas de aquecimento por ar quente")</f>
        <v>3E-52-08-00-00-00-00: Elementos para sistemas de aquecimento por ar quente</v>
      </c>
      <c r="K625" s="51"/>
      <c r="L625" s="52">
        <v>3</v>
      </c>
      <c r="M625" s="53"/>
      <c r="N625" s="53"/>
      <c r="O625" s="53"/>
      <c r="P625" s="53"/>
      <c r="Q625" s="54"/>
      <c r="R625" s="54"/>
      <c r="S625" s="54"/>
      <c r="T625" s="55">
        <v>60</v>
      </c>
      <c r="U625" s="46" t="b">
        <f ca="1"/>
        <v>0</v>
      </c>
      <c r="X625" s="12" t="s">
        <v>4833</v>
      </c>
      <c r="Y625" s="10">
        <v>60</v>
      </c>
    </row>
    <row r="626" spans="1:26" ht="12.75" hidden="1">
      <c r="A626" s="56" t="s">
        <v>2468</v>
      </c>
      <c r="B626" s="58"/>
      <c r="C626" s="58"/>
      <c r="D626" s="58"/>
      <c r="E626" s="58"/>
      <c r="F626" s="58"/>
      <c r="G626" s="58"/>
      <c r="H626" s="59" t="s">
        <v>2469</v>
      </c>
      <c r="I626" s="59" t="s">
        <v>2470</v>
      </c>
      <c r="J626" s="60" t="str">
        <f ca="1">IFERROR(__xludf.DUMMYFUNCTION("JOIN("": "",H626,I626)"),"3E-52-08-02-00-00-00: Combustor para sistemas de aquecimento por ar quente")</f>
        <v>3E-52-08-02-00-00-00: Combustor para sistemas de aquecimento por ar quente</v>
      </c>
      <c r="K626" s="61"/>
      <c r="L626" s="62">
        <v>4</v>
      </c>
      <c r="M626" s="59"/>
      <c r="N626" s="59"/>
      <c r="O626" s="59"/>
      <c r="P626" s="59"/>
      <c r="Q626" s="63"/>
      <c r="R626" s="63"/>
      <c r="S626" s="63"/>
      <c r="T626" s="64">
        <v>62</v>
      </c>
      <c r="U626" s="45" t="b">
        <f ca="1"/>
        <v>0</v>
      </c>
      <c r="X626" s="12" t="s">
        <v>4834</v>
      </c>
      <c r="Y626" s="10">
        <v>62</v>
      </c>
    </row>
    <row r="627" spans="1:26" ht="12.75" hidden="1">
      <c r="A627" s="56" t="s">
        <v>2472</v>
      </c>
      <c r="B627" s="58"/>
      <c r="C627" s="58"/>
      <c r="D627" s="58"/>
      <c r="E627" s="58"/>
      <c r="F627" s="58"/>
      <c r="G627" s="58"/>
      <c r="H627" s="59" t="s">
        <v>2473</v>
      </c>
      <c r="I627" s="59" t="s">
        <v>2474</v>
      </c>
      <c r="J627" s="60" t="str">
        <f ca="1">IFERROR(__xludf.DUMMYFUNCTION("JOIN("": "",H627,I627)"),"3E-52-08-04-00-00-00: Ventilador para sistemas de aquecimento por ar quente")</f>
        <v>3E-52-08-04-00-00-00: Ventilador para sistemas de aquecimento por ar quente</v>
      </c>
      <c r="K627" s="61"/>
      <c r="L627" s="62">
        <v>4</v>
      </c>
      <c r="M627" s="59"/>
      <c r="N627" s="59"/>
      <c r="O627" s="59"/>
      <c r="P627" s="59"/>
      <c r="Q627" s="63"/>
      <c r="R627" s="63"/>
      <c r="S627" s="63"/>
      <c r="T627" s="64">
        <v>64</v>
      </c>
      <c r="U627" s="46" t="b">
        <f ca="1"/>
        <v>0</v>
      </c>
      <c r="X627" s="12" t="s">
        <v>4835</v>
      </c>
      <c r="Y627" s="10">
        <v>64</v>
      </c>
    </row>
    <row r="628" spans="1:26" ht="12.75" hidden="1">
      <c r="A628" s="56" t="s">
        <v>2476</v>
      </c>
      <c r="B628" s="58"/>
      <c r="C628" s="58"/>
      <c r="D628" s="58"/>
      <c r="E628" s="58"/>
      <c r="F628" s="58"/>
      <c r="G628" s="58"/>
      <c r="H628" s="59" t="s">
        <v>2477</v>
      </c>
      <c r="I628" s="59" t="s">
        <v>2478</v>
      </c>
      <c r="J628" s="60" t="str">
        <f ca="1">IFERROR(__xludf.DUMMYFUNCTION("JOIN("": "",H628,I628)"),"3E-52-08-06-00-00-00: Filtro de poeira para sistemas de aquecimento por ar quente")</f>
        <v>3E-52-08-06-00-00-00: Filtro de poeira para sistemas de aquecimento por ar quente</v>
      </c>
      <c r="K628" s="61"/>
      <c r="L628" s="62">
        <v>4</v>
      </c>
      <c r="M628" s="59"/>
      <c r="N628" s="59"/>
      <c r="O628" s="59"/>
      <c r="P628" s="59"/>
      <c r="Q628" s="63"/>
      <c r="R628" s="63"/>
      <c r="S628" s="63"/>
      <c r="T628" s="64">
        <v>66</v>
      </c>
      <c r="U628" s="45" t="b">
        <f ca="1"/>
        <v>0</v>
      </c>
      <c r="X628" s="12" t="s">
        <v>4836</v>
      </c>
      <c r="Y628" s="10">
        <v>66</v>
      </c>
    </row>
    <row r="629" spans="1:26" ht="12.75" hidden="1">
      <c r="A629" s="56" t="s">
        <v>2480</v>
      </c>
      <c r="B629" s="58"/>
      <c r="C629" s="58"/>
      <c r="D629" s="58"/>
      <c r="E629" s="58"/>
      <c r="F629" s="58"/>
      <c r="G629" s="58"/>
      <c r="H629" s="59" t="s">
        <v>2481</v>
      </c>
      <c r="I629" s="59" t="s">
        <v>2482</v>
      </c>
      <c r="J629" s="60" t="str">
        <f ca="1">IFERROR(__xludf.DUMMYFUNCTION("JOIN("": "",H629,I629)"),"3E-52-08-08-00-00-00: Tanque de óleo para sistemas de aquecimento por ar quente")</f>
        <v>3E-52-08-08-00-00-00: Tanque de óleo para sistemas de aquecimento por ar quente</v>
      </c>
      <c r="K629" s="61"/>
      <c r="L629" s="62">
        <v>4</v>
      </c>
      <c r="M629" s="59"/>
      <c r="N629" s="59"/>
      <c r="O629" s="59"/>
      <c r="P629" s="59"/>
      <c r="Q629" s="63"/>
      <c r="R629" s="63"/>
      <c r="S629" s="63"/>
      <c r="T629" s="64">
        <v>68</v>
      </c>
      <c r="U629" s="46" t="b">
        <f ca="1"/>
        <v>0</v>
      </c>
      <c r="X629" s="12" t="s">
        <v>4837</v>
      </c>
      <c r="Y629" s="10">
        <v>68</v>
      </c>
    </row>
    <row r="630" spans="1:26" ht="12.75" hidden="1">
      <c r="A630" s="56" t="s">
        <v>2484</v>
      </c>
      <c r="B630" s="58"/>
      <c r="C630" s="58"/>
      <c r="D630" s="58"/>
      <c r="E630" s="58"/>
      <c r="F630" s="58"/>
      <c r="G630" s="58"/>
      <c r="H630" s="59" t="s">
        <v>2485</v>
      </c>
      <c r="I630" s="59" t="s">
        <v>2486</v>
      </c>
      <c r="J630" s="60" t="str">
        <f ca="1">IFERROR(__xludf.DUMMYFUNCTION("JOIN("": "",H630,I630)"),"3E-52-08-10-00-00-00: Duto de insuflamento para sistemas de aquecimento por ar quente")</f>
        <v>3E-52-08-10-00-00-00: Duto de insuflamento para sistemas de aquecimento por ar quente</v>
      </c>
      <c r="K630" s="61"/>
      <c r="L630" s="62">
        <v>4</v>
      </c>
      <c r="M630" s="59"/>
      <c r="N630" s="59"/>
      <c r="O630" s="59"/>
      <c r="P630" s="59"/>
      <c r="Q630" s="63"/>
      <c r="R630" s="63"/>
      <c r="S630" s="63"/>
      <c r="T630" s="64">
        <v>70</v>
      </c>
      <c r="U630" s="45" t="b">
        <f ca="1"/>
        <v>0</v>
      </c>
      <c r="X630" s="12" t="s">
        <v>4838</v>
      </c>
      <c r="Y630" s="10">
        <v>70</v>
      </c>
    </row>
    <row r="631" spans="1:26" ht="12.75" hidden="1">
      <c r="A631" s="56" t="s">
        <v>2488</v>
      </c>
      <c r="B631" s="58"/>
      <c r="C631" s="58"/>
      <c r="D631" s="58"/>
      <c r="E631" s="58"/>
      <c r="F631" s="58"/>
      <c r="G631" s="58"/>
      <c r="H631" s="59" t="s">
        <v>2489</v>
      </c>
      <c r="I631" s="59" t="s">
        <v>2490</v>
      </c>
      <c r="J631" s="60" t="str">
        <f ca="1">IFERROR(__xludf.DUMMYFUNCTION("JOIN("": "",H631,I631)"),"3E-52-08-12-00-00-00: Duto de retorno para sistemas de aquecimento por ar quente")</f>
        <v>3E-52-08-12-00-00-00: Duto de retorno para sistemas de aquecimento por ar quente</v>
      </c>
      <c r="K631" s="61"/>
      <c r="L631" s="62">
        <v>4</v>
      </c>
      <c r="M631" s="59"/>
      <c r="N631" s="59"/>
      <c r="O631" s="59"/>
      <c r="P631" s="59"/>
      <c r="Q631" s="63"/>
      <c r="R631" s="63"/>
      <c r="S631" s="63"/>
      <c r="T631" s="64">
        <v>72</v>
      </c>
      <c r="U631" s="46" t="b">
        <f ca="1"/>
        <v>0</v>
      </c>
      <c r="X631" s="12" t="s">
        <v>4839</v>
      </c>
      <c r="Y631" s="10">
        <v>72</v>
      </c>
    </row>
    <row r="632" spans="1:26" ht="12.75">
      <c r="A632" s="36" t="s">
        <v>2492</v>
      </c>
      <c r="B632" s="37"/>
      <c r="C632" s="37"/>
      <c r="D632" s="37"/>
      <c r="E632" s="37"/>
      <c r="F632" s="37"/>
      <c r="G632" s="37"/>
      <c r="H632" s="38" t="s">
        <v>2493</v>
      </c>
      <c r="I632" s="38" t="s">
        <v>2494</v>
      </c>
      <c r="J632" s="39" t="str">
        <f ca="1">IFERROR(__xludf.DUMMYFUNCTION("JOIN("": "",H632,I632)"),"3E-54-00-00-00-00-00: Elementos de instalações de gases")</f>
        <v>3E-54-00-00-00-00-00: Elementos de instalações de gases</v>
      </c>
      <c r="K632" s="40"/>
      <c r="L632" s="41">
        <v>2</v>
      </c>
      <c r="M632" s="42"/>
      <c r="N632" s="43"/>
      <c r="O632" s="43"/>
      <c r="P632" s="43"/>
      <c r="Q632" s="44">
        <v>6</v>
      </c>
      <c r="R632" s="44">
        <v>5</v>
      </c>
      <c r="S632" s="44">
        <v>8</v>
      </c>
      <c r="T632" s="44">
        <v>54</v>
      </c>
      <c r="U632" s="45" t="b">
        <f ca="1"/>
        <v>0</v>
      </c>
      <c r="W632" s="7" t="str">
        <f>MID(H632, 1, FIND("-", H632, FIND("-", H632)+1)-1)</f>
        <v>3E-54</v>
      </c>
      <c r="X632" s="12" t="s">
        <v>4840</v>
      </c>
      <c r="Y632" s="10">
        <v>54</v>
      </c>
      <c r="Z632" s="7" t="str">
        <f>SUBSTITUTE(I632, "Elementos de ", "")</f>
        <v>instalações de gases</v>
      </c>
    </row>
    <row r="633" spans="1:26" ht="12.75" hidden="1">
      <c r="A633" s="47" t="s">
        <v>2496</v>
      </c>
      <c r="B633" s="48"/>
      <c r="C633" s="48"/>
      <c r="D633" s="48"/>
      <c r="E633" s="48"/>
      <c r="F633" s="48"/>
      <c r="G633" s="48"/>
      <c r="H633" s="49" t="s">
        <v>2497</v>
      </c>
      <c r="I633" s="49" t="s">
        <v>2498</v>
      </c>
      <c r="J633" s="50" t="str">
        <f ca="1">IFERROR(__xludf.DUMMYFUNCTION("JOIN("": "",H633,I633)"),"3E-54-02-00-00-00-00: Elementos para instalações de gases combustíveis")</f>
        <v>3E-54-02-00-00-00-00: Elementos para instalações de gases combustíveis</v>
      </c>
      <c r="K633" s="51"/>
      <c r="L633" s="52">
        <v>3</v>
      </c>
      <c r="M633" s="53"/>
      <c r="N633" s="53"/>
      <c r="O633" s="53"/>
      <c r="P633" s="53"/>
      <c r="Q633" s="54"/>
      <c r="R633" s="54"/>
      <c r="S633" s="54"/>
      <c r="T633" s="55">
        <v>56</v>
      </c>
      <c r="U633" s="46" t="b">
        <f ca="1"/>
        <v>0</v>
      </c>
      <c r="X633" s="12" t="s">
        <v>4841</v>
      </c>
      <c r="Y633" s="10">
        <v>56</v>
      </c>
    </row>
    <row r="634" spans="1:26" ht="12.75" hidden="1">
      <c r="A634" s="56" t="s">
        <v>2500</v>
      </c>
      <c r="B634" s="58"/>
      <c r="C634" s="58"/>
      <c r="D634" s="58"/>
      <c r="E634" s="58"/>
      <c r="F634" s="58"/>
      <c r="G634" s="58"/>
      <c r="H634" s="59" t="s">
        <v>2501</v>
      </c>
      <c r="I634" s="59" t="s">
        <v>2502</v>
      </c>
      <c r="J634" s="60" t="str">
        <f ca="1">IFERROR(__xludf.DUMMYFUNCTION("JOIN("": "",H634,I634)"),"3E-54-02-02-00-00-00: Elementos alimentadores em instalações de gases oombustíveis")</f>
        <v>3E-54-02-02-00-00-00: Elementos alimentadores em instalações de gases oombustíveis</v>
      </c>
      <c r="K634" s="61"/>
      <c r="L634" s="62">
        <v>4</v>
      </c>
      <c r="M634" s="59"/>
      <c r="N634" s="59"/>
      <c r="O634" s="59"/>
      <c r="P634" s="59"/>
      <c r="Q634" s="63"/>
      <c r="R634" s="63"/>
      <c r="S634" s="63"/>
      <c r="T634" s="64">
        <v>58</v>
      </c>
      <c r="U634" s="45" t="b">
        <f ca="1"/>
        <v>0</v>
      </c>
      <c r="X634" s="12" t="s">
        <v>4842</v>
      </c>
      <c r="Y634" s="10">
        <v>58</v>
      </c>
    </row>
    <row r="635" spans="1:26" ht="12.75" hidden="1">
      <c r="A635" s="56" t="s">
        <v>2504</v>
      </c>
      <c r="B635" s="58"/>
      <c r="C635" s="58"/>
      <c r="D635" s="58"/>
      <c r="E635" s="58"/>
      <c r="F635" s="58"/>
      <c r="G635" s="58"/>
      <c r="H635" s="59" t="s">
        <v>2505</v>
      </c>
      <c r="I635" s="59" t="s">
        <v>2506</v>
      </c>
      <c r="J635" s="60" t="str">
        <f ca="1">IFERROR(__xludf.DUMMYFUNCTION("JOIN("": "",H635,I635)"),"3E-54-02-04-00-00-00: Elementos distribuidores em instalações de gases combustíveis")</f>
        <v>3E-54-02-04-00-00-00: Elementos distribuidores em instalações de gases combustíveis</v>
      </c>
      <c r="K635" s="61"/>
      <c r="L635" s="62">
        <v>4</v>
      </c>
      <c r="M635" s="59"/>
      <c r="N635" s="59"/>
      <c r="O635" s="59"/>
      <c r="P635" s="59"/>
      <c r="Q635" s="63"/>
      <c r="R635" s="63"/>
      <c r="S635" s="63"/>
      <c r="T635" s="64">
        <v>60</v>
      </c>
      <c r="U635" s="46" t="b">
        <f ca="1"/>
        <v>0</v>
      </c>
      <c r="X635" s="12" t="s">
        <v>4843</v>
      </c>
      <c r="Y635" s="10">
        <v>60</v>
      </c>
    </row>
    <row r="636" spans="1:26" ht="12.75" hidden="1">
      <c r="A636" s="65" t="s">
        <v>2508</v>
      </c>
      <c r="B636" s="67"/>
      <c r="C636" s="67"/>
      <c r="D636" s="67"/>
      <c r="E636" s="67"/>
      <c r="F636" s="67"/>
      <c r="G636" s="67"/>
      <c r="H636" s="68" t="s">
        <v>2509</v>
      </c>
      <c r="I636" s="68" t="s">
        <v>2510</v>
      </c>
      <c r="J636" s="69" t="str">
        <f ca="1">IFERROR(__xludf.DUMMYFUNCTION("JOIN("": "",H636,I636)"),"3E-54-02-04-02-00-00: Prumada de gases combustíveis")</f>
        <v>3E-54-02-04-02-00-00: Prumada de gases combustíveis</v>
      </c>
      <c r="K636" s="70"/>
      <c r="L636" s="71">
        <v>5</v>
      </c>
      <c r="M636" s="68"/>
      <c r="N636" s="68"/>
      <c r="O636" s="68"/>
      <c r="P636" s="68"/>
      <c r="Q636" s="72"/>
      <c r="R636" s="72"/>
      <c r="S636" s="72"/>
      <c r="T636" s="73">
        <v>62</v>
      </c>
      <c r="U636" s="45" t="b">
        <f ca="1"/>
        <v>0</v>
      </c>
      <c r="X636" s="12" t="s">
        <v>4844</v>
      </c>
      <c r="Y636" s="10">
        <v>62</v>
      </c>
    </row>
    <row r="637" spans="1:26" ht="12.75" hidden="1">
      <c r="A637" s="65" t="s">
        <v>2512</v>
      </c>
      <c r="B637" s="67"/>
      <c r="C637" s="67"/>
      <c r="D637" s="67"/>
      <c r="E637" s="67"/>
      <c r="F637" s="67"/>
      <c r="G637" s="67"/>
      <c r="H637" s="68" t="s">
        <v>2513</v>
      </c>
      <c r="I637" s="68" t="s">
        <v>2514</v>
      </c>
      <c r="J637" s="69" t="str">
        <f ca="1">IFERROR(__xludf.DUMMYFUNCTION("JOIN("": "",H637,I637)"),"3E-54-02-04-04-00-00: Ramal de distribuição de gases combustíveis")</f>
        <v>3E-54-02-04-04-00-00: Ramal de distribuição de gases combustíveis</v>
      </c>
      <c r="K637" s="70"/>
      <c r="L637" s="71">
        <v>5</v>
      </c>
      <c r="M637" s="68"/>
      <c r="N637" s="68"/>
      <c r="O637" s="68"/>
      <c r="P637" s="68"/>
      <c r="Q637" s="72"/>
      <c r="R637" s="72"/>
      <c r="S637" s="72"/>
      <c r="T637" s="73">
        <v>64</v>
      </c>
      <c r="U637" s="46" t="b">
        <f ca="1"/>
        <v>0</v>
      </c>
      <c r="X637" s="12" t="s">
        <v>4845</v>
      </c>
      <c r="Y637" s="10">
        <v>64</v>
      </c>
    </row>
    <row r="638" spans="1:26" ht="12.75" hidden="1">
      <c r="A638" s="65" t="s">
        <v>2516</v>
      </c>
      <c r="B638" s="67"/>
      <c r="C638" s="67"/>
      <c r="D638" s="67"/>
      <c r="E638" s="67"/>
      <c r="F638" s="67"/>
      <c r="G638" s="67"/>
      <c r="H638" s="68" t="s">
        <v>2517</v>
      </c>
      <c r="I638" s="68" t="s">
        <v>2518</v>
      </c>
      <c r="J638" s="69" t="str">
        <f ca="1">IFERROR(__xludf.DUMMYFUNCTION("JOIN("": "",H638,I638)"),"3E-54-02-04-06-00-00: Sub-ramal de distribuição de gases combustíveis")</f>
        <v>3E-54-02-04-06-00-00: Sub-ramal de distribuição de gases combustíveis</v>
      </c>
      <c r="K638" s="70"/>
      <c r="L638" s="71">
        <v>5</v>
      </c>
      <c r="M638" s="68"/>
      <c r="N638" s="68"/>
      <c r="O638" s="68"/>
      <c r="P638" s="68"/>
      <c r="Q638" s="72"/>
      <c r="R638" s="72"/>
      <c r="S638" s="72"/>
      <c r="T638" s="73">
        <v>66</v>
      </c>
      <c r="U638" s="45" t="b">
        <f ca="1"/>
        <v>0</v>
      </c>
      <c r="X638" s="12" t="s">
        <v>4846</v>
      </c>
      <c r="Y638" s="10">
        <v>66</v>
      </c>
    </row>
    <row r="639" spans="1:26" ht="12.75" hidden="1">
      <c r="A639" s="56" t="s">
        <v>2520</v>
      </c>
      <c r="B639" s="58"/>
      <c r="C639" s="58"/>
      <c r="D639" s="58"/>
      <c r="E639" s="58"/>
      <c r="F639" s="58"/>
      <c r="G639" s="58"/>
      <c r="H639" s="59" t="s">
        <v>2521</v>
      </c>
      <c r="I639" s="59" t="s">
        <v>2522</v>
      </c>
      <c r="J639" s="60" t="str">
        <f ca="1">IFERROR(__xludf.DUMMYFUNCTION("JOIN("": "",H639,I639)"),"3E-54-02-06-00-00-00: Elementos conectores em instalações de gases combustíveis")</f>
        <v>3E-54-02-06-00-00-00: Elementos conectores em instalações de gases combustíveis</v>
      </c>
      <c r="K639" s="61"/>
      <c r="L639" s="62">
        <v>4</v>
      </c>
      <c r="M639" s="59"/>
      <c r="N639" s="59"/>
      <c r="O639" s="59"/>
      <c r="P639" s="59"/>
      <c r="Q639" s="63"/>
      <c r="R639" s="63"/>
      <c r="S639" s="63"/>
      <c r="T639" s="64">
        <v>62</v>
      </c>
      <c r="U639" s="46" t="b">
        <f ca="1"/>
        <v>0</v>
      </c>
      <c r="X639" s="12" t="s">
        <v>4847</v>
      </c>
      <c r="Y639" s="10">
        <v>62</v>
      </c>
    </row>
    <row r="640" spans="1:26" ht="12.75" hidden="1">
      <c r="A640" s="56" t="s">
        <v>2524</v>
      </c>
      <c r="B640" s="58"/>
      <c r="C640" s="58"/>
      <c r="D640" s="58"/>
      <c r="E640" s="58"/>
      <c r="F640" s="58"/>
      <c r="G640" s="58"/>
      <c r="H640" s="59" t="s">
        <v>2525</v>
      </c>
      <c r="I640" s="59" t="s">
        <v>2526</v>
      </c>
      <c r="J640" s="60" t="str">
        <f ca="1">IFERROR(__xludf.DUMMYFUNCTION("JOIN("": "",H640,I640)"),"3E-54-02-08-00-00-00: Elementos controladores de fuxo em instalações de gases combustíveis")</f>
        <v>3E-54-02-08-00-00-00: Elementos controladores de fuxo em instalações de gases combustíveis</v>
      </c>
      <c r="K640" s="61"/>
      <c r="L640" s="62">
        <v>4</v>
      </c>
      <c r="M640" s="59"/>
      <c r="N640" s="59"/>
      <c r="O640" s="59"/>
      <c r="P640" s="59"/>
      <c r="Q640" s="63"/>
      <c r="R640" s="63"/>
      <c r="S640" s="63"/>
      <c r="T640" s="64">
        <v>64</v>
      </c>
      <c r="U640" s="45" t="b">
        <f ca="1"/>
        <v>0</v>
      </c>
      <c r="X640" s="12" t="s">
        <v>4848</v>
      </c>
      <c r="Y640" s="10">
        <v>64</v>
      </c>
    </row>
    <row r="641" spans="1:25" ht="12.75" hidden="1">
      <c r="A641" s="65" t="s">
        <v>2528</v>
      </c>
      <c r="B641" s="67"/>
      <c r="C641" s="67"/>
      <c r="D641" s="67"/>
      <c r="E641" s="67"/>
      <c r="F641" s="67"/>
      <c r="G641" s="67"/>
      <c r="H641" s="68" t="s">
        <v>2529</v>
      </c>
      <c r="I641" s="68" t="s">
        <v>2530</v>
      </c>
      <c r="J641" s="69" t="str">
        <f ca="1">IFERROR(__xludf.DUMMYFUNCTION("JOIN("": "",H641,I641)"),"3E-54-02-08-02-00-00: Regulador individual para instalação de gases combustíveis")</f>
        <v>3E-54-02-08-02-00-00: Regulador individual para instalação de gases combustíveis</v>
      </c>
      <c r="K641" s="70"/>
      <c r="L641" s="71">
        <v>5</v>
      </c>
      <c r="M641" s="68"/>
      <c r="N641" s="68"/>
      <c r="O641" s="68"/>
      <c r="P641" s="68"/>
      <c r="Q641" s="72"/>
      <c r="R641" s="72"/>
      <c r="S641" s="72"/>
      <c r="T641" s="73">
        <v>66</v>
      </c>
      <c r="U641" s="46" t="b">
        <f ca="1"/>
        <v>0</v>
      </c>
      <c r="X641" s="12" t="s">
        <v>4849</v>
      </c>
      <c r="Y641" s="10">
        <v>66</v>
      </c>
    </row>
    <row r="642" spans="1:25" ht="12.75" hidden="1">
      <c r="A642" s="65" t="s">
        <v>2532</v>
      </c>
      <c r="B642" s="67"/>
      <c r="C642" s="67"/>
      <c r="D642" s="67"/>
      <c r="E642" s="67"/>
      <c r="F642" s="67"/>
      <c r="G642" s="67"/>
      <c r="H642" s="68" t="s">
        <v>2533</v>
      </c>
      <c r="I642" s="68" t="s">
        <v>2534</v>
      </c>
      <c r="J642" s="69" t="str">
        <f ca="1">IFERROR(__xludf.DUMMYFUNCTION("JOIN("": "",H642,I642)"),"3E-54-02-08-04-00-00: Regulador coletivo para instalação de gases combustíveis")</f>
        <v>3E-54-02-08-04-00-00: Regulador coletivo para instalação de gases combustíveis</v>
      </c>
      <c r="K642" s="70"/>
      <c r="L642" s="71">
        <v>5</v>
      </c>
      <c r="M642" s="68"/>
      <c r="N642" s="68"/>
      <c r="O642" s="68"/>
      <c r="P642" s="68"/>
      <c r="Q642" s="72"/>
      <c r="R642" s="72"/>
      <c r="S642" s="72"/>
      <c r="T642" s="73">
        <v>68</v>
      </c>
      <c r="U642" s="45" t="b">
        <f ca="1"/>
        <v>0</v>
      </c>
      <c r="X642" s="12" t="s">
        <v>4850</v>
      </c>
      <c r="Y642" s="10">
        <v>68</v>
      </c>
    </row>
    <row r="643" spans="1:25" ht="12.75" hidden="1">
      <c r="A643" s="56" t="s">
        <v>2536</v>
      </c>
      <c r="B643" s="58"/>
      <c r="C643" s="58"/>
      <c r="D643" s="58"/>
      <c r="E643" s="58"/>
      <c r="F643" s="58"/>
      <c r="G643" s="58"/>
      <c r="H643" s="59" t="s">
        <v>2537</v>
      </c>
      <c r="I643" s="59" t="s">
        <v>2538</v>
      </c>
      <c r="J643" s="60" t="str">
        <f ca="1">IFERROR(__xludf.DUMMYFUNCTION("JOIN("": "",H643,I643)"),"3E-54-02-10-00-00-00: Elementos medidores de consumo em instalações de gases combustíveis")</f>
        <v>3E-54-02-10-00-00-00: Elementos medidores de consumo em instalações de gases combustíveis</v>
      </c>
      <c r="K643" s="61"/>
      <c r="L643" s="62">
        <v>4</v>
      </c>
      <c r="M643" s="59"/>
      <c r="N643" s="59"/>
      <c r="O643" s="59"/>
      <c r="P643" s="59"/>
      <c r="Q643" s="63"/>
      <c r="R643" s="63"/>
      <c r="S643" s="63"/>
      <c r="T643" s="64">
        <v>66</v>
      </c>
      <c r="U643" s="46" t="b">
        <f ca="1"/>
        <v>0</v>
      </c>
      <c r="X643" s="12" t="s">
        <v>4851</v>
      </c>
      <c r="Y643" s="10">
        <v>66</v>
      </c>
    </row>
    <row r="644" spans="1:25" ht="12.75" hidden="1">
      <c r="A644" s="65" t="s">
        <v>2540</v>
      </c>
      <c r="B644" s="67"/>
      <c r="C644" s="67"/>
      <c r="D644" s="67"/>
      <c r="E644" s="67"/>
      <c r="F644" s="67"/>
      <c r="G644" s="67"/>
      <c r="H644" s="68" t="s">
        <v>2541</v>
      </c>
      <c r="I644" s="68" t="s">
        <v>2542</v>
      </c>
      <c r="J644" s="69" t="str">
        <f ca="1">IFERROR(__xludf.DUMMYFUNCTION("JOIN("": "",H644,I644)"),"3E-54-02-10-02-00-00: Medidor individual para instalação de gases combustíveis")</f>
        <v>3E-54-02-10-02-00-00: Medidor individual para instalação de gases combustíveis</v>
      </c>
      <c r="K644" s="70"/>
      <c r="L644" s="71">
        <v>5</v>
      </c>
      <c r="M644" s="68"/>
      <c r="N644" s="68"/>
      <c r="O644" s="68"/>
      <c r="P644" s="68"/>
      <c r="Q644" s="72"/>
      <c r="R644" s="72"/>
      <c r="S644" s="72"/>
      <c r="T644" s="73">
        <v>68</v>
      </c>
      <c r="U644" s="45" t="b">
        <f ca="1"/>
        <v>0</v>
      </c>
      <c r="X644" s="12" t="s">
        <v>4852</v>
      </c>
      <c r="Y644" s="10">
        <v>68</v>
      </c>
    </row>
    <row r="645" spans="1:25" ht="12.75" hidden="1">
      <c r="A645" s="65" t="s">
        <v>2544</v>
      </c>
      <c r="B645" s="67"/>
      <c r="C645" s="67"/>
      <c r="D645" s="67"/>
      <c r="E645" s="67"/>
      <c r="F645" s="67"/>
      <c r="G645" s="67"/>
      <c r="H645" s="68" t="s">
        <v>2545</v>
      </c>
      <c r="I645" s="68" t="s">
        <v>2546</v>
      </c>
      <c r="J645" s="69" t="str">
        <f ca="1">IFERROR(__xludf.DUMMYFUNCTION("JOIN("": "",H645,I645)"),"3E-54-02-10-04-00-00: Medidor coletivo para instalação de gases combustíveis")</f>
        <v>3E-54-02-10-04-00-00: Medidor coletivo para instalação de gases combustíveis</v>
      </c>
      <c r="K645" s="70"/>
      <c r="L645" s="71">
        <v>5</v>
      </c>
      <c r="M645" s="68"/>
      <c r="N645" s="68"/>
      <c r="O645" s="68"/>
      <c r="P645" s="68"/>
      <c r="Q645" s="72"/>
      <c r="R645" s="72"/>
      <c r="S645" s="72"/>
      <c r="T645" s="73">
        <v>70</v>
      </c>
      <c r="U645" s="46" t="b">
        <f ca="1"/>
        <v>0</v>
      </c>
      <c r="X645" s="12" t="s">
        <v>4853</v>
      </c>
      <c r="Y645" s="10">
        <v>70</v>
      </c>
    </row>
    <row r="646" spans="1:25" ht="12.75" hidden="1">
      <c r="A646" s="56" t="s">
        <v>2548</v>
      </c>
      <c r="B646" s="58"/>
      <c r="C646" s="58"/>
      <c r="D646" s="58"/>
      <c r="E646" s="58"/>
      <c r="F646" s="58"/>
      <c r="G646" s="58"/>
      <c r="H646" s="59" t="s">
        <v>2549</v>
      </c>
      <c r="I646" s="59" t="s">
        <v>2550</v>
      </c>
      <c r="J646" s="60" t="str">
        <f ca="1">IFERROR(__xludf.DUMMYFUNCTION("JOIN("": "",H646,I646)"),"3E-54-02-12-00-00-00: Elementos terminais em instalações de gases combustíveis")</f>
        <v>3E-54-02-12-00-00-00: Elementos terminais em instalações de gases combustíveis</v>
      </c>
      <c r="K646" s="61"/>
      <c r="L646" s="62">
        <v>4</v>
      </c>
      <c r="M646" s="59"/>
      <c r="N646" s="59"/>
      <c r="O646" s="59"/>
      <c r="P646" s="59"/>
      <c r="Q646" s="63"/>
      <c r="R646" s="63"/>
      <c r="S646" s="63"/>
      <c r="T646" s="64">
        <v>68</v>
      </c>
      <c r="U646" s="45" t="b">
        <f ca="1"/>
        <v>0</v>
      </c>
      <c r="X646" s="12" t="s">
        <v>4854</v>
      </c>
      <c r="Y646" s="10">
        <v>68</v>
      </c>
    </row>
    <row r="647" spans="1:25" ht="12.75" hidden="1">
      <c r="A647" s="47" t="s">
        <v>2552</v>
      </c>
      <c r="B647" s="48"/>
      <c r="C647" s="48"/>
      <c r="D647" s="48"/>
      <c r="E647" s="48"/>
      <c r="F647" s="48"/>
      <c r="G647" s="48"/>
      <c r="H647" s="49" t="s">
        <v>2553</v>
      </c>
      <c r="I647" s="49" t="s">
        <v>2554</v>
      </c>
      <c r="J647" s="50" t="str">
        <f ca="1">IFERROR(__xludf.DUMMYFUNCTION("JOIN("": "",H647,I647)"),"3E-54-04-00-00-00-00: Elementos para instalações de gases medicinais")</f>
        <v>3E-54-04-00-00-00-00: Elementos para instalações de gases medicinais</v>
      </c>
      <c r="K647" s="51"/>
      <c r="L647" s="52">
        <v>3</v>
      </c>
      <c r="M647" s="53"/>
      <c r="N647" s="53"/>
      <c r="O647" s="53"/>
      <c r="P647" s="53"/>
      <c r="Q647" s="54"/>
      <c r="R647" s="54"/>
      <c r="S647" s="54"/>
      <c r="T647" s="55">
        <v>58</v>
      </c>
      <c r="U647" s="46" t="b">
        <f ca="1"/>
        <v>0</v>
      </c>
      <c r="X647" s="12" t="s">
        <v>4855</v>
      </c>
      <c r="Y647" s="10">
        <v>58</v>
      </c>
    </row>
    <row r="648" spans="1:25" ht="12.75" hidden="1">
      <c r="A648" s="56" t="s">
        <v>2556</v>
      </c>
      <c r="B648" s="58"/>
      <c r="C648" s="58"/>
      <c r="D648" s="58"/>
      <c r="E648" s="58"/>
      <c r="F648" s="58"/>
      <c r="G648" s="58"/>
      <c r="H648" s="59" t="s">
        <v>2557</v>
      </c>
      <c r="I648" s="59" t="s">
        <v>2558</v>
      </c>
      <c r="J648" s="60" t="str">
        <f ca="1">IFERROR(__xludf.DUMMYFUNCTION("JOIN("": "",H648,I648)"),"3E-54-04-02-00-00-00: Elementos alimentadores em instalações de gases medicinais")</f>
        <v>3E-54-04-02-00-00-00: Elementos alimentadores em instalações de gases medicinais</v>
      </c>
      <c r="K648" s="61"/>
      <c r="L648" s="62">
        <v>4</v>
      </c>
      <c r="M648" s="59"/>
      <c r="N648" s="59"/>
      <c r="O648" s="59"/>
      <c r="P648" s="59"/>
      <c r="Q648" s="63"/>
      <c r="R648" s="63"/>
      <c r="S648" s="63"/>
      <c r="T648" s="64">
        <v>60</v>
      </c>
      <c r="U648" s="45" t="b">
        <f ca="1"/>
        <v>0</v>
      </c>
      <c r="X648" s="12" t="s">
        <v>4856</v>
      </c>
      <c r="Y648" s="10">
        <v>60</v>
      </c>
    </row>
    <row r="649" spans="1:25" ht="12.75" hidden="1">
      <c r="A649" s="56" t="s">
        <v>2560</v>
      </c>
      <c r="B649" s="58"/>
      <c r="C649" s="58"/>
      <c r="D649" s="58"/>
      <c r="E649" s="58"/>
      <c r="F649" s="58"/>
      <c r="G649" s="58"/>
      <c r="H649" s="59" t="s">
        <v>2561</v>
      </c>
      <c r="I649" s="59" t="s">
        <v>2562</v>
      </c>
      <c r="J649" s="60" t="str">
        <f ca="1">IFERROR(__xludf.DUMMYFUNCTION("JOIN("": "",H649,I649)"),"3E-54-04-04-00-00-00: Elementos para tratamento em instalações de gases medicinais")</f>
        <v>3E-54-04-04-00-00-00: Elementos para tratamento em instalações de gases medicinais</v>
      </c>
      <c r="K649" s="61"/>
      <c r="L649" s="62">
        <v>4</v>
      </c>
      <c r="M649" s="59"/>
      <c r="N649" s="59"/>
      <c r="O649" s="59"/>
      <c r="P649" s="59"/>
      <c r="Q649" s="63"/>
      <c r="R649" s="63"/>
      <c r="S649" s="63"/>
      <c r="T649" s="64">
        <v>62</v>
      </c>
      <c r="U649" s="46" t="b">
        <f ca="1"/>
        <v>0</v>
      </c>
      <c r="X649" s="12" t="s">
        <v>4857</v>
      </c>
      <c r="Y649" s="10">
        <v>62</v>
      </c>
    </row>
    <row r="650" spans="1:25" ht="12.75" hidden="1">
      <c r="A650" s="56" t="s">
        <v>2564</v>
      </c>
      <c r="B650" s="58"/>
      <c r="C650" s="58"/>
      <c r="D650" s="58"/>
      <c r="E650" s="58"/>
      <c r="F650" s="58"/>
      <c r="G650" s="58"/>
      <c r="H650" s="59" t="s">
        <v>2565</v>
      </c>
      <c r="I650" s="59" t="s">
        <v>2566</v>
      </c>
      <c r="J650" s="60" t="str">
        <f ca="1">IFERROR(__xludf.DUMMYFUNCTION("JOIN("": "",H650,I650)"),"3E-54-04-06-00-00-00: Elementos distribuidores em instalações de gases medicinais")</f>
        <v>3E-54-04-06-00-00-00: Elementos distribuidores em instalações de gases medicinais</v>
      </c>
      <c r="K650" s="61"/>
      <c r="L650" s="62">
        <v>4</v>
      </c>
      <c r="M650" s="59"/>
      <c r="N650" s="59"/>
      <c r="O650" s="59"/>
      <c r="P650" s="59"/>
      <c r="Q650" s="63"/>
      <c r="R650" s="63"/>
      <c r="S650" s="63"/>
      <c r="T650" s="64">
        <v>64</v>
      </c>
      <c r="U650" s="45" t="b">
        <f ca="1"/>
        <v>0</v>
      </c>
      <c r="X650" s="12" t="s">
        <v>4858</v>
      </c>
      <c r="Y650" s="10">
        <v>64</v>
      </c>
    </row>
    <row r="651" spans="1:25" ht="12.75" hidden="1">
      <c r="A651" s="56" t="s">
        <v>2568</v>
      </c>
      <c r="B651" s="58"/>
      <c r="C651" s="58"/>
      <c r="D651" s="58"/>
      <c r="E651" s="58"/>
      <c r="F651" s="58"/>
      <c r="G651" s="58"/>
      <c r="H651" s="59" t="s">
        <v>2569</v>
      </c>
      <c r="I651" s="59" t="s">
        <v>2570</v>
      </c>
      <c r="J651" s="60" t="str">
        <f ca="1">IFERROR(__xludf.DUMMYFUNCTION("JOIN("": "",H651,I651)"),"3E-54-04-08-00-00-00: Elementos conectores em instalações de gases medicinais")</f>
        <v>3E-54-04-08-00-00-00: Elementos conectores em instalações de gases medicinais</v>
      </c>
      <c r="K651" s="61"/>
      <c r="L651" s="62">
        <v>4</v>
      </c>
      <c r="M651" s="59"/>
      <c r="N651" s="59"/>
      <c r="O651" s="59"/>
      <c r="P651" s="59"/>
      <c r="Q651" s="63"/>
      <c r="R651" s="63"/>
      <c r="S651" s="63"/>
      <c r="T651" s="64">
        <v>66</v>
      </c>
      <c r="U651" s="46" t="b">
        <f ca="1"/>
        <v>0</v>
      </c>
      <c r="X651" s="12" t="s">
        <v>4859</v>
      </c>
      <c r="Y651" s="10">
        <v>66</v>
      </c>
    </row>
    <row r="652" spans="1:25" ht="12.75" hidden="1">
      <c r="A652" s="56" t="s">
        <v>2572</v>
      </c>
      <c r="B652" s="58"/>
      <c r="C652" s="58"/>
      <c r="D652" s="58"/>
      <c r="E652" s="58"/>
      <c r="F652" s="58"/>
      <c r="G652" s="58"/>
      <c r="H652" s="59" t="s">
        <v>2573</v>
      </c>
      <c r="I652" s="59" t="s">
        <v>2574</v>
      </c>
      <c r="J652" s="60" t="str">
        <f ca="1">IFERROR(__xludf.DUMMYFUNCTION("JOIN("": "",H652,I652)"),"3E-54-04-10-00-00-00: Elementos controladores de fluxo em instalações de gases medicinais")</f>
        <v>3E-54-04-10-00-00-00: Elementos controladores de fluxo em instalações de gases medicinais</v>
      </c>
      <c r="K652" s="61"/>
      <c r="L652" s="62">
        <v>4</v>
      </c>
      <c r="M652" s="59"/>
      <c r="N652" s="59"/>
      <c r="O652" s="59"/>
      <c r="P652" s="59"/>
      <c r="Q652" s="63"/>
      <c r="R652" s="63"/>
      <c r="S652" s="63"/>
      <c r="T652" s="64">
        <v>68</v>
      </c>
      <c r="U652" s="45" t="b">
        <f ca="1"/>
        <v>0</v>
      </c>
      <c r="X652" s="12" t="s">
        <v>4860</v>
      </c>
      <c r="Y652" s="10">
        <v>68</v>
      </c>
    </row>
    <row r="653" spans="1:25" ht="12.75" hidden="1">
      <c r="A653" s="56" t="s">
        <v>2576</v>
      </c>
      <c r="B653" s="58"/>
      <c r="C653" s="58"/>
      <c r="D653" s="58"/>
      <c r="E653" s="58"/>
      <c r="F653" s="58"/>
      <c r="G653" s="58"/>
      <c r="H653" s="59" t="s">
        <v>2577</v>
      </c>
      <c r="I653" s="59" t="s">
        <v>2578</v>
      </c>
      <c r="J653" s="60" t="str">
        <f ca="1">IFERROR(__xludf.DUMMYFUNCTION("JOIN("": "",H653,I653)"),"3E-54-04-12-00-00-00: Elementos para monitoramento de instalações de gases medicinais")</f>
        <v>3E-54-04-12-00-00-00: Elementos para monitoramento de instalações de gases medicinais</v>
      </c>
      <c r="K653" s="61"/>
      <c r="L653" s="62">
        <v>4</v>
      </c>
      <c r="M653" s="59"/>
      <c r="N653" s="59"/>
      <c r="O653" s="59"/>
      <c r="P653" s="59"/>
      <c r="Q653" s="63"/>
      <c r="R653" s="63"/>
      <c r="S653" s="63"/>
      <c r="T653" s="64">
        <v>70</v>
      </c>
      <c r="U653" s="46" t="b">
        <f ca="1"/>
        <v>0</v>
      </c>
      <c r="X653" s="12" t="s">
        <v>4861</v>
      </c>
      <c r="Y653" s="10">
        <v>70</v>
      </c>
    </row>
    <row r="654" spans="1:25" ht="12.75" hidden="1">
      <c r="A654" s="65" t="s">
        <v>2580</v>
      </c>
      <c r="B654" s="67"/>
      <c r="C654" s="67"/>
      <c r="D654" s="67"/>
      <c r="E654" s="67"/>
      <c r="F654" s="67"/>
      <c r="G654" s="67"/>
      <c r="H654" s="68" t="s">
        <v>2581</v>
      </c>
      <c r="I654" s="68" t="s">
        <v>2582</v>
      </c>
      <c r="J654" s="69" t="str">
        <f ca="1">IFERROR(__xludf.DUMMYFUNCTION("JOIN("": "",H654,I654)"),"3E-54-04-12-02-00-00: Painel de alarme de gases medicinais")</f>
        <v>3E-54-04-12-02-00-00: Painel de alarme de gases medicinais</v>
      </c>
      <c r="K654" s="70"/>
      <c r="L654" s="71">
        <v>5</v>
      </c>
      <c r="M654" s="68"/>
      <c r="N654" s="68"/>
      <c r="O654" s="68"/>
      <c r="P654" s="68"/>
      <c r="Q654" s="72"/>
      <c r="R654" s="72"/>
      <c r="S654" s="72"/>
      <c r="T654" s="73">
        <v>72</v>
      </c>
      <c r="U654" s="45" t="b">
        <f ca="1"/>
        <v>0</v>
      </c>
      <c r="X654" s="12" t="s">
        <v>4862</v>
      </c>
      <c r="Y654" s="10">
        <v>72</v>
      </c>
    </row>
    <row r="655" spans="1:25" ht="12.75" hidden="1">
      <c r="A655" s="65" t="s">
        <v>2584</v>
      </c>
      <c r="B655" s="67"/>
      <c r="C655" s="67"/>
      <c r="D655" s="67"/>
      <c r="E655" s="67"/>
      <c r="F655" s="67"/>
      <c r="G655" s="67"/>
      <c r="H655" s="68" t="s">
        <v>2585</v>
      </c>
      <c r="I655" s="68" t="s">
        <v>2586</v>
      </c>
      <c r="J655" s="69" t="str">
        <f ca="1">IFERROR(__xludf.DUMMYFUNCTION("JOIN("": "",H655,I655)"),"3E-54-04-12-04-00-00: Painel repetidor de alarme para instalações prediais de gases medicinais")</f>
        <v>3E-54-04-12-04-00-00: Painel repetidor de alarme para instalações prediais de gases medicinais</v>
      </c>
      <c r="K655" s="70"/>
      <c r="L655" s="71">
        <v>5</v>
      </c>
      <c r="M655" s="68"/>
      <c r="N655" s="68"/>
      <c r="O655" s="68"/>
      <c r="P655" s="68"/>
      <c r="Q655" s="72"/>
      <c r="R655" s="72"/>
      <c r="S655" s="72"/>
      <c r="T655" s="73">
        <v>74</v>
      </c>
      <c r="U655" s="46" t="b">
        <f ca="1"/>
        <v>0</v>
      </c>
      <c r="X655" s="12" t="s">
        <v>4863</v>
      </c>
      <c r="Y655" s="10">
        <v>74</v>
      </c>
    </row>
    <row r="656" spans="1:25" ht="12.75" hidden="1">
      <c r="A656" s="47" t="s">
        <v>2592</v>
      </c>
      <c r="B656" s="48"/>
      <c r="C656" s="48"/>
      <c r="D656" s="48"/>
      <c r="E656" s="48"/>
      <c r="F656" s="48"/>
      <c r="G656" s="48"/>
      <c r="H656" s="49" t="s">
        <v>2593</v>
      </c>
      <c r="I656" s="49" t="s">
        <v>2594</v>
      </c>
      <c r="J656" s="50" t="str">
        <f ca="1">IFERROR(__xludf.DUMMYFUNCTION("JOIN("": "",H656,I656)"),"3E-54-06-00-00-00-00: Elementos para instalações de gases industriais")</f>
        <v>3E-54-06-00-00-00-00: Elementos para instalações de gases industriais</v>
      </c>
      <c r="K656" s="51"/>
      <c r="L656" s="52">
        <v>3</v>
      </c>
      <c r="M656" s="53"/>
      <c r="N656" s="53"/>
      <c r="O656" s="53"/>
      <c r="P656" s="53"/>
      <c r="Q656" s="54"/>
      <c r="R656" s="54"/>
      <c r="S656" s="54"/>
      <c r="T656" s="55">
        <v>72</v>
      </c>
      <c r="U656" s="45" t="b">
        <f ca="1"/>
        <v>0</v>
      </c>
      <c r="X656" s="12" t="s">
        <v>4864</v>
      </c>
      <c r="Y656" s="10">
        <v>72</v>
      </c>
    </row>
    <row r="657" spans="1:25" ht="12.75" hidden="1">
      <c r="A657" s="56" t="s">
        <v>2596</v>
      </c>
      <c r="B657" s="58"/>
      <c r="C657" s="58"/>
      <c r="D657" s="58"/>
      <c r="E657" s="58"/>
      <c r="F657" s="58"/>
      <c r="G657" s="58"/>
      <c r="H657" s="59" t="s">
        <v>2597</v>
      </c>
      <c r="I657" s="59" t="s">
        <v>2598</v>
      </c>
      <c r="J657" s="60" t="str">
        <f ca="1">IFERROR(__xludf.DUMMYFUNCTION("JOIN("": "",H657,I657)"),"3E-54-06-02-00-00-00: Elementos alimentadores em instalações de gases industriais")</f>
        <v>3E-54-06-02-00-00-00: Elementos alimentadores em instalações de gases industriais</v>
      </c>
      <c r="K657" s="61"/>
      <c r="L657" s="62">
        <v>4</v>
      </c>
      <c r="M657" s="59"/>
      <c r="N657" s="59"/>
      <c r="O657" s="59"/>
      <c r="P657" s="59"/>
      <c r="Q657" s="63"/>
      <c r="R657" s="63"/>
      <c r="S657" s="63"/>
      <c r="T657" s="64">
        <v>60</v>
      </c>
      <c r="U657" s="46" t="b">
        <f ca="1"/>
        <v>0</v>
      </c>
      <c r="X657" s="12" t="s">
        <v>4865</v>
      </c>
      <c r="Y657" s="10">
        <v>60</v>
      </c>
    </row>
    <row r="658" spans="1:25" ht="12.75" hidden="1">
      <c r="A658" s="56" t="s">
        <v>2600</v>
      </c>
      <c r="B658" s="58"/>
      <c r="C658" s="58"/>
      <c r="D658" s="58"/>
      <c r="E658" s="58"/>
      <c r="F658" s="58"/>
      <c r="G658" s="58"/>
      <c r="H658" s="59" t="s">
        <v>2601</v>
      </c>
      <c r="I658" s="59" t="s">
        <v>2602</v>
      </c>
      <c r="J658" s="60" t="str">
        <f ca="1">IFERROR(__xludf.DUMMYFUNCTION("JOIN("": "",H658,I658)"),"3E-54-06-04-00-00-00: Elementos para tratamento em instalações de gases industriais")</f>
        <v>3E-54-06-04-00-00-00: Elementos para tratamento em instalações de gases industriais</v>
      </c>
      <c r="K658" s="61"/>
      <c r="L658" s="62">
        <v>4</v>
      </c>
      <c r="M658" s="59"/>
      <c r="N658" s="59"/>
      <c r="O658" s="59"/>
      <c r="P658" s="59"/>
      <c r="Q658" s="63"/>
      <c r="R658" s="63"/>
      <c r="S658" s="63"/>
      <c r="T658" s="64">
        <v>62</v>
      </c>
      <c r="U658" s="45" t="b">
        <f ca="1"/>
        <v>0</v>
      </c>
      <c r="X658" s="12" t="s">
        <v>4866</v>
      </c>
      <c r="Y658" s="10">
        <v>62</v>
      </c>
    </row>
    <row r="659" spans="1:25" ht="12.75" hidden="1">
      <c r="A659" s="56" t="s">
        <v>2604</v>
      </c>
      <c r="B659" s="58"/>
      <c r="C659" s="58"/>
      <c r="D659" s="58"/>
      <c r="E659" s="58"/>
      <c r="F659" s="58"/>
      <c r="G659" s="58"/>
      <c r="H659" s="59" t="s">
        <v>2605</v>
      </c>
      <c r="I659" s="59" t="s">
        <v>2606</v>
      </c>
      <c r="J659" s="60" t="str">
        <f ca="1">IFERROR(__xludf.DUMMYFUNCTION("JOIN("": "",H659,I659)"),"3E-54-06-06-00-00-00: Elementos distribuidores em instalações de gases industriais")</f>
        <v>3E-54-06-06-00-00-00: Elementos distribuidores em instalações de gases industriais</v>
      </c>
      <c r="K659" s="61"/>
      <c r="L659" s="62">
        <v>4</v>
      </c>
      <c r="M659" s="59"/>
      <c r="N659" s="59"/>
      <c r="O659" s="59"/>
      <c r="P659" s="59"/>
      <c r="Q659" s="63"/>
      <c r="R659" s="63"/>
      <c r="S659" s="63"/>
      <c r="T659" s="64">
        <v>64</v>
      </c>
      <c r="U659" s="46" t="b">
        <f ca="1"/>
        <v>0</v>
      </c>
      <c r="X659" s="12" t="s">
        <v>4867</v>
      </c>
      <c r="Y659" s="10">
        <v>64</v>
      </c>
    </row>
    <row r="660" spans="1:25" ht="12.75" hidden="1">
      <c r="A660" s="56" t="s">
        <v>2608</v>
      </c>
      <c r="B660" s="58"/>
      <c r="C660" s="58"/>
      <c r="D660" s="58"/>
      <c r="E660" s="58"/>
      <c r="F660" s="58"/>
      <c r="G660" s="58"/>
      <c r="H660" s="59" t="s">
        <v>2609</v>
      </c>
      <c r="I660" s="59" t="s">
        <v>2610</v>
      </c>
      <c r="J660" s="60" t="str">
        <f ca="1">IFERROR(__xludf.DUMMYFUNCTION("JOIN("": "",H660,I660)"),"3E-54-06-08-00-00-00: Elementos conectores em instalações de gases industriais")</f>
        <v>3E-54-06-08-00-00-00: Elementos conectores em instalações de gases industriais</v>
      </c>
      <c r="K660" s="61"/>
      <c r="L660" s="62">
        <v>4</v>
      </c>
      <c r="M660" s="59"/>
      <c r="N660" s="59"/>
      <c r="O660" s="59"/>
      <c r="P660" s="59"/>
      <c r="Q660" s="63"/>
      <c r="R660" s="63"/>
      <c r="S660" s="63"/>
      <c r="T660" s="64">
        <v>66</v>
      </c>
      <c r="U660" s="45" t="b">
        <f ca="1"/>
        <v>0</v>
      </c>
      <c r="X660" s="12" t="s">
        <v>4868</v>
      </c>
      <c r="Y660" s="10">
        <v>66</v>
      </c>
    </row>
    <row r="661" spans="1:25" ht="12.75" hidden="1">
      <c r="A661" s="56" t="s">
        <v>2612</v>
      </c>
      <c r="B661" s="58"/>
      <c r="C661" s="58"/>
      <c r="D661" s="58"/>
      <c r="E661" s="58"/>
      <c r="F661" s="58"/>
      <c r="G661" s="58"/>
      <c r="H661" s="59" t="s">
        <v>2613</v>
      </c>
      <c r="I661" s="59" t="s">
        <v>2614</v>
      </c>
      <c r="J661" s="60" t="str">
        <f ca="1">IFERROR(__xludf.DUMMYFUNCTION("JOIN("": "",H661,I661)"),"3E-54-06-10-00-00-00: Elementos controladores de fluxo em instalações de gases industriais")</f>
        <v>3E-54-06-10-00-00-00: Elementos controladores de fluxo em instalações de gases industriais</v>
      </c>
      <c r="K661" s="61"/>
      <c r="L661" s="62">
        <v>4</v>
      </c>
      <c r="M661" s="59"/>
      <c r="N661" s="59"/>
      <c r="O661" s="59"/>
      <c r="P661" s="59"/>
      <c r="Q661" s="63"/>
      <c r="R661" s="63"/>
      <c r="S661" s="63"/>
      <c r="T661" s="64">
        <v>68</v>
      </c>
      <c r="U661" s="46" t="b">
        <f ca="1"/>
        <v>0</v>
      </c>
      <c r="X661" s="12" t="s">
        <v>4869</v>
      </c>
      <c r="Y661" s="10">
        <v>68</v>
      </c>
    </row>
    <row r="662" spans="1:25" ht="12.75" hidden="1">
      <c r="A662" s="56" t="s">
        <v>2616</v>
      </c>
      <c r="B662" s="58"/>
      <c r="C662" s="58"/>
      <c r="D662" s="58"/>
      <c r="E662" s="58"/>
      <c r="F662" s="58"/>
      <c r="G662" s="58"/>
      <c r="H662" s="59" t="s">
        <v>2617</v>
      </c>
      <c r="I662" s="59" t="s">
        <v>2618</v>
      </c>
      <c r="J662" s="60" t="str">
        <f ca="1">IFERROR(__xludf.DUMMYFUNCTION("JOIN("": "",H662,I662)"),"3E-54-06-12-00-00-00: Elementos para monitoramento de instalações de gases industriais")</f>
        <v>3E-54-06-12-00-00-00: Elementos para monitoramento de instalações de gases industriais</v>
      </c>
      <c r="K662" s="61"/>
      <c r="L662" s="62">
        <v>4</v>
      </c>
      <c r="M662" s="59"/>
      <c r="N662" s="59"/>
      <c r="O662" s="59"/>
      <c r="P662" s="59"/>
      <c r="Q662" s="63"/>
      <c r="R662" s="63"/>
      <c r="S662" s="63"/>
      <c r="T662" s="64">
        <v>70</v>
      </c>
      <c r="U662" s="45" t="b">
        <f ca="1"/>
        <v>0</v>
      </c>
      <c r="X662" s="12" t="s">
        <v>4870</v>
      </c>
      <c r="Y662" s="10">
        <v>70</v>
      </c>
    </row>
    <row r="663" spans="1:25" ht="12.75" hidden="1">
      <c r="A663" s="65" t="s">
        <v>2620</v>
      </c>
      <c r="B663" s="67"/>
      <c r="C663" s="67"/>
      <c r="D663" s="67"/>
      <c r="E663" s="67"/>
      <c r="F663" s="67"/>
      <c r="G663" s="67"/>
      <c r="H663" s="68" t="s">
        <v>2621</v>
      </c>
      <c r="I663" s="68" t="s">
        <v>2622</v>
      </c>
      <c r="J663" s="69" t="str">
        <f ca="1">IFERROR(__xludf.DUMMYFUNCTION("JOIN("": "",H663,I663)"),"3E-54-06-12-02-00-00: Painel de alarme de gases industriais")</f>
        <v>3E-54-06-12-02-00-00: Painel de alarme de gases industriais</v>
      </c>
      <c r="K663" s="70"/>
      <c r="L663" s="71">
        <v>5</v>
      </c>
      <c r="M663" s="68"/>
      <c r="N663" s="68"/>
      <c r="O663" s="68"/>
      <c r="P663" s="68"/>
      <c r="Q663" s="72"/>
      <c r="R663" s="72"/>
      <c r="S663" s="72"/>
      <c r="T663" s="73">
        <v>72</v>
      </c>
      <c r="U663" s="46" t="b">
        <f ca="1"/>
        <v>0</v>
      </c>
      <c r="X663" s="12" t="s">
        <v>4871</v>
      </c>
      <c r="Y663" s="10">
        <v>72</v>
      </c>
    </row>
    <row r="664" spans="1:25" ht="12.75" hidden="1">
      <c r="A664" s="65" t="s">
        <v>2624</v>
      </c>
      <c r="B664" s="67"/>
      <c r="C664" s="67"/>
      <c r="D664" s="67"/>
      <c r="E664" s="67"/>
      <c r="F664" s="67"/>
      <c r="G664" s="67"/>
      <c r="H664" s="68" t="s">
        <v>2625</v>
      </c>
      <c r="I664" s="68" t="s">
        <v>2626</v>
      </c>
      <c r="J664" s="69" t="str">
        <f ca="1">IFERROR(__xludf.DUMMYFUNCTION("JOIN("": "",H664,I664)"),"3E-54-06-12-04-00-00: Painel repetidor de alarme para instalações prediais de gases industriais")</f>
        <v>3E-54-06-12-04-00-00: Painel repetidor de alarme para instalações prediais de gases industriais</v>
      </c>
      <c r="K664" s="70"/>
      <c r="L664" s="71">
        <v>5</v>
      </c>
      <c r="M664" s="68"/>
      <c r="N664" s="68"/>
      <c r="O664" s="68"/>
      <c r="P664" s="68"/>
      <c r="Q664" s="72"/>
      <c r="R664" s="72"/>
      <c r="S664" s="72"/>
      <c r="T664" s="73">
        <v>74</v>
      </c>
      <c r="U664" s="45" t="b">
        <f ca="1"/>
        <v>0</v>
      </c>
      <c r="X664" s="12" t="s">
        <v>4872</v>
      </c>
      <c r="Y664" s="10">
        <v>74</v>
      </c>
    </row>
    <row r="665" spans="1:25" ht="12.75" hidden="1">
      <c r="A665" s="56" t="s">
        <v>2628</v>
      </c>
      <c r="B665" s="58"/>
      <c r="C665" s="58"/>
      <c r="D665" s="58"/>
      <c r="E665" s="58"/>
      <c r="F665" s="58"/>
      <c r="G665" s="58"/>
      <c r="H665" s="59" t="s">
        <v>2629</v>
      </c>
      <c r="I665" s="59" t="s">
        <v>2630</v>
      </c>
      <c r="J665" s="60" t="str">
        <f ca="1">IFERROR(__xludf.DUMMYFUNCTION("JOIN("": "",H665,I665)"),"3E-54-06-14-00-00-00: Elementos terminais em instalações de gases industriais")</f>
        <v>3E-54-06-14-00-00-00: Elementos terminais em instalações de gases industriais</v>
      </c>
      <c r="K665" s="61"/>
      <c r="L665" s="62">
        <v>4</v>
      </c>
      <c r="M665" s="59"/>
      <c r="N665" s="59"/>
      <c r="O665" s="59"/>
      <c r="P665" s="59"/>
      <c r="Q665" s="63"/>
      <c r="R665" s="63"/>
      <c r="S665" s="63"/>
      <c r="T665" s="64">
        <v>76</v>
      </c>
      <c r="U665" s="46" t="b">
        <f ca="1"/>
        <v>0</v>
      </c>
      <c r="X665" s="12" t="s">
        <v>4873</v>
      </c>
      <c r="Y665" s="10">
        <v>76</v>
      </c>
    </row>
    <row r="666" spans="1:25" ht="12.75" hidden="1">
      <c r="A666" s="47" t="s">
        <v>2632</v>
      </c>
      <c r="B666" s="48"/>
      <c r="C666" s="48"/>
      <c r="D666" s="48"/>
      <c r="E666" s="48"/>
      <c r="F666" s="48"/>
      <c r="G666" s="48"/>
      <c r="H666" s="49" t="s">
        <v>2633</v>
      </c>
      <c r="I666" s="49" t="s">
        <v>2634</v>
      </c>
      <c r="J666" s="50" t="str">
        <f ca="1">IFERROR(__xludf.DUMMYFUNCTION("JOIN("": "",H666,I666)"),"3E-54-08-00-00-00-00: Elementos para instalações de gases especiais")</f>
        <v>3E-54-08-00-00-00-00: Elementos para instalações de gases especiais</v>
      </c>
      <c r="K666" s="51"/>
      <c r="L666" s="52">
        <v>3</v>
      </c>
      <c r="M666" s="53"/>
      <c r="N666" s="53"/>
      <c r="O666" s="53"/>
      <c r="P666" s="53"/>
      <c r="Q666" s="54"/>
      <c r="R666" s="54"/>
      <c r="S666" s="54"/>
      <c r="T666" s="55">
        <v>74</v>
      </c>
      <c r="U666" s="45" t="b">
        <f ca="1"/>
        <v>0</v>
      </c>
      <c r="X666" s="12" t="s">
        <v>4874</v>
      </c>
      <c r="Y666" s="10">
        <v>74</v>
      </c>
    </row>
    <row r="667" spans="1:25" ht="12.75" hidden="1">
      <c r="A667" s="56" t="s">
        <v>2636</v>
      </c>
      <c r="B667" s="58"/>
      <c r="C667" s="58"/>
      <c r="D667" s="58"/>
      <c r="E667" s="58"/>
      <c r="F667" s="58"/>
      <c r="G667" s="58"/>
      <c r="H667" s="59" t="s">
        <v>2637</v>
      </c>
      <c r="I667" s="59" t="s">
        <v>2638</v>
      </c>
      <c r="J667" s="60" t="str">
        <f ca="1">IFERROR(__xludf.DUMMYFUNCTION("JOIN("": "",H667,I667)"),"3E-54-08-02-00-00-00: Elementos alimentadores em instalações de gases especiais")</f>
        <v>3E-54-08-02-00-00-00: Elementos alimentadores em instalações de gases especiais</v>
      </c>
      <c r="K667" s="61"/>
      <c r="L667" s="62">
        <v>4</v>
      </c>
      <c r="M667" s="59"/>
      <c r="N667" s="59"/>
      <c r="O667" s="59"/>
      <c r="P667" s="59"/>
      <c r="Q667" s="63"/>
      <c r="R667" s="63"/>
      <c r="S667" s="63"/>
      <c r="T667" s="64">
        <v>62</v>
      </c>
      <c r="U667" s="46" t="b">
        <f ca="1"/>
        <v>0</v>
      </c>
      <c r="X667" s="12" t="s">
        <v>4875</v>
      </c>
      <c r="Y667" s="10">
        <v>62</v>
      </c>
    </row>
    <row r="668" spans="1:25" ht="12.75" hidden="1">
      <c r="A668" s="56" t="s">
        <v>2640</v>
      </c>
      <c r="B668" s="58"/>
      <c r="C668" s="58"/>
      <c r="D668" s="58"/>
      <c r="E668" s="58"/>
      <c r="F668" s="58"/>
      <c r="G668" s="58"/>
      <c r="H668" s="59" t="s">
        <v>2641</v>
      </c>
      <c r="I668" s="59" t="s">
        <v>2642</v>
      </c>
      <c r="J668" s="60" t="str">
        <f ca="1">IFERROR(__xludf.DUMMYFUNCTION("JOIN("": "",H668,I668)"),"3E-54-08-04-00-00-00: Elementos para tratamento em instalações de gases especiais")</f>
        <v>3E-54-08-04-00-00-00: Elementos para tratamento em instalações de gases especiais</v>
      </c>
      <c r="K668" s="61"/>
      <c r="L668" s="62">
        <v>4</v>
      </c>
      <c r="M668" s="59"/>
      <c r="N668" s="59"/>
      <c r="O668" s="59"/>
      <c r="P668" s="59"/>
      <c r="Q668" s="63"/>
      <c r="R668" s="63"/>
      <c r="S668" s="63"/>
      <c r="T668" s="64">
        <v>64</v>
      </c>
      <c r="U668" s="45" t="b">
        <f ca="1"/>
        <v>0</v>
      </c>
      <c r="X668" s="12" t="s">
        <v>4876</v>
      </c>
      <c r="Y668" s="10">
        <v>64</v>
      </c>
    </row>
    <row r="669" spans="1:25" ht="12.75" hidden="1">
      <c r="A669" s="56" t="s">
        <v>2644</v>
      </c>
      <c r="B669" s="58"/>
      <c r="C669" s="58"/>
      <c r="D669" s="58"/>
      <c r="E669" s="58"/>
      <c r="F669" s="58"/>
      <c r="G669" s="58"/>
      <c r="H669" s="59" t="s">
        <v>2645</v>
      </c>
      <c r="I669" s="59" t="s">
        <v>2646</v>
      </c>
      <c r="J669" s="60" t="str">
        <f ca="1">IFERROR(__xludf.DUMMYFUNCTION("JOIN("": "",H669,I669)"),"3E-54-08-06-00-00-00: Elementos distribuidores em instalações de gases especiais")</f>
        <v>3E-54-08-06-00-00-00: Elementos distribuidores em instalações de gases especiais</v>
      </c>
      <c r="K669" s="61"/>
      <c r="L669" s="62">
        <v>4</v>
      </c>
      <c r="M669" s="59"/>
      <c r="N669" s="59"/>
      <c r="O669" s="59"/>
      <c r="P669" s="59"/>
      <c r="Q669" s="63"/>
      <c r="R669" s="63"/>
      <c r="S669" s="63"/>
      <c r="T669" s="64">
        <v>66</v>
      </c>
      <c r="U669" s="46" t="b">
        <f ca="1"/>
        <v>0</v>
      </c>
      <c r="X669" s="12" t="s">
        <v>4877</v>
      </c>
      <c r="Y669" s="10">
        <v>66</v>
      </c>
    </row>
    <row r="670" spans="1:25" ht="12.75" hidden="1">
      <c r="A670" s="56" t="s">
        <v>2648</v>
      </c>
      <c r="B670" s="58"/>
      <c r="C670" s="58"/>
      <c r="D670" s="58"/>
      <c r="E670" s="58"/>
      <c r="F670" s="58"/>
      <c r="G670" s="58"/>
      <c r="H670" s="59" t="s">
        <v>2649</v>
      </c>
      <c r="I670" s="59" t="s">
        <v>2650</v>
      </c>
      <c r="J670" s="60" t="str">
        <f ca="1">IFERROR(__xludf.DUMMYFUNCTION("JOIN("": "",H670,I670)"),"3E-54-08-08-00-00-00: Elementos conectores em instalações de gases especiais")</f>
        <v>3E-54-08-08-00-00-00: Elementos conectores em instalações de gases especiais</v>
      </c>
      <c r="K670" s="61"/>
      <c r="L670" s="62">
        <v>4</v>
      </c>
      <c r="M670" s="59"/>
      <c r="N670" s="59"/>
      <c r="O670" s="59"/>
      <c r="P670" s="59"/>
      <c r="Q670" s="63"/>
      <c r="R670" s="63"/>
      <c r="S670" s="63"/>
      <c r="T670" s="64">
        <v>68</v>
      </c>
      <c r="U670" s="45" t="b">
        <f ca="1"/>
        <v>0</v>
      </c>
      <c r="X670" s="12" t="s">
        <v>4878</v>
      </c>
      <c r="Y670" s="10">
        <v>68</v>
      </c>
    </row>
    <row r="671" spans="1:25" ht="12.75" hidden="1">
      <c r="A671" s="56" t="s">
        <v>2652</v>
      </c>
      <c r="B671" s="58"/>
      <c r="C671" s="58"/>
      <c r="D671" s="58"/>
      <c r="E671" s="58"/>
      <c r="F671" s="58"/>
      <c r="G671" s="58"/>
      <c r="H671" s="59" t="s">
        <v>2653</v>
      </c>
      <c r="I671" s="59" t="s">
        <v>2654</v>
      </c>
      <c r="J671" s="60" t="str">
        <f ca="1">IFERROR(__xludf.DUMMYFUNCTION("JOIN("": "",H671,I671)"),"3E-54-08-10-00-00-00: Elementos controladores de fluxo em instalações de gases especiais")</f>
        <v>3E-54-08-10-00-00-00: Elementos controladores de fluxo em instalações de gases especiais</v>
      </c>
      <c r="K671" s="61"/>
      <c r="L671" s="62">
        <v>4</v>
      </c>
      <c r="M671" s="59"/>
      <c r="N671" s="59"/>
      <c r="O671" s="59"/>
      <c r="P671" s="59"/>
      <c r="Q671" s="63"/>
      <c r="R671" s="63"/>
      <c r="S671" s="63"/>
      <c r="T671" s="64">
        <v>70</v>
      </c>
      <c r="U671" s="46" t="b">
        <f ca="1"/>
        <v>0</v>
      </c>
      <c r="X671" s="12" t="s">
        <v>4879</v>
      </c>
      <c r="Y671" s="10">
        <v>70</v>
      </c>
    </row>
    <row r="672" spans="1:25" ht="12.75" hidden="1">
      <c r="A672" s="56" t="s">
        <v>2656</v>
      </c>
      <c r="B672" s="58"/>
      <c r="C672" s="58"/>
      <c r="D672" s="58"/>
      <c r="E672" s="58"/>
      <c r="F672" s="58"/>
      <c r="G672" s="58"/>
      <c r="H672" s="59" t="s">
        <v>2657</v>
      </c>
      <c r="I672" s="59" t="s">
        <v>2658</v>
      </c>
      <c r="J672" s="60" t="str">
        <f ca="1">IFERROR(__xludf.DUMMYFUNCTION("JOIN("": "",H672,I672)"),"3E-54-08-12-00-00-00: Elementos para monitoramento de instalações de gases especiais")</f>
        <v>3E-54-08-12-00-00-00: Elementos para monitoramento de instalações de gases especiais</v>
      </c>
      <c r="K672" s="61"/>
      <c r="L672" s="62">
        <v>4</v>
      </c>
      <c r="M672" s="59"/>
      <c r="N672" s="59"/>
      <c r="O672" s="59"/>
      <c r="P672" s="59"/>
      <c r="Q672" s="63"/>
      <c r="R672" s="63"/>
      <c r="S672" s="63"/>
      <c r="T672" s="64">
        <v>72</v>
      </c>
      <c r="U672" s="45" t="b">
        <f ca="1"/>
        <v>0</v>
      </c>
      <c r="X672" s="12" t="s">
        <v>4880</v>
      </c>
      <c r="Y672" s="10">
        <v>72</v>
      </c>
    </row>
    <row r="673" spans="1:26" ht="12.75" hidden="1">
      <c r="A673" s="65" t="s">
        <v>2660</v>
      </c>
      <c r="B673" s="67"/>
      <c r="C673" s="67"/>
      <c r="D673" s="67"/>
      <c r="E673" s="67"/>
      <c r="F673" s="67"/>
      <c r="G673" s="67"/>
      <c r="H673" s="68" t="s">
        <v>2661</v>
      </c>
      <c r="I673" s="68" t="s">
        <v>2662</v>
      </c>
      <c r="J673" s="69" t="str">
        <f ca="1">IFERROR(__xludf.DUMMYFUNCTION("JOIN("": "",H673,I673)"),"3E-54-08-12-02-00-00: Painel de alarme de gases especiais")</f>
        <v>3E-54-08-12-02-00-00: Painel de alarme de gases especiais</v>
      </c>
      <c r="K673" s="70"/>
      <c r="L673" s="71">
        <v>5</v>
      </c>
      <c r="M673" s="68"/>
      <c r="N673" s="68"/>
      <c r="O673" s="68"/>
      <c r="P673" s="68"/>
      <c r="Q673" s="72"/>
      <c r="R673" s="72"/>
      <c r="S673" s="72"/>
      <c r="T673" s="73">
        <v>74</v>
      </c>
      <c r="U673" s="46" t="b">
        <f ca="1"/>
        <v>0</v>
      </c>
      <c r="X673" s="12" t="s">
        <v>4881</v>
      </c>
      <c r="Y673" s="10">
        <v>74</v>
      </c>
    </row>
    <row r="674" spans="1:26" ht="12.75" hidden="1">
      <c r="A674" s="65" t="s">
        <v>2664</v>
      </c>
      <c r="B674" s="67"/>
      <c r="C674" s="67"/>
      <c r="D674" s="67"/>
      <c r="E674" s="67"/>
      <c r="F674" s="67"/>
      <c r="G674" s="67"/>
      <c r="H674" s="68" t="s">
        <v>2665</v>
      </c>
      <c r="I674" s="68" t="s">
        <v>2666</v>
      </c>
      <c r="J674" s="69" t="str">
        <f ca="1">IFERROR(__xludf.DUMMYFUNCTION("JOIN("": "",H674,I674)"),"3E-54-08-12-04-00-00: Painel repetidor de alarme para instalações prediais de gases especiais")</f>
        <v>3E-54-08-12-04-00-00: Painel repetidor de alarme para instalações prediais de gases especiais</v>
      </c>
      <c r="K674" s="70"/>
      <c r="L674" s="71">
        <v>5</v>
      </c>
      <c r="M674" s="68"/>
      <c r="N674" s="68"/>
      <c r="O674" s="68"/>
      <c r="P674" s="68"/>
      <c r="Q674" s="72"/>
      <c r="R674" s="72"/>
      <c r="S674" s="72"/>
      <c r="T674" s="73">
        <v>76</v>
      </c>
      <c r="U674" s="45" t="b">
        <f ca="1"/>
        <v>0</v>
      </c>
      <c r="X674" s="12" t="s">
        <v>4882</v>
      </c>
      <c r="Y674" s="10">
        <v>76</v>
      </c>
    </row>
    <row r="675" spans="1:26" ht="12.75" hidden="1">
      <c r="A675" s="56" t="s">
        <v>2668</v>
      </c>
      <c r="B675" s="58"/>
      <c r="C675" s="58"/>
      <c r="D675" s="58"/>
      <c r="E675" s="58"/>
      <c r="F675" s="58"/>
      <c r="G675" s="58"/>
      <c r="H675" s="59" t="s">
        <v>2669</v>
      </c>
      <c r="I675" s="59" t="s">
        <v>2670</v>
      </c>
      <c r="J675" s="60" t="str">
        <f ca="1">IFERROR(__xludf.DUMMYFUNCTION("JOIN("": "",H675,I675)"),"3E-54-08-14-00-00-00: Elementos terminais em instalações de gases especiais")</f>
        <v>3E-54-08-14-00-00-00: Elementos terminais em instalações de gases especiais</v>
      </c>
      <c r="K675" s="61"/>
      <c r="L675" s="62">
        <v>4</v>
      </c>
      <c r="M675" s="59"/>
      <c r="N675" s="59"/>
      <c r="O675" s="59"/>
      <c r="P675" s="59"/>
      <c r="Q675" s="63"/>
      <c r="R675" s="63"/>
      <c r="S675" s="63"/>
      <c r="T675" s="64">
        <v>78</v>
      </c>
      <c r="U675" s="46" t="b">
        <f ca="1"/>
        <v>0</v>
      </c>
      <c r="X675" s="12" t="s">
        <v>4883</v>
      </c>
      <c r="Y675" s="10">
        <v>78</v>
      </c>
    </row>
    <row r="676" spans="1:26" ht="12.75" hidden="1">
      <c r="A676" s="56" t="s">
        <v>2588</v>
      </c>
      <c r="B676" s="58"/>
      <c r="C676" s="58"/>
      <c r="D676" s="58"/>
      <c r="E676" s="58"/>
      <c r="F676" s="58"/>
      <c r="G676" s="58"/>
      <c r="H676" s="59" t="s">
        <v>2589</v>
      </c>
      <c r="I676" s="59" t="s">
        <v>2590</v>
      </c>
      <c r="J676" s="60" t="str">
        <f ca="1">IFERROR(__xludf.DUMMYFUNCTION("JOIN("": "",H676,I676)"),"3E-540-4-14-00-00-00: Elementos terminais em instalações de gases medicinais")</f>
        <v>3E-540-4-14-00-00-00: Elementos terminais em instalações de gases medicinais</v>
      </c>
      <c r="K676" s="61"/>
      <c r="L676" s="62">
        <v>4</v>
      </c>
      <c r="M676" s="59"/>
      <c r="N676" s="59"/>
      <c r="O676" s="59"/>
      <c r="P676" s="59"/>
      <c r="Q676" s="63"/>
      <c r="R676" s="63"/>
      <c r="S676" s="63"/>
      <c r="T676" s="64">
        <v>76</v>
      </c>
      <c r="U676" s="45" t="b">
        <f ca="1"/>
        <v>0</v>
      </c>
      <c r="X676" s="12" t="s">
        <v>4884</v>
      </c>
      <c r="Y676" s="10">
        <v>76</v>
      </c>
    </row>
    <row r="677" spans="1:26" ht="12.75">
      <c r="A677" s="36" t="s">
        <v>2672</v>
      </c>
      <c r="B677" s="37"/>
      <c r="C677" s="37"/>
      <c r="D677" s="37"/>
      <c r="E677" s="37"/>
      <c r="F677" s="37"/>
      <c r="G677" s="37"/>
      <c r="H677" s="38" t="s">
        <v>2673</v>
      </c>
      <c r="I677" s="38" t="s">
        <v>2674</v>
      </c>
      <c r="J677" s="39" t="str">
        <f ca="1">IFERROR(__xludf.DUMMYFUNCTION("JOIN("": "",H677,I677)"),"3E-56-00-00-00-00-00: Elementos móveis")</f>
        <v>3E-56-00-00-00-00-00: Elementos móveis</v>
      </c>
      <c r="K677" s="40"/>
      <c r="L677" s="41">
        <v>2</v>
      </c>
      <c r="M677" s="42"/>
      <c r="N677" s="43"/>
      <c r="O677" s="43"/>
      <c r="P677" s="43"/>
      <c r="Q677" s="44">
        <v>3</v>
      </c>
      <c r="R677" s="44">
        <v>3</v>
      </c>
      <c r="S677" s="44">
        <v>3</v>
      </c>
      <c r="T677" s="44">
        <v>56</v>
      </c>
      <c r="U677" s="46" t="b">
        <f ca="1"/>
        <v>0</v>
      </c>
      <c r="W677" s="7" t="str">
        <f>MID(H677, 1, FIND("-", H677, FIND("-", H677)+1)-1)</f>
        <v>3E-56</v>
      </c>
      <c r="X677" s="12" t="s">
        <v>4885</v>
      </c>
      <c r="Y677" s="10">
        <v>56</v>
      </c>
      <c r="Z677" s="7" t="str">
        <f>SUBSTITUTE(I677, "Elementos de ", "")</f>
        <v>Elementos móveis</v>
      </c>
    </row>
    <row r="678" spans="1:26" ht="12.75" hidden="1">
      <c r="A678" s="47" t="s">
        <v>2676</v>
      </c>
      <c r="B678" s="48"/>
      <c r="C678" s="48"/>
      <c r="D678" s="48"/>
      <c r="E678" s="48"/>
      <c r="F678" s="48"/>
      <c r="G678" s="48"/>
      <c r="H678" s="49" t="s">
        <v>2677</v>
      </c>
      <c r="I678" s="49" t="s">
        <v>2678</v>
      </c>
      <c r="J678" s="50" t="str">
        <f ca="1">IFERROR(__xludf.DUMMYFUNCTION("JOIN("": "",H678,I678)"),"3E-56-02-00-00-00-00: Elementos para comunicação visual")</f>
        <v>3E-56-02-00-00-00-00: Elementos para comunicação visual</v>
      </c>
      <c r="K678" s="51"/>
      <c r="L678" s="52">
        <v>3</v>
      </c>
      <c r="M678" s="53"/>
      <c r="N678" s="53"/>
      <c r="O678" s="53"/>
      <c r="P678" s="53"/>
      <c r="Q678" s="54"/>
      <c r="R678" s="54"/>
      <c r="S678" s="54"/>
      <c r="T678" s="55">
        <v>58</v>
      </c>
      <c r="U678" s="45" t="b">
        <f ca="1"/>
        <v>0</v>
      </c>
      <c r="X678" s="12" t="s">
        <v>4886</v>
      </c>
      <c r="Y678" s="10">
        <v>58</v>
      </c>
    </row>
    <row r="679" spans="1:26" ht="12.75" hidden="1">
      <c r="A679" s="47" t="s">
        <v>2680</v>
      </c>
      <c r="B679" s="48"/>
      <c r="C679" s="48"/>
      <c r="D679" s="48"/>
      <c r="E679" s="48"/>
      <c r="F679" s="48"/>
      <c r="G679" s="48"/>
      <c r="H679" s="49" t="s">
        <v>2681</v>
      </c>
      <c r="I679" s="49" t="s">
        <v>2682</v>
      </c>
      <c r="J679" s="50" t="str">
        <f ca="1">IFERROR(__xludf.DUMMYFUNCTION("JOIN("": "",H679,I679)"),"3E-56-04-00-00-00-00: Elementos de mobiliário")</f>
        <v>3E-56-04-00-00-00-00: Elementos de mobiliário</v>
      </c>
      <c r="K679" s="51"/>
      <c r="L679" s="52">
        <v>3</v>
      </c>
      <c r="M679" s="53"/>
      <c r="N679" s="53"/>
      <c r="O679" s="53"/>
      <c r="P679" s="53"/>
      <c r="Q679" s="54"/>
      <c r="R679" s="54"/>
      <c r="S679" s="54"/>
      <c r="T679" s="55">
        <v>60</v>
      </c>
      <c r="U679" s="46" t="b">
        <f ca="1"/>
        <v>0</v>
      </c>
      <c r="X679" s="12" t="s">
        <v>4887</v>
      </c>
      <c r="Y679" s="10">
        <v>60</v>
      </c>
    </row>
    <row r="680" spans="1:26" ht="12.75" hidden="1">
      <c r="A680" s="47" t="s">
        <v>2684</v>
      </c>
      <c r="B680" s="48"/>
      <c r="C680" s="48"/>
      <c r="D680" s="48"/>
      <c r="E680" s="48"/>
      <c r="F680" s="48"/>
      <c r="G680" s="48"/>
      <c r="H680" s="49" t="s">
        <v>2685</v>
      </c>
      <c r="I680" s="49" t="s">
        <v>2686</v>
      </c>
      <c r="J680" s="50" t="str">
        <f ca="1">IFERROR(__xludf.DUMMYFUNCTION("JOIN("": "",H680,I680)"),"3E-56-06-00-00-00-00: Equipamentos móveis conectados às instalações elétricas")</f>
        <v>3E-56-06-00-00-00-00: Equipamentos móveis conectados às instalações elétricas</v>
      </c>
      <c r="K680" s="51"/>
      <c r="L680" s="52">
        <v>3</v>
      </c>
      <c r="M680" s="53"/>
      <c r="N680" s="53"/>
      <c r="O680" s="53"/>
      <c r="P680" s="53"/>
      <c r="Q680" s="54"/>
      <c r="R680" s="54"/>
      <c r="S680" s="54"/>
      <c r="T680" s="55">
        <v>62</v>
      </c>
      <c r="U680" s="45" t="b">
        <f ca="1"/>
        <v>0</v>
      </c>
      <c r="X680" s="12" t="s">
        <v>4888</v>
      </c>
      <c r="Y680" s="10">
        <v>62</v>
      </c>
    </row>
    <row r="681" spans="1:26" ht="12.75" hidden="1">
      <c r="A681" s="47" t="s">
        <v>2688</v>
      </c>
      <c r="B681" s="48"/>
      <c r="C681" s="48"/>
      <c r="D681" s="48"/>
      <c r="E681" s="48"/>
      <c r="F681" s="48"/>
      <c r="G681" s="48"/>
      <c r="H681" s="49" t="s">
        <v>2689</v>
      </c>
      <c r="I681" s="49" t="s">
        <v>2690</v>
      </c>
      <c r="J681" s="50" t="str">
        <f ca="1">IFERROR(__xludf.DUMMYFUNCTION("JOIN("": "",H681,I681)"),"3E-56-08-00-00-00-00: Equipamentos móveis conectados às instalações hidráulicas")</f>
        <v>3E-56-08-00-00-00-00: Equipamentos móveis conectados às instalações hidráulicas</v>
      </c>
      <c r="K681" s="51"/>
      <c r="L681" s="52">
        <v>3</v>
      </c>
      <c r="M681" s="53"/>
      <c r="N681" s="53"/>
      <c r="O681" s="53"/>
      <c r="P681" s="53"/>
      <c r="Q681" s="54"/>
      <c r="R681" s="54"/>
      <c r="S681" s="54"/>
      <c r="T681" s="55">
        <v>64</v>
      </c>
      <c r="U681" s="46" t="b">
        <f ca="1"/>
        <v>0</v>
      </c>
      <c r="X681" s="12" t="s">
        <v>4889</v>
      </c>
      <c r="Y681" s="10">
        <v>64</v>
      </c>
    </row>
    <row r="682" spans="1:26" ht="12.75">
      <c r="A682" s="36" t="s">
        <v>2692</v>
      </c>
      <c r="B682" s="37"/>
      <c r="C682" s="37"/>
      <c r="D682" s="37"/>
      <c r="E682" s="37"/>
      <c r="F682" s="37"/>
      <c r="G682" s="37"/>
      <c r="H682" s="38" t="s">
        <v>2693</v>
      </c>
      <c r="I682" s="38" t="s">
        <v>2694</v>
      </c>
      <c r="J682" s="39" t="str">
        <f ca="1">IFERROR(__xludf.DUMMYFUNCTION("JOIN("": "",H682,I682)"),"3E-58-00-00-00-00-00: Elementos de automação")</f>
        <v>3E-58-00-00-00-00-00: Elementos de automação</v>
      </c>
      <c r="K682" s="40"/>
      <c r="L682" s="41">
        <v>2</v>
      </c>
      <c r="M682" s="42"/>
      <c r="N682" s="43"/>
      <c r="O682" s="43"/>
      <c r="P682" s="43"/>
      <c r="Q682" s="44">
        <v>6</v>
      </c>
      <c r="R682" s="44">
        <v>8</v>
      </c>
      <c r="S682" s="44">
        <v>5</v>
      </c>
      <c r="T682" s="44">
        <v>58</v>
      </c>
      <c r="U682" s="45" t="b">
        <f ca="1"/>
        <v>0</v>
      </c>
      <c r="W682" s="7" t="str">
        <f>MID(H682, 1, FIND("-", H682, FIND("-", H682)+1)-1)</f>
        <v>3E-58</v>
      </c>
      <c r="X682" s="12" t="s">
        <v>4890</v>
      </c>
      <c r="Y682" s="10">
        <v>58</v>
      </c>
      <c r="Z682" s="7" t="str">
        <f>SUBSTITUTE(I682, "Elementos de ", "")</f>
        <v>automação</v>
      </c>
    </row>
    <row r="683" spans="1:26" ht="12.75" hidden="1">
      <c r="A683" s="47" t="s">
        <v>2696</v>
      </c>
      <c r="B683" s="48"/>
      <c r="C683" s="48"/>
      <c r="D683" s="48"/>
      <c r="E683" s="48"/>
      <c r="F683" s="48"/>
      <c r="G683" s="48"/>
      <c r="H683" s="49" t="s">
        <v>2697</v>
      </c>
      <c r="I683" s="49" t="s">
        <v>2698</v>
      </c>
      <c r="J683" s="50" t="str">
        <f ca="1">IFERROR(__xludf.DUMMYFUNCTION("JOIN("": "",H683,I683)"),"3E-58-02-00-00-00-00: Elementos de automação predial")</f>
        <v>3E-58-02-00-00-00-00: Elementos de automação predial</v>
      </c>
      <c r="K683" s="51"/>
      <c r="L683" s="52">
        <v>3</v>
      </c>
      <c r="M683" s="53"/>
      <c r="N683" s="53"/>
      <c r="O683" s="53"/>
      <c r="P683" s="53"/>
      <c r="Q683" s="54"/>
      <c r="R683" s="54"/>
      <c r="S683" s="54"/>
      <c r="T683" s="55">
        <v>60</v>
      </c>
      <c r="U683" s="46" t="b">
        <f ca="1"/>
        <v>0</v>
      </c>
      <c r="X683" s="12" t="s">
        <v>4891</v>
      </c>
      <c r="Y683" s="10">
        <v>60</v>
      </c>
    </row>
    <row r="684" spans="1:26" ht="12.75" hidden="1">
      <c r="A684" s="47" t="s">
        <v>2700</v>
      </c>
      <c r="B684" s="48"/>
      <c r="C684" s="48"/>
      <c r="D684" s="48"/>
      <c r="E684" s="48"/>
      <c r="F684" s="48"/>
      <c r="G684" s="48"/>
      <c r="H684" s="49" t="s">
        <v>2701</v>
      </c>
      <c r="I684" s="49" t="s">
        <v>2702</v>
      </c>
      <c r="J684" s="50" t="str">
        <f ca="1">IFERROR(__xludf.DUMMYFUNCTION("JOIN("": "",H684,I684)"),"3E-58-04-00-00-00-00: Elementos de automação industrial")</f>
        <v>3E-58-04-00-00-00-00: Elementos de automação industrial</v>
      </c>
      <c r="K684" s="51"/>
      <c r="L684" s="52">
        <v>3</v>
      </c>
      <c r="M684" s="53"/>
      <c r="N684" s="53"/>
      <c r="O684" s="53"/>
      <c r="P684" s="53"/>
      <c r="Q684" s="54"/>
      <c r="R684" s="54"/>
      <c r="S684" s="54"/>
      <c r="T684" s="55">
        <v>62</v>
      </c>
      <c r="U684" s="45" t="b">
        <f ca="1"/>
        <v>0</v>
      </c>
      <c r="X684" s="12" t="s">
        <v>4892</v>
      </c>
      <c r="Y684" s="10">
        <v>62</v>
      </c>
    </row>
    <row r="685" spans="1:26" ht="12.75">
      <c r="A685" s="36" t="s">
        <v>2704</v>
      </c>
      <c r="B685" s="37"/>
      <c r="C685" s="37"/>
      <c r="D685" s="37"/>
      <c r="E685" s="37"/>
      <c r="F685" s="37"/>
      <c r="G685" s="37"/>
      <c r="H685" s="38" t="s">
        <v>2705</v>
      </c>
      <c r="I685" s="38" t="s">
        <v>2706</v>
      </c>
      <c r="J685" s="39" t="str">
        <f ca="1">IFERROR(__xludf.DUMMYFUNCTION("JOIN("": "",H685,I685)"),"3E-60-00-00-00-00-00: Elementos de sistemas de proteção a descargas atmosféricas")</f>
        <v>3E-60-00-00-00-00-00: Elementos de sistemas de proteção a descargas atmosféricas</v>
      </c>
      <c r="K685" s="40"/>
      <c r="L685" s="41">
        <v>2</v>
      </c>
      <c r="M685" s="42"/>
      <c r="N685" s="43"/>
      <c r="O685" s="43"/>
      <c r="P685" s="43"/>
      <c r="Q685" s="44">
        <v>5</v>
      </c>
      <c r="R685" s="44">
        <v>7</v>
      </c>
      <c r="S685" s="44">
        <v>4</v>
      </c>
      <c r="T685" s="44">
        <v>60</v>
      </c>
      <c r="U685" s="46" t="b">
        <f ca="1"/>
        <v>0</v>
      </c>
      <c r="W685" s="7" t="str">
        <f>MID(H685, 1, FIND("-", H685, FIND("-", H685)+1)-1)</f>
        <v>3E-60</v>
      </c>
      <c r="X685" s="12" t="s">
        <v>4893</v>
      </c>
      <c r="Y685" s="10">
        <v>60</v>
      </c>
      <c r="Z685" s="7" t="str">
        <f>SUBSTITUTE(I685, "Elementos de ", "")</f>
        <v>sistemas de proteção a descargas atmosféricas</v>
      </c>
    </row>
    <row r="686" spans="1:26" ht="12.75" hidden="1">
      <c r="A686" s="47" t="s">
        <v>2708</v>
      </c>
      <c r="B686" s="48"/>
      <c r="C686" s="48"/>
      <c r="D686" s="48"/>
      <c r="E686" s="48"/>
      <c r="F686" s="48"/>
      <c r="G686" s="48"/>
      <c r="H686" s="49" t="s">
        <v>2709</v>
      </c>
      <c r="I686" s="49" t="s">
        <v>2710</v>
      </c>
      <c r="J686" s="50" t="str">
        <f ca="1">IFERROR(__xludf.DUMMYFUNCTION("JOIN("": "",H686,I686)"),"3E-60-02-00-00-00-00: Elementos para a captação de descargas atmosféricas")</f>
        <v>3E-60-02-00-00-00-00: Elementos para a captação de descargas atmosféricas</v>
      </c>
      <c r="K686" s="51"/>
      <c r="L686" s="52">
        <v>3</v>
      </c>
      <c r="M686" s="53"/>
      <c r="N686" s="53"/>
      <c r="O686" s="53"/>
      <c r="P686" s="53"/>
      <c r="Q686" s="54"/>
      <c r="R686" s="54"/>
      <c r="S686" s="54"/>
      <c r="T686" s="55">
        <v>62</v>
      </c>
      <c r="U686" s="45" t="b">
        <f ca="1"/>
        <v>0</v>
      </c>
      <c r="X686" s="12" t="s">
        <v>4894</v>
      </c>
      <c r="Y686" s="10">
        <v>62</v>
      </c>
    </row>
    <row r="687" spans="1:26" ht="12.75" hidden="1">
      <c r="A687" s="56" t="s">
        <v>2712</v>
      </c>
      <c r="B687" s="58"/>
      <c r="C687" s="58"/>
      <c r="D687" s="58"/>
      <c r="E687" s="58"/>
      <c r="F687" s="58"/>
      <c r="G687" s="58"/>
      <c r="H687" s="59" t="s">
        <v>2713</v>
      </c>
      <c r="I687" s="59" t="s">
        <v>2714</v>
      </c>
      <c r="J687" s="60" t="str">
        <f ca="1">IFERROR(__xludf.DUMMYFUNCTION("JOIN("": "",H687,I687)"),"3E-60-02-02-00-00-00: Para-raios")</f>
        <v>3E-60-02-02-00-00-00: Para-raios</v>
      </c>
      <c r="K687" s="61"/>
      <c r="L687" s="62">
        <v>4</v>
      </c>
      <c r="M687" s="59"/>
      <c r="N687" s="59"/>
      <c r="O687" s="59"/>
      <c r="P687" s="59"/>
      <c r="Q687" s="63"/>
      <c r="R687" s="63"/>
      <c r="S687" s="63"/>
      <c r="T687" s="64">
        <v>64</v>
      </c>
      <c r="U687" s="46" t="b">
        <f ca="1"/>
        <v>0</v>
      </c>
      <c r="X687" s="12" t="s">
        <v>4895</v>
      </c>
      <c r="Y687" s="10">
        <v>64</v>
      </c>
    </row>
    <row r="688" spans="1:26" ht="12.75" hidden="1">
      <c r="A688" s="56" t="s">
        <v>2716</v>
      </c>
      <c r="B688" s="58"/>
      <c r="C688" s="58"/>
      <c r="D688" s="58"/>
      <c r="E688" s="58"/>
      <c r="F688" s="58"/>
      <c r="G688" s="58"/>
      <c r="H688" s="59" t="s">
        <v>2717</v>
      </c>
      <c r="I688" s="59" t="s">
        <v>2718</v>
      </c>
      <c r="J688" s="60" t="str">
        <f ca="1">IFERROR(__xludf.DUMMYFUNCTION("JOIN("": "",H688,I688)"),"3E-60-02-04-00-00-00: Haste Franklin")</f>
        <v>3E-60-02-04-00-00-00: Haste Franklin</v>
      </c>
      <c r="K688" s="61"/>
      <c r="L688" s="62">
        <v>4</v>
      </c>
      <c r="M688" s="59"/>
      <c r="N688" s="59"/>
      <c r="O688" s="59"/>
      <c r="P688" s="59"/>
      <c r="Q688" s="63"/>
      <c r="R688" s="63"/>
      <c r="S688" s="63"/>
      <c r="T688" s="64">
        <v>66</v>
      </c>
      <c r="U688" s="45" t="b">
        <f ca="1"/>
        <v>0</v>
      </c>
      <c r="X688" s="12" t="s">
        <v>4896</v>
      </c>
      <c r="Y688" s="10">
        <v>66</v>
      </c>
    </row>
    <row r="689" spans="1:26" ht="12.75" hidden="1">
      <c r="A689" s="56" t="s">
        <v>2720</v>
      </c>
      <c r="B689" s="58"/>
      <c r="C689" s="58"/>
      <c r="D689" s="58"/>
      <c r="E689" s="58"/>
      <c r="F689" s="58"/>
      <c r="G689" s="58"/>
      <c r="H689" s="59" t="s">
        <v>2721</v>
      </c>
      <c r="I689" s="59" t="s">
        <v>2722</v>
      </c>
      <c r="J689" s="60" t="str">
        <f ca="1">IFERROR(__xludf.DUMMYFUNCTION("JOIN("": "",H689,I689)"),"3E-60-02-06-00-00-00: Haste ionizante")</f>
        <v>3E-60-02-06-00-00-00: Haste ionizante</v>
      </c>
      <c r="K689" s="61"/>
      <c r="L689" s="62">
        <v>4</v>
      </c>
      <c r="M689" s="59"/>
      <c r="N689" s="59"/>
      <c r="O689" s="59"/>
      <c r="P689" s="59"/>
      <c r="Q689" s="63"/>
      <c r="R689" s="63"/>
      <c r="S689" s="63"/>
      <c r="T689" s="64">
        <v>68</v>
      </c>
      <c r="U689" s="46" t="b">
        <f ca="1"/>
        <v>0</v>
      </c>
      <c r="X689" s="12" t="s">
        <v>4897</v>
      </c>
      <c r="Y689" s="10">
        <v>68</v>
      </c>
    </row>
    <row r="690" spans="1:26" ht="12.75" hidden="1">
      <c r="A690" s="56" t="s">
        <v>2724</v>
      </c>
      <c r="B690" s="58"/>
      <c r="C690" s="58"/>
      <c r="D690" s="58"/>
      <c r="E690" s="58"/>
      <c r="F690" s="58"/>
      <c r="G690" s="58"/>
      <c r="H690" s="59" t="s">
        <v>2725</v>
      </c>
      <c r="I690" s="59" t="s">
        <v>2726</v>
      </c>
      <c r="J690" s="60" t="str">
        <f ca="1">IFERROR(__xludf.DUMMYFUNCTION("JOIN("": "",H690,I690)"),"3E-60-02-08-00-00-00: Gaiola de Faraday")</f>
        <v>3E-60-02-08-00-00-00: Gaiola de Faraday</v>
      </c>
      <c r="K690" s="61"/>
      <c r="L690" s="62">
        <v>4</v>
      </c>
      <c r="M690" s="59"/>
      <c r="N690" s="59"/>
      <c r="O690" s="59"/>
      <c r="P690" s="59"/>
      <c r="Q690" s="63"/>
      <c r="R690" s="63"/>
      <c r="S690" s="63"/>
      <c r="T690" s="64">
        <v>70</v>
      </c>
      <c r="U690" s="45" t="b">
        <f ca="1"/>
        <v>0</v>
      </c>
      <c r="X690" s="12" t="s">
        <v>4898</v>
      </c>
      <c r="Y690" s="10">
        <v>70</v>
      </c>
    </row>
    <row r="691" spans="1:26" ht="12.75" hidden="1">
      <c r="A691" s="47" t="s">
        <v>2728</v>
      </c>
      <c r="B691" s="48"/>
      <c r="C691" s="48"/>
      <c r="D691" s="48"/>
      <c r="E691" s="48"/>
      <c r="F691" s="48"/>
      <c r="G691" s="48"/>
      <c r="H691" s="49" t="s">
        <v>2729</v>
      </c>
      <c r="I691" s="49" t="s">
        <v>2730</v>
      </c>
      <c r="J691" s="50" t="str">
        <f ca="1">IFERROR(__xludf.DUMMYFUNCTION("JOIN("": "",H691,I691)"),"3E-60-04-00-00-00-00: Elementos para descida de descargas atmosféricas")</f>
        <v>3E-60-04-00-00-00-00: Elementos para descida de descargas atmosféricas</v>
      </c>
      <c r="K691" s="51"/>
      <c r="L691" s="52">
        <v>3</v>
      </c>
      <c r="M691" s="53"/>
      <c r="N691" s="53"/>
      <c r="O691" s="53"/>
      <c r="P691" s="53"/>
      <c r="Q691" s="54"/>
      <c r="R691" s="54"/>
      <c r="S691" s="54"/>
      <c r="T691" s="55">
        <v>64</v>
      </c>
      <c r="U691" s="46" t="b">
        <f ca="1"/>
        <v>0</v>
      </c>
      <c r="X691" s="12" t="s">
        <v>4899</v>
      </c>
      <c r="Y691" s="10">
        <v>64</v>
      </c>
    </row>
    <row r="692" spans="1:26" ht="12.75" hidden="1">
      <c r="A692" s="56" t="s">
        <v>2732</v>
      </c>
      <c r="B692" s="58"/>
      <c r="C692" s="58"/>
      <c r="D692" s="58"/>
      <c r="E692" s="58"/>
      <c r="F692" s="58"/>
      <c r="G692" s="58"/>
      <c r="H692" s="59" t="s">
        <v>2733</v>
      </c>
      <c r="I692" s="59" t="s">
        <v>2734</v>
      </c>
      <c r="J692" s="60" t="str">
        <f ca="1">IFERROR(__xludf.DUMMYFUNCTION("JOIN("": "",H692,I692)"),"3E-60-04-02-00-00-00: Condutor de interligação")</f>
        <v>3E-60-04-02-00-00-00: Condutor de interligação</v>
      </c>
      <c r="K692" s="61"/>
      <c r="L692" s="62">
        <v>4</v>
      </c>
      <c r="M692" s="59"/>
      <c r="N692" s="59"/>
      <c r="O692" s="59"/>
      <c r="P692" s="59"/>
      <c r="Q692" s="63"/>
      <c r="R692" s="63"/>
      <c r="S692" s="63"/>
      <c r="T692" s="64">
        <v>66</v>
      </c>
      <c r="U692" s="45" t="b">
        <f ca="1"/>
        <v>0</v>
      </c>
      <c r="X692" s="12" t="s">
        <v>4900</v>
      </c>
      <c r="Y692" s="10">
        <v>66</v>
      </c>
    </row>
    <row r="693" spans="1:26" ht="12.75" hidden="1">
      <c r="A693" s="47" t="s">
        <v>2736</v>
      </c>
      <c r="B693" s="48"/>
      <c r="C693" s="48"/>
      <c r="D693" s="48"/>
      <c r="E693" s="48"/>
      <c r="F693" s="48"/>
      <c r="G693" s="48"/>
      <c r="H693" s="49" t="s">
        <v>2737</v>
      </c>
      <c r="I693" s="49" t="s">
        <v>2738</v>
      </c>
      <c r="J693" s="50" t="str">
        <f ca="1">IFERROR(__xludf.DUMMYFUNCTION("JOIN("": "",H693,I693)"),"3E-60-06-00-00-00-00: Elementos para a conexão de aterramento da descarga atmosférica")</f>
        <v>3E-60-06-00-00-00-00: Elementos para a conexão de aterramento da descarga atmosférica</v>
      </c>
      <c r="K693" s="51"/>
      <c r="L693" s="52">
        <v>3</v>
      </c>
      <c r="M693" s="53"/>
      <c r="N693" s="53"/>
      <c r="O693" s="53"/>
      <c r="P693" s="53"/>
      <c r="Q693" s="54"/>
      <c r="R693" s="54"/>
      <c r="S693" s="54"/>
      <c r="T693" s="55">
        <v>66</v>
      </c>
      <c r="U693" s="46" t="b">
        <f ca="1"/>
        <v>0</v>
      </c>
      <c r="X693" s="12" t="s">
        <v>4901</v>
      </c>
      <c r="Y693" s="10">
        <v>66</v>
      </c>
    </row>
    <row r="694" spans="1:26" ht="12.75" hidden="1">
      <c r="A694" s="56" t="s">
        <v>2740</v>
      </c>
      <c r="B694" s="58"/>
      <c r="C694" s="58"/>
      <c r="D694" s="58"/>
      <c r="E694" s="58"/>
      <c r="F694" s="58"/>
      <c r="G694" s="58"/>
      <c r="H694" s="59" t="s">
        <v>2741</v>
      </c>
      <c r="I694" s="59" t="s">
        <v>2748</v>
      </c>
      <c r="J694" s="60" t="str">
        <f ca="1">IFERROR(__xludf.DUMMYFUNCTION("JOIN("": "",H694,I694)"),"3E-60-06-02-00-00-00: Dispositivo de proteção contra surtos atmosféricos (dps-a)")</f>
        <v>3E-60-06-02-00-00-00: Dispositivo de proteção contra surtos atmosféricos (dps-a)</v>
      </c>
      <c r="K694" s="61"/>
      <c r="L694" s="62">
        <v>4</v>
      </c>
      <c r="M694" s="59"/>
      <c r="N694" s="59"/>
      <c r="O694" s="59"/>
      <c r="P694" s="59"/>
      <c r="Q694" s="63"/>
      <c r="R694" s="63"/>
      <c r="S694" s="63"/>
      <c r="T694" s="64">
        <v>68</v>
      </c>
      <c r="U694" s="45" t="b">
        <f ca="1"/>
        <v>0</v>
      </c>
      <c r="X694" s="12" t="s">
        <v>4902</v>
      </c>
      <c r="Y694" s="10">
        <v>68</v>
      </c>
    </row>
    <row r="695" spans="1:26" ht="12.75" hidden="1">
      <c r="A695" s="56" t="s">
        <v>2740</v>
      </c>
      <c r="B695" s="58"/>
      <c r="C695" s="58"/>
      <c r="D695" s="58"/>
      <c r="E695" s="58"/>
      <c r="F695" s="58"/>
      <c r="G695" s="58"/>
      <c r="H695" s="59" t="s">
        <v>2741</v>
      </c>
      <c r="I695" s="59" t="s">
        <v>2742</v>
      </c>
      <c r="J695" s="60" t="str">
        <f ca="1">IFERROR(__xludf.DUMMYFUNCTION("JOIN("": "",H695,I695)"),"3E-60-06-02-00-00-00: Eletrodo para a conexão de aterramento da descarga atmosférica")</f>
        <v>3E-60-06-02-00-00-00: Eletrodo para a conexão de aterramento da descarga atmosférica</v>
      </c>
      <c r="K695" s="61"/>
      <c r="L695" s="62">
        <v>4</v>
      </c>
      <c r="M695" s="59"/>
      <c r="N695" s="59"/>
      <c r="O695" s="59"/>
      <c r="P695" s="59"/>
      <c r="Q695" s="63"/>
      <c r="R695" s="63"/>
      <c r="S695" s="63"/>
      <c r="T695" s="64">
        <v>68</v>
      </c>
      <c r="U695" s="46" t="b">
        <f ca="1"/>
        <v>0</v>
      </c>
      <c r="X695" s="12" t="s">
        <v>4903</v>
      </c>
      <c r="Y695" s="10">
        <v>68</v>
      </c>
    </row>
    <row r="696" spans="1:26" ht="12.75" hidden="1">
      <c r="A696" s="47" t="s">
        <v>2744</v>
      </c>
      <c r="B696" s="48"/>
      <c r="C696" s="48"/>
      <c r="D696" s="48"/>
      <c r="E696" s="48"/>
      <c r="F696" s="48"/>
      <c r="G696" s="48"/>
      <c r="H696" s="49" t="s">
        <v>2745</v>
      </c>
      <c r="I696" s="49" t="s">
        <v>2746</v>
      </c>
      <c r="J696" s="50" t="str">
        <f ca="1">IFERROR(__xludf.DUMMYFUNCTION("JOIN("": "",H696,I696)"),"3E-60-08-00-00-00-00: Dispositivos para sistemas de proteção a descargas atmosféricas")</f>
        <v>3E-60-08-00-00-00-00: Dispositivos para sistemas de proteção a descargas atmosféricas</v>
      </c>
      <c r="K696" s="51"/>
      <c r="L696" s="52">
        <v>3</v>
      </c>
      <c r="M696" s="53"/>
      <c r="N696" s="53"/>
      <c r="O696" s="53"/>
      <c r="P696" s="53"/>
      <c r="Q696" s="54"/>
      <c r="R696" s="54"/>
      <c r="S696" s="54"/>
      <c r="T696" s="55">
        <v>68</v>
      </c>
      <c r="U696" s="45" t="b">
        <f ca="1"/>
        <v>0</v>
      </c>
      <c r="X696" s="12" t="s">
        <v>4904</v>
      </c>
      <c r="Y696" s="10">
        <v>68</v>
      </c>
    </row>
    <row r="697" spans="1:26" ht="12.75">
      <c r="A697" s="36" t="s">
        <v>2750</v>
      </c>
      <c r="B697" s="37"/>
      <c r="C697" s="37"/>
      <c r="D697" s="37"/>
      <c r="E697" s="37"/>
      <c r="F697" s="37"/>
      <c r="G697" s="37"/>
      <c r="H697" s="38" t="s">
        <v>2751</v>
      </c>
      <c r="I697" s="38" t="s">
        <v>2752</v>
      </c>
      <c r="J697" s="39" t="str">
        <f ca="1">IFERROR(__xludf.DUMMYFUNCTION("JOIN("": "",H697,I697)"),"3E-62-00-00-00-00-00: Elementos de proteção a incêndio")</f>
        <v>3E-62-00-00-00-00-00: Elementos de proteção a incêndio</v>
      </c>
      <c r="K697" s="40"/>
      <c r="L697" s="41">
        <v>2</v>
      </c>
      <c r="M697" s="42"/>
      <c r="N697" s="43"/>
      <c r="O697" s="43"/>
      <c r="P697" s="43"/>
      <c r="Q697" s="44">
        <v>4</v>
      </c>
      <c r="R697" s="44">
        <v>5</v>
      </c>
      <c r="S697" s="44">
        <v>7</v>
      </c>
      <c r="T697" s="44">
        <v>62</v>
      </c>
      <c r="U697" s="46" t="b">
        <f ca="1"/>
        <v>0</v>
      </c>
      <c r="W697" s="7" t="str">
        <f>MID(H697, 1, FIND("-", H697, FIND("-", H697)+1)-1)</f>
        <v>3E-62</v>
      </c>
      <c r="X697" s="12" t="s">
        <v>4905</v>
      </c>
      <c r="Y697" s="10">
        <v>62</v>
      </c>
      <c r="Z697" s="7" t="str">
        <f>SUBSTITUTE(I697, "Elementos de ", "")</f>
        <v>proteção a incêndio</v>
      </c>
    </row>
    <row r="698" spans="1:26" ht="12.75" hidden="1">
      <c r="A698" s="47" t="s">
        <v>2754</v>
      </c>
      <c r="B698" s="48"/>
      <c r="C698" s="48"/>
      <c r="D698" s="48"/>
      <c r="E698" s="48"/>
      <c r="F698" s="48"/>
      <c r="G698" s="48"/>
      <c r="H698" s="49" t="s">
        <v>2755</v>
      </c>
      <c r="I698" s="49" t="s">
        <v>2756</v>
      </c>
      <c r="J698" s="50" t="str">
        <f ca="1">IFERROR(__xludf.DUMMYFUNCTION("JOIN("": "",H698,I698)"),"3E-62-02-00-00-00-00: Elementos para restrição ao surgimento e à propagação de incêndio")</f>
        <v>3E-62-02-00-00-00-00: Elementos para restrição ao surgimento e à propagação de incêndio</v>
      </c>
      <c r="K698" s="51"/>
      <c r="L698" s="52">
        <v>3</v>
      </c>
      <c r="M698" s="53"/>
      <c r="N698" s="53"/>
      <c r="O698" s="53"/>
      <c r="P698" s="53"/>
      <c r="Q698" s="54"/>
      <c r="R698" s="54"/>
      <c r="S698" s="54"/>
      <c r="T698" s="55">
        <v>64</v>
      </c>
      <c r="U698" s="45" t="b">
        <f ca="1"/>
        <v>0</v>
      </c>
      <c r="X698" s="12" t="s">
        <v>4906</v>
      </c>
      <c r="Y698" s="10">
        <v>64</v>
      </c>
    </row>
    <row r="699" spans="1:26" ht="12.75" hidden="1">
      <c r="A699" s="56" t="s">
        <v>2758</v>
      </c>
      <c r="B699" s="58"/>
      <c r="C699" s="58"/>
      <c r="D699" s="58"/>
      <c r="E699" s="58"/>
      <c r="F699" s="58"/>
      <c r="G699" s="58"/>
      <c r="H699" s="59" t="s">
        <v>2759</v>
      </c>
      <c r="I699" s="59" t="s">
        <v>2760</v>
      </c>
      <c r="J699" s="60" t="str">
        <f ca="1">IFERROR(__xludf.DUMMYFUNCTION("JOIN("": "",H699,I699)"),"3E-62-02-02-00-00-00: Compartimentação horizontal")</f>
        <v>3E-62-02-02-00-00-00: Compartimentação horizontal</v>
      </c>
      <c r="K699" s="61"/>
      <c r="L699" s="62">
        <v>4</v>
      </c>
      <c r="M699" s="59"/>
      <c r="N699" s="59"/>
      <c r="O699" s="59"/>
      <c r="P699" s="59"/>
      <c r="Q699" s="63"/>
      <c r="R699" s="63"/>
      <c r="S699" s="63"/>
      <c r="T699" s="64">
        <v>66</v>
      </c>
      <c r="U699" s="46" t="b">
        <f ca="1"/>
        <v>0</v>
      </c>
      <c r="X699" s="12" t="s">
        <v>4907</v>
      </c>
      <c r="Y699" s="10">
        <v>66</v>
      </c>
    </row>
    <row r="700" spans="1:26" ht="12.75" hidden="1">
      <c r="A700" s="56" t="s">
        <v>2762</v>
      </c>
      <c r="B700" s="58"/>
      <c r="C700" s="58"/>
      <c r="D700" s="58"/>
      <c r="E700" s="58"/>
      <c r="F700" s="58"/>
      <c r="G700" s="58"/>
      <c r="H700" s="59" t="s">
        <v>2763</v>
      </c>
      <c r="I700" s="59" t="s">
        <v>2764</v>
      </c>
      <c r="J700" s="60" t="str">
        <f ca="1">IFERROR(__xludf.DUMMYFUNCTION("JOIN("": "",H700,I700)"),"3E-62-02-04-00-00-00: Compartimentação vertical")</f>
        <v>3E-62-02-04-00-00-00: Compartimentação vertical</v>
      </c>
      <c r="K700" s="61"/>
      <c r="L700" s="62">
        <v>4</v>
      </c>
      <c r="M700" s="59"/>
      <c r="N700" s="59"/>
      <c r="O700" s="59"/>
      <c r="P700" s="59"/>
      <c r="Q700" s="63"/>
      <c r="R700" s="63"/>
      <c r="S700" s="63"/>
      <c r="T700" s="64">
        <v>68</v>
      </c>
      <c r="U700" s="45" t="b">
        <f ca="1"/>
        <v>0</v>
      </c>
      <c r="X700" s="12" t="s">
        <v>4908</v>
      </c>
      <c r="Y700" s="10">
        <v>68</v>
      </c>
    </row>
    <row r="701" spans="1:26" ht="12.75" hidden="1">
      <c r="A701" s="47" t="s">
        <v>2766</v>
      </c>
      <c r="B701" s="48"/>
      <c r="C701" s="48"/>
      <c r="D701" s="48"/>
      <c r="E701" s="48"/>
      <c r="F701" s="48"/>
      <c r="G701" s="48"/>
      <c r="H701" s="49" t="s">
        <v>2767</v>
      </c>
      <c r="I701" s="49" t="s">
        <v>2768</v>
      </c>
      <c r="J701" s="50" t="str">
        <f ca="1">IFERROR(__xludf.DUMMYFUNCTION("JOIN("": "",H701,I701)"),"3E-62-04-00-00-00-00: Elementos para controle de crescimento e supressão de incêndio")</f>
        <v>3E-62-04-00-00-00-00: Elementos para controle de crescimento e supressão de incêndio</v>
      </c>
      <c r="K701" s="51"/>
      <c r="L701" s="52">
        <v>3</v>
      </c>
      <c r="M701" s="53"/>
      <c r="N701" s="53"/>
      <c r="O701" s="53"/>
      <c r="P701" s="53"/>
      <c r="Q701" s="54"/>
      <c r="R701" s="54"/>
      <c r="S701" s="54"/>
      <c r="T701" s="55">
        <v>66</v>
      </c>
      <c r="U701" s="46" t="b">
        <f ca="1"/>
        <v>0</v>
      </c>
      <c r="X701" s="12" t="s">
        <v>4909</v>
      </c>
      <c r="Y701" s="10">
        <v>66</v>
      </c>
    </row>
    <row r="702" spans="1:26" ht="12.75" hidden="1">
      <c r="A702" s="47" t="s">
        <v>2770</v>
      </c>
      <c r="B702" s="48"/>
      <c r="C702" s="48"/>
      <c r="D702" s="48"/>
      <c r="E702" s="48"/>
      <c r="F702" s="48"/>
      <c r="G702" s="48"/>
      <c r="H702" s="49" t="s">
        <v>2771</v>
      </c>
      <c r="I702" s="49" t="s">
        <v>2772</v>
      </c>
      <c r="J702" s="50" t="str">
        <f ca="1">IFERROR(__xludf.DUMMYFUNCTION("JOIN("": "",H702,I702)"),"3E-62-06-00-00-00-00: Elementos de rede de gás para combate a incêndio")</f>
        <v>3E-62-06-00-00-00-00: Elementos de rede de gás para combate a incêndio</v>
      </c>
      <c r="K702" s="51"/>
      <c r="L702" s="52">
        <v>3</v>
      </c>
      <c r="M702" s="53"/>
      <c r="N702" s="53"/>
      <c r="O702" s="53"/>
      <c r="P702" s="53"/>
      <c r="Q702" s="54"/>
      <c r="R702" s="54"/>
      <c r="S702" s="54"/>
      <c r="T702" s="55">
        <v>68</v>
      </c>
      <c r="U702" s="45" t="b">
        <f ca="1"/>
        <v>0</v>
      </c>
      <c r="X702" s="12" t="s">
        <v>4910</v>
      </c>
      <c r="Y702" s="10">
        <v>68</v>
      </c>
    </row>
    <row r="703" spans="1:26" ht="12.75" hidden="1">
      <c r="A703" s="47" t="s">
        <v>2774</v>
      </c>
      <c r="B703" s="48"/>
      <c r="C703" s="48"/>
      <c r="D703" s="48"/>
      <c r="E703" s="48"/>
      <c r="F703" s="48"/>
      <c r="G703" s="48"/>
      <c r="H703" s="49" t="s">
        <v>2775</v>
      </c>
      <c r="I703" s="49" t="s">
        <v>2776</v>
      </c>
      <c r="J703" s="50" t="str">
        <f ca="1">IFERROR(__xludf.DUMMYFUNCTION("JOIN("": "",H703,I703)"),"3E-62-08-00-00-00-00: Elementos de rede de proteção por espuma")</f>
        <v>3E-62-08-00-00-00-00: Elementos de rede de proteção por espuma</v>
      </c>
      <c r="K703" s="51"/>
      <c r="L703" s="52">
        <v>3</v>
      </c>
      <c r="M703" s="53"/>
      <c r="N703" s="53"/>
      <c r="O703" s="53"/>
      <c r="P703" s="53"/>
      <c r="Q703" s="54"/>
      <c r="R703" s="54"/>
      <c r="S703" s="54"/>
      <c r="T703" s="55">
        <v>70</v>
      </c>
      <c r="U703" s="46" t="b">
        <f ca="1"/>
        <v>0</v>
      </c>
      <c r="X703" s="12" t="s">
        <v>4911</v>
      </c>
      <c r="Y703" s="10">
        <v>70</v>
      </c>
    </row>
    <row r="704" spans="1:26" ht="12.75" hidden="1">
      <c r="A704" s="47" t="s">
        <v>2778</v>
      </c>
      <c r="B704" s="48"/>
      <c r="C704" s="48"/>
      <c r="D704" s="48"/>
      <c r="E704" s="48"/>
      <c r="F704" s="48"/>
      <c r="G704" s="48"/>
      <c r="H704" s="49" t="s">
        <v>2779</v>
      </c>
      <c r="I704" s="49" t="s">
        <v>2780</v>
      </c>
      <c r="J704" s="50" t="str">
        <f ca="1">IFERROR(__xludf.DUMMYFUNCTION("JOIN("": "",H704,I704)"),"3E-62-10-00-00-00-00: Elementos de rede de proteção por chuveiros")</f>
        <v>3E-62-10-00-00-00-00: Elementos de rede de proteção por chuveiros</v>
      </c>
      <c r="K704" s="51"/>
      <c r="L704" s="52">
        <v>3</v>
      </c>
      <c r="M704" s="53"/>
      <c r="N704" s="53"/>
      <c r="O704" s="53"/>
      <c r="P704" s="53"/>
      <c r="Q704" s="54"/>
      <c r="R704" s="54"/>
      <c r="S704" s="54"/>
      <c r="T704" s="55">
        <v>72</v>
      </c>
      <c r="U704" s="45" t="b">
        <f ca="1"/>
        <v>0</v>
      </c>
      <c r="X704" s="12" t="s">
        <v>4912</v>
      </c>
      <c r="Y704" s="10">
        <v>72</v>
      </c>
    </row>
    <row r="705" spans="1:26" ht="12.75" hidden="1">
      <c r="A705" s="56" t="s">
        <v>2782</v>
      </c>
      <c r="B705" s="58"/>
      <c r="C705" s="58"/>
      <c r="D705" s="58"/>
      <c r="E705" s="58"/>
      <c r="F705" s="58"/>
      <c r="G705" s="58"/>
      <c r="H705" s="59" t="s">
        <v>2783</v>
      </c>
      <c r="I705" s="59" t="s">
        <v>2784</v>
      </c>
      <c r="J705" s="60" t="str">
        <f ca="1">IFERROR(__xludf.DUMMYFUNCTION("JOIN("": "",H705,I705)"),"3E-62-10-02-00-00-00: Válvula de governo e alarme (vga)")</f>
        <v>3E-62-10-02-00-00-00: Válvula de governo e alarme (vga)</v>
      </c>
      <c r="K705" s="61"/>
      <c r="L705" s="62">
        <v>4</v>
      </c>
      <c r="M705" s="59"/>
      <c r="N705" s="59"/>
      <c r="O705" s="59"/>
      <c r="P705" s="59"/>
      <c r="Q705" s="63"/>
      <c r="R705" s="63"/>
      <c r="S705" s="63"/>
      <c r="T705" s="64">
        <v>74</v>
      </c>
      <c r="U705" s="46" t="b">
        <f ca="1"/>
        <v>0</v>
      </c>
      <c r="X705" s="12" t="s">
        <v>4913</v>
      </c>
      <c r="Y705" s="10">
        <v>74</v>
      </c>
    </row>
    <row r="706" spans="1:26" ht="12.75" hidden="1">
      <c r="A706" s="56" t="s">
        <v>2786</v>
      </c>
      <c r="B706" s="58"/>
      <c r="C706" s="58"/>
      <c r="D706" s="58"/>
      <c r="E706" s="58"/>
      <c r="F706" s="58"/>
      <c r="G706" s="58"/>
      <c r="H706" s="59" t="s">
        <v>2787</v>
      </c>
      <c r="I706" s="59" t="s">
        <v>2788</v>
      </c>
      <c r="J706" s="60" t="str">
        <f ca="1">IFERROR(__xludf.DUMMYFUNCTION("JOIN("": "",H706,I706)"),"3E-62-10-04-00-00-00: Câmara de retardo")</f>
        <v>3E-62-10-04-00-00-00: Câmara de retardo</v>
      </c>
      <c r="K706" s="61"/>
      <c r="L706" s="62">
        <v>4</v>
      </c>
      <c r="M706" s="59"/>
      <c r="N706" s="59"/>
      <c r="O706" s="59"/>
      <c r="P706" s="59"/>
      <c r="Q706" s="63"/>
      <c r="R706" s="63"/>
      <c r="S706" s="63"/>
      <c r="T706" s="64">
        <v>76</v>
      </c>
      <c r="U706" s="45" t="b">
        <f ca="1"/>
        <v>0</v>
      </c>
      <c r="X706" s="12" t="s">
        <v>4914</v>
      </c>
      <c r="Y706" s="10">
        <v>76</v>
      </c>
    </row>
    <row r="707" spans="1:26" ht="12.75" hidden="1">
      <c r="A707" s="56" t="s">
        <v>2790</v>
      </c>
      <c r="B707" s="58"/>
      <c r="C707" s="58"/>
      <c r="D707" s="58"/>
      <c r="E707" s="58"/>
      <c r="F707" s="58"/>
      <c r="G707" s="58"/>
      <c r="H707" s="59" t="s">
        <v>2791</v>
      </c>
      <c r="I707" s="59" t="s">
        <v>2792</v>
      </c>
      <c r="J707" s="60" t="str">
        <f ca="1">IFERROR(__xludf.DUMMYFUNCTION("JOIN("": "",H707,I707)"),"3E-62-10-06-00-00-00: Registro de recalque")</f>
        <v>3E-62-10-06-00-00-00: Registro de recalque</v>
      </c>
      <c r="K707" s="61"/>
      <c r="L707" s="62">
        <v>4</v>
      </c>
      <c r="M707" s="59"/>
      <c r="N707" s="59"/>
      <c r="O707" s="59"/>
      <c r="P707" s="59"/>
      <c r="Q707" s="63"/>
      <c r="R707" s="63"/>
      <c r="S707" s="63"/>
      <c r="T707" s="64">
        <v>78</v>
      </c>
      <c r="U707" s="46" t="b">
        <f ca="1"/>
        <v>0</v>
      </c>
      <c r="X707" s="12" t="s">
        <v>4915</v>
      </c>
      <c r="Y707" s="10">
        <v>78</v>
      </c>
    </row>
    <row r="708" spans="1:26" ht="12.75" hidden="1">
      <c r="A708" s="56" t="s">
        <v>2794</v>
      </c>
      <c r="B708" s="58"/>
      <c r="C708" s="58"/>
      <c r="D708" s="58"/>
      <c r="E708" s="58"/>
      <c r="F708" s="58"/>
      <c r="G708" s="58"/>
      <c r="H708" s="59" t="s">
        <v>2795</v>
      </c>
      <c r="I708" s="59" t="s">
        <v>2796</v>
      </c>
      <c r="J708" s="60" t="str">
        <f ca="1">IFERROR(__xludf.DUMMYFUNCTION("JOIN("": "",H708,I708)"),"3E-62-10-08-00-00-00: Conexão de recalque")</f>
        <v>3E-62-10-08-00-00-00: Conexão de recalque</v>
      </c>
      <c r="K708" s="61"/>
      <c r="L708" s="62">
        <v>4</v>
      </c>
      <c r="M708" s="59"/>
      <c r="N708" s="59"/>
      <c r="O708" s="59"/>
      <c r="P708" s="59"/>
      <c r="Q708" s="63"/>
      <c r="R708" s="63"/>
      <c r="S708" s="63"/>
      <c r="T708" s="64">
        <v>80</v>
      </c>
      <c r="U708" s="45" t="b">
        <f ca="1"/>
        <v>0</v>
      </c>
      <c r="X708" s="12" t="s">
        <v>4916</v>
      </c>
      <c r="Y708" s="10">
        <v>80</v>
      </c>
    </row>
    <row r="709" spans="1:26" ht="12.75" hidden="1">
      <c r="A709" s="56" t="s">
        <v>2798</v>
      </c>
      <c r="B709" s="58"/>
      <c r="C709" s="58"/>
      <c r="D709" s="58"/>
      <c r="E709" s="58"/>
      <c r="F709" s="58"/>
      <c r="G709" s="58"/>
      <c r="H709" s="59" t="s">
        <v>2799</v>
      </c>
      <c r="I709" s="59" t="s">
        <v>2800</v>
      </c>
      <c r="J709" s="60" t="str">
        <f ca="1">IFERROR(__xludf.DUMMYFUNCTION("JOIN("": "",H709,I709)"),"3E-62-10-10-00-00-00: Dispositivo de recalque")</f>
        <v>3E-62-10-10-00-00-00: Dispositivo de recalque</v>
      </c>
      <c r="K709" s="61"/>
      <c r="L709" s="62">
        <v>4</v>
      </c>
      <c r="M709" s="59"/>
      <c r="N709" s="59"/>
      <c r="O709" s="59"/>
      <c r="P709" s="59"/>
      <c r="Q709" s="63"/>
      <c r="R709" s="63"/>
      <c r="S709" s="63"/>
      <c r="T709" s="64">
        <v>82</v>
      </c>
      <c r="U709" s="46" t="b">
        <f ca="1"/>
        <v>0</v>
      </c>
      <c r="X709" s="12" t="s">
        <v>4917</v>
      </c>
      <c r="Y709" s="10">
        <v>82</v>
      </c>
    </row>
    <row r="710" spans="1:26" ht="12.75" hidden="1">
      <c r="A710" s="56" t="s">
        <v>2802</v>
      </c>
      <c r="B710" s="58"/>
      <c r="C710" s="58"/>
      <c r="D710" s="58"/>
      <c r="E710" s="58"/>
      <c r="F710" s="58"/>
      <c r="G710" s="58"/>
      <c r="H710" s="59" t="s">
        <v>2803</v>
      </c>
      <c r="I710" s="59" t="s">
        <v>2804</v>
      </c>
      <c r="J710" s="60" t="str">
        <f ca="1">IFERROR(__xludf.DUMMYFUNCTION("JOIN("": "",H710,I710)"),"3E-62-10-12-00-00-00: Válvula redutora de pressão")</f>
        <v>3E-62-10-12-00-00-00: Válvula redutora de pressão</v>
      </c>
      <c r="K710" s="61"/>
      <c r="L710" s="62">
        <v>4</v>
      </c>
      <c r="M710" s="59"/>
      <c r="N710" s="59"/>
      <c r="O710" s="59"/>
      <c r="P710" s="59"/>
      <c r="Q710" s="63"/>
      <c r="R710" s="63"/>
      <c r="S710" s="63"/>
      <c r="T710" s="64">
        <v>84</v>
      </c>
      <c r="U710" s="45" t="b">
        <f ca="1"/>
        <v>0</v>
      </c>
      <c r="X710" s="12" t="s">
        <v>4918</v>
      </c>
      <c r="Y710" s="10">
        <v>84</v>
      </c>
    </row>
    <row r="711" spans="1:26" ht="12.75" hidden="1">
      <c r="A711" s="56" t="s">
        <v>2806</v>
      </c>
      <c r="B711" s="58"/>
      <c r="C711" s="58"/>
      <c r="D711" s="58"/>
      <c r="E711" s="58"/>
      <c r="F711" s="58"/>
      <c r="G711" s="58"/>
      <c r="H711" s="59" t="s">
        <v>2807</v>
      </c>
      <c r="I711" s="59" t="s">
        <v>2808</v>
      </c>
      <c r="J711" s="60" t="str">
        <f ca="1">IFERROR(__xludf.DUMMYFUNCTION("JOIN("": "",H711,I711)"),"3E-62-10-14-00-00-00: Barrilete de chuveiro automático para incêndio")</f>
        <v>3E-62-10-14-00-00-00: Barrilete de chuveiro automático para incêndio</v>
      </c>
      <c r="K711" s="61"/>
      <c r="L711" s="62">
        <v>4</v>
      </c>
      <c r="M711" s="59"/>
      <c r="N711" s="59"/>
      <c r="O711" s="59"/>
      <c r="P711" s="59"/>
      <c r="Q711" s="63"/>
      <c r="R711" s="63"/>
      <c r="S711" s="63"/>
      <c r="T711" s="64">
        <v>86</v>
      </c>
      <c r="U711" s="46" t="b">
        <f ca="1"/>
        <v>0</v>
      </c>
      <c r="X711" s="12" t="s">
        <v>4919</v>
      </c>
      <c r="Y711" s="10">
        <v>86</v>
      </c>
    </row>
    <row r="712" spans="1:26" ht="12.75" hidden="1">
      <c r="A712" s="56" t="s">
        <v>2810</v>
      </c>
      <c r="B712" s="58"/>
      <c r="C712" s="58"/>
      <c r="D712" s="58"/>
      <c r="E712" s="58"/>
      <c r="F712" s="58"/>
      <c r="G712" s="58"/>
      <c r="H712" s="59" t="s">
        <v>2811</v>
      </c>
      <c r="I712" s="59" t="s">
        <v>2812</v>
      </c>
      <c r="J712" s="60" t="str">
        <f ca="1">IFERROR(__xludf.DUMMYFUNCTION("JOIN("": "",H712,I712)"),"3E-62-10-16-00-00-00: Prumada de chuveiro automático para incêndio")</f>
        <v>3E-62-10-16-00-00-00: Prumada de chuveiro automático para incêndio</v>
      </c>
      <c r="K712" s="61"/>
      <c r="L712" s="62">
        <v>4</v>
      </c>
      <c r="M712" s="59"/>
      <c r="N712" s="59"/>
      <c r="O712" s="59"/>
      <c r="P712" s="59"/>
      <c r="Q712" s="63"/>
      <c r="R712" s="63"/>
      <c r="S712" s="63"/>
      <c r="T712" s="64">
        <v>88</v>
      </c>
      <c r="U712" s="45" t="b">
        <f ca="1"/>
        <v>0</v>
      </c>
      <c r="X712" s="12" t="s">
        <v>4920</v>
      </c>
      <c r="Y712" s="10">
        <v>88</v>
      </c>
    </row>
    <row r="713" spans="1:26" ht="12.75" hidden="1">
      <c r="A713" s="56" t="s">
        <v>2814</v>
      </c>
      <c r="B713" s="58"/>
      <c r="C713" s="58"/>
      <c r="D713" s="58"/>
      <c r="E713" s="58"/>
      <c r="F713" s="58"/>
      <c r="G713" s="58"/>
      <c r="H713" s="59" t="s">
        <v>2815</v>
      </c>
      <c r="I713" s="59" t="s">
        <v>2816</v>
      </c>
      <c r="J713" s="60" t="str">
        <f ca="1">IFERROR(__xludf.DUMMYFUNCTION("JOIN("": "",H713,I713)"),"3E-62-10-18-00-00-00: Ramal de chuveiro automático para incêndio")</f>
        <v>3E-62-10-18-00-00-00: Ramal de chuveiro automático para incêndio</v>
      </c>
      <c r="K713" s="61"/>
      <c r="L713" s="62">
        <v>4</v>
      </c>
      <c r="M713" s="59"/>
      <c r="N713" s="59"/>
      <c r="O713" s="59"/>
      <c r="P713" s="59"/>
      <c r="Q713" s="63"/>
      <c r="R713" s="63"/>
      <c r="S713" s="63"/>
      <c r="T713" s="64">
        <v>90</v>
      </c>
      <c r="U713" s="46" t="b">
        <f ca="1"/>
        <v>0</v>
      </c>
      <c r="X713" s="12" t="s">
        <v>4921</v>
      </c>
      <c r="Y713" s="10">
        <v>90</v>
      </c>
    </row>
    <row r="714" spans="1:26" ht="12.75" hidden="1">
      <c r="A714" s="56" t="s">
        <v>2818</v>
      </c>
      <c r="B714" s="58"/>
      <c r="C714" s="58"/>
      <c r="D714" s="58"/>
      <c r="E714" s="58"/>
      <c r="F714" s="58"/>
      <c r="G714" s="58"/>
      <c r="H714" s="59" t="s">
        <v>2819</v>
      </c>
      <c r="I714" s="59" t="s">
        <v>2820</v>
      </c>
      <c r="J714" s="60" t="str">
        <f ca="1">IFERROR(__xludf.DUMMYFUNCTION("JOIN("": "",H714,I714)"),"3E-62-10-20-00-00-00: Terminal de chuveiro automático para incêndio")</f>
        <v>3E-62-10-20-00-00-00: Terminal de chuveiro automático para incêndio</v>
      </c>
      <c r="K714" s="61"/>
      <c r="L714" s="62">
        <v>4</v>
      </c>
      <c r="M714" s="59"/>
      <c r="N714" s="59"/>
      <c r="O714" s="59"/>
      <c r="P714" s="59"/>
      <c r="Q714" s="63"/>
      <c r="R714" s="63"/>
      <c r="S714" s="63"/>
      <c r="T714" s="64">
        <v>92</v>
      </c>
      <c r="U714" s="45" t="b">
        <f ca="1"/>
        <v>0</v>
      </c>
      <c r="X714" s="12" t="s">
        <v>4922</v>
      </c>
      <c r="Y714" s="10">
        <v>92</v>
      </c>
    </row>
    <row r="715" spans="1:26" ht="12.75" hidden="1">
      <c r="A715" s="47" t="s">
        <v>2822</v>
      </c>
      <c r="B715" s="48"/>
      <c r="C715" s="48"/>
      <c r="D715" s="48"/>
      <c r="E715" s="48"/>
      <c r="F715" s="48"/>
      <c r="G715" s="48"/>
      <c r="H715" s="49" t="s">
        <v>2823</v>
      </c>
      <c r="I715" s="49" t="s">
        <v>2824</v>
      </c>
      <c r="J715" s="50" t="str">
        <f ca="1">IFERROR(__xludf.DUMMYFUNCTION("JOIN("": "",H715,I715)"),"3E-62-12-00-00-00-00: Elementos de detecção de incêndio")</f>
        <v>3E-62-12-00-00-00-00: Elementos de detecção de incêndio</v>
      </c>
      <c r="K715" s="51"/>
      <c r="L715" s="52">
        <v>3</v>
      </c>
      <c r="M715" s="53"/>
      <c r="N715" s="53"/>
      <c r="O715" s="53"/>
      <c r="P715" s="53"/>
      <c r="Q715" s="54"/>
      <c r="R715" s="54"/>
      <c r="S715" s="54"/>
      <c r="T715" s="55">
        <v>74</v>
      </c>
      <c r="U715" s="46" t="b">
        <f ca="1"/>
        <v>0</v>
      </c>
      <c r="X715" s="12" t="s">
        <v>4923</v>
      </c>
      <c r="Y715" s="10">
        <v>74</v>
      </c>
    </row>
    <row r="716" spans="1:26" ht="12.75" hidden="1">
      <c r="A716" s="47" t="s">
        <v>2826</v>
      </c>
      <c r="B716" s="48"/>
      <c r="C716" s="48"/>
      <c r="D716" s="48"/>
      <c r="E716" s="48"/>
      <c r="F716" s="48"/>
      <c r="G716" s="48"/>
      <c r="H716" s="49" t="s">
        <v>2827</v>
      </c>
      <c r="I716" s="49" t="s">
        <v>2828</v>
      </c>
      <c r="J716" s="50" t="str">
        <f ca="1">IFERROR(__xludf.DUMMYFUNCTION("JOIN("": "",H716,I716)"),"3E-62-14-00-00-00-00: Elementos de alerta de incêndio")</f>
        <v>3E-62-14-00-00-00-00: Elementos de alerta de incêndio</v>
      </c>
      <c r="K716" s="51"/>
      <c r="L716" s="52">
        <v>3</v>
      </c>
      <c r="M716" s="53"/>
      <c r="N716" s="53"/>
      <c r="O716" s="53"/>
      <c r="P716" s="53"/>
      <c r="Q716" s="54"/>
      <c r="R716" s="54"/>
      <c r="S716" s="54"/>
      <c r="T716" s="55">
        <v>76</v>
      </c>
      <c r="U716" s="45" t="b">
        <f ca="1"/>
        <v>0</v>
      </c>
      <c r="X716" s="12" t="s">
        <v>4924</v>
      </c>
      <c r="Y716" s="10">
        <v>76</v>
      </c>
    </row>
    <row r="717" spans="1:26" ht="12.75" hidden="1">
      <c r="A717" s="47" t="s">
        <v>2830</v>
      </c>
      <c r="B717" s="48"/>
      <c r="C717" s="48"/>
      <c r="D717" s="48"/>
      <c r="E717" s="48"/>
      <c r="F717" s="48"/>
      <c r="G717" s="48"/>
      <c r="H717" s="49" t="s">
        <v>2831</v>
      </c>
      <c r="I717" s="49" t="s">
        <v>2832</v>
      </c>
      <c r="J717" s="50" t="str">
        <f ca="1">IFERROR(__xludf.DUMMYFUNCTION("JOIN("": "",H717,I717)"),"3E-62-16-00-00-00-00: Elementos de acesso e facilidade para operações de socorro")</f>
        <v>3E-62-16-00-00-00-00: Elementos de acesso e facilidade para operações de socorro</v>
      </c>
      <c r="K717" s="51"/>
      <c r="L717" s="52">
        <v>3</v>
      </c>
      <c r="M717" s="53"/>
      <c r="N717" s="53"/>
      <c r="O717" s="53"/>
      <c r="P717" s="53"/>
      <c r="Q717" s="54"/>
      <c r="R717" s="54"/>
      <c r="S717" s="54"/>
      <c r="T717" s="55">
        <v>78</v>
      </c>
      <c r="U717" s="46" t="b">
        <f ca="1"/>
        <v>0</v>
      </c>
      <c r="X717" s="12" t="s">
        <v>4925</v>
      </c>
      <c r="Y717" s="10">
        <v>78</v>
      </c>
    </row>
    <row r="718" spans="1:26" ht="12.75" hidden="1">
      <c r="A718" s="47" t="s">
        <v>2834</v>
      </c>
      <c r="B718" s="48"/>
      <c r="C718" s="48"/>
      <c r="D718" s="48"/>
      <c r="E718" s="48"/>
      <c r="F718" s="48"/>
      <c r="G718" s="48"/>
      <c r="H718" s="49" t="s">
        <v>2835</v>
      </c>
      <c r="I718" s="49" t="s">
        <v>2836</v>
      </c>
      <c r="J718" s="50" t="str">
        <f ca="1">IFERROR(__xludf.DUMMYFUNCTION("JOIN("": "",H718,I718)"),"3E-62-18-00-00-00-00: Elementos de proteção estrutural em situações de incêndio")</f>
        <v>3E-62-18-00-00-00-00: Elementos de proteção estrutural em situações de incêndio</v>
      </c>
      <c r="K718" s="51"/>
      <c r="L718" s="52">
        <v>3</v>
      </c>
      <c r="M718" s="53"/>
      <c r="N718" s="53"/>
      <c r="O718" s="53"/>
      <c r="P718" s="53"/>
      <c r="Q718" s="54"/>
      <c r="R718" s="54"/>
      <c r="S718" s="54"/>
      <c r="T718" s="55">
        <v>80</v>
      </c>
      <c r="U718" s="45" t="b">
        <f ca="1"/>
        <v>0</v>
      </c>
      <c r="X718" s="12" t="s">
        <v>4926</v>
      </c>
      <c r="Y718" s="10">
        <v>80</v>
      </c>
    </row>
    <row r="719" spans="1:26" ht="12.75" hidden="1">
      <c r="A719" s="47" t="s">
        <v>2838</v>
      </c>
      <c r="B719" s="48"/>
      <c r="C719" s="48"/>
      <c r="D719" s="48"/>
      <c r="E719" s="48"/>
      <c r="F719" s="48"/>
      <c r="G719" s="48"/>
      <c r="H719" s="49" t="s">
        <v>2839</v>
      </c>
      <c r="I719" s="49" t="s">
        <v>2840</v>
      </c>
      <c r="J719" s="50" t="str">
        <f ca="1">IFERROR(__xludf.DUMMYFUNCTION("JOIN("": "",H719,I719)"),"3E-62-20-00-00-00-00: Elementos de controle de fumaça e gases")</f>
        <v>3E-62-20-00-00-00-00: Elementos de controle de fumaça e gases</v>
      </c>
      <c r="K719" s="51"/>
      <c r="L719" s="52">
        <v>3</v>
      </c>
      <c r="M719" s="53"/>
      <c r="N719" s="53"/>
      <c r="O719" s="53"/>
      <c r="P719" s="53"/>
      <c r="Q719" s="54"/>
      <c r="R719" s="54"/>
      <c r="S719" s="54"/>
      <c r="T719" s="55">
        <v>82</v>
      </c>
      <c r="U719" s="46" t="b">
        <f ca="1"/>
        <v>0</v>
      </c>
      <c r="X719" s="12" t="s">
        <v>4927</v>
      </c>
      <c r="Y719" s="10">
        <v>82</v>
      </c>
    </row>
    <row r="720" spans="1:26" ht="12.75">
      <c r="A720" s="36" t="s">
        <v>2842</v>
      </c>
      <c r="B720" s="37"/>
      <c r="C720" s="37"/>
      <c r="D720" s="37"/>
      <c r="E720" s="37"/>
      <c r="F720" s="37"/>
      <c r="G720" s="37"/>
      <c r="H720" s="38" t="s">
        <v>2843</v>
      </c>
      <c r="I720" s="38" t="s">
        <v>2844</v>
      </c>
      <c r="J720" s="39" t="str">
        <f ca="1">IFERROR(__xludf.DUMMYFUNCTION("JOIN("": "",H720,I720)"),"3E-64-00-00-00-00-00: Elementos de segurança patrimonial")</f>
        <v>3E-64-00-00-00-00-00: Elementos de segurança patrimonial</v>
      </c>
      <c r="K720" s="40"/>
      <c r="L720" s="41">
        <v>2</v>
      </c>
      <c r="M720" s="42"/>
      <c r="N720" s="43"/>
      <c r="O720" s="43"/>
      <c r="P720" s="43"/>
      <c r="Q720" s="44">
        <v>6</v>
      </c>
      <c r="R720" s="44">
        <v>6</v>
      </c>
      <c r="S720" s="44">
        <v>8</v>
      </c>
      <c r="T720" s="44">
        <v>64</v>
      </c>
      <c r="U720" s="45" t="b">
        <f ca="1"/>
        <v>0</v>
      </c>
      <c r="W720" s="7" t="str">
        <f>MID(H720, 1, FIND("-", H720, FIND("-", H720)+1)-1)</f>
        <v>3E-64</v>
      </c>
      <c r="X720" s="12" t="s">
        <v>4928</v>
      </c>
      <c r="Y720" s="10">
        <v>64</v>
      </c>
      <c r="Z720" s="7" t="str">
        <f>SUBSTITUTE(I720, "Elementos de ", "")</f>
        <v>segurança patrimonial</v>
      </c>
    </row>
    <row r="721" spans="1:32" ht="12.75" hidden="1">
      <c r="A721" s="47" t="s">
        <v>2846</v>
      </c>
      <c r="B721" s="48"/>
      <c r="C721" s="48"/>
      <c r="D721" s="48"/>
      <c r="E721" s="48"/>
      <c r="F721" s="48"/>
      <c r="G721" s="48"/>
      <c r="H721" s="49" t="s">
        <v>2847</v>
      </c>
      <c r="I721" s="49" t="s">
        <v>2848</v>
      </c>
      <c r="J721" s="50" t="str">
        <f ca="1">IFERROR(__xludf.DUMMYFUNCTION("JOIN("": "",H721,I721)"),"3E-64-02-00-00-00-00: Elementos para monitoramento por câmeras")</f>
        <v>3E-64-02-00-00-00-00: Elementos para monitoramento por câmeras</v>
      </c>
      <c r="K721" s="51"/>
      <c r="L721" s="52">
        <v>3</v>
      </c>
      <c r="M721" s="53"/>
      <c r="N721" s="53"/>
      <c r="O721" s="53"/>
      <c r="P721" s="53"/>
      <c r="Q721" s="54"/>
      <c r="R721" s="54"/>
      <c r="S721" s="54"/>
      <c r="T721" s="55">
        <v>66</v>
      </c>
      <c r="U721" s="46" t="b">
        <f ca="1"/>
        <v>0</v>
      </c>
      <c r="X721" s="12" t="s">
        <v>4929</v>
      </c>
      <c r="Y721" s="10">
        <v>66</v>
      </c>
    </row>
    <row r="722" spans="1:32" ht="12.75" hidden="1">
      <c r="A722" s="47" t="s">
        <v>2850</v>
      </c>
      <c r="B722" s="48"/>
      <c r="C722" s="48"/>
      <c r="D722" s="48"/>
      <c r="E722" s="48"/>
      <c r="F722" s="48"/>
      <c r="G722" s="48"/>
      <c r="H722" s="49" t="s">
        <v>2851</v>
      </c>
      <c r="I722" s="49" t="s">
        <v>2852</v>
      </c>
      <c r="J722" s="50" t="str">
        <f ca="1">IFERROR(__xludf.DUMMYFUNCTION("JOIN("": "",H722,I722)"),"3E-64-04-00-00-00-00: Elementos para monitoramento de presença")</f>
        <v>3E-64-04-00-00-00-00: Elementos para monitoramento de presença</v>
      </c>
      <c r="K722" s="51"/>
      <c r="L722" s="52">
        <v>3</v>
      </c>
      <c r="M722" s="53"/>
      <c r="N722" s="53"/>
      <c r="O722" s="53"/>
      <c r="P722" s="53"/>
      <c r="Q722" s="54"/>
      <c r="R722" s="54"/>
      <c r="S722" s="54"/>
      <c r="T722" s="55">
        <v>68</v>
      </c>
      <c r="U722" s="45" t="b">
        <f ca="1"/>
        <v>0</v>
      </c>
      <c r="X722" s="12" t="s">
        <v>4930</v>
      </c>
      <c r="Y722" s="10">
        <v>68</v>
      </c>
    </row>
    <row r="723" spans="1:32" ht="12.75" hidden="1">
      <c r="A723" s="47" t="s">
        <v>2854</v>
      </c>
      <c r="B723" s="48"/>
      <c r="C723" s="48"/>
      <c r="D723" s="48"/>
      <c r="E723" s="48"/>
      <c r="F723" s="48"/>
      <c r="G723" s="48"/>
      <c r="H723" s="49" t="s">
        <v>2855</v>
      </c>
      <c r="I723" s="49" t="s">
        <v>2856</v>
      </c>
      <c r="J723" s="50" t="str">
        <f ca="1">IFERROR(__xludf.DUMMYFUNCTION("JOIN("": "",H723,I723)"),"3E-64-06-00-00-00-00: Elementos para alertas sonoros")</f>
        <v>3E-64-06-00-00-00-00: Elementos para alertas sonoros</v>
      </c>
      <c r="K723" s="51"/>
      <c r="L723" s="52">
        <v>3</v>
      </c>
      <c r="M723" s="53"/>
      <c r="N723" s="53"/>
      <c r="O723" s="53"/>
      <c r="P723" s="53"/>
      <c r="Q723" s="54"/>
      <c r="R723" s="54"/>
      <c r="S723" s="54"/>
      <c r="T723" s="55">
        <v>70</v>
      </c>
      <c r="U723" s="46" t="b">
        <f ca="1"/>
        <v>0</v>
      </c>
      <c r="X723" s="12" t="s">
        <v>4931</v>
      </c>
      <c r="Y723" s="10">
        <v>70</v>
      </c>
    </row>
    <row r="724" spans="1:32" ht="12.75" hidden="1">
      <c r="A724" s="47" t="s">
        <v>2858</v>
      </c>
      <c r="B724" s="48"/>
      <c r="C724" s="48"/>
      <c r="D724" s="48"/>
      <c r="E724" s="48"/>
      <c r="F724" s="48"/>
      <c r="G724" s="48"/>
      <c r="H724" s="49" t="s">
        <v>2859</v>
      </c>
      <c r="I724" s="49" t="s">
        <v>2860</v>
      </c>
      <c r="J724" s="50" t="str">
        <f ca="1">IFERROR(__xludf.DUMMYFUNCTION("JOIN("": "",H724,I724)"),"3E-64-08-00-00-00-00: Elementos para comunicação de ocorrência")</f>
        <v>3E-64-08-00-00-00-00: Elementos para comunicação de ocorrência</v>
      </c>
      <c r="K724" s="51"/>
      <c r="L724" s="52">
        <v>3</v>
      </c>
      <c r="M724" s="53"/>
      <c r="N724" s="53"/>
      <c r="O724" s="53"/>
      <c r="P724" s="53"/>
      <c r="Q724" s="54"/>
      <c r="R724" s="54"/>
      <c r="S724" s="54"/>
      <c r="T724" s="55">
        <v>72</v>
      </c>
      <c r="U724" s="45" t="b">
        <f ca="1"/>
        <v>0</v>
      </c>
      <c r="X724" s="12" t="s">
        <v>4932</v>
      </c>
      <c r="Y724" s="10">
        <v>72</v>
      </c>
    </row>
    <row r="725" spans="1:32" ht="12.75" hidden="1">
      <c r="A725" s="47" t="s">
        <v>2862</v>
      </c>
      <c r="B725" s="48"/>
      <c r="C725" s="48"/>
      <c r="D725" s="48"/>
      <c r="E725" s="48"/>
      <c r="F725" s="48"/>
      <c r="G725" s="48"/>
      <c r="H725" s="49" t="s">
        <v>2863</v>
      </c>
      <c r="I725" s="49" t="s">
        <v>2864</v>
      </c>
      <c r="J725" s="50" t="str">
        <f ca="1">IFERROR(__xludf.DUMMYFUNCTION("JOIN("": "",H725,I725)"),"3E-64-10-00-00-00-00: Elementos para controle de acesso")</f>
        <v>3E-64-10-00-00-00-00: Elementos para controle de acesso</v>
      </c>
      <c r="K725" s="51"/>
      <c r="L725" s="52">
        <v>3</v>
      </c>
      <c r="M725" s="53"/>
      <c r="N725" s="53"/>
      <c r="O725" s="53"/>
      <c r="P725" s="53"/>
      <c r="Q725" s="54"/>
      <c r="R725" s="54"/>
      <c r="S725" s="54"/>
      <c r="T725" s="55">
        <v>74</v>
      </c>
      <c r="U725" s="46" t="b">
        <f ca="1"/>
        <v>0</v>
      </c>
      <c r="X725" s="12" t="s">
        <v>4933</v>
      </c>
      <c r="Y725" s="10">
        <v>74</v>
      </c>
    </row>
    <row r="726" spans="1:32" ht="12.75" hidden="1">
      <c r="A726" s="104"/>
      <c r="B726" s="105"/>
      <c r="C726" s="105"/>
      <c r="D726" s="105"/>
      <c r="E726" s="105"/>
      <c r="F726" s="105"/>
      <c r="G726" s="105"/>
      <c r="H726" s="106"/>
      <c r="I726" s="106"/>
      <c r="J726" s="107" t="str">
        <f ca="1">IFERROR(__xludf.DUMMYFUNCTION("JOIN("": "",H726,I726)"),": ")</f>
        <v xml:space="preserve">: </v>
      </c>
      <c r="K726" s="108"/>
      <c r="L726" s="108"/>
      <c r="Q726" s="109"/>
      <c r="R726" s="109"/>
      <c r="S726" s="109"/>
      <c r="T726" s="109"/>
      <c r="U726" s="110" t="b">
        <f ca="1"/>
        <v>0</v>
      </c>
      <c r="AF726" s="35"/>
    </row>
  </sheetData>
  <customSheetViews>
    <customSheetView guid="{8E0F1DA6-72C8-4D92-9BFE-C114C9786330}" filter="1" showAutoFilter="1">
      <pageMargins left="0.7" right="0.7" top="0.75" bottom="0.75" header="0.3" footer="0.3"/>
      <autoFilter ref="A1:U726" xr:uid="{AA3E1237-096C-4C4B-AD08-46BBA72B501C}">
        <filterColumn colId="20">
          <filters>
            <filter val="TRUE"/>
          </filters>
        </filterColumn>
      </autoFilter>
    </customSheetView>
    <customSheetView guid="{B7E63FAC-1A78-4C86-BE63-9E22AB5990A5}" filter="1" showAutoFilter="1">
      <pageMargins left="0.7" right="0.7" top="0.75" bottom="0.75" header="0.3" footer="0.3"/>
      <autoFilter ref="A1:U726" xr:uid="{663B59F4-763C-4295-8644-366DC1D8E791}"/>
    </customSheetView>
  </customSheetViews>
  <conditionalFormatting sqref="A2:G339 I2:T339 H2:H726 A344:G726 I344:T726">
    <cfRule type="expression" dxfId="35" priority="7">
      <formula>$L2=3</formula>
    </cfRule>
    <cfRule type="expression" dxfId="34" priority="8">
      <formula>$L2=4</formula>
    </cfRule>
    <cfRule type="expression" dxfId="33" priority="9">
      <formula>$L2=5</formula>
    </cfRule>
    <cfRule type="expression" dxfId="32" priority="10">
      <formula>$L2=6</formula>
    </cfRule>
  </conditionalFormatting>
  <conditionalFormatting sqref="A340:S343">
    <cfRule type="expression" dxfId="31" priority="1">
      <formula>$K340=2</formula>
    </cfRule>
    <cfRule type="expression" dxfId="30" priority="2">
      <formula>$K340=3</formula>
    </cfRule>
    <cfRule type="expression" dxfId="29" priority="3">
      <formula>$K340=4</formula>
    </cfRule>
    <cfRule type="expression" dxfId="28" priority="4">
      <formula>$K340=5</formula>
    </cfRule>
    <cfRule type="expression" dxfId="27" priority="5">
      <formula>$K340=6</formula>
    </cfRule>
  </conditionalFormatting>
  <conditionalFormatting sqref="H2:H726 A2:G339 I2:T339 A344:G726 I344:T726">
    <cfRule type="expression" dxfId="26" priority="6">
      <formula>$L2=2</formula>
    </cfRule>
  </conditionalFormatting>
  <dataValidations count="1">
    <dataValidation allowBlank="1" showDropDown="1" sqref="A2:G726" xr:uid="{00000000-0002-0000-0400-000000000000}"/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17"/>
  <sheetViews>
    <sheetView workbookViewId="0"/>
  </sheetViews>
  <sheetFormatPr defaultColWidth="12.5703125" defaultRowHeight="15.75" customHeight="1"/>
  <cols>
    <col min="1" max="1" width="25.5703125" customWidth="1"/>
    <col min="2" max="2" width="24.28515625" customWidth="1"/>
    <col min="3" max="3" width="53.28515625" customWidth="1"/>
    <col min="4" max="4" width="64" customWidth="1"/>
    <col min="5" max="5" width="11.5703125" customWidth="1"/>
    <col min="6" max="6" width="13" customWidth="1"/>
  </cols>
  <sheetData>
    <row r="1" spans="1:5">
      <c r="A1" s="111" t="s">
        <v>1065</v>
      </c>
      <c r="B1" s="3" t="s">
        <v>1066</v>
      </c>
      <c r="C1" s="3" t="s">
        <v>1067</v>
      </c>
      <c r="D1" s="112" t="str">
        <f ca="1">IFERROR(__xludf.DUMMYFUNCTION("JOIN("": "",B1,C1)"),"3E-24-00-00-00-00-00: Elementos de redes de transmissão de eletricidade")</f>
        <v>3E-24-00-00-00-00-00: Elementos de redes de transmissão de eletricidade</v>
      </c>
      <c r="E1" s="4">
        <v>2</v>
      </c>
    </row>
    <row r="2" spans="1:5">
      <c r="A2" s="111" t="s">
        <v>1069</v>
      </c>
      <c r="B2" s="3" t="s">
        <v>1070</v>
      </c>
      <c r="C2" s="3" t="s">
        <v>1071</v>
      </c>
      <c r="D2" s="112" t="str">
        <f ca="1">IFERROR(__xludf.DUMMYFUNCTION("JOIN("": "",B2,C2)"),"3E-24-02-00-00-00-00: Linhas de transmissão")</f>
        <v>3E-24-02-00-00-00-00: Linhas de transmissão</v>
      </c>
      <c r="E2" s="4">
        <v>3</v>
      </c>
    </row>
    <row r="3" spans="1:5">
      <c r="A3" s="111" t="s">
        <v>1073</v>
      </c>
      <c r="B3" s="3" t="s">
        <v>1074</v>
      </c>
      <c r="C3" s="3" t="s">
        <v>1075</v>
      </c>
      <c r="D3" s="112" t="str">
        <f ca="1">IFERROR(__xludf.DUMMYFUNCTION("JOIN("": "",B3,C3)"),"3E-24-04-00-00-00-00: Rede de distribuição")</f>
        <v>3E-24-04-00-00-00-00: Rede de distribuição</v>
      </c>
      <c r="E3" s="4">
        <v>3</v>
      </c>
    </row>
    <row r="4" spans="1:5">
      <c r="A4" s="111"/>
      <c r="B4" s="3" t="s">
        <v>4934</v>
      </c>
      <c r="C4" s="3" t="s">
        <v>4935</v>
      </c>
      <c r="D4" s="112" t="s">
        <v>4936</v>
      </c>
      <c r="E4" s="4"/>
    </row>
    <row r="5" spans="1:5">
      <c r="A5" s="111"/>
      <c r="B5" s="3" t="s">
        <v>4134</v>
      </c>
      <c r="C5" s="3" t="s">
        <v>4937</v>
      </c>
      <c r="D5" s="112" t="s">
        <v>4938</v>
      </c>
      <c r="E5" s="4"/>
    </row>
    <row r="6" spans="1:5">
      <c r="A6" s="111"/>
      <c r="B6" s="3" t="s">
        <v>4939</v>
      </c>
      <c r="C6" s="3" t="s">
        <v>4940</v>
      </c>
      <c r="D6" s="112" t="s">
        <v>4938</v>
      </c>
      <c r="E6" s="4"/>
    </row>
    <row r="7" spans="1:5">
      <c r="A7" s="111"/>
      <c r="B7" s="3" t="s">
        <v>4941</v>
      </c>
      <c r="C7" s="3" t="s">
        <v>4942</v>
      </c>
      <c r="D7" s="112" t="s">
        <v>4943</v>
      </c>
      <c r="E7" s="4"/>
    </row>
    <row r="8" spans="1:5">
      <c r="A8" s="111"/>
      <c r="B8" s="3" t="s">
        <v>4944</v>
      </c>
      <c r="C8" s="3" t="s">
        <v>4945</v>
      </c>
      <c r="D8" s="112" t="s">
        <v>4943</v>
      </c>
      <c r="E8" s="4"/>
    </row>
    <row r="9" spans="1:5">
      <c r="A9" s="111"/>
      <c r="B9" s="3" t="s">
        <v>4946</v>
      </c>
      <c r="C9" s="3" t="s">
        <v>4947</v>
      </c>
      <c r="D9" s="112" t="s">
        <v>4948</v>
      </c>
      <c r="E9" s="4"/>
    </row>
    <row r="10" spans="1:5">
      <c r="A10" s="111"/>
      <c r="B10" s="3" t="s">
        <v>4949</v>
      </c>
      <c r="C10" s="3" t="s">
        <v>4950</v>
      </c>
      <c r="D10" s="112" t="s">
        <v>4948</v>
      </c>
      <c r="E10" s="4"/>
    </row>
    <row r="11" spans="1:5">
      <c r="A11" s="111"/>
      <c r="B11" s="3" t="s">
        <v>4951</v>
      </c>
      <c r="C11" s="3"/>
      <c r="D11" s="112" t="s">
        <v>4948</v>
      </c>
      <c r="E11" s="4"/>
    </row>
    <row r="12" spans="1:5">
      <c r="A12" s="111"/>
      <c r="B12" s="3" t="s">
        <v>4952</v>
      </c>
      <c r="C12" s="3"/>
      <c r="D12" s="112" t="s">
        <v>4953</v>
      </c>
      <c r="E12" s="4"/>
    </row>
    <row r="13" spans="1:5">
      <c r="A13" s="111"/>
      <c r="B13" s="3" t="s">
        <v>4954</v>
      </c>
      <c r="C13" s="3"/>
      <c r="D13" s="112" t="s">
        <v>4948</v>
      </c>
      <c r="E13" s="4"/>
    </row>
    <row r="14" spans="1:5">
      <c r="A14" s="111"/>
      <c r="B14" s="3" t="s">
        <v>4955</v>
      </c>
      <c r="C14" s="3"/>
      <c r="D14" s="112" t="s">
        <v>4956</v>
      </c>
      <c r="E14" s="4"/>
    </row>
    <row r="15" spans="1:5">
      <c r="A15" s="111"/>
      <c r="B15" s="3" t="s">
        <v>4957</v>
      </c>
      <c r="C15" s="3"/>
      <c r="D15" s="112" t="s">
        <v>4958</v>
      </c>
      <c r="E15" s="4"/>
    </row>
    <row r="16" spans="1:5">
      <c r="A16" s="111" t="s">
        <v>1077</v>
      </c>
      <c r="B16" s="3" t="s">
        <v>1078</v>
      </c>
      <c r="C16" s="3" t="s">
        <v>1079</v>
      </c>
      <c r="D16" s="112" t="str">
        <f ca="1">IFERROR(__xludf.DUMMYFUNCTION("JOIN("": "",B16,C16)"),"3E-24-06-00-00-00-00: Subestação de distribuição")</f>
        <v>3E-24-06-00-00-00-00: Subestação de distribuição</v>
      </c>
      <c r="E16" s="4">
        <v>3</v>
      </c>
    </row>
    <row r="17" spans="1:5">
      <c r="A17" s="111" t="s">
        <v>1081</v>
      </c>
      <c r="B17" s="3" t="s">
        <v>1082</v>
      </c>
      <c r="C17" s="3" t="s">
        <v>1083</v>
      </c>
      <c r="D17" s="112" t="str">
        <f ca="1">IFERROR(__xludf.DUMMYFUNCTION("JOIN("": "",B17,C17)"),"3E-24-08-00-00-00-00: Transformador de distribuição")</f>
        <v>3E-24-08-00-00-00-00: Transformador de distribuição</v>
      </c>
      <c r="E17" s="4">
        <v>3</v>
      </c>
    </row>
  </sheetData>
  <conditionalFormatting sqref="A1:E17">
    <cfRule type="expression" dxfId="25" priority="1">
      <formula>$E1=2</formula>
    </cfRule>
    <cfRule type="expression" dxfId="24" priority="2">
      <formula>$E1=3</formula>
    </cfRule>
    <cfRule type="expression" dxfId="23" priority="3">
      <formula>$E1=4</formula>
    </cfRule>
    <cfRule type="expression" dxfId="22" priority="4">
      <formula>$E1=5</formula>
    </cfRule>
    <cfRule type="expression" dxfId="21" priority="5">
      <formula>$E1=6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O34"/>
  <sheetViews>
    <sheetView workbookViewId="0"/>
  </sheetViews>
  <sheetFormatPr defaultColWidth="12.5703125" defaultRowHeight="15.75" customHeight="1"/>
  <cols>
    <col min="1" max="1" width="25" customWidth="1"/>
    <col min="2" max="2" width="47.28515625" customWidth="1"/>
  </cols>
  <sheetData>
    <row r="1" spans="1:15">
      <c r="A1" s="113" t="s">
        <v>0</v>
      </c>
      <c r="B1" s="113" t="s">
        <v>4951</v>
      </c>
      <c r="C1" s="113" t="s">
        <v>4959</v>
      </c>
      <c r="D1" s="113" t="s">
        <v>4960</v>
      </c>
      <c r="E1" s="113" t="s">
        <v>4961</v>
      </c>
      <c r="F1" s="113" t="s">
        <v>4962</v>
      </c>
      <c r="G1" s="113" t="s">
        <v>4963</v>
      </c>
      <c r="H1" s="113" t="s">
        <v>4964</v>
      </c>
      <c r="I1" s="113" t="s">
        <v>4965</v>
      </c>
      <c r="J1" s="113" t="s">
        <v>4966</v>
      </c>
      <c r="K1" s="113" t="s">
        <v>4967</v>
      </c>
      <c r="L1" s="113" t="s">
        <v>4968</v>
      </c>
      <c r="M1" s="113" t="s">
        <v>4969</v>
      </c>
      <c r="N1" s="113" t="s">
        <v>4970</v>
      </c>
      <c r="O1" s="113" t="s">
        <v>4971</v>
      </c>
    </row>
    <row r="2" spans="1:15">
      <c r="A2" s="114" t="s">
        <v>4194</v>
      </c>
      <c r="B2" s="115" t="s">
        <v>4195</v>
      </c>
      <c r="C2" s="115">
        <v>2</v>
      </c>
      <c r="D2" s="115" t="s">
        <v>4972</v>
      </c>
      <c r="E2" s="115" t="s">
        <v>4973</v>
      </c>
      <c r="F2" s="115" t="s">
        <v>4974</v>
      </c>
      <c r="G2" s="115" t="s">
        <v>4975</v>
      </c>
      <c r="H2" s="115" t="s">
        <v>4976</v>
      </c>
      <c r="I2" s="115" t="s">
        <v>4977</v>
      </c>
      <c r="J2" s="115" t="s">
        <v>4978</v>
      </c>
      <c r="K2" s="115" t="s">
        <v>4979</v>
      </c>
      <c r="L2" s="115" t="s">
        <v>4980</v>
      </c>
      <c r="M2" s="115" t="s">
        <v>4981</v>
      </c>
      <c r="N2" s="116"/>
      <c r="O2" s="116"/>
    </row>
    <row r="3" spans="1:15">
      <c r="A3" s="114" t="s">
        <v>4197</v>
      </c>
      <c r="B3" s="115" t="s">
        <v>4</v>
      </c>
      <c r="C3" s="115">
        <v>2</v>
      </c>
      <c r="D3" s="115" t="s">
        <v>4982</v>
      </c>
      <c r="E3" s="115" t="s">
        <v>4983</v>
      </c>
      <c r="F3" s="115" t="s">
        <v>4984</v>
      </c>
      <c r="G3" s="115" t="s">
        <v>4985</v>
      </c>
      <c r="H3" s="115" t="s">
        <v>4986</v>
      </c>
      <c r="I3" s="115" t="s">
        <v>4987</v>
      </c>
      <c r="J3" s="115" t="s">
        <v>4988</v>
      </c>
      <c r="K3" s="115" t="s">
        <v>4989</v>
      </c>
      <c r="L3" s="115" t="s">
        <v>4990</v>
      </c>
      <c r="M3" s="115" t="s">
        <v>4991</v>
      </c>
      <c r="N3" s="116"/>
      <c r="O3" s="116"/>
    </row>
    <row r="4" spans="1:15">
      <c r="A4" s="114" t="s">
        <v>174</v>
      </c>
      <c r="B4" s="115" t="s">
        <v>175</v>
      </c>
      <c r="C4" s="115">
        <v>2</v>
      </c>
      <c r="D4" s="115" t="s">
        <v>4992</v>
      </c>
      <c r="E4" s="115" t="s">
        <v>4993</v>
      </c>
      <c r="F4" s="115" t="s">
        <v>4994</v>
      </c>
      <c r="G4" s="115" t="s">
        <v>4995</v>
      </c>
      <c r="H4" s="115" t="s">
        <v>4996</v>
      </c>
      <c r="I4" s="115" t="s">
        <v>4997</v>
      </c>
      <c r="J4" s="115" t="s">
        <v>4998</v>
      </c>
      <c r="K4" s="115" t="s">
        <v>4999</v>
      </c>
      <c r="L4" s="115" t="s">
        <v>5000</v>
      </c>
      <c r="M4" s="115" t="s">
        <v>5001</v>
      </c>
      <c r="N4" s="116"/>
      <c r="O4" s="116"/>
    </row>
    <row r="5" spans="1:15">
      <c r="A5" s="114" t="s">
        <v>202</v>
      </c>
      <c r="B5" s="115" t="s">
        <v>203</v>
      </c>
      <c r="C5" s="115">
        <v>2</v>
      </c>
      <c r="D5" s="115" t="s">
        <v>5002</v>
      </c>
      <c r="E5" s="115" t="s">
        <v>5003</v>
      </c>
      <c r="F5" s="115" t="s">
        <v>5004</v>
      </c>
      <c r="G5" s="115" t="s">
        <v>5005</v>
      </c>
      <c r="H5" s="115" t="s">
        <v>5006</v>
      </c>
      <c r="I5" s="115" t="s">
        <v>5007</v>
      </c>
      <c r="J5" s="115" t="s">
        <v>5008</v>
      </c>
      <c r="K5" s="115" t="s">
        <v>5009</v>
      </c>
      <c r="L5" s="115" t="s">
        <v>5010</v>
      </c>
      <c r="M5" s="115" t="s">
        <v>5011</v>
      </c>
      <c r="N5" s="116"/>
      <c r="O5" s="116"/>
    </row>
    <row r="6" spans="1:15">
      <c r="A6" s="114" t="s">
        <v>366</v>
      </c>
      <c r="B6" s="115" t="s">
        <v>367</v>
      </c>
      <c r="C6" s="115">
        <v>2</v>
      </c>
      <c r="D6" s="115" t="s">
        <v>5012</v>
      </c>
      <c r="E6" s="115" t="s">
        <v>5013</v>
      </c>
      <c r="F6" s="115" t="s">
        <v>5014</v>
      </c>
      <c r="G6" s="115" t="s">
        <v>5015</v>
      </c>
      <c r="H6" s="115" t="s">
        <v>5016</v>
      </c>
      <c r="I6" s="115" t="s">
        <v>5017</v>
      </c>
      <c r="J6" s="115" t="s">
        <v>5018</v>
      </c>
      <c r="K6" s="115" t="s">
        <v>5019</v>
      </c>
      <c r="L6" s="115" t="s">
        <v>5020</v>
      </c>
      <c r="M6" s="115" t="s">
        <v>5021</v>
      </c>
      <c r="N6" s="116"/>
      <c r="O6" s="116"/>
    </row>
    <row r="7" spans="1:15">
      <c r="A7" s="114" t="s">
        <v>534</v>
      </c>
      <c r="B7" s="115" t="s">
        <v>535</v>
      </c>
      <c r="C7" s="115">
        <v>2</v>
      </c>
      <c r="D7" s="115" t="s">
        <v>5022</v>
      </c>
      <c r="E7" s="115" t="s">
        <v>5023</v>
      </c>
      <c r="F7" s="115" t="s">
        <v>5024</v>
      </c>
      <c r="G7" s="115" t="s">
        <v>5025</v>
      </c>
      <c r="H7" s="115" t="s">
        <v>5026</v>
      </c>
      <c r="I7" s="115" t="s">
        <v>5027</v>
      </c>
      <c r="J7" s="115" t="s">
        <v>5028</v>
      </c>
      <c r="K7" s="115" t="s">
        <v>5029</v>
      </c>
      <c r="L7" s="115" t="s">
        <v>5030</v>
      </c>
      <c r="M7" s="115" t="s">
        <v>5031</v>
      </c>
      <c r="N7" s="116"/>
      <c r="O7" s="116"/>
    </row>
    <row r="8" spans="1:15">
      <c r="A8" s="114" t="s">
        <v>610</v>
      </c>
      <c r="B8" s="115" t="s">
        <v>611</v>
      </c>
      <c r="C8" s="115">
        <v>2</v>
      </c>
      <c r="D8" s="115" t="s">
        <v>5032</v>
      </c>
      <c r="E8" s="115" t="s">
        <v>5033</v>
      </c>
      <c r="F8" s="115" t="s">
        <v>5034</v>
      </c>
      <c r="G8" s="115" t="s">
        <v>5035</v>
      </c>
      <c r="H8" s="115" t="s">
        <v>5036</v>
      </c>
      <c r="I8" s="115" t="s">
        <v>5037</v>
      </c>
      <c r="J8" s="115" t="s">
        <v>5038</v>
      </c>
      <c r="K8" s="115" t="s">
        <v>5039</v>
      </c>
      <c r="L8" s="115" t="s">
        <v>5040</v>
      </c>
      <c r="M8" s="115" t="s">
        <v>5041</v>
      </c>
      <c r="N8" s="116"/>
      <c r="O8" s="116"/>
    </row>
    <row r="9" spans="1:15">
      <c r="A9" s="114" t="s">
        <v>814</v>
      </c>
      <c r="B9" s="115" t="s">
        <v>815</v>
      </c>
      <c r="C9" s="115">
        <v>2</v>
      </c>
      <c r="D9" s="115" t="s">
        <v>5042</v>
      </c>
      <c r="E9" s="115" t="s">
        <v>5043</v>
      </c>
      <c r="F9" s="115" t="s">
        <v>5044</v>
      </c>
      <c r="G9" s="115" t="s">
        <v>5045</v>
      </c>
      <c r="H9" s="115" t="s">
        <v>5046</v>
      </c>
      <c r="I9" s="115" t="s">
        <v>5047</v>
      </c>
      <c r="J9" s="115" t="s">
        <v>5048</v>
      </c>
      <c r="K9" s="115" t="s">
        <v>5049</v>
      </c>
      <c r="L9" s="115" t="s">
        <v>5050</v>
      </c>
      <c r="M9" s="115" t="s">
        <v>5051</v>
      </c>
      <c r="N9" s="116"/>
      <c r="O9" s="116"/>
    </row>
    <row r="10" spans="1:15">
      <c r="A10" s="114" t="s">
        <v>866</v>
      </c>
      <c r="B10" s="115" t="s">
        <v>867</v>
      </c>
      <c r="C10" s="115">
        <v>2</v>
      </c>
      <c r="D10" s="115" t="s">
        <v>5052</v>
      </c>
      <c r="E10" s="115" t="s">
        <v>5053</v>
      </c>
      <c r="F10" s="115" t="s">
        <v>5054</v>
      </c>
      <c r="G10" s="115" t="s">
        <v>5055</v>
      </c>
      <c r="H10" s="115" t="s">
        <v>5056</v>
      </c>
      <c r="I10" s="115" t="s">
        <v>5057</v>
      </c>
      <c r="J10" s="115" t="s">
        <v>5058</v>
      </c>
      <c r="K10" s="115" t="s">
        <v>5059</v>
      </c>
      <c r="L10" s="115" t="s">
        <v>5060</v>
      </c>
      <c r="M10" s="115" t="s">
        <v>5061</v>
      </c>
      <c r="N10" s="116"/>
      <c r="O10" s="116"/>
    </row>
    <row r="11" spans="1:15">
      <c r="A11" s="114" t="s">
        <v>934</v>
      </c>
      <c r="B11" s="115" t="s">
        <v>935</v>
      </c>
      <c r="C11" s="115">
        <v>2</v>
      </c>
      <c r="D11" s="115" t="s">
        <v>5062</v>
      </c>
      <c r="E11" s="115" t="s">
        <v>5063</v>
      </c>
      <c r="F11" s="115" t="s">
        <v>5064</v>
      </c>
      <c r="G11" s="115" t="s">
        <v>5065</v>
      </c>
      <c r="H11" s="115" t="s">
        <v>5066</v>
      </c>
      <c r="I11" s="115" t="s">
        <v>5067</v>
      </c>
      <c r="J11" s="115" t="s">
        <v>5068</v>
      </c>
      <c r="K11" s="115" t="s">
        <v>5069</v>
      </c>
      <c r="L11" s="115" t="s">
        <v>5070</v>
      </c>
      <c r="M11" s="115" t="s">
        <v>5071</v>
      </c>
      <c r="N11" s="116"/>
      <c r="O11" s="116"/>
    </row>
    <row r="12" spans="1:15">
      <c r="A12" s="114" t="s">
        <v>954</v>
      </c>
      <c r="B12" s="115" t="s">
        <v>955</v>
      </c>
      <c r="C12" s="115">
        <v>2</v>
      </c>
      <c r="D12" s="115" t="s">
        <v>5072</v>
      </c>
      <c r="E12" s="115" t="s">
        <v>5073</v>
      </c>
      <c r="F12" s="115" t="s">
        <v>5074</v>
      </c>
      <c r="G12" s="115" t="s">
        <v>5075</v>
      </c>
      <c r="H12" s="115" t="s">
        <v>5076</v>
      </c>
      <c r="I12" s="115" t="s">
        <v>5077</v>
      </c>
      <c r="J12" s="115" t="s">
        <v>5078</v>
      </c>
      <c r="K12" s="115" t="s">
        <v>5079</v>
      </c>
      <c r="L12" s="115" t="s">
        <v>5080</v>
      </c>
      <c r="M12" s="115" t="s">
        <v>5081</v>
      </c>
      <c r="N12" s="116"/>
      <c r="O12" s="116"/>
    </row>
    <row r="13" spans="1:15">
      <c r="A13" s="114" t="s">
        <v>1046</v>
      </c>
      <c r="B13" s="115" t="s">
        <v>1047</v>
      </c>
      <c r="C13" s="115">
        <v>2</v>
      </c>
      <c r="D13" s="115" t="s">
        <v>5082</v>
      </c>
      <c r="E13" s="115" t="s">
        <v>5083</v>
      </c>
      <c r="F13" s="115" t="s">
        <v>5084</v>
      </c>
      <c r="G13" s="115" t="s">
        <v>5085</v>
      </c>
      <c r="H13" s="115" t="s">
        <v>5086</v>
      </c>
      <c r="I13" s="115" t="s">
        <v>5087</v>
      </c>
      <c r="J13" s="115" t="s">
        <v>5088</v>
      </c>
      <c r="K13" s="115" t="s">
        <v>5089</v>
      </c>
      <c r="L13" s="115" t="s">
        <v>5090</v>
      </c>
      <c r="M13" s="115" t="s">
        <v>5091</v>
      </c>
      <c r="N13" s="116"/>
      <c r="O13" s="116"/>
    </row>
    <row r="14" spans="1:15">
      <c r="A14" s="114" t="s">
        <v>1066</v>
      </c>
      <c r="B14" s="115" t="s">
        <v>1067</v>
      </c>
      <c r="C14" s="115">
        <v>2</v>
      </c>
      <c r="D14" s="115" t="s">
        <v>5092</v>
      </c>
      <c r="E14" s="115" t="s">
        <v>5093</v>
      </c>
      <c r="F14" s="115" t="s">
        <v>5094</v>
      </c>
      <c r="G14" s="115" t="s">
        <v>5095</v>
      </c>
      <c r="H14" s="115" t="s">
        <v>5096</v>
      </c>
      <c r="I14" s="115" t="s">
        <v>5097</v>
      </c>
      <c r="J14" s="115" t="s">
        <v>5098</v>
      </c>
      <c r="K14" s="115" t="s">
        <v>5099</v>
      </c>
      <c r="L14" s="115" t="s">
        <v>5100</v>
      </c>
      <c r="M14" s="115" t="s">
        <v>5101</v>
      </c>
      <c r="N14" s="116"/>
      <c r="O14" s="116"/>
    </row>
    <row r="15" spans="1:15">
      <c r="A15" s="114" t="s">
        <v>1086</v>
      </c>
      <c r="B15" s="115" t="s">
        <v>1087</v>
      </c>
      <c r="C15" s="115">
        <v>2</v>
      </c>
      <c r="D15" s="115" t="s">
        <v>5102</v>
      </c>
      <c r="E15" s="115" t="s">
        <v>5103</v>
      </c>
      <c r="F15" s="115" t="s">
        <v>5104</v>
      </c>
      <c r="G15" s="115" t="s">
        <v>5105</v>
      </c>
      <c r="H15" s="115" t="s">
        <v>5106</v>
      </c>
      <c r="I15" s="115" t="s">
        <v>5107</v>
      </c>
      <c r="J15" s="115" t="s">
        <v>5108</v>
      </c>
      <c r="K15" s="115" t="s">
        <v>5109</v>
      </c>
      <c r="L15" s="115" t="s">
        <v>5110</v>
      </c>
      <c r="M15" s="115" t="s">
        <v>5111</v>
      </c>
      <c r="N15" s="116"/>
      <c r="O15" s="116"/>
    </row>
    <row r="16" spans="1:15">
      <c r="A16" s="114" t="s">
        <v>1378</v>
      </c>
      <c r="B16" s="115" t="s">
        <v>1379</v>
      </c>
      <c r="C16" s="115">
        <v>2</v>
      </c>
      <c r="D16" s="115" t="s">
        <v>5112</v>
      </c>
      <c r="E16" s="115" t="s">
        <v>5113</v>
      </c>
      <c r="F16" s="115" t="s">
        <v>5114</v>
      </c>
      <c r="G16" s="115" t="s">
        <v>5115</v>
      </c>
      <c r="H16" s="115" t="s">
        <v>5116</v>
      </c>
      <c r="I16" s="115" t="s">
        <v>5117</v>
      </c>
      <c r="J16" s="115" t="s">
        <v>5118</v>
      </c>
      <c r="K16" s="115" t="s">
        <v>5119</v>
      </c>
      <c r="L16" s="115" t="s">
        <v>5120</v>
      </c>
      <c r="M16" s="115" t="s">
        <v>5121</v>
      </c>
      <c r="N16" s="116"/>
      <c r="O16" s="116"/>
    </row>
    <row r="17" spans="1:15">
      <c r="A17" s="114" t="s">
        <v>1434</v>
      </c>
      <c r="B17" s="115" t="s">
        <v>1435</v>
      </c>
      <c r="C17" s="115">
        <v>2</v>
      </c>
      <c r="D17" s="115" t="s">
        <v>5122</v>
      </c>
      <c r="E17" s="115" t="s">
        <v>5123</v>
      </c>
      <c r="F17" s="115" t="s">
        <v>5124</v>
      </c>
      <c r="G17" s="115" t="s">
        <v>5125</v>
      </c>
      <c r="H17" s="115" t="s">
        <v>5126</v>
      </c>
      <c r="I17" s="115" t="s">
        <v>5127</v>
      </c>
      <c r="J17" s="115" t="s">
        <v>5128</v>
      </c>
      <c r="K17" s="115" t="s">
        <v>5129</v>
      </c>
      <c r="L17" s="115" t="s">
        <v>5130</v>
      </c>
      <c r="M17" s="115" t="s">
        <v>5131</v>
      </c>
      <c r="N17" s="116"/>
      <c r="O17" s="116"/>
    </row>
    <row r="18" spans="1:15">
      <c r="A18" s="114" t="s">
        <v>1470</v>
      </c>
      <c r="B18" s="115" t="s">
        <v>1471</v>
      </c>
      <c r="C18" s="115">
        <v>2</v>
      </c>
      <c r="D18" s="115" t="s">
        <v>5132</v>
      </c>
      <c r="E18" s="115" t="s">
        <v>5133</v>
      </c>
      <c r="F18" s="115" t="s">
        <v>5134</v>
      </c>
      <c r="G18" s="115" t="s">
        <v>5135</v>
      </c>
      <c r="H18" s="115" t="s">
        <v>5136</v>
      </c>
      <c r="I18" s="115" t="s">
        <v>5137</v>
      </c>
      <c r="J18" s="115" t="s">
        <v>5138</v>
      </c>
      <c r="K18" s="115" t="s">
        <v>5139</v>
      </c>
      <c r="L18" s="115" t="s">
        <v>5140</v>
      </c>
      <c r="M18" s="115" t="s">
        <v>5141</v>
      </c>
      <c r="N18" s="116"/>
      <c r="O18" s="116"/>
    </row>
    <row r="19" spans="1:15">
      <c r="A19" s="114" t="s">
        <v>1498</v>
      </c>
      <c r="B19" s="115" t="s">
        <v>1499</v>
      </c>
      <c r="C19" s="115">
        <v>2</v>
      </c>
      <c r="D19" s="115" t="s">
        <v>5142</v>
      </c>
      <c r="E19" s="115" t="s">
        <v>5143</v>
      </c>
      <c r="F19" s="115" t="s">
        <v>5144</v>
      </c>
      <c r="G19" s="115" t="s">
        <v>5145</v>
      </c>
      <c r="H19" s="115" t="s">
        <v>5146</v>
      </c>
      <c r="I19" s="115" t="s">
        <v>5147</v>
      </c>
      <c r="J19" s="115" t="s">
        <v>5148</v>
      </c>
      <c r="K19" s="115" t="s">
        <v>5149</v>
      </c>
      <c r="L19" s="115" t="s">
        <v>5150</v>
      </c>
      <c r="M19" s="115" t="s">
        <v>5151</v>
      </c>
      <c r="N19" s="116"/>
      <c r="O19" s="116"/>
    </row>
    <row r="20" spans="1:15">
      <c r="A20" s="114" t="s">
        <v>1530</v>
      </c>
      <c r="B20" s="115" t="s">
        <v>1531</v>
      </c>
      <c r="C20" s="115">
        <v>2</v>
      </c>
      <c r="D20" s="115" t="s">
        <v>5152</v>
      </c>
      <c r="E20" s="115" t="s">
        <v>5153</v>
      </c>
      <c r="F20" s="115" t="s">
        <v>5154</v>
      </c>
      <c r="G20" s="115" t="s">
        <v>5155</v>
      </c>
      <c r="H20" s="115" t="s">
        <v>5156</v>
      </c>
      <c r="I20" s="115" t="s">
        <v>5157</v>
      </c>
      <c r="J20" s="115" t="s">
        <v>5158</v>
      </c>
      <c r="K20" s="115" t="s">
        <v>5159</v>
      </c>
      <c r="L20" s="115" t="s">
        <v>5160</v>
      </c>
      <c r="M20" s="115" t="s">
        <v>5161</v>
      </c>
      <c r="N20" s="116"/>
      <c r="O20" s="116"/>
    </row>
    <row r="21" spans="1:15">
      <c r="A21" s="114" t="s">
        <v>1586</v>
      </c>
      <c r="B21" s="115" t="s">
        <v>1587</v>
      </c>
      <c r="C21" s="115">
        <v>2</v>
      </c>
      <c r="D21" s="115" t="s">
        <v>5162</v>
      </c>
      <c r="E21" s="115" t="s">
        <v>5163</v>
      </c>
      <c r="F21" s="115" t="s">
        <v>5164</v>
      </c>
      <c r="G21" s="115" t="s">
        <v>5165</v>
      </c>
      <c r="H21" s="115" t="s">
        <v>5166</v>
      </c>
      <c r="I21" s="115" t="s">
        <v>5167</v>
      </c>
      <c r="J21" s="115" t="s">
        <v>5168</v>
      </c>
      <c r="K21" s="115" t="s">
        <v>5169</v>
      </c>
      <c r="L21" s="115" t="s">
        <v>5170</v>
      </c>
      <c r="M21" s="115" t="s">
        <v>5171</v>
      </c>
      <c r="N21" s="116"/>
      <c r="O21" s="116"/>
    </row>
    <row r="22" spans="1:15">
      <c r="A22" s="114" t="s">
        <v>1710</v>
      </c>
      <c r="B22" s="115" t="s">
        <v>1711</v>
      </c>
      <c r="C22" s="115">
        <v>2</v>
      </c>
      <c r="D22" s="115" t="s">
        <v>5172</v>
      </c>
      <c r="E22" s="115" t="s">
        <v>5173</v>
      </c>
      <c r="F22" s="115" t="s">
        <v>5174</v>
      </c>
      <c r="G22" s="115" t="s">
        <v>5175</v>
      </c>
      <c r="H22" s="115" t="s">
        <v>5176</v>
      </c>
      <c r="I22" s="115" t="s">
        <v>5177</v>
      </c>
      <c r="J22" s="115" t="s">
        <v>5178</v>
      </c>
      <c r="K22" s="115" t="s">
        <v>5179</v>
      </c>
      <c r="L22" s="115" t="s">
        <v>5180</v>
      </c>
      <c r="M22" s="115" t="s">
        <v>5181</v>
      </c>
      <c r="N22" s="116"/>
      <c r="O22" s="116"/>
    </row>
    <row r="23" spans="1:15">
      <c r="A23" s="114" t="s">
        <v>1758</v>
      </c>
      <c r="B23" s="115" t="s">
        <v>1759</v>
      </c>
      <c r="C23" s="115">
        <v>2</v>
      </c>
      <c r="D23" s="115" t="s">
        <v>5182</v>
      </c>
      <c r="E23" s="115" t="s">
        <v>5183</v>
      </c>
      <c r="F23" s="115" t="s">
        <v>5184</v>
      </c>
      <c r="G23" s="115" t="s">
        <v>5185</v>
      </c>
      <c r="H23" s="115" t="s">
        <v>5186</v>
      </c>
      <c r="I23" s="115" t="s">
        <v>5187</v>
      </c>
      <c r="J23" s="115" t="s">
        <v>5188</v>
      </c>
      <c r="K23" s="115" t="s">
        <v>5189</v>
      </c>
      <c r="L23" s="115" t="s">
        <v>5190</v>
      </c>
      <c r="M23" s="115" t="s">
        <v>5191</v>
      </c>
      <c r="N23" s="116"/>
      <c r="O23" s="116"/>
    </row>
    <row r="24" spans="1:15">
      <c r="A24" s="114" t="s">
        <v>1926</v>
      </c>
      <c r="B24" s="115" t="s">
        <v>1927</v>
      </c>
      <c r="C24" s="115">
        <v>2</v>
      </c>
      <c r="D24" s="115" t="s">
        <v>5192</v>
      </c>
      <c r="E24" s="115" t="s">
        <v>5193</v>
      </c>
      <c r="F24" s="115" t="s">
        <v>5194</v>
      </c>
      <c r="G24" s="115" t="s">
        <v>5195</v>
      </c>
      <c r="H24" s="115" t="s">
        <v>5196</v>
      </c>
      <c r="I24" s="115" t="s">
        <v>5197</v>
      </c>
      <c r="J24" s="115" t="s">
        <v>5198</v>
      </c>
      <c r="K24" s="115" t="s">
        <v>5199</v>
      </c>
      <c r="L24" s="115" t="s">
        <v>5200</v>
      </c>
      <c r="M24" s="115" t="s">
        <v>5201</v>
      </c>
      <c r="N24" s="116"/>
      <c r="O24" s="116"/>
    </row>
    <row r="25" spans="1:15">
      <c r="A25" s="114" t="s">
        <v>4694</v>
      </c>
      <c r="B25" s="115" t="s">
        <v>5202</v>
      </c>
      <c r="C25" s="115">
        <v>2</v>
      </c>
      <c r="D25" s="115" t="s">
        <v>5203</v>
      </c>
      <c r="E25" s="115" t="s">
        <v>5204</v>
      </c>
      <c r="F25" s="115" t="s">
        <v>5205</v>
      </c>
      <c r="G25" s="115" t="s">
        <v>5206</v>
      </c>
      <c r="H25" s="115" t="s">
        <v>5207</v>
      </c>
      <c r="I25" s="115" t="s">
        <v>5208</v>
      </c>
      <c r="J25" s="115" t="s">
        <v>5209</v>
      </c>
      <c r="K25" s="115" t="s">
        <v>5210</v>
      </c>
      <c r="L25" s="115" t="s">
        <v>5211</v>
      </c>
      <c r="M25" s="115" t="s">
        <v>5212</v>
      </c>
      <c r="N25" s="116"/>
      <c r="O25" s="116"/>
    </row>
    <row r="26" spans="1:15">
      <c r="A26" s="114" t="s">
        <v>1994</v>
      </c>
      <c r="B26" s="115" t="s">
        <v>1995</v>
      </c>
      <c r="C26" s="115">
        <v>2</v>
      </c>
      <c r="D26" s="115" t="s">
        <v>5213</v>
      </c>
      <c r="E26" s="115" t="s">
        <v>5214</v>
      </c>
      <c r="F26" s="115" t="s">
        <v>5215</v>
      </c>
      <c r="G26" s="115" t="s">
        <v>5216</v>
      </c>
      <c r="H26" s="115" t="s">
        <v>5217</v>
      </c>
      <c r="I26" s="115" t="s">
        <v>5218</v>
      </c>
      <c r="J26" s="115" t="s">
        <v>5219</v>
      </c>
      <c r="K26" s="115" t="s">
        <v>5220</v>
      </c>
      <c r="L26" s="115" t="s">
        <v>5221</v>
      </c>
      <c r="M26" s="115" t="s">
        <v>5222</v>
      </c>
      <c r="N26" s="116"/>
      <c r="O26" s="116"/>
    </row>
    <row r="27" spans="1:15">
      <c r="A27" s="114" t="s">
        <v>2030</v>
      </c>
      <c r="B27" s="115" t="s">
        <v>2031</v>
      </c>
      <c r="C27" s="115">
        <v>2</v>
      </c>
      <c r="D27" s="115" t="s">
        <v>5223</v>
      </c>
      <c r="E27" s="115" t="s">
        <v>5224</v>
      </c>
      <c r="F27" s="115" t="s">
        <v>5225</v>
      </c>
      <c r="G27" s="115" t="s">
        <v>5226</v>
      </c>
      <c r="H27" s="115" t="s">
        <v>5227</v>
      </c>
      <c r="I27" s="115" t="s">
        <v>5228</v>
      </c>
      <c r="J27" s="115" t="s">
        <v>5229</v>
      </c>
      <c r="K27" s="115" t="s">
        <v>5230</v>
      </c>
      <c r="L27" s="115" t="s">
        <v>5231</v>
      </c>
      <c r="M27" s="115" t="s">
        <v>5232</v>
      </c>
      <c r="N27" s="116"/>
      <c r="O27" s="116"/>
    </row>
    <row r="28" spans="1:15">
      <c r="A28" s="114" t="s">
        <v>2369</v>
      </c>
      <c r="B28" s="115" t="s">
        <v>2370</v>
      </c>
      <c r="C28" s="115">
        <v>2</v>
      </c>
      <c r="D28" s="115" t="s">
        <v>5233</v>
      </c>
      <c r="E28" s="115" t="s">
        <v>5234</v>
      </c>
      <c r="F28" s="115" t="s">
        <v>5235</v>
      </c>
      <c r="G28" s="115" t="s">
        <v>5236</v>
      </c>
      <c r="H28" s="115" t="s">
        <v>5237</v>
      </c>
      <c r="I28" s="115" t="s">
        <v>5238</v>
      </c>
      <c r="J28" s="115" t="s">
        <v>5239</v>
      </c>
      <c r="K28" s="115" t="s">
        <v>5240</v>
      </c>
      <c r="L28" s="115" t="s">
        <v>5241</v>
      </c>
      <c r="M28" s="115" t="s">
        <v>5242</v>
      </c>
      <c r="N28" s="116"/>
      <c r="O28" s="116"/>
    </row>
    <row r="29" spans="1:15">
      <c r="A29" s="114" t="s">
        <v>2493</v>
      </c>
      <c r="B29" s="115" t="s">
        <v>2494</v>
      </c>
      <c r="C29" s="115">
        <v>2</v>
      </c>
      <c r="D29" s="115" t="s">
        <v>5243</v>
      </c>
      <c r="E29" s="115" t="s">
        <v>5244</v>
      </c>
      <c r="F29" s="115" t="s">
        <v>5245</v>
      </c>
      <c r="G29" s="115" t="s">
        <v>5246</v>
      </c>
      <c r="H29" s="115" t="s">
        <v>5247</v>
      </c>
      <c r="I29" s="115" t="s">
        <v>5248</v>
      </c>
      <c r="J29" s="115" t="s">
        <v>5249</v>
      </c>
      <c r="K29" s="115" t="s">
        <v>5250</v>
      </c>
      <c r="L29" s="115" t="s">
        <v>5251</v>
      </c>
      <c r="M29" s="115" t="s">
        <v>5252</v>
      </c>
      <c r="N29" s="116"/>
      <c r="O29" s="116"/>
    </row>
    <row r="30" spans="1:15">
      <c r="A30" s="114" t="s">
        <v>2673</v>
      </c>
      <c r="B30" s="115" t="s">
        <v>2674</v>
      </c>
      <c r="C30" s="115">
        <v>2</v>
      </c>
      <c r="D30" s="115" t="s">
        <v>5253</v>
      </c>
      <c r="E30" s="115" t="s">
        <v>5254</v>
      </c>
      <c r="F30" s="115" t="s">
        <v>5255</v>
      </c>
      <c r="G30" s="115" t="s">
        <v>5256</v>
      </c>
      <c r="H30" s="115" t="s">
        <v>5257</v>
      </c>
      <c r="I30" s="115" t="s">
        <v>5258</v>
      </c>
      <c r="J30" s="115" t="s">
        <v>5259</v>
      </c>
      <c r="K30" s="115" t="s">
        <v>5260</v>
      </c>
      <c r="L30" s="115" t="s">
        <v>5261</v>
      </c>
      <c r="M30" s="115" t="s">
        <v>5262</v>
      </c>
      <c r="N30" s="116"/>
      <c r="O30" s="116"/>
    </row>
    <row r="31" spans="1:15">
      <c r="A31" s="114" t="s">
        <v>2693</v>
      </c>
      <c r="B31" s="115" t="s">
        <v>2694</v>
      </c>
      <c r="C31" s="115">
        <v>2</v>
      </c>
      <c r="D31" s="115" t="s">
        <v>5263</v>
      </c>
      <c r="E31" s="115" t="s">
        <v>5264</v>
      </c>
      <c r="F31" s="115" t="s">
        <v>5265</v>
      </c>
      <c r="G31" s="115" t="s">
        <v>5266</v>
      </c>
      <c r="H31" s="115" t="s">
        <v>5267</v>
      </c>
      <c r="I31" s="115" t="s">
        <v>5268</v>
      </c>
      <c r="J31" s="115" t="s">
        <v>5269</v>
      </c>
      <c r="K31" s="115" t="s">
        <v>5270</v>
      </c>
      <c r="L31" s="115" t="s">
        <v>5271</v>
      </c>
      <c r="M31" s="115" t="s">
        <v>5272</v>
      </c>
      <c r="N31" s="116"/>
      <c r="O31" s="116"/>
    </row>
    <row r="32" spans="1:15">
      <c r="A32" s="114" t="s">
        <v>2705</v>
      </c>
      <c r="B32" s="115" t="s">
        <v>2706</v>
      </c>
      <c r="C32" s="115">
        <v>2</v>
      </c>
      <c r="D32" s="115" t="s">
        <v>5273</v>
      </c>
      <c r="E32" s="115" t="s">
        <v>5274</v>
      </c>
      <c r="F32" s="115" t="s">
        <v>5275</v>
      </c>
      <c r="G32" s="115" t="s">
        <v>5276</v>
      </c>
      <c r="H32" s="115" t="s">
        <v>5277</v>
      </c>
      <c r="I32" s="115" t="s">
        <v>5278</v>
      </c>
      <c r="J32" s="115" t="s">
        <v>5279</v>
      </c>
      <c r="K32" s="115" t="s">
        <v>5280</v>
      </c>
      <c r="L32" s="115" t="s">
        <v>5281</v>
      </c>
      <c r="M32" s="115" t="s">
        <v>5282</v>
      </c>
      <c r="N32" s="116"/>
      <c r="O32" s="116"/>
    </row>
    <row r="33" spans="1:15">
      <c r="A33" s="114" t="s">
        <v>2751</v>
      </c>
      <c r="B33" s="115" t="s">
        <v>2752</v>
      </c>
      <c r="C33" s="115">
        <v>2</v>
      </c>
      <c r="D33" s="115" t="s">
        <v>5283</v>
      </c>
      <c r="E33" s="115" t="s">
        <v>5284</v>
      </c>
      <c r="F33" s="115" t="s">
        <v>5285</v>
      </c>
      <c r="G33" s="115" t="s">
        <v>5286</v>
      </c>
      <c r="H33" s="115" t="s">
        <v>5287</v>
      </c>
      <c r="I33" s="115" t="s">
        <v>5288</v>
      </c>
      <c r="J33" s="115" t="s">
        <v>5289</v>
      </c>
      <c r="K33" s="115" t="s">
        <v>5290</v>
      </c>
      <c r="L33" s="115" t="s">
        <v>5291</v>
      </c>
      <c r="M33" s="115" t="s">
        <v>5292</v>
      </c>
      <c r="N33" s="116"/>
      <c r="O33" s="116"/>
    </row>
    <row r="34" spans="1:15">
      <c r="A34" s="114" t="s">
        <v>2843</v>
      </c>
      <c r="B34" s="115" t="s">
        <v>2844</v>
      </c>
      <c r="C34" s="115">
        <v>2</v>
      </c>
      <c r="D34" s="115" t="s">
        <v>5293</v>
      </c>
      <c r="E34" s="115" t="s">
        <v>5294</v>
      </c>
      <c r="F34" s="115" t="s">
        <v>5295</v>
      </c>
      <c r="G34" s="115" t="s">
        <v>5296</v>
      </c>
      <c r="H34" s="115" t="s">
        <v>5297</v>
      </c>
      <c r="I34" s="115" t="s">
        <v>5298</v>
      </c>
      <c r="J34" s="115" t="s">
        <v>5299</v>
      </c>
      <c r="K34" s="115" t="s">
        <v>5300</v>
      </c>
      <c r="L34" s="115" t="s">
        <v>5301</v>
      </c>
      <c r="M34" s="115" t="s">
        <v>5302</v>
      </c>
      <c r="N34" s="116"/>
      <c r="O34" s="1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J1016"/>
  <sheetViews>
    <sheetView workbookViewId="0"/>
  </sheetViews>
  <sheetFormatPr defaultColWidth="12.5703125" defaultRowHeight="15.75" customHeight="1"/>
  <cols>
    <col min="1" max="1" width="16.42578125" customWidth="1"/>
    <col min="2" max="2" width="31.42578125" customWidth="1"/>
    <col min="3" max="3" width="34.28515625" customWidth="1"/>
    <col min="4" max="42" width="15.140625" customWidth="1"/>
    <col min="44" max="44" width="19.140625" customWidth="1"/>
  </cols>
  <sheetData>
    <row r="1" spans="1:62">
      <c r="A1" s="117"/>
      <c r="B1" s="118" t="s">
        <v>5303</v>
      </c>
      <c r="C1" s="119" t="s">
        <v>5304</v>
      </c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1"/>
      <c r="AQ1" s="122"/>
      <c r="AR1" s="123"/>
      <c r="AS1" s="124"/>
      <c r="AT1" s="124"/>
      <c r="AU1" s="124"/>
      <c r="AV1" s="124"/>
      <c r="AW1" s="124"/>
      <c r="AX1" s="124"/>
      <c r="AY1" s="124"/>
      <c r="AZ1" s="124"/>
      <c r="BA1" s="124"/>
      <c r="BB1" s="124"/>
      <c r="BC1" s="124"/>
      <c r="BD1" s="124"/>
      <c r="BE1" s="124"/>
      <c r="BF1" s="124"/>
      <c r="BG1" s="124"/>
      <c r="BH1" s="124"/>
      <c r="BI1" s="124"/>
      <c r="BJ1" s="124"/>
    </row>
    <row r="2" spans="1:62">
      <c r="B2" s="125" t="s">
        <v>5305</v>
      </c>
      <c r="C2" s="126" t="s">
        <v>5306</v>
      </c>
      <c r="D2" s="125"/>
      <c r="E2" s="125" t="s">
        <v>5307</v>
      </c>
      <c r="F2" s="127">
        <v>45846</v>
      </c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2"/>
      <c r="AR2" s="129"/>
      <c r="AS2" s="130"/>
      <c r="AT2" s="130"/>
      <c r="AU2" s="130"/>
      <c r="AV2" s="130"/>
      <c r="AW2" s="130"/>
      <c r="AX2" s="130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</row>
    <row r="3" spans="1:62">
      <c r="B3" s="125" t="s">
        <v>5308</v>
      </c>
      <c r="C3" s="126" t="s">
        <v>5309</v>
      </c>
      <c r="D3" s="125"/>
      <c r="E3" s="125" t="s">
        <v>5310</v>
      </c>
      <c r="F3" s="126" t="s">
        <v>5311</v>
      </c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122"/>
      <c r="AR3" s="129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0"/>
      <c r="BH3" s="130"/>
      <c r="BI3" s="130"/>
      <c r="BJ3" s="130"/>
    </row>
    <row r="4" spans="1:62">
      <c r="B4" s="125" t="s">
        <v>5312</v>
      </c>
      <c r="C4" s="126" t="s">
        <v>5313</v>
      </c>
      <c r="D4" s="125"/>
      <c r="E4" s="125" t="s">
        <v>5314</v>
      </c>
      <c r="F4" s="126" t="s">
        <v>5315</v>
      </c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V4" s="128"/>
      <c r="W4" s="128"/>
      <c r="X4" s="128"/>
      <c r="Y4" s="128"/>
      <c r="Z4" s="128"/>
      <c r="AA4" s="128"/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28"/>
      <c r="AP4" s="128"/>
      <c r="AQ4" s="122"/>
      <c r="AR4" s="129"/>
      <c r="AS4" s="130"/>
      <c r="AT4" s="130"/>
      <c r="AU4" s="130"/>
      <c r="AV4" s="130"/>
      <c r="AW4" s="130"/>
      <c r="AX4" s="130"/>
      <c r="AY4" s="130"/>
      <c r="AZ4" s="130"/>
      <c r="BA4" s="130"/>
      <c r="BB4" s="130"/>
      <c r="BC4" s="130"/>
      <c r="BD4" s="130"/>
      <c r="BE4" s="130"/>
      <c r="BF4" s="130"/>
      <c r="BG4" s="130"/>
      <c r="BH4" s="130"/>
      <c r="BI4" s="130"/>
      <c r="BJ4" s="130"/>
    </row>
    <row r="5" spans="1:62">
      <c r="B5" s="125"/>
      <c r="C5" s="126"/>
      <c r="D5" s="125"/>
      <c r="E5" s="125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2"/>
      <c r="AR5" s="129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</row>
    <row r="6" spans="1:62">
      <c r="B6" s="131" t="s">
        <v>5316</v>
      </c>
      <c r="C6" s="132">
        <v>8344800</v>
      </c>
      <c r="D6" s="125"/>
      <c r="E6" s="125" t="s">
        <v>5317</v>
      </c>
      <c r="F6" s="133" t="s">
        <v>5318</v>
      </c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34"/>
      <c r="AQ6" s="122"/>
      <c r="AR6" s="129"/>
      <c r="AS6" s="130"/>
      <c r="AT6" s="130"/>
      <c r="AU6" s="130"/>
      <c r="AV6" s="130"/>
      <c r="AW6" s="130"/>
      <c r="AX6" s="130"/>
      <c r="AY6" s="130"/>
      <c r="AZ6" s="130"/>
      <c r="BA6" s="130"/>
      <c r="BB6" s="130"/>
      <c r="BC6" s="130"/>
      <c r="BD6" s="130"/>
      <c r="BE6" s="130"/>
      <c r="BF6" s="130"/>
      <c r="BG6" s="130"/>
      <c r="BH6" s="130"/>
      <c r="BI6" s="130"/>
      <c r="BJ6" s="130"/>
    </row>
    <row r="7" spans="1:62">
      <c r="B7" s="125" t="s">
        <v>5319</v>
      </c>
      <c r="C7" s="135">
        <v>65000000</v>
      </c>
      <c r="D7" s="125"/>
      <c r="E7" s="125" t="s">
        <v>5320</v>
      </c>
      <c r="F7" s="135">
        <f>C7+C6</f>
        <v>73344800</v>
      </c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2"/>
      <c r="AR7" s="129"/>
      <c r="AS7" s="130"/>
      <c r="AT7" s="130"/>
      <c r="AU7" s="130"/>
      <c r="AV7" s="130"/>
      <c r="AW7" s="130"/>
      <c r="AX7" s="130"/>
      <c r="AY7" s="130"/>
      <c r="AZ7" s="130"/>
      <c r="BA7" s="130"/>
      <c r="BB7" s="130"/>
      <c r="BC7" s="130"/>
      <c r="BD7" s="130"/>
      <c r="BE7" s="130"/>
      <c r="BF7" s="130"/>
      <c r="BG7" s="130"/>
      <c r="BH7" s="130"/>
      <c r="BI7" s="130"/>
      <c r="BJ7" s="130"/>
    </row>
    <row r="8" spans="1:62">
      <c r="A8" s="117"/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  <c r="AO8" s="120"/>
      <c r="AP8" s="120"/>
      <c r="AQ8" s="122"/>
      <c r="AR8" s="123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</row>
    <row r="9" spans="1:62">
      <c r="B9" s="125"/>
      <c r="C9" s="126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2"/>
      <c r="AR9" s="129"/>
      <c r="AS9" s="130"/>
      <c r="AT9" s="130"/>
      <c r="AU9" s="130"/>
      <c r="AV9" s="130"/>
      <c r="AW9" s="130"/>
      <c r="AX9" s="130"/>
      <c r="AY9" s="130"/>
      <c r="AZ9" s="130"/>
      <c r="BA9" s="130"/>
      <c r="BB9" s="130"/>
      <c r="BC9" s="130"/>
      <c r="BD9" s="130"/>
      <c r="BE9" s="130"/>
      <c r="BF9" s="130"/>
      <c r="BG9" s="130"/>
      <c r="BH9" s="130"/>
      <c r="BI9" s="130"/>
      <c r="BJ9" s="130"/>
    </row>
    <row r="10" spans="1:62">
      <c r="A10" s="136" t="s">
        <v>5321</v>
      </c>
      <c r="B10" s="136" t="s">
        <v>5322</v>
      </c>
      <c r="C10" s="136" t="s">
        <v>5323</v>
      </c>
      <c r="D10" s="137" t="s">
        <v>5324</v>
      </c>
      <c r="E10" s="258">
        <v>2026</v>
      </c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60"/>
      <c r="Q10" s="258">
        <f>E10+1</f>
        <v>2027</v>
      </c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60"/>
      <c r="AC10" s="258">
        <f>Q10+1</f>
        <v>2028</v>
      </c>
      <c r="AD10" s="259"/>
      <c r="AE10" s="259"/>
      <c r="AF10" s="259"/>
      <c r="AG10" s="259"/>
      <c r="AH10" s="259"/>
      <c r="AI10" s="260"/>
      <c r="AJ10" s="258">
        <f>AC10+1</f>
        <v>2029</v>
      </c>
      <c r="AK10" s="259"/>
      <c r="AL10" s="259"/>
      <c r="AM10" s="259"/>
      <c r="AN10" s="259"/>
      <c r="AO10" s="259"/>
      <c r="AP10" s="260"/>
      <c r="AQ10" s="122"/>
      <c r="AR10" s="138" t="s">
        <v>5325</v>
      </c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1:62">
      <c r="A11" s="139"/>
      <c r="B11" s="139"/>
      <c r="C11" s="139"/>
      <c r="D11" s="140"/>
      <c r="E11" s="140" t="s">
        <v>5326</v>
      </c>
      <c r="F11" s="140" t="s">
        <v>5327</v>
      </c>
      <c r="G11" s="140" t="s">
        <v>5328</v>
      </c>
      <c r="H11" s="140" t="s">
        <v>5329</v>
      </c>
      <c r="I11" s="140" t="s">
        <v>5330</v>
      </c>
      <c r="J11" s="140" t="s">
        <v>5331</v>
      </c>
      <c r="K11" s="140" t="s">
        <v>5332</v>
      </c>
      <c r="L11" s="140" t="s">
        <v>5333</v>
      </c>
      <c r="M11" s="140" t="s">
        <v>5334</v>
      </c>
      <c r="N11" s="140" t="s">
        <v>5335</v>
      </c>
      <c r="O11" s="140" t="s">
        <v>5336</v>
      </c>
      <c r="P11" s="141" t="s">
        <v>5337</v>
      </c>
      <c r="Q11" s="140" t="s">
        <v>5338</v>
      </c>
      <c r="R11" s="140" t="s">
        <v>5339</v>
      </c>
      <c r="S11" s="140" t="s">
        <v>5340</v>
      </c>
      <c r="T11" s="140" t="s">
        <v>5341</v>
      </c>
      <c r="U11" s="140" t="s">
        <v>5342</v>
      </c>
      <c r="V11" s="140" t="s">
        <v>5343</v>
      </c>
      <c r="W11" s="140" t="s">
        <v>5344</v>
      </c>
      <c r="X11" s="140" t="s">
        <v>5345</v>
      </c>
      <c r="Y11" s="140" t="s">
        <v>5346</v>
      </c>
      <c r="Z11" s="140" t="s">
        <v>5347</v>
      </c>
      <c r="AA11" s="140" t="s">
        <v>5348</v>
      </c>
      <c r="AB11" s="140" t="s">
        <v>5349</v>
      </c>
      <c r="AC11" s="140" t="s">
        <v>5350</v>
      </c>
      <c r="AD11" s="140" t="s">
        <v>5351</v>
      </c>
      <c r="AE11" s="140" t="s">
        <v>5352</v>
      </c>
      <c r="AF11" s="140" t="s">
        <v>5353</v>
      </c>
      <c r="AG11" s="140" t="s">
        <v>5354</v>
      </c>
      <c r="AH11" s="140" t="s">
        <v>5355</v>
      </c>
      <c r="AI11" s="140" t="s">
        <v>5356</v>
      </c>
      <c r="AJ11" s="140" t="s">
        <v>5357</v>
      </c>
      <c r="AK11" s="140" t="s">
        <v>5358</v>
      </c>
      <c r="AL11" s="141" t="s">
        <v>5359</v>
      </c>
      <c r="AM11" s="140" t="s">
        <v>5360</v>
      </c>
      <c r="AN11" s="140" t="s">
        <v>5361</v>
      </c>
      <c r="AO11" s="141" t="s">
        <v>5362</v>
      </c>
      <c r="AP11" s="142" t="s">
        <v>5363</v>
      </c>
      <c r="AQ11" s="122"/>
      <c r="AR11" s="143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1:62">
      <c r="A12" s="261">
        <v>1</v>
      </c>
      <c r="B12" s="263" t="s">
        <v>5364</v>
      </c>
      <c r="C12" s="144">
        <f>C13*$C$57</f>
        <v>6500000</v>
      </c>
      <c r="D12" s="145" t="s">
        <v>4120</v>
      </c>
      <c r="E12" s="146">
        <v>0.06</v>
      </c>
      <c r="F12" s="146">
        <v>0.16</v>
      </c>
      <c r="G12" s="146">
        <v>0.08</v>
      </c>
      <c r="H12" s="146">
        <v>0.04</v>
      </c>
      <c r="I12" s="146">
        <v>0.02</v>
      </c>
      <c r="J12" s="146">
        <v>0.02</v>
      </c>
      <c r="K12" s="146">
        <v>0.02</v>
      </c>
      <c r="L12" s="146">
        <v>0.02</v>
      </c>
      <c r="M12" s="146">
        <v>0.02</v>
      </c>
      <c r="N12" s="146">
        <v>0.02</v>
      </c>
      <c r="O12" s="146">
        <v>0.02</v>
      </c>
      <c r="P12" s="146">
        <v>0.02</v>
      </c>
      <c r="Q12" s="146">
        <v>0.02</v>
      </c>
      <c r="R12" s="146">
        <v>0.02</v>
      </c>
      <c r="S12" s="146">
        <v>0.02</v>
      </c>
      <c r="T12" s="146">
        <v>0.02</v>
      </c>
      <c r="U12" s="146">
        <v>0.02</v>
      </c>
      <c r="V12" s="146">
        <v>0.02</v>
      </c>
      <c r="W12" s="146">
        <v>0.02</v>
      </c>
      <c r="X12" s="146">
        <v>0.02</v>
      </c>
      <c r="Y12" s="146">
        <v>0.02</v>
      </c>
      <c r="Z12" s="146">
        <v>0.02</v>
      </c>
      <c r="AA12" s="146">
        <v>0.02</v>
      </c>
      <c r="AB12" s="146">
        <v>0.02</v>
      </c>
      <c r="AC12" s="146">
        <v>0.02</v>
      </c>
      <c r="AD12" s="146">
        <v>0.02</v>
      </c>
      <c r="AE12" s="146">
        <v>0.02</v>
      </c>
      <c r="AF12" s="146">
        <v>0.02</v>
      </c>
      <c r="AG12" s="146">
        <v>0.02</v>
      </c>
      <c r="AH12" s="146">
        <v>0.02</v>
      </c>
      <c r="AI12" s="146">
        <v>0.02</v>
      </c>
      <c r="AJ12" s="146">
        <v>0.02</v>
      </c>
      <c r="AK12" s="146">
        <v>0.02</v>
      </c>
      <c r="AL12" s="146">
        <v>0.02</v>
      </c>
      <c r="AM12" s="146">
        <v>0.02</v>
      </c>
      <c r="AN12" s="146">
        <v>0.02</v>
      </c>
      <c r="AO12" s="146">
        <v>0.02</v>
      </c>
      <c r="AP12" s="146">
        <f>SUM(E12:AO12)</f>
        <v>1.0000000000000004</v>
      </c>
      <c r="AQ12" s="122"/>
      <c r="AR12" s="147" t="s">
        <v>5365</v>
      </c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1:62">
      <c r="A13" s="262"/>
      <c r="B13" s="262"/>
      <c r="C13" s="148">
        <v>0.1</v>
      </c>
      <c r="D13" s="149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50"/>
      <c r="AF13" s="150"/>
      <c r="AG13" s="150"/>
      <c r="AH13" s="150"/>
      <c r="AI13" s="150"/>
      <c r="AJ13" s="150"/>
      <c r="AK13" s="150"/>
      <c r="AL13" s="150"/>
      <c r="AM13" s="150"/>
      <c r="AN13" s="150"/>
      <c r="AO13" s="150"/>
      <c r="AP13" s="146"/>
      <c r="AQ13" s="122"/>
      <c r="AR13" s="151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</row>
    <row r="14" spans="1:62">
      <c r="A14" s="261">
        <f>A12+1</f>
        <v>2</v>
      </c>
      <c r="B14" s="263" t="s">
        <v>5366</v>
      </c>
      <c r="C14" s="144">
        <f>C15*$C$57</f>
        <v>2600000</v>
      </c>
      <c r="D14" s="145" t="s">
        <v>5367</v>
      </c>
      <c r="E14" s="145"/>
      <c r="F14" s="152">
        <v>0.5</v>
      </c>
      <c r="G14" s="152">
        <v>0.3</v>
      </c>
      <c r="H14" s="152">
        <v>0.2</v>
      </c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145"/>
      <c r="AA14" s="145"/>
      <c r="AB14" s="145"/>
      <c r="AC14" s="145"/>
      <c r="AD14" s="145"/>
      <c r="AE14" s="145"/>
      <c r="AF14" s="145"/>
      <c r="AG14" s="145"/>
      <c r="AH14" s="145"/>
      <c r="AI14" s="145"/>
      <c r="AJ14" s="145"/>
      <c r="AK14" s="145"/>
      <c r="AL14" s="145"/>
      <c r="AM14" s="145"/>
      <c r="AN14" s="145"/>
      <c r="AO14" s="145"/>
      <c r="AP14" s="146">
        <f>SUM(E14:AO14)</f>
        <v>1</v>
      </c>
      <c r="AQ14" s="122"/>
      <c r="AR14" s="147" t="s">
        <v>5368</v>
      </c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</row>
    <row r="15" spans="1:62">
      <c r="A15" s="262"/>
      <c r="B15" s="262"/>
      <c r="C15" s="148">
        <v>0.04</v>
      </c>
      <c r="D15" s="145"/>
      <c r="E15" s="145"/>
      <c r="F15" s="150"/>
      <c r="G15" s="150"/>
      <c r="H15" s="150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  <c r="V15" s="145"/>
      <c r="W15" s="145"/>
      <c r="X15" s="145"/>
      <c r="Y15" s="145"/>
      <c r="Z15" s="145"/>
      <c r="AA15" s="145"/>
      <c r="AB15" s="145"/>
      <c r="AC15" s="145"/>
      <c r="AD15" s="145"/>
      <c r="AE15" s="145"/>
      <c r="AF15" s="145"/>
      <c r="AG15" s="145"/>
      <c r="AH15" s="145"/>
      <c r="AI15" s="145"/>
      <c r="AJ15" s="145"/>
      <c r="AK15" s="145"/>
      <c r="AL15" s="145"/>
      <c r="AM15" s="145"/>
      <c r="AN15" s="145"/>
      <c r="AO15" s="145"/>
      <c r="AP15" s="146"/>
      <c r="AQ15" s="122"/>
      <c r="AR15" s="151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</row>
    <row r="16" spans="1:62">
      <c r="A16" s="261">
        <f>A14+1</f>
        <v>3</v>
      </c>
      <c r="B16" s="263" t="s">
        <v>5369</v>
      </c>
      <c r="C16" s="144">
        <f>C17*$C$57</f>
        <v>16900000</v>
      </c>
      <c r="D16" s="145" t="s">
        <v>4114</v>
      </c>
      <c r="E16" s="145"/>
      <c r="F16" s="145"/>
      <c r="G16" s="152">
        <v>0.05</v>
      </c>
      <c r="H16" s="153" t="s">
        <v>5370</v>
      </c>
      <c r="I16" s="152">
        <v>0.05</v>
      </c>
      <c r="J16" s="152">
        <v>0.1</v>
      </c>
      <c r="K16" s="154">
        <v>0.05</v>
      </c>
      <c r="L16" s="154">
        <v>0.05</v>
      </c>
      <c r="M16" s="154">
        <v>0.02</v>
      </c>
      <c r="N16" s="154">
        <v>0.05</v>
      </c>
      <c r="O16" s="154">
        <v>0.08</v>
      </c>
      <c r="P16" s="154">
        <v>0.02</v>
      </c>
      <c r="Q16" s="154">
        <v>0.02</v>
      </c>
      <c r="R16" s="154">
        <v>0.02</v>
      </c>
      <c r="S16" s="154">
        <v>0.03</v>
      </c>
      <c r="T16" s="154">
        <v>0.08</v>
      </c>
      <c r="U16" s="154">
        <v>0.03</v>
      </c>
      <c r="V16" s="154">
        <v>0.03</v>
      </c>
      <c r="W16" s="154">
        <v>0.1</v>
      </c>
      <c r="X16" s="154">
        <v>0.05</v>
      </c>
      <c r="Y16" s="154">
        <v>0.05</v>
      </c>
      <c r="Z16" s="154">
        <v>0.05</v>
      </c>
      <c r="AA16" s="154">
        <v>7.0000000000000007E-2</v>
      </c>
      <c r="AB16" s="145"/>
      <c r="AC16" s="145"/>
      <c r="AD16" s="145"/>
      <c r="AE16" s="145"/>
      <c r="AF16" s="145"/>
      <c r="AG16" s="145"/>
      <c r="AH16" s="145"/>
      <c r="AI16" s="145"/>
      <c r="AJ16" s="145"/>
      <c r="AK16" s="145"/>
      <c r="AL16" s="145"/>
      <c r="AM16" s="145"/>
      <c r="AN16" s="145"/>
      <c r="AO16" s="145"/>
      <c r="AP16" s="146">
        <f>SUM(E16:AO16)</f>
        <v>1.0000000000000002</v>
      </c>
      <c r="AQ16" s="122"/>
      <c r="AR16" s="147" t="s">
        <v>5371</v>
      </c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</row>
    <row r="17" spans="1:62">
      <c r="A17" s="262"/>
      <c r="B17" s="262"/>
      <c r="C17" s="148">
        <v>0.26</v>
      </c>
      <c r="D17" s="145"/>
      <c r="E17" s="145"/>
      <c r="F17" s="145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45"/>
      <c r="AC17" s="145"/>
      <c r="AD17" s="145"/>
      <c r="AE17" s="145"/>
      <c r="AF17" s="145"/>
      <c r="AG17" s="145"/>
      <c r="AH17" s="145"/>
      <c r="AI17" s="145"/>
      <c r="AJ17" s="145"/>
      <c r="AK17" s="145"/>
      <c r="AL17" s="145"/>
      <c r="AM17" s="145"/>
      <c r="AN17" s="145"/>
      <c r="AO17" s="145"/>
      <c r="AP17" s="146"/>
      <c r="AQ17" s="122"/>
      <c r="AR17" s="147" t="s">
        <v>5372</v>
      </c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</row>
    <row r="18" spans="1:62">
      <c r="A18" s="261">
        <f>A16+1</f>
        <v>4</v>
      </c>
      <c r="B18" s="263" t="s">
        <v>5373</v>
      </c>
      <c r="C18" s="144">
        <f>C19*$C$57</f>
        <v>650000</v>
      </c>
      <c r="D18" s="145" t="s">
        <v>4126</v>
      </c>
      <c r="E18" s="145"/>
      <c r="F18" s="145"/>
      <c r="G18" s="145"/>
      <c r="H18" s="145"/>
      <c r="I18" s="152">
        <v>7.0000000000000007E-2</v>
      </c>
      <c r="J18" s="152">
        <v>0.05</v>
      </c>
      <c r="K18" s="152">
        <v>0.05</v>
      </c>
      <c r="L18" s="152">
        <v>0.05</v>
      </c>
      <c r="M18" s="152">
        <v>0.05</v>
      </c>
      <c r="N18" s="152">
        <v>0.05</v>
      </c>
      <c r="O18" s="152">
        <v>0.05</v>
      </c>
      <c r="P18" s="152">
        <v>0.05</v>
      </c>
      <c r="Q18" s="154">
        <v>0.05</v>
      </c>
      <c r="R18" s="154">
        <v>0.05</v>
      </c>
      <c r="S18" s="154">
        <v>0.05</v>
      </c>
      <c r="T18" s="154">
        <v>0.05</v>
      </c>
      <c r="U18" s="154">
        <v>0.05</v>
      </c>
      <c r="V18" s="154">
        <v>0.05</v>
      </c>
      <c r="W18" s="154">
        <v>0.05</v>
      </c>
      <c r="X18" s="154">
        <v>0.05</v>
      </c>
      <c r="Y18" s="154">
        <v>0.1</v>
      </c>
      <c r="Z18" s="154">
        <v>0.08</v>
      </c>
      <c r="AA18" s="145"/>
      <c r="AB18" s="145"/>
      <c r="AC18" s="145"/>
      <c r="AD18" s="145"/>
      <c r="AE18" s="145"/>
      <c r="AF18" s="145"/>
      <c r="AG18" s="145"/>
      <c r="AH18" s="145"/>
      <c r="AI18" s="145"/>
      <c r="AJ18" s="145"/>
      <c r="AK18" s="145"/>
      <c r="AL18" s="145"/>
      <c r="AM18" s="145"/>
      <c r="AN18" s="145"/>
      <c r="AO18" s="145"/>
      <c r="AP18" s="146">
        <f>SUM(E18:AO18)</f>
        <v>1.0000000000000002</v>
      </c>
      <c r="AQ18" s="122"/>
      <c r="AR18" s="147" t="s">
        <v>5374</v>
      </c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</row>
    <row r="19" spans="1:62">
      <c r="A19" s="262"/>
      <c r="B19" s="262"/>
      <c r="C19" s="148">
        <v>0.01</v>
      </c>
      <c r="D19" s="145"/>
      <c r="E19" s="145"/>
      <c r="F19" s="145"/>
      <c r="G19" s="145"/>
      <c r="H19" s="145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45"/>
      <c r="AB19" s="145"/>
      <c r="AC19" s="145"/>
      <c r="AD19" s="145"/>
      <c r="AE19" s="145"/>
      <c r="AF19" s="145"/>
      <c r="AG19" s="145"/>
      <c r="AH19" s="145"/>
      <c r="AI19" s="145"/>
      <c r="AJ19" s="145"/>
      <c r="AK19" s="145"/>
      <c r="AL19" s="145"/>
      <c r="AM19" s="145"/>
      <c r="AN19" s="145"/>
      <c r="AO19" s="145"/>
      <c r="AP19" s="146"/>
      <c r="AQ19" s="122"/>
      <c r="AR19" s="151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</row>
    <row r="20" spans="1:62">
      <c r="A20" s="261">
        <f>A18+1</f>
        <v>5</v>
      </c>
      <c r="B20" s="263" t="s">
        <v>5375</v>
      </c>
      <c r="C20" s="144">
        <f>C21*$C$57</f>
        <v>3900000</v>
      </c>
      <c r="D20" s="155" t="s">
        <v>4126</v>
      </c>
      <c r="E20" s="156"/>
      <c r="F20" s="145"/>
      <c r="G20" s="145"/>
      <c r="H20" s="145"/>
      <c r="I20" s="145"/>
      <c r="J20" s="145"/>
      <c r="K20" s="145"/>
      <c r="L20" s="152">
        <v>0.05</v>
      </c>
      <c r="M20" s="154">
        <v>0.05</v>
      </c>
      <c r="N20" s="154">
        <v>0.05</v>
      </c>
      <c r="O20" s="154">
        <v>0.05</v>
      </c>
      <c r="P20" s="154">
        <v>0.05</v>
      </c>
      <c r="Q20" s="154">
        <v>0.05</v>
      </c>
      <c r="R20" s="154">
        <v>0.05</v>
      </c>
      <c r="S20" s="154">
        <v>0.05</v>
      </c>
      <c r="T20" s="154">
        <v>0.05</v>
      </c>
      <c r="U20" s="154">
        <v>0.05</v>
      </c>
      <c r="V20" s="154">
        <v>0.05</v>
      </c>
      <c r="W20" s="154">
        <v>0.05</v>
      </c>
      <c r="X20" s="154">
        <v>0.05</v>
      </c>
      <c r="Y20" s="154">
        <v>0.05</v>
      </c>
      <c r="Z20" s="154">
        <v>0.05</v>
      </c>
      <c r="AA20" s="154">
        <v>0.05</v>
      </c>
      <c r="AB20" s="154">
        <v>0.05</v>
      </c>
      <c r="AC20" s="154">
        <v>0.05</v>
      </c>
      <c r="AD20" s="154">
        <v>0.05</v>
      </c>
      <c r="AE20" s="154">
        <v>0.03</v>
      </c>
      <c r="AF20" s="154">
        <v>0.02</v>
      </c>
      <c r="AG20" s="145"/>
      <c r="AH20" s="145"/>
      <c r="AI20" s="145"/>
      <c r="AJ20" s="145"/>
      <c r="AK20" s="145"/>
      <c r="AL20" s="145"/>
      <c r="AM20" s="145"/>
      <c r="AN20" s="145"/>
      <c r="AO20" s="145"/>
      <c r="AP20" s="146">
        <f>SUM(E20:AO20)</f>
        <v>1.0000000000000002</v>
      </c>
      <c r="AQ20" s="122"/>
      <c r="AR20" s="147" t="s">
        <v>5376</v>
      </c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</row>
    <row r="21" spans="1:62">
      <c r="A21" s="262"/>
      <c r="B21" s="262"/>
      <c r="C21" s="148">
        <v>0.06</v>
      </c>
      <c r="D21" s="155"/>
      <c r="E21" s="156"/>
      <c r="F21" s="145"/>
      <c r="G21" s="145"/>
      <c r="H21" s="145"/>
      <c r="I21" s="145"/>
      <c r="J21" s="145"/>
      <c r="K21" s="145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  <c r="AC21" s="150"/>
      <c r="AD21" s="150"/>
      <c r="AE21" s="150"/>
      <c r="AF21" s="150"/>
      <c r="AG21" s="145"/>
      <c r="AH21" s="145"/>
      <c r="AI21" s="145"/>
      <c r="AJ21" s="145"/>
      <c r="AK21" s="145"/>
      <c r="AL21" s="145"/>
      <c r="AM21" s="145"/>
      <c r="AN21" s="145"/>
      <c r="AO21" s="145"/>
      <c r="AP21" s="146"/>
      <c r="AQ21" s="122"/>
      <c r="AR21" s="157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</row>
    <row r="22" spans="1:62">
      <c r="A22" s="261">
        <f>A20+1</f>
        <v>6</v>
      </c>
      <c r="B22" s="263" t="s">
        <v>5377</v>
      </c>
      <c r="C22" s="144">
        <f>C23*$C$57</f>
        <v>3250000</v>
      </c>
      <c r="D22" s="145" t="s">
        <v>4126</v>
      </c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54">
        <v>0.1</v>
      </c>
      <c r="Z22" s="154">
        <v>0.1</v>
      </c>
      <c r="AA22" s="154">
        <v>0.1</v>
      </c>
      <c r="AB22" s="154">
        <v>0.1</v>
      </c>
      <c r="AC22" s="154">
        <v>0.1</v>
      </c>
      <c r="AD22" s="154">
        <v>0.1</v>
      </c>
      <c r="AE22" s="154">
        <v>0.15</v>
      </c>
      <c r="AF22" s="154">
        <v>0.2</v>
      </c>
      <c r="AG22" s="154">
        <v>0.05</v>
      </c>
      <c r="AH22" s="145"/>
      <c r="AI22" s="145"/>
      <c r="AJ22" s="145"/>
      <c r="AK22" s="145"/>
      <c r="AL22" s="145"/>
      <c r="AM22" s="145"/>
      <c r="AN22" s="145"/>
      <c r="AO22" s="145"/>
      <c r="AP22" s="146">
        <f>SUM(E22:AO22)</f>
        <v>1</v>
      </c>
      <c r="AQ22" s="122"/>
      <c r="AR22" s="147" t="s">
        <v>5378</v>
      </c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</row>
    <row r="23" spans="1:62">
      <c r="A23" s="262"/>
      <c r="B23" s="262"/>
      <c r="C23" s="148">
        <v>0.05</v>
      </c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50"/>
      <c r="Z23" s="150"/>
      <c r="AA23" s="150"/>
      <c r="AB23" s="150"/>
      <c r="AC23" s="150"/>
      <c r="AD23" s="150"/>
      <c r="AE23" s="150"/>
      <c r="AF23" s="150"/>
      <c r="AG23" s="150"/>
      <c r="AH23" s="145"/>
      <c r="AI23" s="145"/>
      <c r="AJ23" s="145"/>
      <c r="AK23" s="145"/>
      <c r="AL23" s="145"/>
      <c r="AM23" s="145"/>
      <c r="AN23" s="145"/>
      <c r="AO23" s="145"/>
      <c r="AP23" s="146"/>
      <c r="AQ23" s="122"/>
      <c r="AR23" s="151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</row>
    <row r="24" spans="1:62">
      <c r="A24" s="261">
        <f>A22+1</f>
        <v>7</v>
      </c>
      <c r="B24" s="263" t="s">
        <v>5379</v>
      </c>
      <c r="C24" s="144">
        <f>C25*$C$57</f>
        <v>4550000</v>
      </c>
      <c r="D24" s="145" t="s">
        <v>4126</v>
      </c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54">
        <v>0.1</v>
      </c>
      <c r="S24" s="154">
        <v>0.1</v>
      </c>
      <c r="T24" s="154">
        <v>0.05</v>
      </c>
      <c r="U24" s="154">
        <v>0.05</v>
      </c>
      <c r="V24" s="154">
        <v>0.05</v>
      </c>
      <c r="W24" s="154">
        <v>0.05</v>
      </c>
      <c r="X24" s="154">
        <v>0.1</v>
      </c>
      <c r="Y24" s="154">
        <v>0.05</v>
      </c>
      <c r="Z24" s="154">
        <v>0.05</v>
      </c>
      <c r="AA24" s="154">
        <v>0.05</v>
      </c>
      <c r="AB24" s="154">
        <v>0.1</v>
      </c>
      <c r="AC24" s="154">
        <v>0.05</v>
      </c>
      <c r="AD24" s="154">
        <v>0.1</v>
      </c>
      <c r="AE24" s="154">
        <v>0.05</v>
      </c>
      <c r="AF24" s="154">
        <v>0.05</v>
      </c>
      <c r="AG24" s="145"/>
      <c r="AH24" s="145"/>
      <c r="AI24" s="145"/>
      <c r="AJ24" s="145"/>
      <c r="AK24" s="145"/>
      <c r="AL24" s="145"/>
      <c r="AM24" s="145"/>
      <c r="AN24" s="145"/>
      <c r="AO24" s="145"/>
      <c r="AP24" s="146">
        <f>SUM(E24:AO24)</f>
        <v>1.0000000000000002</v>
      </c>
      <c r="AQ24" s="122"/>
      <c r="AR24" s="147" t="s">
        <v>5380</v>
      </c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</row>
    <row r="25" spans="1:62">
      <c r="A25" s="262"/>
      <c r="B25" s="262"/>
      <c r="C25" s="148">
        <v>7.0000000000000007E-2</v>
      </c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45"/>
      <c r="AH25" s="145"/>
      <c r="AI25" s="145"/>
      <c r="AJ25" s="145"/>
      <c r="AK25" s="145"/>
      <c r="AL25" s="145"/>
      <c r="AM25" s="145"/>
      <c r="AN25" s="145"/>
      <c r="AO25" s="145"/>
      <c r="AP25" s="146"/>
      <c r="AQ25" s="122"/>
      <c r="AR25" s="147" t="s">
        <v>5381</v>
      </c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</row>
    <row r="26" spans="1:62">
      <c r="A26" s="261">
        <f>A24+1</f>
        <v>8</v>
      </c>
      <c r="B26" s="263" t="s">
        <v>871</v>
      </c>
      <c r="C26" s="144">
        <f>C27*$C$57</f>
        <v>3900000</v>
      </c>
      <c r="D26" s="145" t="s">
        <v>4126</v>
      </c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54">
        <v>0.1</v>
      </c>
      <c r="AD26" s="154">
        <v>0.1</v>
      </c>
      <c r="AE26" s="154">
        <v>0.1</v>
      </c>
      <c r="AF26" s="154">
        <v>0.1</v>
      </c>
      <c r="AG26" s="154">
        <v>0.1</v>
      </c>
      <c r="AH26" s="154">
        <v>0.1</v>
      </c>
      <c r="AI26" s="154">
        <v>0.1</v>
      </c>
      <c r="AJ26" s="154">
        <v>0.1</v>
      </c>
      <c r="AK26" s="154">
        <v>0.1</v>
      </c>
      <c r="AL26" s="154">
        <v>0.1</v>
      </c>
      <c r="AM26" s="145"/>
      <c r="AN26" s="145"/>
      <c r="AO26" s="145"/>
      <c r="AP26" s="146">
        <f>SUM(E26:AO26)</f>
        <v>0.99999999999999989</v>
      </c>
      <c r="AQ26" s="122"/>
      <c r="AR26" s="147" t="s">
        <v>5380</v>
      </c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</row>
    <row r="27" spans="1:62">
      <c r="A27" s="262"/>
      <c r="B27" s="262"/>
      <c r="C27" s="148">
        <v>0.06</v>
      </c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50"/>
      <c r="AD27" s="150"/>
      <c r="AE27" s="150"/>
      <c r="AF27" s="150"/>
      <c r="AG27" s="150"/>
      <c r="AH27" s="150"/>
      <c r="AI27" s="150"/>
      <c r="AJ27" s="150"/>
      <c r="AK27" s="150"/>
      <c r="AL27" s="150"/>
      <c r="AM27" s="145"/>
      <c r="AN27" s="145"/>
      <c r="AO27" s="145"/>
      <c r="AP27" s="146"/>
      <c r="AQ27" s="122"/>
      <c r="AR27" s="147" t="s">
        <v>5382</v>
      </c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</row>
    <row r="28" spans="1:62">
      <c r="A28" s="261">
        <f>A26+1</f>
        <v>9</v>
      </c>
      <c r="B28" s="263" t="s">
        <v>5383</v>
      </c>
      <c r="C28" s="144">
        <f>C29*$C$57</f>
        <v>3900000</v>
      </c>
      <c r="D28" s="145" t="s">
        <v>4126</v>
      </c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54">
        <v>0.1</v>
      </c>
      <c r="AF28" s="154">
        <v>0.1</v>
      </c>
      <c r="AG28" s="154">
        <v>0.1</v>
      </c>
      <c r="AH28" s="154">
        <v>0.1</v>
      </c>
      <c r="AI28" s="154">
        <v>0.1</v>
      </c>
      <c r="AJ28" s="154">
        <v>0.1</v>
      </c>
      <c r="AK28" s="154">
        <v>0.1</v>
      </c>
      <c r="AL28" s="154">
        <v>0.1</v>
      </c>
      <c r="AM28" s="154">
        <v>0.15</v>
      </c>
      <c r="AN28" s="154">
        <v>0.05</v>
      </c>
      <c r="AO28" s="145"/>
      <c r="AP28" s="146">
        <f>SUM(E28:AO28)</f>
        <v>1</v>
      </c>
      <c r="AQ28" s="122"/>
      <c r="AR28" s="147" t="s">
        <v>5380</v>
      </c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</row>
    <row r="29" spans="1:62">
      <c r="A29" s="262"/>
      <c r="B29" s="262"/>
      <c r="C29" s="148">
        <v>0.06</v>
      </c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50"/>
      <c r="AF29" s="150"/>
      <c r="AG29" s="150"/>
      <c r="AH29" s="150"/>
      <c r="AI29" s="150"/>
      <c r="AJ29" s="150"/>
      <c r="AK29" s="150"/>
      <c r="AL29" s="150"/>
      <c r="AM29" s="150"/>
      <c r="AN29" s="150"/>
      <c r="AO29" s="145"/>
      <c r="AP29" s="146"/>
      <c r="AQ29" s="122"/>
      <c r="AR29" s="147" t="s">
        <v>5381</v>
      </c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</row>
    <row r="30" spans="1:62">
      <c r="A30" s="261">
        <f>A28+1</f>
        <v>10</v>
      </c>
      <c r="B30" s="263" t="s">
        <v>5384</v>
      </c>
      <c r="C30" s="144">
        <f>C31*$C$57</f>
        <v>1950000</v>
      </c>
      <c r="D30" s="145" t="s">
        <v>4126</v>
      </c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/>
      <c r="AA30" s="145"/>
      <c r="AB30" s="145"/>
      <c r="AC30" s="145"/>
      <c r="AD30" s="145"/>
      <c r="AE30" s="145"/>
      <c r="AF30" s="145"/>
      <c r="AG30" s="145"/>
      <c r="AH30" s="145"/>
      <c r="AI30" s="145"/>
      <c r="AJ30" s="145"/>
      <c r="AK30" s="154">
        <v>0.1</v>
      </c>
      <c r="AL30" s="154">
        <v>0.1</v>
      </c>
      <c r="AM30" s="154">
        <v>0.1</v>
      </c>
      <c r="AN30" s="154">
        <v>0.3</v>
      </c>
      <c r="AO30" s="154">
        <v>0.4</v>
      </c>
      <c r="AP30" s="146">
        <f>SUM(E30:AO30)</f>
        <v>1</v>
      </c>
      <c r="AQ30" s="122"/>
      <c r="AR30" s="147" t="s">
        <v>5380</v>
      </c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</row>
    <row r="31" spans="1:62">
      <c r="A31" s="262"/>
      <c r="B31" s="262"/>
      <c r="C31" s="148">
        <v>0.03</v>
      </c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  <c r="AA31" s="145"/>
      <c r="AB31" s="145"/>
      <c r="AC31" s="145"/>
      <c r="AD31" s="145"/>
      <c r="AE31" s="145"/>
      <c r="AF31" s="145"/>
      <c r="AG31" s="145"/>
      <c r="AH31" s="145"/>
      <c r="AI31" s="145"/>
      <c r="AJ31" s="145"/>
      <c r="AK31" s="150"/>
      <c r="AL31" s="150"/>
      <c r="AM31" s="150"/>
      <c r="AN31" s="150"/>
      <c r="AO31" s="150"/>
      <c r="AP31" s="146"/>
      <c r="AQ31" s="122"/>
      <c r="AR31" s="147" t="s">
        <v>5381</v>
      </c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</row>
    <row r="32" spans="1:62">
      <c r="A32" s="261">
        <f>A30+1</f>
        <v>11</v>
      </c>
      <c r="B32" s="263" t="s">
        <v>831</v>
      </c>
      <c r="C32" s="144">
        <f>C33*$C$57</f>
        <v>650000</v>
      </c>
      <c r="D32" s="145" t="s">
        <v>4126</v>
      </c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  <c r="AE32" s="145"/>
      <c r="AF32" s="154">
        <v>0.2</v>
      </c>
      <c r="AG32" s="154">
        <v>0.3</v>
      </c>
      <c r="AH32" s="154">
        <v>0.3</v>
      </c>
      <c r="AI32" s="154">
        <v>0.2</v>
      </c>
      <c r="AJ32" s="145"/>
      <c r="AK32" s="145"/>
      <c r="AL32" s="145"/>
      <c r="AM32" s="145"/>
      <c r="AN32" s="145"/>
      <c r="AO32" s="145"/>
      <c r="AP32" s="146">
        <f>SUM(E32:AO32)</f>
        <v>1</v>
      </c>
      <c r="AQ32" s="122"/>
      <c r="AR32" s="147" t="s">
        <v>5376</v>
      </c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</row>
    <row r="33" spans="1:62">
      <c r="A33" s="262"/>
      <c r="B33" s="262"/>
      <c r="C33" s="148">
        <v>0.01</v>
      </c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145"/>
      <c r="O33" s="145"/>
      <c r="P33" s="145"/>
      <c r="Q33" s="145"/>
      <c r="R33" s="145"/>
      <c r="S33" s="145"/>
      <c r="T33" s="145"/>
      <c r="U33" s="145"/>
      <c r="V33" s="145"/>
      <c r="W33" s="145"/>
      <c r="X33" s="145"/>
      <c r="Y33" s="145"/>
      <c r="Z33" s="145"/>
      <c r="AA33" s="145"/>
      <c r="AB33" s="145"/>
      <c r="AC33" s="145"/>
      <c r="AD33" s="145"/>
      <c r="AE33" s="145"/>
      <c r="AF33" s="150"/>
      <c r="AG33" s="150"/>
      <c r="AH33" s="150"/>
      <c r="AI33" s="150"/>
      <c r="AJ33" s="145"/>
      <c r="AK33" s="145"/>
      <c r="AL33" s="145"/>
      <c r="AM33" s="145"/>
      <c r="AN33" s="145"/>
      <c r="AO33" s="145"/>
      <c r="AP33" s="146"/>
      <c r="AQ33" s="122"/>
      <c r="AR33" s="147" t="s">
        <v>5385</v>
      </c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</row>
    <row r="34" spans="1:62">
      <c r="A34" s="261">
        <f>A32+1</f>
        <v>12</v>
      </c>
      <c r="B34" s="263" t="s">
        <v>5386</v>
      </c>
      <c r="C34" s="144">
        <f>C35*$C$57</f>
        <v>1950000</v>
      </c>
      <c r="D34" s="145" t="s">
        <v>4126</v>
      </c>
      <c r="E34" s="145"/>
      <c r="F34" s="145"/>
      <c r="G34" s="145"/>
      <c r="H34" s="145"/>
      <c r="I34" s="145"/>
      <c r="J34" s="145"/>
      <c r="K34" s="145"/>
      <c r="L34" s="145"/>
      <c r="M34" s="145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4">
        <v>0.1</v>
      </c>
      <c r="AB34" s="154">
        <v>0.1</v>
      </c>
      <c r="AC34" s="154">
        <v>0.1</v>
      </c>
      <c r="AD34" s="154">
        <v>0.1</v>
      </c>
      <c r="AE34" s="154">
        <v>0.1</v>
      </c>
      <c r="AF34" s="154">
        <v>0.1</v>
      </c>
      <c r="AG34" s="154">
        <v>0.1</v>
      </c>
      <c r="AH34" s="154">
        <v>0.1</v>
      </c>
      <c r="AI34" s="154">
        <v>0.1</v>
      </c>
      <c r="AJ34" s="154">
        <v>0.1</v>
      </c>
      <c r="AK34" s="145"/>
      <c r="AL34" s="145"/>
      <c r="AM34" s="145"/>
      <c r="AN34" s="145"/>
      <c r="AO34" s="145"/>
      <c r="AP34" s="146">
        <f>SUM(E34:AO34)</f>
        <v>0.99999999999999989</v>
      </c>
      <c r="AQ34" s="122"/>
      <c r="AR34" s="147" t="s">
        <v>5387</v>
      </c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</row>
    <row r="35" spans="1:62">
      <c r="A35" s="262"/>
      <c r="B35" s="262"/>
      <c r="C35" s="148">
        <v>0.03</v>
      </c>
      <c r="D35" s="145"/>
      <c r="E35" s="145"/>
      <c r="F35" s="145"/>
      <c r="G35" s="145"/>
      <c r="H35" s="145"/>
      <c r="I35" s="145"/>
      <c r="J35" s="145"/>
      <c r="K35" s="145"/>
      <c r="L35" s="145"/>
      <c r="M35" s="145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0"/>
      <c r="AB35" s="150"/>
      <c r="AC35" s="150"/>
      <c r="AD35" s="150"/>
      <c r="AE35" s="150"/>
      <c r="AF35" s="150"/>
      <c r="AG35" s="150"/>
      <c r="AH35" s="150"/>
      <c r="AI35" s="150"/>
      <c r="AJ35" s="150"/>
      <c r="AK35" s="145"/>
      <c r="AL35" s="145"/>
      <c r="AM35" s="145"/>
      <c r="AN35" s="145"/>
      <c r="AO35" s="145"/>
      <c r="AP35" s="158"/>
      <c r="AQ35" s="122"/>
      <c r="AR35" s="151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</row>
    <row r="36" spans="1:62">
      <c r="A36" s="261">
        <f>A34+1</f>
        <v>13</v>
      </c>
      <c r="B36" s="263" t="s">
        <v>5388</v>
      </c>
      <c r="C36" s="144">
        <f>C37*$C$57</f>
        <v>3250000</v>
      </c>
      <c r="D36" s="145" t="s">
        <v>4093</v>
      </c>
      <c r="E36" s="145"/>
      <c r="F36" s="145"/>
      <c r="G36" s="145"/>
      <c r="H36" s="145"/>
      <c r="I36" s="145"/>
      <c r="J36" s="145"/>
      <c r="K36" s="145"/>
      <c r="L36" s="145"/>
      <c r="M36" s="145"/>
      <c r="N36" s="152">
        <v>7.0000000000000007E-2</v>
      </c>
      <c r="O36" s="152">
        <v>0.05</v>
      </c>
      <c r="P36" s="152">
        <v>0.05</v>
      </c>
      <c r="Q36" s="154">
        <v>0.05</v>
      </c>
      <c r="R36" s="154">
        <v>0.05</v>
      </c>
      <c r="S36" s="154">
        <v>0.05</v>
      </c>
      <c r="T36" s="154">
        <v>0.05</v>
      </c>
      <c r="U36" s="154">
        <v>0.05</v>
      </c>
      <c r="V36" s="154">
        <v>0.05</v>
      </c>
      <c r="W36" s="154">
        <v>0.05</v>
      </c>
      <c r="X36" s="154">
        <v>0.05</v>
      </c>
      <c r="Y36" s="154">
        <v>0.05</v>
      </c>
      <c r="Z36" s="154">
        <v>7.0000000000000007E-2</v>
      </c>
      <c r="AA36" s="154">
        <v>7.0000000000000007E-2</v>
      </c>
      <c r="AB36" s="154">
        <v>7.0000000000000007E-2</v>
      </c>
      <c r="AC36" s="154">
        <v>7.0000000000000007E-2</v>
      </c>
      <c r="AD36" s="154">
        <v>0.1</v>
      </c>
      <c r="AE36" s="145"/>
      <c r="AF36" s="145"/>
      <c r="AG36" s="145"/>
      <c r="AH36" s="145"/>
      <c r="AI36" s="145"/>
      <c r="AJ36" s="145"/>
      <c r="AK36" s="145"/>
      <c r="AL36" s="145"/>
      <c r="AM36" s="145"/>
      <c r="AN36" s="145"/>
      <c r="AO36" s="145"/>
      <c r="AP36" s="146">
        <f>SUM(E36:AO36)</f>
        <v>1.0000000000000004</v>
      </c>
      <c r="AQ36" s="122"/>
      <c r="AR36" s="147" t="s">
        <v>5389</v>
      </c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</row>
    <row r="37" spans="1:62">
      <c r="A37" s="262"/>
      <c r="B37" s="262"/>
      <c r="C37" s="148">
        <v>0.05</v>
      </c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  <c r="AC37" s="150"/>
      <c r="AD37" s="150"/>
      <c r="AE37" s="145"/>
      <c r="AF37" s="145"/>
      <c r="AG37" s="145"/>
      <c r="AH37" s="145"/>
      <c r="AI37" s="145"/>
      <c r="AJ37" s="145"/>
      <c r="AK37" s="145"/>
      <c r="AL37" s="145"/>
      <c r="AM37" s="145"/>
      <c r="AN37" s="145"/>
      <c r="AO37" s="145"/>
      <c r="AP37" s="146"/>
      <c r="AQ37" s="122"/>
      <c r="AR37" s="151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</row>
    <row r="38" spans="1:62">
      <c r="A38" s="261">
        <f>A36+1</f>
        <v>14</v>
      </c>
      <c r="B38" s="263" t="s">
        <v>5390</v>
      </c>
      <c r="C38" s="144">
        <f>C39*$C$57</f>
        <v>650000</v>
      </c>
      <c r="D38" s="145" t="s">
        <v>4093</v>
      </c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  <c r="W38" s="145"/>
      <c r="X38" s="145"/>
      <c r="Y38" s="145"/>
      <c r="Z38" s="145"/>
      <c r="AA38" s="145"/>
      <c r="AB38" s="145"/>
      <c r="AC38" s="145"/>
      <c r="AD38" s="145"/>
      <c r="AE38" s="154">
        <v>0.3</v>
      </c>
      <c r="AF38" s="154">
        <v>0.3</v>
      </c>
      <c r="AG38" s="154">
        <v>0.25</v>
      </c>
      <c r="AH38" s="154">
        <v>0.15</v>
      </c>
      <c r="AI38" s="145"/>
      <c r="AJ38" s="145"/>
      <c r="AK38" s="145"/>
      <c r="AL38" s="145"/>
      <c r="AM38" s="145"/>
      <c r="AN38" s="145"/>
      <c r="AO38" s="145"/>
      <c r="AP38" s="146">
        <f>SUM(E38:AO38)</f>
        <v>1</v>
      </c>
      <c r="AQ38" s="122"/>
      <c r="AR38" s="147" t="s">
        <v>5391</v>
      </c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</row>
    <row r="39" spans="1:62">
      <c r="A39" s="262"/>
      <c r="B39" s="262"/>
      <c r="C39" s="148">
        <v>0.01</v>
      </c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  <c r="R39" s="145"/>
      <c r="S39" s="145"/>
      <c r="T39" s="145"/>
      <c r="U39" s="145"/>
      <c r="V39" s="145"/>
      <c r="W39" s="145"/>
      <c r="X39" s="145"/>
      <c r="Y39" s="145"/>
      <c r="Z39" s="145"/>
      <c r="AA39" s="145"/>
      <c r="AB39" s="145"/>
      <c r="AC39" s="145"/>
      <c r="AD39" s="145"/>
      <c r="AE39" s="150"/>
      <c r="AF39" s="150"/>
      <c r="AG39" s="150"/>
      <c r="AH39" s="150"/>
      <c r="AI39" s="145"/>
      <c r="AJ39" s="145"/>
      <c r="AK39" s="145"/>
      <c r="AL39" s="145"/>
      <c r="AM39" s="145"/>
      <c r="AN39" s="145"/>
      <c r="AO39" s="145"/>
      <c r="AP39" s="146"/>
      <c r="AQ39" s="122"/>
      <c r="AR39" s="151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</row>
    <row r="40" spans="1:62">
      <c r="A40" s="261">
        <f>A38+1</f>
        <v>15</v>
      </c>
      <c r="B40" s="263" t="s">
        <v>5392</v>
      </c>
      <c r="C40" s="144">
        <f>C41*$C$57</f>
        <v>650000</v>
      </c>
      <c r="D40" s="145" t="s">
        <v>4093</v>
      </c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  <c r="R40" s="145"/>
      <c r="S40" s="145"/>
      <c r="T40" s="145"/>
      <c r="U40" s="145"/>
      <c r="V40" s="145"/>
      <c r="W40" s="145"/>
      <c r="X40" s="145"/>
      <c r="Y40" s="145"/>
      <c r="Z40" s="145"/>
      <c r="AA40" s="145"/>
      <c r="AB40" s="145"/>
      <c r="AC40" s="145"/>
      <c r="AD40" s="145"/>
      <c r="AE40" s="145"/>
      <c r="AF40" s="154">
        <v>0.35</v>
      </c>
      <c r="AG40" s="154">
        <v>0.35</v>
      </c>
      <c r="AH40" s="154">
        <v>0.3</v>
      </c>
      <c r="AI40" s="154">
        <v>0.05</v>
      </c>
      <c r="AJ40" s="145"/>
      <c r="AK40" s="145"/>
      <c r="AL40" s="145"/>
      <c r="AM40" s="145"/>
      <c r="AN40" s="145"/>
      <c r="AO40" s="145"/>
      <c r="AP40" s="146">
        <f>SUM(E40:AO40)</f>
        <v>1.05</v>
      </c>
      <c r="AQ40" s="122"/>
      <c r="AR40" s="147" t="s">
        <v>5393</v>
      </c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</row>
    <row r="41" spans="1:62">
      <c r="A41" s="262"/>
      <c r="B41" s="262"/>
      <c r="C41" s="148">
        <v>0.01</v>
      </c>
      <c r="D41" s="145"/>
      <c r="E41" s="145"/>
      <c r="F41" s="145"/>
      <c r="G41" s="145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50"/>
      <c r="AG41" s="150"/>
      <c r="AH41" s="150"/>
      <c r="AI41" s="150"/>
      <c r="AJ41" s="145"/>
      <c r="AK41" s="145"/>
      <c r="AL41" s="145"/>
      <c r="AM41" s="145"/>
      <c r="AN41" s="145"/>
      <c r="AO41" s="145"/>
      <c r="AP41" s="146"/>
      <c r="AQ41" s="122"/>
      <c r="AR41" s="151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</row>
    <row r="42" spans="1:62">
      <c r="A42" s="261">
        <f>A40+1</f>
        <v>16</v>
      </c>
      <c r="B42" s="263" t="s">
        <v>5394</v>
      </c>
      <c r="C42" s="144">
        <f>C43*$C$57</f>
        <v>3250000</v>
      </c>
      <c r="D42" s="145" t="s">
        <v>4096</v>
      </c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  <c r="AA42" s="154">
        <v>0.1</v>
      </c>
      <c r="AB42" s="154">
        <v>0.1</v>
      </c>
      <c r="AC42" s="154">
        <v>0.1</v>
      </c>
      <c r="AD42" s="154">
        <v>0.1</v>
      </c>
      <c r="AE42" s="154">
        <v>0.1</v>
      </c>
      <c r="AF42" s="154">
        <v>0.1</v>
      </c>
      <c r="AG42" s="154">
        <v>0.1</v>
      </c>
      <c r="AH42" s="154">
        <v>0.1</v>
      </c>
      <c r="AI42" s="154">
        <v>0.1</v>
      </c>
      <c r="AJ42" s="154">
        <v>0.1</v>
      </c>
      <c r="AK42" s="145"/>
      <c r="AL42" s="145"/>
      <c r="AM42" s="145"/>
      <c r="AN42" s="145"/>
      <c r="AO42" s="145"/>
      <c r="AP42" s="146">
        <f>SUM(E42:AO42)</f>
        <v>0.99999999999999989</v>
      </c>
      <c r="AQ42" s="122"/>
      <c r="AR42" s="147" t="s">
        <v>5395</v>
      </c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</row>
    <row r="43" spans="1:62">
      <c r="A43" s="262"/>
      <c r="B43" s="262"/>
      <c r="C43" s="148">
        <v>0.05</v>
      </c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45"/>
      <c r="AL43" s="145"/>
      <c r="AM43" s="145"/>
      <c r="AN43" s="145"/>
      <c r="AO43" s="145"/>
      <c r="AP43" s="146"/>
      <c r="AQ43" s="122"/>
      <c r="AR43" s="151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</row>
    <row r="44" spans="1:62">
      <c r="A44" s="261">
        <f>A42+1</f>
        <v>17</v>
      </c>
      <c r="B44" s="263" t="s">
        <v>5396</v>
      </c>
      <c r="C44" s="144">
        <f>C45*$C$57</f>
        <v>1300000</v>
      </c>
      <c r="D44" s="145" t="s">
        <v>5397</v>
      </c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54">
        <v>0.1</v>
      </c>
      <c r="AB44" s="154">
        <v>0.1</v>
      </c>
      <c r="AC44" s="154">
        <v>0.1</v>
      </c>
      <c r="AD44" s="154">
        <v>0.1</v>
      </c>
      <c r="AE44" s="154">
        <v>0.1</v>
      </c>
      <c r="AF44" s="154">
        <v>0.1</v>
      </c>
      <c r="AG44" s="154">
        <v>0.1</v>
      </c>
      <c r="AH44" s="154">
        <v>0.1</v>
      </c>
      <c r="AI44" s="154">
        <v>0.1</v>
      </c>
      <c r="AJ44" s="154">
        <v>0.1</v>
      </c>
      <c r="AK44" s="145"/>
      <c r="AL44" s="145"/>
      <c r="AM44" s="145"/>
      <c r="AN44" s="145"/>
      <c r="AO44" s="145"/>
      <c r="AP44" s="146">
        <f>SUM(E44:AO44)</f>
        <v>0.99999999999999989</v>
      </c>
      <c r="AQ44" s="122"/>
      <c r="AR44" s="147" t="s">
        <v>5398</v>
      </c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</row>
    <row r="45" spans="1:62">
      <c r="A45" s="262"/>
      <c r="B45" s="262"/>
      <c r="C45" s="148">
        <v>0.02</v>
      </c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50"/>
      <c r="AB45" s="150"/>
      <c r="AC45" s="150"/>
      <c r="AD45" s="150"/>
      <c r="AE45" s="150"/>
      <c r="AF45" s="150"/>
      <c r="AG45" s="150"/>
      <c r="AH45" s="150"/>
      <c r="AI45" s="150"/>
      <c r="AJ45" s="150"/>
      <c r="AK45" s="145"/>
      <c r="AL45" s="145"/>
      <c r="AM45" s="145"/>
      <c r="AN45" s="145"/>
      <c r="AO45" s="145"/>
      <c r="AP45" s="146"/>
      <c r="AQ45" s="122"/>
      <c r="AR45" s="151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</row>
    <row r="46" spans="1:62">
      <c r="A46" s="261">
        <f>A44+1</f>
        <v>18</v>
      </c>
      <c r="B46" s="263" t="s">
        <v>5399</v>
      </c>
      <c r="C46" s="144">
        <f>C47*$C$57</f>
        <v>2600000</v>
      </c>
      <c r="D46" s="145" t="s">
        <v>5400</v>
      </c>
      <c r="E46" s="145"/>
      <c r="F46" s="145"/>
      <c r="G46" s="145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145"/>
      <c r="S46" s="145"/>
      <c r="T46" s="145"/>
      <c r="U46" s="145"/>
      <c r="V46" s="145"/>
      <c r="W46" s="145"/>
      <c r="X46" s="145"/>
      <c r="Y46" s="145"/>
      <c r="Z46" s="145"/>
      <c r="AA46" s="154">
        <v>0.1</v>
      </c>
      <c r="AB46" s="154">
        <v>0.1</v>
      </c>
      <c r="AC46" s="154">
        <v>0.1</v>
      </c>
      <c r="AD46" s="154">
        <v>0.1</v>
      </c>
      <c r="AE46" s="154">
        <v>0.1</v>
      </c>
      <c r="AF46" s="154">
        <v>0.1</v>
      </c>
      <c r="AG46" s="154">
        <v>0.1</v>
      </c>
      <c r="AH46" s="154">
        <v>0.1</v>
      </c>
      <c r="AI46" s="154">
        <v>0.1</v>
      </c>
      <c r="AJ46" s="154">
        <v>0.1</v>
      </c>
      <c r="AK46" s="145"/>
      <c r="AL46" s="145"/>
      <c r="AM46" s="145"/>
      <c r="AN46" s="145"/>
      <c r="AO46" s="145"/>
      <c r="AP46" s="146">
        <f>SUM(E46:AO46)</f>
        <v>0.99999999999999989</v>
      </c>
      <c r="AQ46" s="122"/>
      <c r="AR46" s="147" t="s">
        <v>5401</v>
      </c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/>
      <c r="BJ46" s="122"/>
    </row>
    <row r="47" spans="1:62">
      <c r="A47" s="262"/>
      <c r="B47" s="262"/>
      <c r="C47" s="148">
        <v>0.04</v>
      </c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W47" s="145"/>
      <c r="X47" s="145"/>
      <c r="Y47" s="145"/>
      <c r="Z47" s="145"/>
      <c r="AA47" s="150"/>
      <c r="AB47" s="150"/>
      <c r="AC47" s="150"/>
      <c r="AD47" s="150"/>
      <c r="AE47" s="150"/>
      <c r="AF47" s="150"/>
      <c r="AG47" s="150"/>
      <c r="AH47" s="150"/>
      <c r="AI47" s="150"/>
      <c r="AJ47" s="150"/>
      <c r="AK47" s="145"/>
      <c r="AL47" s="145"/>
      <c r="AM47" s="145"/>
      <c r="AN47" s="145"/>
      <c r="AO47" s="145"/>
      <c r="AP47" s="146"/>
      <c r="AQ47" s="122"/>
      <c r="AR47" s="151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</row>
    <row r="48" spans="1:62">
      <c r="A48" s="261">
        <f>A46+1</f>
        <v>19</v>
      </c>
      <c r="B48" s="263" t="s">
        <v>5402</v>
      </c>
      <c r="C48" s="144">
        <f>C49*$C$57</f>
        <v>650000</v>
      </c>
      <c r="D48" s="145" t="s">
        <v>5400</v>
      </c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  <c r="R48" s="145"/>
      <c r="S48" s="145"/>
      <c r="T48" s="145"/>
      <c r="U48" s="145"/>
      <c r="V48" s="145"/>
      <c r="W48" s="145"/>
      <c r="X48" s="145"/>
      <c r="Y48" s="145"/>
      <c r="Z48" s="145"/>
      <c r="AA48" s="145"/>
      <c r="AB48" s="145"/>
      <c r="AC48" s="154">
        <v>0.2</v>
      </c>
      <c r="AD48" s="154">
        <v>0.1</v>
      </c>
      <c r="AE48" s="154">
        <v>0.1</v>
      </c>
      <c r="AF48" s="154">
        <v>0.1</v>
      </c>
      <c r="AG48" s="154">
        <v>0.1</v>
      </c>
      <c r="AH48" s="154">
        <v>0.1</v>
      </c>
      <c r="AI48" s="154">
        <v>0.1</v>
      </c>
      <c r="AJ48" s="154">
        <v>0.1</v>
      </c>
      <c r="AK48" s="154">
        <v>0.1</v>
      </c>
      <c r="AL48" s="145"/>
      <c r="AM48" s="145"/>
      <c r="AN48" s="145"/>
      <c r="AO48" s="145"/>
      <c r="AP48" s="146">
        <f>SUM(E48:AO48)</f>
        <v>0.99999999999999989</v>
      </c>
      <c r="AQ48" s="122"/>
      <c r="AR48" s="147" t="s">
        <v>5403</v>
      </c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22"/>
      <c r="BI48" s="122"/>
      <c r="BJ48" s="122"/>
    </row>
    <row r="49" spans="1:62">
      <c r="A49" s="262"/>
      <c r="B49" s="262"/>
      <c r="C49" s="148">
        <v>0.01</v>
      </c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  <c r="R49" s="145"/>
      <c r="S49" s="145"/>
      <c r="T49" s="145"/>
      <c r="U49" s="145"/>
      <c r="V49" s="145"/>
      <c r="W49" s="145"/>
      <c r="X49" s="145"/>
      <c r="Y49" s="145"/>
      <c r="Z49" s="145"/>
      <c r="AA49" s="145"/>
      <c r="AB49" s="145"/>
      <c r="AC49" s="150"/>
      <c r="AD49" s="150"/>
      <c r="AE49" s="150"/>
      <c r="AF49" s="150"/>
      <c r="AG49" s="150"/>
      <c r="AH49" s="150"/>
      <c r="AI49" s="150"/>
      <c r="AJ49" s="150"/>
      <c r="AK49" s="150"/>
      <c r="AL49" s="145"/>
      <c r="AM49" s="145"/>
      <c r="AN49" s="145"/>
      <c r="AO49" s="145"/>
      <c r="AP49" s="146"/>
      <c r="AQ49" s="122"/>
      <c r="AR49" s="151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</row>
    <row r="50" spans="1:62">
      <c r="A50" s="261">
        <f>A48+1</f>
        <v>20</v>
      </c>
      <c r="B50" s="263" t="s">
        <v>5404</v>
      </c>
      <c r="C50" s="144">
        <f>C51*$C$57</f>
        <v>650000</v>
      </c>
      <c r="D50" s="145" t="s">
        <v>4093</v>
      </c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  <c r="R50" s="145"/>
      <c r="S50" s="145"/>
      <c r="T50" s="145"/>
      <c r="U50" s="145"/>
      <c r="V50" s="145"/>
      <c r="W50" s="145"/>
      <c r="X50" s="145"/>
      <c r="Y50" s="145"/>
      <c r="Z50" s="145"/>
      <c r="AA50" s="145"/>
      <c r="AB50" s="145"/>
      <c r="AC50" s="154">
        <v>0.2</v>
      </c>
      <c r="AD50" s="154">
        <v>0.1</v>
      </c>
      <c r="AE50" s="154">
        <v>0.1</v>
      </c>
      <c r="AF50" s="154">
        <v>0.1</v>
      </c>
      <c r="AG50" s="154">
        <v>0.1</v>
      </c>
      <c r="AH50" s="154">
        <v>0.1</v>
      </c>
      <c r="AI50" s="154">
        <v>0.1</v>
      </c>
      <c r="AJ50" s="154">
        <v>0.1</v>
      </c>
      <c r="AK50" s="154">
        <v>0.1</v>
      </c>
      <c r="AL50" s="145"/>
      <c r="AM50" s="145"/>
      <c r="AN50" s="145"/>
      <c r="AO50" s="145"/>
      <c r="AP50" s="146">
        <f>SUM(E50:AO50)</f>
        <v>0.99999999999999989</v>
      </c>
      <c r="AQ50" s="122"/>
      <c r="AR50" s="147" t="s">
        <v>5405</v>
      </c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22"/>
      <c r="BI50" s="122"/>
      <c r="BJ50" s="122"/>
    </row>
    <row r="51" spans="1:62">
      <c r="A51" s="262"/>
      <c r="B51" s="262"/>
      <c r="C51" s="148">
        <v>0.01</v>
      </c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50"/>
      <c r="AD51" s="150"/>
      <c r="AE51" s="150"/>
      <c r="AF51" s="150"/>
      <c r="AG51" s="150"/>
      <c r="AH51" s="150"/>
      <c r="AI51" s="150"/>
      <c r="AJ51" s="150"/>
      <c r="AK51" s="150"/>
      <c r="AL51" s="145"/>
      <c r="AM51" s="145"/>
      <c r="AN51" s="145"/>
      <c r="AO51" s="145"/>
      <c r="AP51" s="146"/>
      <c r="AQ51" s="122"/>
      <c r="AR51" s="151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</row>
    <row r="52" spans="1:62">
      <c r="A52" s="261">
        <f>A50+1</f>
        <v>21</v>
      </c>
      <c r="B52" s="263" t="s">
        <v>5406</v>
      </c>
      <c r="C52" s="144">
        <f>C53*$C$57</f>
        <v>650000</v>
      </c>
      <c r="D52" s="145" t="s">
        <v>4126</v>
      </c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  <c r="R52" s="145"/>
      <c r="S52" s="145"/>
      <c r="T52" s="145"/>
      <c r="U52" s="145"/>
      <c r="V52" s="145"/>
      <c r="W52" s="145"/>
      <c r="X52" s="145"/>
      <c r="Y52" s="145"/>
      <c r="Z52" s="145"/>
      <c r="AA52" s="145"/>
      <c r="AB52" s="145"/>
      <c r="AC52" s="145"/>
      <c r="AD52" s="145"/>
      <c r="AE52" s="145"/>
      <c r="AF52" s="145"/>
      <c r="AG52" s="145"/>
      <c r="AH52" s="145"/>
      <c r="AI52" s="145"/>
      <c r="AJ52" s="145"/>
      <c r="AK52" s="145"/>
      <c r="AL52" s="145"/>
      <c r="AM52" s="154">
        <v>0.5</v>
      </c>
      <c r="AN52" s="154">
        <v>0.3</v>
      </c>
      <c r="AO52" s="154">
        <v>0.2</v>
      </c>
      <c r="AP52" s="146">
        <f>SUM(E52:AO52)</f>
        <v>1</v>
      </c>
      <c r="AQ52" s="122"/>
      <c r="AR52" s="147" t="s">
        <v>5407</v>
      </c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</row>
    <row r="53" spans="1:62">
      <c r="A53" s="262"/>
      <c r="B53" s="262"/>
      <c r="C53" s="148">
        <v>0.01</v>
      </c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/>
      <c r="AA53" s="145"/>
      <c r="AB53" s="145"/>
      <c r="AC53" s="145"/>
      <c r="AD53" s="145"/>
      <c r="AE53" s="145"/>
      <c r="AF53" s="145"/>
      <c r="AG53" s="145"/>
      <c r="AH53" s="145"/>
      <c r="AI53" s="145"/>
      <c r="AJ53" s="145"/>
      <c r="AK53" s="145"/>
      <c r="AL53" s="145"/>
      <c r="AM53" s="150"/>
      <c r="AN53" s="150"/>
      <c r="AO53" s="150"/>
      <c r="AP53" s="146"/>
      <c r="AQ53" s="122"/>
      <c r="AR53" s="151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</row>
    <row r="54" spans="1:62">
      <c r="A54" s="261">
        <f>A52+1</f>
        <v>22</v>
      </c>
      <c r="B54" s="261" t="s">
        <v>5408</v>
      </c>
      <c r="C54" s="144">
        <f>C55*$C$57</f>
        <v>650000</v>
      </c>
      <c r="D54" s="145"/>
      <c r="E54" s="145"/>
      <c r="F54" s="145"/>
      <c r="G54" s="145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/>
      <c r="AA54" s="145"/>
      <c r="AB54" s="145"/>
      <c r="AC54" s="145"/>
      <c r="AD54" s="145"/>
      <c r="AE54" s="145"/>
      <c r="AF54" s="145"/>
      <c r="AG54" s="145"/>
      <c r="AH54" s="145"/>
      <c r="AI54" s="145"/>
      <c r="AJ54" s="145"/>
      <c r="AK54" s="145"/>
      <c r="AL54" s="145"/>
      <c r="AM54" s="146">
        <v>0.5</v>
      </c>
      <c r="AN54" s="146">
        <v>0.3</v>
      </c>
      <c r="AO54" s="146">
        <v>0.2</v>
      </c>
      <c r="AP54" s="146">
        <v>1</v>
      </c>
      <c r="AQ54" s="122"/>
      <c r="AR54" s="147" t="s">
        <v>5409</v>
      </c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</row>
    <row r="55" spans="1:62">
      <c r="A55" s="262"/>
      <c r="B55" s="262"/>
      <c r="C55" s="148">
        <v>0.01</v>
      </c>
      <c r="D55" s="150"/>
      <c r="E55" s="150"/>
      <c r="F55" s="150"/>
      <c r="G55" s="150"/>
      <c r="H55" s="150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  <c r="AC55" s="150"/>
      <c r="AD55" s="150"/>
      <c r="AE55" s="150"/>
      <c r="AF55" s="150"/>
      <c r="AG55" s="150"/>
      <c r="AH55" s="150"/>
      <c r="AI55" s="150"/>
      <c r="AJ55" s="150"/>
      <c r="AK55" s="150"/>
      <c r="AL55" s="150"/>
      <c r="AM55" s="150"/>
      <c r="AN55" s="150"/>
      <c r="AO55" s="150"/>
      <c r="AP55" s="146"/>
      <c r="AQ55" s="122"/>
      <c r="AR55" s="151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</row>
    <row r="56" spans="1:62">
      <c r="A56" s="159" t="s">
        <v>5410</v>
      </c>
      <c r="B56" s="146"/>
      <c r="C56" s="160">
        <f>C55+C53+C51+C49+C47+C45+C43+C41+C39+C37+C35+C33+C31+C29+C27+C25+C23+C21+C19+C17+C15+C13</f>
        <v>1.0000000000000002</v>
      </c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/>
      <c r="AA56" s="145"/>
      <c r="AB56" s="145"/>
      <c r="AC56" s="145"/>
      <c r="AD56" s="145"/>
      <c r="AE56" s="145"/>
      <c r="AF56" s="145"/>
      <c r="AG56" s="145"/>
      <c r="AH56" s="145"/>
      <c r="AI56" s="145"/>
      <c r="AJ56" s="145"/>
      <c r="AK56" s="145"/>
      <c r="AL56" s="145"/>
      <c r="AM56" s="145"/>
      <c r="AN56" s="145"/>
      <c r="AO56" s="145"/>
      <c r="AP56" s="146"/>
      <c r="AQ56" s="122"/>
      <c r="AR56" s="161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</row>
    <row r="57" spans="1:62">
      <c r="A57" s="159" t="s">
        <v>5411</v>
      </c>
      <c r="B57" s="162"/>
      <c r="C57" s="163">
        <v>65000000</v>
      </c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/>
      <c r="AA57" s="145"/>
      <c r="AB57" s="145"/>
      <c r="AC57" s="145"/>
      <c r="AD57" s="145"/>
      <c r="AE57" s="145"/>
      <c r="AF57" s="145"/>
      <c r="AG57" s="145"/>
      <c r="AH57" s="145"/>
      <c r="AI57" s="145"/>
      <c r="AJ57" s="145"/>
      <c r="AK57" s="145"/>
      <c r="AL57" s="145"/>
      <c r="AM57" s="145"/>
      <c r="AN57" s="145"/>
      <c r="AO57" s="145"/>
      <c r="AP57" s="146"/>
      <c r="AQ57" s="122"/>
      <c r="AR57" s="161"/>
      <c r="AS57" s="164">
        <f>65000000</f>
        <v>65000000</v>
      </c>
      <c r="AT57" s="164">
        <v>300000</v>
      </c>
      <c r="AU57" s="165">
        <f>AT57*36</f>
        <v>10800000</v>
      </c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</row>
    <row r="58" spans="1:62">
      <c r="A58" s="122"/>
      <c r="B58" s="122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66"/>
      <c r="AQ58" s="122"/>
      <c r="AR58" s="167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</row>
    <row r="59" spans="1:62">
      <c r="A59" s="122"/>
      <c r="B59" s="122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66"/>
      <c r="AQ59" s="122"/>
      <c r="AR59" s="167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</row>
    <row r="60" spans="1:62">
      <c r="A60" s="122"/>
      <c r="B60" s="122"/>
      <c r="C60" s="12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2"/>
      <c r="AP60" s="166"/>
      <c r="AQ60" s="122"/>
      <c r="AR60" s="167"/>
      <c r="AS60" s="122"/>
      <c r="AT60" s="122"/>
      <c r="AU60" s="122"/>
      <c r="AV60" s="122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22"/>
      <c r="BI60" s="122"/>
      <c r="BJ60" s="122"/>
    </row>
    <row r="61" spans="1:62">
      <c r="A61" s="122"/>
      <c r="B61" s="122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  <c r="AO61" s="122"/>
      <c r="AP61" s="166"/>
      <c r="AQ61" s="122"/>
      <c r="AR61" s="167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</row>
    <row r="62" spans="1:62">
      <c r="A62" s="122"/>
      <c r="B62" s="122"/>
      <c r="C62" s="122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66"/>
      <c r="AQ62" s="122"/>
      <c r="AR62" s="167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</row>
    <row r="63" spans="1:62">
      <c r="A63" s="122"/>
      <c r="B63" s="122"/>
      <c r="C63" s="122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66"/>
      <c r="AQ63" s="122"/>
      <c r="AR63" s="167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</row>
    <row r="64" spans="1:62">
      <c r="A64" s="122"/>
      <c r="B64" s="122"/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66"/>
      <c r="AQ64" s="122"/>
      <c r="AR64" s="167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</row>
    <row r="65" spans="1:62">
      <c r="A65" s="122"/>
      <c r="B65" s="122"/>
      <c r="C65" s="122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66"/>
      <c r="AQ65" s="122"/>
      <c r="AR65" s="167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</row>
    <row r="66" spans="1:62">
      <c r="A66" s="122"/>
      <c r="B66" s="122"/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66"/>
      <c r="AQ66" s="122"/>
      <c r="AR66" s="167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</row>
    <row r="67" spans="1:62">
      <c r="A67" s="122"/>
      <c r="B67" s="122"/>
      <c r="C67" s="12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66"/>
      <c r="AQ67" s="122"/>
      <c r="AR67" s="167"/>
      <c r="AS67" s="122"/>
      <c r="AT67" s="122"/>
      <c r="AU67" s="122"/>
      <c r="AV67" s="122"/>
      <c r="AW67" s="122"/>
      <c r="AX67" s="122"/>
      <c r="AY67" s="122"/>
      <c r="AZ67" s="122"/>
      <c r="BA67" s="122"/>
      <c r="BB67" s="122"/>
      <c r="BC67" s="122"/>
      <c r="BD67" s="122"/>
      <c r="BE67" s="122"/>
      <c r="BF67" s="122"/>
      <c r="BG67" s="122"/>
      <c r="BH67" s="122"/>
      <c r="BI67" s="122"/>
      <c r="BJ67" s="122"/>
    </row>
    <row r="68" spans="1:62">
      <c r="A68" s="122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66"/>
      <c r="AQ68" s="122"/>
      <c r="AR68" s="167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</row>
    <row r="69" spans="1:62">
      <c r="A69" s="122"/>
      <c r="B69" s="122"/>
      <c r="C69" s="122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66"/>
      <c r="AQ69" s="122"/>
      <c r="AR69" s="167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</row>
    <row r="70" spans="1:62">
      <c r="A70" s="122"/>
      <c r="B70" s="122"/>
      <c r="C70" s="122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66"/>
      <c r="AQ70" s="122"/>
      <c r="AR70" s="167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</row>
    <row r="71" spans="1:62">
      <c r="A71" s="122"/>
      <c r="B71" s="122"/>
      <c r="C71" s="122"/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66"/>
      <c r="AQ71" s="122"/>
      <c r="AR71" s="167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</row>
    <row r="72" spans="1:62">
      <c r="A72" s="122"/>
      <c r="B72" s="122"/>
      <c r="C72" s="122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66"/>
      <c r="AQ72" s="122"/>
      <c r="AR72" s="167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</row>
    <row r="73" spans="1:62">
      <c r="A73" s="122"/>
      <c r="B73" s="122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66"/>
      <c r="AQ73" s="122"/>
      <c r="AR73" s="167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</row>
    <row r="74" spans="1:62">
      <c r="A74" s="122"/>
      <c r="B74" s="122"/>
      <c r="C74" s="122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66"/>
      <c r="AQ74" s="122"/>
      <c r="AR74" s="167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</row>
    <row r="75" spans="1:62">
      <c r="A75" s="122"/>
      <c r="B75" s="122"/>
      <c r="C75" s="122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66"/>
      <c r="AQ75" s="122"/>
      <c r="AR75" s="167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</row>
    <row r="76" spans="1:62">
      <c r="A76" s="122"/>
      <c r="B76" s="122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66"/>
      <c r="AQ76" s="122"/>
      <c r="AR76" s="167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</row>
    <row r="77" spans="1:62">
      <c r="A77" s="122"/>
      <c r="B77" s="122"/>
      <c r="C77" s="122"/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122"/>
      <c r="AB77" s="122"/>
      <c r="AC77" s="122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  <c r="AO77" s="122"/>
      <c r="AP77" s="166"/>
      <c r="AQ77" s="122"/>
      <c r="AR77" s="167"/>
      <c r="AS77" s="122"/>
      <c r="AT77" s="122"/>
      <c r="AU77" s="122"/>
      <c r="AV77" s="122"/>
      <c r="AW77" s="122"/>
      <c r="AX77" s="122"/>
      <c r="AY77" s="122"/>
      <c r="AZ77" s="122"/>
      <c r="BA77" s="122"/>
      <c r="BB77" s="122"/>
      <c r="BC77" s="122"/>
      <c r="BD77" s="122"/>
      <c r="BE77" s="122"/>
      <c r="BF77" s="122"/>
      <c r="BG77" s="122"/>
      <c r="BH77" s="122"/>
      <c r="BI77" s="122"/>
      <c r="BJ77" s="122"/>
    </row>
    <row r="78" spans="1:62">
      <c r="A78" s="122"/>
      <c r="B78" s="122"/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66"/>
      <c r="AQ78" s="122"/>
      <c r="AR78" s="167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</row>
    <row r="79" spans="1:62">
      <c r="A79" s="122"/>
      <c r="B79" s="122"/>
      <c r="C79" s="122"/>
      <c r="D79" s="122"/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66"/>
      <c r="AQ79" s="122"/>
      <c r="AR79" s="167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</row>
    <row r="80" spans="1:62">
      <c r="A80" s="122"/>
      <c r="B80" s="122"/>
      <c r="C80" s="122"/>
      <c r="D80" s="122"/>
      <c r="E80" s="122"/>
      <c r="F80" s="122"/>
      <c r="G80" s="122"/>
      <c r="H80" s="122"/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122"/>
      <c r="AB80" s="122"/>
      <c r="AC80" s="122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  <c r="AO80" s="122"/>
      <c r="AP80" s="166"/>
      <c r="AQ80" s="122"/>
      <c r="AR80" s="167"/>
      <c r="AS80" s="122"/>
      <c r="AT80" s="122"/>
      <c r="AU80" s="122"/>
      <c r="AV80" s="122"/>
      <c r="AW80" s="122"/>
      <c r="AX80" s="122"/>
      <c r="AY80" s="122"/>
      <c r="AZ80" s="122"/>
      <c r="BA80" s="122"/>
      <c r="BB80" s="122"/>
      <c r="BC80" s="122"/>
      <c r="BD80" s="122"/>
      <c r="BE80" s="122"/>
      <c r="BF80" s="122"/>
      <c r="BG80" s="122"/>
      <c r="BH80" s="122"/>
      <c r="BI80" s="122"/>
      <c r="BJ80" s="122"/>
    </row>
    <row r="81" spans="1:62">
      <c r="A81" s="122"/>
      <c r="B81" s="122"/>
      <c r="C81" s="122"/>
      <c r="D81" s="122"/>
      <c r="E81" s="122"/>
      <c r="F81" s="122"/>
      <c r="G81" s="122"/>
      <c r="H81" s="122"/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  <c r="AO81" s="122"/>
      <c r="AP81" s="166"/>
      <c r="AQ81" s="122"/>
      <c r="AR81" s="167"/>
      <c r="AS81" s="122"/>
      <c r="AT81" s="122"/>
      <c r="AU81" s="122"/>
      <c r="AV81" s="122"/>
      <c r="AW81" s="122"/>
      <c r="AX81" s="122"/>
      <c r="AY81" s="122"/>
      <c r="AZ81" s="122"/>
      <c r="BA81" s="122"/>
      <c r="BB81" s="122"/>
      <c r="BC81" s="122"/>
      <c r="BD81" s="122"/>
      <c r="BE81" s="122"/>
      <c r="BF81" s="122"/>
      <c r="BG81" s="122"/>
      <c r="BH81" s="122"/>
      <c r="BI81" s="122"/>
      <c r="BJ81" s="122"/>
    </row>
    <row r="82" spans="1:62">
      <c r="A82" s="122"/>
      <c r="B82" s="122"/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66"/>
      <c r="AQ82" s="122"/>
      <c r="AR82" s="167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</row>
    <row r="83" spans="1:62">
      <c r="A83" s="122"/>
      <c r="B83" s="122"/>
      <c r="C83" s="122"/>
      <c r="D83" s="122"/>
      <c r="E83" s="122"/>
      <c r="F83" s="122"/>
      <c r="G83" s="122"/>
      <c r="H83" s="122"/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  <c r="AO83" s="122"/>
      <c r="AP83" s="166"/>
      <c r="AQ83" s="122"/>
      <c r="AR83" s="167"/>
      <c r="AS83" s="122"/>
      <c r="AT83" s="122"/>
      <c r="AU83" s="122"/>
      <c r="AV83" s="122"/>
      <c r="AW83" s="122"/>
      <c r="AX83" s="122"/>
      <c r="AY83" s="122"/>
      <c r="AZ83" s="122"/>
      <c r="BA83" s="122"/>
      <c r="BB83" s="122"/>
      <c r="BC83" s="122"/>
      <c r="BD83" s="122"/>
      <c r="BE83" s="122"/>
      <c r="BF83" s="122"/>
      <c r="BG83" s="122"/>
      <c r="BH83" s="122"/>
      <c r="BI83" s="122"/>
      <c r="BJ83" s="122"/>
    </row>
    <row r="84" spans="1:62">
      <c r="A84" s="122"/>
      <c r="B84" s="122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66"/>
      <c r="AQ84" s="122"/>
      <c r="AR84" s="167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</row>
    <row r="85" spans="1:62">
      <c r="A85" s="122"/>
      <c r="B85" s="122"/>
      <c r="C85" s="122"/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  <c r="AO85" s="122"/>
      <c r="AP85" s="166"/>
      <c r="AQ85" s="122"/>
      <c r="AR85" s="167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2"/>
      <c r="BF85" s="122"/>
      <c r="BG85" s="122"/>
      <c r="BH85" s="122"/>
      <c r="BI85" s="122"/>
      <c r="BJ85" s="122"/>
    </row>
    <row r="86" spans="1:62">
      <c r="A86" s="122"/>
      <c r="B86" s="122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66"/>
      <c r="AQ86" s="122"/>
      <c r="AR86" s="167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</row>
    <row r="87" spans="1:62">
      <c r="A87" s="122"/>
      <c r="B87" s="122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66"/>
      <c r="AQ87" s="122"/>
      <c r="AR87" s="167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</row>
    <row r="88" spans="1:62">
      <c r="A88" s="122"/>
      <c r="B88" s="122"/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  <c r="AO88" s="122"/>
      <c r="AP88" s="166"/>
      <c r="AQ88" s="122"/>
      <c r="AR88" s="167"/>
      <c r="AS88" s="122"/>
      <c r="AT88" s="122"/>
      <c r="AU88" s="122"/>
      <c r="AV88" s="122"/>
      <c r="AW88" s="122"/>
      <c r="AX88" s="122"/>
      <c r="AY88" s="122"/>
      <c r="AZ88" s="122"/>
      <c r="BA88" s="122"/>
      <c r="BB88" s="122"/>
      <c r="BC88" s="122"/>
      <c r="BD88" s="122"/>
      <c r="BE88" s="122"/>
      <c r="BF88" s="122"/>
      <c r="BG88" s="122"/>
      <c r="BH88" s="122"/>
      <c r="BI88" s="122"/>
      <c r="BJ88" s="122"/>
    </row>
    <row r="89" spans="1:62">
      <c r="A89" s="122"/>
      <c r="B89" s="122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66"/>
      <c r="AQ89" s="122"/>
      <c r="AR89" s="167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</row>
    <row r="90" spans="1:62">
      <c r="A90" s="122"/>
      <c r="B90" s="122"/>
      <c r="C90" s="122"/>
      <c r="D90" s="122"/>
      <c r="E90" s="122"/>
      <c r="F90" s="122"/>
      <c r="G90" s="122"/>
      <c r="H90" s="122"/>
      <c r="I90" s="122"/>
      <c r="J90" s="122"/>
      <c r="K90" s="122"/>
      <c r="L90" s="122"/>
      <c r="M90" s="122"/>
      <c r="N90" s="122"/>
      <c r="O90" s="122"/>
      <c r="P90" s="122"/>
      <c r="Q90" s="122"/>
      <c r="R90" s="122"/>
      <c r="S90" s="122"/>
      <c r="T90" s="122"/>
      <c r="U90" s="122"/>
      <c r="V90" s="122"/>
      <c r="W90" s="122"/>
      <c r="X90" s="122"/>
      <c r="Y90" s="122"/>
      <c r="Z90" s="122"/>
      <c r="AA90" s="122"/>
      <c r="AB90" s="122"/>
      <c r="AC90" s="122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  <c r="AO90" s="122"/>
      <c r="AP90" s="166"/>
      <c r="AQ90" s="122"/>
      <c r="AR90" s="167"/>
      <c r="AS90" s="122"/>
      <c r="AT90" s="122"/>
      <c r="AU90" s="122"/>
      <c r="AV90" s="122"/>
      <c r="AW90" s="122"/>
      <c r="AX90" s="122"/>
      <c r="AY90" s="122"/>
      <c r="AZ90" s="122"/>
      <c r="BA90" s="122"/>
      <c r="BB90" s="122"/>
      <c r="BC90" s="122"/>
      <c r="BD90" s="122"/>
      <c r="BE90" s="122"/>
      <c r="BF90" s="122"/>
      <c r="BG90" s="122"/>
      <c r="BH90" s="122"/>
      <c r="BI90" s="122"/>
      <c r="BJ90" s="122"/>
    </row>
    <row r="91" spans="1:62">
      <c r="A91" s="122"/>
      <c r="B91" s="122"/>
      <c r="C91" s="122"/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122"/>
      <c r="AB91" s="122"/>
      <c r="AC91" s="122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  <c r="AO91" s="122"/>
      <c r="AP91" s="166"/>
      <c r="AQ91" s="122"/>
      <c r="AR91" s="167"/>
      <c r="AS91" s="122"/>
      <c r="AT91" s="122"/>
      <c r="AU91" s="122"/>
      <c r="AV91" s="122"/>
      <c r="AW91" s="122"/>
      <c r="AX91" s="122"/>
      <c r="AY91" s="122"/>
      <c r="AZ91" s="122"/>
      <c r="BA91" s="122"/>
      <c r="BB91" s="122"/>
      <c r="BC91" s="122"/>
      <c r="BD91" s="122"/>
      <c r="BE91" s="122"/>
      <c r="BF91" s="122"/>
      <c r="BG91" s="122"/>
      <c r="BH91" s="122"/>
      <c r="BI91" s="122"/>
      <c r="BJ91" s="122"/>
    </row>
    <row r="92" spans="1:62">
      <c r="A92" s="122"/>
      <c r="B92" s="122"/>
      <c r="C92" s="122"/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122"/>
      <c r="O92" s="122"/>
      <c r="P92" s="122"/>
      <c r="Q92" s="122"/>
      <c r="R92" s="122"/>
      <c r="S92" s="122"/>
      <c r="T92" s="122"/>
      <c r="U92" s="122"/>
      <c r="V92" s="122"/>
      <c r="W92" s="122"/>
      <c r="X92" s="122"/>
      <c r="Y92" s="122"/>
      <c r="Z92" s="122"/>
      <c r="AA92" s="122"/>
      <c r="AB92" s="122"/>
      <c r="AC92" s="122"/>
      <c r="AD92" s="122"/>
      <c r="AE92" s="122"/>
      <c r="AF92" s="122"/>
      <c r="AG92" s="122"/>
      <c r="AH92" s="122"/>
      <c r="AI92" s="122"/>
      <c r="AJ92" s="122"/>
      <c r="AK92" s="122"/>
      <c r="AL92" s="122"/>
      <c r="AM92" s="122"/>
      <c r="AN92" s="122"/>
      <c r="AO92" s="122"/>
      <c r="AP92" s="166"/>
      <c r="AQ92" s="122"/>
      <c r="AR92" s="167"/>
      <c r="AS92" s="122"/>
      <c r="AT92" s="122"/>
      <c r="AU92" s="122"/>
      <c r="AV92" s="122"/>
      <c r="AW92" s="122"/>
      <c r="AX92" s="122"/>
      <c r="AY92" s="122"/>
      <c r="AZ92" s="122"/>
      <c r="BA92" s="122"/>
      <c r="BB92" s="122"/>
      <c r="BC92" s="122"/>
      <c r="BD92" s="122"/>
      <c r="BE92" s="122"/>
      <c r="BF92" s="122"/>
      <c r="BG92" s="122"/>
      <c r="BH92" s="122"/>
      <c r="BI92" s="122"/>
      <c r="BJ92" s="122"/>
    </row>
    <row r="93" spans="1:62">
      <c r="A93" s="122"/>
      <c r="B93" s="122"/>
      <c r="C93" s="122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2"/>
      <c r="U93" s="122"/>
      <c r="V93" s="122"/>
      <c r="W93" s="122"/>
      <c r="X93" s="122"/>
      <c r="Y93" s="122"/>
      <c r="Z93" s="122"/>
      <c r="AA93" s="122"/>
      <c r="AB93" s="122"/>
      <c r="AC93" s="122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  <c r="AO93" s="122"/>
      <c r="AP93" s="166"/>
      <c r="AQ93" s="122"/>
      <c r="AR93" s="167"/>
      <c r="AS93" s="122"/>
      <c r="AT93" s="122"/>
      <c r="AU93" s="122"/>
      <c r="AV93" s="122"/>
      <c r="AW93" s="122"/>
      <c r="AX93" s="122"/>
      <c r="AY93" s="122"/>
      <c r="AZ93" s="122"/>
      <c r="BA93" s="122"/>
      <c r="BB93" s="122"/>
      <c r="BC93" s="122"/>
      <c r="BD93" s="122"/>
      <c r="BE93" s="122"/>
      <c r="BF93" s="122"/>
      <c r="BG93" s="122"/>
      <c r="BH93" s="122"/>
      <c r="BI93" s="122"/>
      <c r="BJ93" s="122"/>
    </row>
    <row r="94" spans="1:62">
      <c r="A94" s="122"/>
      <c r="B94" s="122"/>
      <c r="C94" s="122"/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122"/>
      <c r="P94" s="122"/>
      <c r="Q94" s="122"/>
      <c r="R94" s="122"/>
      <c r="S94" s="122"/>
      <c r="T94" s="122"/>
      <c r="U94" s="122"/>
      <c r="V94" s="122"/>
      <c r="W94" s="122"/>
      <c r="X94" s="122"/>
      <c r="Y94" s="122"/>
      <c r="Z94" s="122"/>
      <c r="AA94" s="122"/>
      <c r="AB94" s="122"/>
      <c r="AC94" s="122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  <c r="AO94" s="122"/>
      <c r="AP94" s="166"/>
      <c r="AQ94" s="122"/>
      <c r="AR94" s="167"/>
      <c r="AS94" s="122"/>
      <c r="AT94" s="122"/>
      <c r="AU94" s="122"/>
      <c r="AV94" s="122"/>
      <c r="AW94" s="122"/>
      <c r="AX94" s="122"/>
      <c r="AY94" s="122"/>
      <c r="AZ94" s="122"/>
      <c r="BA94" s="122"/>
      <c r="BB94" s="122"/>
      <c r="BC94" s="122"/>
      <c r="BD94" s="122"/>
      <c r="BE94" s="122"/>
      <c r="BF94" s="122"/>
      <c r="BG94" s="122"/>
      <c r="BH94" s="122"/>
      <c r="BI94" s="122"/>
      <c r="BJ94" s="122"/>
    </row>
    <row r="95" spans="1:62">
      <c r="A95" s="122"/>
      <c r="B95" s="122"/>
      <c r="C95" s="122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122"/>
      <c r="AB95" s="122"/>
      <c r="AC95" s="122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  <c r="AP95" s="166"/>
      <c r="AQ95" s="122"/>
      <c r="AR95" s="167"/>
      <c r="AS95" s="122"/>
      <c r="AT95" s="122"/>
      <c r="AU95" s="122"/>
      <c r="AV95" s="122"/>
      <c r="AW95" s="122"/>
      <c r="AX95" s="122"/>
      <c r="AY95" s="122"/>
      <c r="AZ95" s="122"/>
      <c r="BA95" s="122"/>
      <c r="BB95" s="122"/>
      <c r="BC95" s="122"/>
      <c r="BD95" s="122"/>
      <c r="BE95" s="122"/>
      <c r="BF95" s="122"/>
      <c r="BG95" s="122"/>
      <c r="BH95" s="122"/>
      <c r="BI95" s="122"/>
      <c r="BJ95" s="122"/>
    </row>
    <row r="96" spans="1:62">
      <c r="A96" s="122"/>
      <c r="B96" s="122"/>
      <c r="C96" s="122"/>
      <c r="D96" s="122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122"/>
      <c r="AB96" s="122"/>
      <c r="AC96" s="122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  <c r="AP96" s="166"/>
      <c r="AQ96" s="122"/>
      <c r="AR96" s="167"/>
      <c r="AS96" s="122"/>
      <c r="AT96" s="122"/>
      <c r="AU96" s="122"/>
      <c r="AV96" s="122"/>
      <c r="AW96" s="122"/>
      <c r="AX96" s="122"/>
      <c r="AY96" s="122"/>
      <c r="AZ96" s="122"/>
      <c r="BA96" s="122"/>
      <c r="BB96" s="122"/>
      <c r="BC96" s="122"/>
      <c r="BD96" s="122"/>
      <c r="BE96" s="122"/>
      <c r="BF96" s="122"/>
      <c r="BG96" s="122"/>
      <c r="BH96" s="122"/>
      <c r="BI96" s="122"/>
      <c r="BJ96" s="122"/>
    </row>
    <row r="97" spans="1:62">
      <c r="A97" s="122"/>
      <c r="B97" s="122"/>
      <c r="C97" s="122"/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122"/>
      <c r="AB97" s="122"/>
      <c r="AC97" s="122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  <c r="AP97" s="166"/>
      <c r="AQ97" s="122"/>
      <c r="AR97" s="167"/>
      <c r="AS97" s="122"/>
      <c r="AT97" s="122"/>
      <c r="AU97" s="122"/>
      <c r="AV97" s="122"/>
      <c r="AW97" s="122"/>
      <c r="AX97" s="122"/>
      <c r="AY97" s="122"/>
      <c r="AZ97" s="122"/>
      <c r="BA97" s="122"/>
      <c r="BB97" s="122"/>
      <c r="BC97" s="122"/>
      <c r="BD97" s="122"/>
      <c r="BE97" s="122"/>
      <c r="BF97" s="122"/>
      <c r="BG97" s="122"/>
      <c r="BH97" s="122"/>
      <c r="BI97" s="122"/>
      <c r="BJ97" s="122"/>
    </row>
    <row r="98" spans="1:62">
      <c r="A98" s="122"/>
      <c r="B98" s="122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66"/>
      <c r="AQ98" s="122"/>
      <c r="AR98" s="167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</row>
    <row r="99" spans="1:62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66"/>
      <c r="AQ99" s="122"/>
      <c r="AR99" s="167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</row>
    <row r="100" spans="1:62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66"/>
      <c r="AQ100" s="122"/>
      <c r="AR100" s="167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</row>
    <row r="101" spans="1:62">
      <c r="A101" s="122"/>
      <c r="B101" s="122"/>
      <c r="C101" s="122"/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66"/>
      <c r="AQ101" s="122"/>
      <c r="AR101" s="167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</row>
    <row r="102" spans="1:62">
      <c r="A102" s="122"/>
      <c r="B102" s="122"/>
      <c r="C102" s="122"/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66"/>
      <c r="AQ102" s="122"/>
      <c r="AR102" s="167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</row>
    <row r="103" spans="1:62">
      <c r="A103" s="122"/>
      <c r="B103" s="122"/>
      <c r="C103" s="122"/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66"/>
      <c r="AQ103" s="122"/>
      <c r="AR103" s="167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</row>
    <row r="104" spans="1:62">
      <c r="A104" s="122"/>
      <c r="B104" s="122"/>
      <c r="C104" s="122"/>
      <c r="D104" s="122"/>
      <c r="E104" s="122"/>
      <c r="F104" s="122"/>
      <c r="G104" s="122"/>
      <c r="H104" s="122"/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66"/>
      <c r="AQ104" s="122"/>
      <c r="AR104" s="167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</row>
    <row r="105" spans="1:62">
      <c r="A105" s="122"/>
      <c r="B105" s="122"/>
      <c r="C105" s="122"/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66"/>
      <c r="AQ105" s="122"/>
      <c r="AR105" s="167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</row>
    <row r="106" spans="1:62">
      <c r="A106" s="122"/>
      <c r="B106" s="122"/>
      <c r="C106" s="122"/>
      <c r="D106" s="122"/>
      <c r="E106" s="122"/>
      <c r="F106" s="122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66"/>
      <c r="AQ106" s="122"/>
      <c r="AR106" s="167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</row>
    <row r="107" spans="1:62">
      <c r="A107" s="122"/>
      <c r="B107" s="122"/>
      <c r="C107" s="122"/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66"/>
      <c r="AQ107" s="122"/>
      <c r="AR107" s="167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</row>
    <row r="108" spans="1:62">
      <c r="A108" s="122"/>
      <c r="B108" s="122"/>
      <c r="C108" s="122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66"/>
      <c r="AQ108" s="122"/>
      <c r="AR108" s="167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</row>
    <row r="109" spans="1:62">
      <c r="A109" s="122"/>
      <c r="B109" s="122"/>
      <c r="C109" s="122"/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66"/>
      <c r="AQ109" s="122"/>
      <c r="AR109" s="167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</row>
    <row r="110" spans="1:62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66"/>
      <c r="AQ110" s="122"/>
      <c r="AR110" s="167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</row>
    <row r="111" spans="1:62">
      <c r="A111" s="122"/>
      <c r="B111" s="122"/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66"/>
      <c r="AQ111" s="122"/>
      <c r="AR111" s="167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</row>
    <row r="112" spans="1:62">
      <c r="A112" s="122"/>
      <c r="B112" s="122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66"/>
      <c r="AQ112" s="122"/>
      <c r="AR112" s="167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</row>
    <row r="113" spans="1:62">
      <c r="A113" s="122"/>
      <c r="B113" s="122"/>
      <c r="C113" s="122"/>
      <c r="D113" s="122"/>
      <c r="E113" s="122"/>
      <c r="F113" s="122"/>
      <c r="G113" s="122"/>
      <c r="H113" s="122"/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66"/>
      <c r="AQ113" s="122"/>
      <c r="AR113" s="167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</row>
    <row r="114" spans="1:62">
      <c r="A114" s="122"/>
      <c r="B114" s="122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66"/>
      <c r="AQ114" s="122"/>
      <c r="AR114" s="167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</row>
    <row r="115" spans="1:62">
      <c r="A115" s="122"/>
      <c r="B115" s="122"/>
      <c r="C115" s="122"/>
      <c r="D115" s="122"/>
      <c r="E115" s="122"/>
      <c r="F115" s="122"/>
      <c r="G115" s="122"/>
      <c r="H115" s="122"/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66"/>
      <c r="AQ115" s="122"/>
      <c r="AR115" s="167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</row>
    <row r="116" spans="1:62">
      <c r="A116" s="122"/>
      <c r="B116" s="122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66"/>
      <c r="AQ116" s="122"/>
      <c r="AR116" s="167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</row>
    <row r="117" spans="1:62">
      <c r="A117" s="122"/>
      <c r="B117" s="122"/>
      <c r="C117" s="122"/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66"/>
      <c r="AQ117" s="122"/>
      <c r="AR117" s="167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</row>
    <row r="118" spans="1:62">
      <c r="A118" s="122"/>
      <c r="B118" s="122"/>
      <c r="C118" s="122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66"/>
      <c r="AQ118" s="122"/>
      <c r="AR118" s="167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</row>
    <row r="119" spans="1:62">
      <c r="A119" s="122"/>
      <c r="B119" s="122"/>
      <c r="C119" s="122"/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66"/>
      <c r="AQ119" s="122"/>
      <c r="AR119" s="167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</row>
    <row r="120" spans="1:62">
      <c r="A120" s="122"/>
      <c r="B120" s="122"/>
      <c r="C120" s="122"/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66"/>
      <c r="AQ120" s="122"/>
      <c r="AR120" s="167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</row>
    <row r="121" spans="1:62">
      <c r="A121" s="122"/>
      <c r="B121" s="122"/>
      <c r="C121" s="122"/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66"/>
      <c r="AQ121" s="122"/>
      <c r="AR121" s="167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</row>
    <row r="122" spans="1:62">
      <c r="A122" s="122"/>
      <c r="B122" s="122"/>
      <c r="C122" s="122"/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66"/>
      <c r="AQ122" s="122"/>
      <c r="AR122" s="167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</row>
    <row r="123" spans="1:62">
      <c r="A123" s="122"/>
      <c r="B123" s="122"/>
      <c r="C123" s="122"/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66"/>
      <c r="AQ123" s="122"/>
      <c r="AR123" s="167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</row>
    <row r="124" spans="1:62">
      <c r="A124" s="122"/>
      <c r="B124" s="122"/>
      <c r="C124" s="122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66"/>
      <c r="AQ124" s="122"/>
      <c r="AR124" s="167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</row>
    <row r="125" spans="1:62">
      <c r="A125" s="122"/>
      <c r="B125" s="122"/>
      <c r="C125" s="122"/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66"/>
      <c r="AQ125" s="122"/>
      <c r="AR125" s="167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</row>
    <row r="126" spans="1:62">
      <c r="A126" s="122"/>
      <c r="B126" s="122"/>
      <c r="C126" s="122"/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66"/>
      <c r="AQ126" s="122"/>
      <c r="AR126" s="167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</row>
    <row r="127" spans="1:62">
      <c r="A127" s="122"/>
      <c r="B127" s="122"/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66"/>
      <c r="AQ127" s="122"/>
      <c r="AR127" s="167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</row>
    <row r="128" spans="1:62">
      <c r="A128" s="122"/>
      <c r="B128" s="122"/>
      <c r="C128" s="122"/>
      <c r="D128" s="122"/>
      <c r="E128" s="122"/>
      <c r="F128" s="122"/>
      <c r="G128" s="122"/>
      <c r="H128" s="122"/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66"/>
      <c r="AQ128" s="122"/>
      <c r="AR128" s="167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</row>
    <row r="129" spans="1:62">
      <c r="A129" s="122"/>
      <c r="B129" s="122"/>
      <c r="C129" s="122"/>
      <c r="D129" s="122"/>
      <c r="E129" s="122"/>
      <c r="F129" s="122"/>
      <c r="G129" s="122"/>
      <c r="H129" s="122"/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66"/>
      <c r="AQ129" s="122"/>
      <c r="AR129" s="167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</row>
    <row r="130" spans="1:62">
      <c r="A130" s="122"/>
      <c r="B130" s="122"/>
      <c r="C130" s="122"/>
      <c r="D130" s="122"/>
      <c r="E130" s="122"/>
      <c r="F130" s="122"/>
      <c r="G130" s="122"/>
      <c r="H130" s="122"/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66"/>
      <c r="AQ130" s="122"/>
      <c r="AR130" s="167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</row>
    <row r="131" spans="1:62">
      <c r="A131" s="122"/>
      <c r="B131" s="122"/>
      <c r="C131" s="122"/>
      <c r="D131" s="122"/>
      <c r="E131" s="122"/>
      <c r="F131" s="122"/>
      <c r="G131" s="122"/>
      <c r="H131" s="122"/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66"/>
      <c r="AQ131" s="122"/>
      <c r="AR131" s="167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</row>
    <row r="132" spans="1:62">
      <c r="A132" s="122"/>
      <c r="B132" s="122"/>
      <c r="C132" s="122"/>
      <c r="D132" s="122"/>
      <c r="E132" s="122"/>
      <c r="F132" s="122"/>
      <c r="G132" s="122"/>
      <c r="H132" s="122"/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66"/>
      <c r="AQ132" s="122"/>
      <c r="AR132" s="167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</row>
    <row r="133" spans="1:62">
      <c r="A133" s="122"/>
      <c r="B133" s="122"/>
      <c r="C133" s="122"/>
      <c r="D133" s="122"/>
      <c r="E133" s="122"/>
      <c r="F133" s="122"/>
      <c r="G133" s="122"/>
      <c r="H133" s="122"/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66"/>
      <c r="AQ133" s="122"/>
      <c r="AR133" s="167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</row>
    <row r="134" spans="1:62">
      <c r="A134" s="122"/>
      <c r="B134" s="122"/>
      <c r="C134" s="122"/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66"/>
      <c r="AQ134" s="122"/>
      <c r="AR134" s="167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</row>
    <row r="135" spans="1:62">
      <c r="A135" s="122"/>
      <c r="B135" s="122"/>
      <c r="C135" s="122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66"/>
      <c r="AQ135" s="122"/>
      <c r="AR135" s="167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</row>
    <row r="136" spans="1:62">
      <c r="A136" s="122"/>
      <c r="B136" s="122"/>
      <c r="C136" s="122"/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66"/>
      <c r="AQ136" s="122"/>
      <c r="AR136" s="167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</row>
    <row r="137" spans="1:62">
      <c r="A137" s="122"/>
      <c r="B137" s="122"/>
      <c r="C137" s="122"/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66"/>
      <c r="AQ137" s="122"/>
      <c r="AR137" s="167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</row>
    <row r="138" spans="1:62">
      <c r="A138" s="122"/>
      <c r="B138" s="122"/>
      <c r="C138" s="122"/>
      <c r="D138" s="122"/>
      <c r="E138" s="122"/>
      <c r="F138" s="122"/>
      <c r="G138" s="122"/>
      <c r="H138" s="122"/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66"/>
      <c r="AQ138" s="122"/>
      <c r="AR138" s="167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</row>
    <row r="139" spans="1:62">
      <c r="A139" s="122"/>
      <c r="B139" s="122"/>
      <c r="C139" s="122"/>
      <c r="D139" s="122"/>
      <c r="E139" s="122"/>
      <c r="F139" s="122"/>
      <c r="G139" s="122"/>
      <c r="H139" s="122"/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66"/>
      <c r="AQ139" s="122"/>
      <c r="AR139" s="167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</row>
    <row r="140" spans="1:62">
      <c r="A140" s="122"/>
      <c r="B140" s="122"/>
      <c r="C140" s="122"/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66"/>
      <c r="AQ140" s="122"/>
      <c r="AR140" s="167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</row>
    <row r="141" spans="1:62">
      <c r="A141" s="122"/>
      <c r="B141" s="122"/>
      <c r="C141" s="122"/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66"/>
      <c r="AQ141" s="122"/>
      <c r="AR141" s="167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</row>
    <row r="142" spans="1:62">
      <c r="A142" s="122"/>
      <c r="B142" s="122"/>
      <c r="C142" s="122"/>
      <c r="D142" s="122"/>
      <c r="E142" s="122"/>
      <c r="F142" s="122"/>
      <c r="G142" s="122"/>
      <c r="H142" s="122"/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66"/>
      <c r="AQ142" s="122"/>
      <c r="AR142" s="167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</row>
    <row r="143" spans="1:62">
      <c r="A143" s="122"/>
      <c r="B143" s="122"/>
      <c r="C143" s="12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66"/>
      <c r="AQ143" s="122"/>
      <c r="AR143" s="167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</row>
    <row r="144" spans="1:62">
      <c r="A144" s="122"/>
      <c r="B144" s="122"/>
      <c r="C144" s="122"/>
      <c r="D144" s="122"/>
      <c r="E144" s="122"/>
      <c r="F144" s="122"/>
      <c r="G144" s="122"/>
      <c r="H144" s="122"/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66"/>
      <c r="AQ144" s="122"/>
      <c r="AR144" s="167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</row>
    <row r="145" spans="1:62">
      <c r="A145" s="122"/>
      <c r="B145" s="122"/>
      <c r="C145" s="122"/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66"/>
      <c r="AQ145" s="122"/>
      <c r="AR145" s="167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</row>
    <row r="146" spans="1:62">
      <c r="A146" s="122"/>
      <c r="B146" s="122"/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66"/>
      <c r="AQ146" s="122"/>
      <c r="AR146" s="167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</row>
    <row r="147" spans="1:62">
      <c r="A147" s="122"/>
      <c r="B147" s="122"/>
      <c r="C147" s="122"/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  <c r="AP147" s="166"/>
      <c r="AQ147" s="122"/>
      <c r="AR147" s="167"/>
      <c r="AS147" s="122"/>
      <c r="AT147" s="122"/>
      <c r="AU147" s="122"/>
      <c r="AV147" s="122"/>
      <c r="AW147" s="122"/>
      <c r="AX147" s="122"/>
      <c r="AY147" s="122"/>
      <c r="AZ147" s="122"/>
      <c r="BA147" s="122"/>
      <c r="BB147" s="122"/>
      <c r="BC147" s="122"/>
      <c r="BD147" s="122"/>
      <c r="BE147" s="122"/>
      <c r="BF147" s="122"/>
      <c r="BG147" s="122"/>
      <c r="BH147" s="122"/>
      <c r="BI147" s="122"/>
      <c r="BJ147" s="122"/>
    </row>
    <row r="148" spans="1:62">
      <c r="A148" s="122"/>
      <c r="B148" s="122"/>
      <c r="C148" s="122"/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O148" s="122"/>
      <c r="AP148" s="166"/>
      <c r="AQ148" s="122"/>
      <c r="AR148" s="167"/>
      <c r="AS148" s="122"/>
      <c r="AT148" s="122"/>
      <c r="AU148" s="122"/>
      <c r="AV148" s="122"/>
      <c r="AW148" s="122"/>
      <c r="AX148" s="122"/>
      <c r="AY148" s="122"/>
      <c r="AZ148" s="122"/>
      <c r="BA148" s="122"/>
      <c r="BB148" s="122"/>
      <c r="BC148" s="122"/>
      <c r="BD148" s="122"/>
      <c r="BE148" s="122"/>
      <c r="BF148" s="122"/>
      <c r="BG148" s="122"/>
      <c r="BH148" s="122"/>
      <c r="BI148" s="122"/>
      <c r="BJ148" s="122"/>
    </row>
    <row r="149" spans="1:62">
      <c r="A149" s="122"/>
      <c r="B149" s="122"/>
      <c r="C149" s="122"/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  <c r="AP149" s="166"/>
      <c r="AQ149" s="122"/>
      <c r="AR149" s="167"/>
      <c r="AS149" s="122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22"/>
      <c r="BD149" s="122"/>
      <c r="BE149" s="122"/>
      <c r="BF149" s="122"/>
      <c r="BG149" s="122"/>
      <c r="BH149" s="122"/>
      <c r="BI149" s="122"/>
      <c r="BJ149" s="122"/>
    </row>
    <row r="150" spans="1:62">
      <c r="A150" s="122"/>
      <c r="B150" s="122"/>
      <c r="C150" s="122"/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  <c r="AP150" s="166"/>
      <c r="AQ150" s="122"/>
      <c r="AR150" s="167"/>
      <c r="AS150" s="122"/>
      <c r="AT150" s="122"/>
      <c r="AU150" s="122"/>
      <c r="AV150" s="122"/>
      <c r="AW150" s="122"/>
      <c r="AX150" s="122"/>
      <c r="AY150" s="122"/>
      <c r="AZ150" s="122"/>
      <c r="BA150" s="122"/>
      <c r="BB150" s="122"/>
      <c r="BC150" s="122"/>
      <c r="BD150" s="122"/>
      <c r="BE150" s="122"/>
      <c r="BF150" s="122"/>
      <c r="BG150" s="122"/>
      <c r="BH150" s="122"/>
      <c r="BI150" s="122"/>
      <c r="BJ150" s="122"/>
    </row>
    <row r="151" spans="1:62">
      <c r="A151" s="122"/>
      <c r="B151" s="122"/>
      <c r="C151" s="122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66"/>
      <c r="AQ151" s="122"/>
      <c r="AR151" s="167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</row>
    <row r="152" spans="1:62">
      <c r="A152" s="122"/>
      <c r="B152" s="122"/>
      <c r="C152" s="122"/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A152" s="122"/>
      <c r="AB152" s="122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O152" s="122"/>
      <c r="AP152" s="166"/>
      <c r="AQ152" s="122"/>
      <c r="AR152" s="167"/>
      <c r="AS152" s="122"/>
      <c r="AT152" s="122"/>
      <c r="AU152" s="122"/>
      <c r="AV152" s="122"/>
      <c r="AW152" s="122"/>
      <c r="AX152" s="122"/>
      <c r="AY152" s="122"/>
      <c r="AZ152" s="122"/>
      <c r="BA152" s="122"/>
      <c r="BB152" s="122"/>
      <c r="BC152" s="122"/>
      <c r="BD152" s="122"/>
      <c r="BE152" s="122"/>
      <c r="BF152" s="122"/>
      <c r="BG152" s="122"/>
      <c r="BH152" s="122"/>
      <c r="BI152" s="122"/>
      <c r="BJ152" s="122"/>
    </row>
    <row r="153" spans="1:62">
      <c r="A153" s="122"/>
      <c r="B153" s="122"/>
      <c r="C153" s="122"/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O153" s="122"/>
      <c r="AP153" s="166"/>
      <c r="AQ153" s="122"/>
      <c r="AR153" s="167"/>
      <c r="AS153" s="122"/>
      <c r="AT153" s="122"/>
      <c r="AU153" s="122"/>
      <c r="AV153" s="122"/>
      <c r="AW153" s="122"/>
      <c r="AX153" s="122"/>
      <c r="AY153" s="122"/>
      <c r="AZ153" s="122"/>
      <c r="BA153" s="122"/>
      <c r="BB153" s="122"/>
      <c r="BC153" s="122"/>
      <c r="BD153" s="122"/>
      <c r="BE153" s="122"/>
      <c r="BF153" s="122"/>
      <c r="BG153" s="122"/>
      <c r="BH153" s="122"/>
      <c r="BI153" s="122"/>
      <c r="BJ153" s="122"/>
    </row>
    <row r="154" spans="1:62">
      <c r="A154" s="122"/>
      <c r="B154" s="122"/>
      <c r="C154" s="122"/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O154" s="122"/>
      <c r="AP154" s="166"/>
      <c r="AQ154" s="122"/>
      <c r="AR154" s="167"/>
      <c r="AS154" s="122"/>
      <c r="AT154" s="122"/>
      <c r="AU154" s="122"/>
      <c r="AV154" s="122"/>
      <c r="AW154" s="122"/>
      <c r="AX154" s="122"/>
      <c r="AY154" s="122"/>
      <c r="AZ154" s="122"/>
      <c r="BA154" s="122"/>
      <c r="BB154" s="122"/>
      <c r="BC154" s="122"/>
      <c r="BD154" s="122"/>
      <c r="BE154" s="122"/>
      <c r="BF154" s="122"/>
      <c r="BG154" s="122"/>
      <c r="BH154" s="122"/>
      <c r="BI154" s="122"/>
      <c r="BJ154" s="122"/>
    </row>
    <row r="155" spans="1:62">
      <c r="A155" s="122"/>
      <c r="B155" s="122"/>
      <c r="C155" s="122"/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A155" s="122"/>
      <c r="AB155" s="122"/>
      <c r="AC155" s="122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O155" s="122"/>
      <c r="AP155" s="166"/>
      <c r="AQ155" s="122"/>
      <c r="AR155" s="167"/>
      <c r="AS155" s="122"/>
      <c r="AT155" s="122"/>
      <c r="AU155" s="122"/>
      <c r="AV155" s="122"/>
      <c r="AW155" s="122"/>
      <c r="AX155" s="122"/>
      <c r="AY155" s="122"/>
      <c r="AZ155" s="122"/>
      <c r="BA155" s="122"/>
      <c r="BB155" s="122"/>
      <c r="BC155" s="122"/>
      <c r="BD155" s="122"/>
      <c r="BE155" s="122"/>
      <c r="BF155" s="122"/>
      <c r="BG155" s="122"/>
      <c r="BH155" s="122"/>
      <c r="BI155" s="122"/>
      <c r="BJ155" s="122"/>
    </row>
    <row r="156" spans="1:62">
      <c r="A156" s="122"/>
      <c r="B156" s="122"/>
      <c r="C156" s="122"/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122"/>
      <c r="AP156" s="166"/>
      <c r="AQ156" s="122"/>
      <c r="AR156" s="167"/>
      <c r="AS156" s="122"/>
      <c r="AT156" s="122"/>
      <c r="AU156" s="122"/>
      <c r="AV156" s="122"/>
      <c r="AW156" s="122"/>
      <c r="AX156" s="122"/>
      <c r="AY156" s="122"/>
      <c r="AZ156" s="122"/>
      <c r="BA156" s="122"/>
      <c r="BB156" s="122"/>
      <c r="BC156" s="122"/>
      <c r="BD156" s="122"/>
      <c r="BE156" s="122"/>
      <c r="BF156" s="122"/>
      <c r="BG156" s="122"/>
      <c r="BH156" s="122"/>
      <c r="BI156" s="122"/>
      <c r="BJ156" s="122"/>
    </row>
    <row r="157" spans="1:62">
      <c r="A157" s="122"/>
      <c r="B157" s="122"/>
      <c r="C157" s="122"/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O157" s="122"/>
      <c r="AP157" s="166"/>
      <c r="AQ157" s="122"/>
      <c r="AR157" s="167"/>
      <c r="AS157" s="122"/>
      <c r="AT157" s="122"/>
      <c r="AU157" s="122"/>
      <c r="AV157" s="122"/>
      <c r="AW157" s="122"/>
      <c r="AX157" s="122"/>
      <c r="AY157" s="122"/>
      <c r="AZ157" s="122"/>
      <c r="BA157" s="122"/>
      <c r="BB157" s="122"/>
      <c r="BC157" s="122"/>
      <c r="BD157" s="122"/>
      <c r="BE157" s="122"/>
      <c r="BF157" s="122"/>
      <c r="BG157" s="122"/>
      <c r="BH157" s="122"/>
      <c r="BI157" s="122"/>
      <c r="BJ157" s="122"/>
    </row>
    <row r="158" spans="1:62">
      <c r="A158" s="122"/>
      <c r="B158" s="122"/>
      <c r="C158" s="122"/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122"/>
      <c r="AP158" s="166"/>
      <c r="AQ158" s="122"/>
      <c r="AR158" s="167"/>
      <c r="AS158" s="122"/>
      <c r="AT158" s="122"/>
      <c r="AU158" s="122"/>
      <c r="AV158" s="122"/>
      <c r="AW158" s="122"/>
      <c r="AX158" s="122"/>
      <c r="AY158" s="122"/>
      <c r="AZ158" s="122"/>
      <c r="BA158" s="122"/>
      <c r="BB158" s="122"/>
      <c r="BC158" s="122"/>
      <c r="BD158" s="122"/>
      <c r="BE158" s="122"/>
      <c r="BF158" s="122"/>
      <c r="BG158" s="122"/>
      <c r="BH158" s="122"/>
      <c r="BI158" s="122"/>
      <c r="BJ158" s="122"/>
    </row>
    <row r="159" spans="1:62">
      <c r="A159" s="122"/>
      <c r="B159" s="122"/>
      <c r="C159" s="122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O159" s="122"/>
      <c r="AP159" s="166"/>
      <c r="AQ159" s="122"/>
      <c r="AR159" s="167"/>
      <c r="AS159" s="122"/>
      <c r="AT159" s="122"/>
      <c r="AU159" s="122"/>
      <c r="AV159" s="122"/>
      <c r="AW159" s="122"/>
      <c r="AX159" s="122"/>
      <c r="AY159" s="122"/>
      <c r="AZ159" s="122"/>
      <c r="BA159" s="122"/>
      <c r="BB159" s="122"/>
      <c r="BC159" s="122"/>
      <c r="BD159" s="122"/>
      <c r="BE159" s="122"/>
      <c r="BF159" s="122"/>
      <c r="BG159" s="122"/>
      <c r="BH159" s="122"/>
      <c r="BI159" s="122"/>
      <c r="BJ159" s="122"/>
    </row>
    <row r="160" spans="1:62">
      <c r="A160" s="122"/>
      <c r="B160" s="122"/>
      <c r="C160" s="122"/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O160" s="122"/>
      <c r="AP160" s="166"/>
      <c r="AQ160" s="122"/>
      <c r="AR160" s="167"/>
      <c r="AS160" s="122"/>
      <c r="AT160" s="122"/>
      <c r="AU160" s="122"/>
      <c r="AV160" s="122"/>
      <c r="AW160" s="122"/>
      <c r="AX160" s="122"/>
      <c r="AY160" s="122"/>
      <c r="AZ160" s="122"/>
      <c r="BA160" s="122"/>
      <c r="BB160" s="122"/>
      <c r="BC160" s="122"/>
      <c r="BD160" s="122"/>
      <c r="BE160" s="122"/>
      <c r="BF160" s="122"/>
      <c r="BG160" s="122"/>
      <c r="BH160" s="122"/>
      <c r="BI160" s="122"/>
      <c r="BJ160" s="122"/>
    </row>
    <row r="161" spans="1:62">
      <c r="A161" s="122"/>
      <c r="B161" s="122"/>
      <c r="C161" s="122"/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O161" s="122"/>
      <c r="AP161" s="166"/>
      <c r="AQ161" s="122"/>
      <c r="AR161" s="167"/>
      <c r="AS161" s="122"/>
      <c r="AT161" s="122"/>
      <c r="AU161" s="122"/>
      <c r="AV161" s="122"/>
      <c r="AW161" s="122"/>
      <c r="AX161" s="122"/>
      <c r="AY161" s="122"/>
      <c r="AZ161" s="122"/>
      <c r="BA161" s="122"/>
      <c r="BB161" s="122"/>
      <c r="BC161" s="122"/>
      <c r="BD161" s="122"/>
      <c r="BE161" s="122"/>
      <c r="BF161" s="122"/>
      <c r="BG161" s="122"/>
      <c r="BH161" s="122"/>
      <c r="BI161" s="122"/>
      <c r="BJ161" s="122"/>
    </row>
    <row r="162" spans="1:62">
      <c r="A162" s="122"/>
      <c r="B162" s="122"/>
      <c r="C162" s="122"/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O162" s="122"/>
      <c r="AP162" s="166"/>
      <c r="AQ162" s="122"/>
      <c r="AR162" s="167"/>
      <c r="AS162" s="122"/>
      <c r="AT162" s="122"/>
      <c r="AU162" s="122"/>
      <c r="AV162" s="122"/>
      <c r="AW162" s="122"/>
      <c r="AX162" s="122"/>
      <c r="AY162" s="122"/>
      <c r="AZ162" s="122"/>
      <c r="BA162" s="122"/>
      <c r="BB162" s="122"/>
      <c r="BC162" s="122"/>
      <c r="BD162" s="122"/>
      <c r="BE162" s="122"/>
      <c r="BF162" s="122"/>
      <c r="BG162" s="122"/>
      <c r="BH162" s="122"/>
      <c r="BI162" s="122"/>
      <c r="BJ162" s="122"/>
    </row>
    <row r="163" spans="1:62">
      <c r="A163" s="122"/>
      <c r="B163" s="122"/>
      <c r="C163" s="122"/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O163" s="122"/>
      <c r="AP163" s="166"/>
      <c r="AQ163" s="122"/>
      <c r="AR163" s="167"/>
      <c r="AS163" s="122"/>
      <c r="AT163" s="122"/>
      <c r="AU163" s="122"/>
      <c r="AV163" s="122"/>
      <c r="AW163" s="122"/>
      <c r="AX163" s="122"/>
      <c r="AY163" s="122"/>
      <c r="AZ163" s="122"/>
      <c r="BA163" s="122"/>
      <c r="BB163" s="122"/>
      <c r="BC163" s="122"/>
      <c r="BD163" s="122"/>
      <c r="BE163" s="122"/>
      <c r="BF163" s="122"/>
      <c r="BG163" s="122"/>
      <c r="BH163" s="122"/>
      <c r="BI163" s="122"/>
      <c r="BJ163" s="122"/>
    </row>
    <row r="164" spans="1:62">
      <c r="A164" s="122"/>
      <c r="B164" s="122"/>
      <c r="C164" s="122"/>
      <c r="D164" s="122"/>
      <c r="E164" s="122"/>
      <c r="F164" s="122"/>
      <c r="G164" s="122"/>
      <c r="H164" s="122"/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O164" s="122"/>
      <c r="AP164" s="166"/>
      <c r="AQ164" s="122"/>
      <c r="AR164" s="167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2"/>
      <c r="BF164" s="122"/>
      <c r="BG164" s="122"/>
      <c r="BH164" s="122"/>
      <c r="BI164" s="122"/>
      <c r="BJ164" s="122"/>
    </row>
    <row r="165" spans="1:62">
      <c r="A165" s="122"/>
      <c r="B165" s="122"/>
      <c r="C165" s="122"/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O165" s="122"/>
      <c r="AP165" s="166"/>
      <c r="AQ165" s="122"/>
      <c r="AR165" s="167"/>
      <c r="AS165" s="122"/>
      <c r="AT165" s="122"/>
      <c r="AU165" s="122"/>
      <c r="AV165" s="122"/>
      <c r="AW165" s="122"/>
      <c r="AX165" s="122"/>
      <c r="AY165" s="122"/>
      <c r="AZ165" s="122"/>
      <c r="BA165" s="122"/>
      <c r="BB165" s="122"/>
      <c r="BC165" s="122"/>
      <c r="BD165" s="122"/>
      <c r="BE165" s="122"/>
      <c r="BF165" s="122"/>
      <c r="BG165" s="122"/>
      <c r="BH165" s="122"/>
      <c r="BI165" s="122"/>
      <c r="BJ165" s="122"/>
    </row>
    <row r="166" spans="1:62">
      <c r="A166" s="122"/>
      <c r="B166" s="122"/>
      <c r="C166" s="122"/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O166" s="122"/>
      <c r="AP166" s="166"/>
      <c r="AQ166" s="122"/>
      <c r="AR166" s="167"/>
      <c r="AS166" s="122"/>
      <c r="AT166" s="122"/>
      <c r="AU166" s="122"/>
      <c r="AV166" s="122"/>
      <c r="AW166" s="122"/>
      <c r="AX166" s="122"/>
      <c r="AY166" s="122"/>
      <c r="AZ166" s="122"/>
      <c r="BA166" s="122"/>
      <c r="BB166" s="122"/>
      <c r="BC166" s="122"/>
      <c r="BD166" s="122"/>
      <c r="BE166" s="122"/>
      <c r="BF166" s="122"/>
      <c r="BG166" s="122"/>
      <c r="BH166" s="122"/>
      <c r="BI166" s="122"/>
      <c r="BJ166" s="122"/>
    </row>
    <row r="167" spans="1:62">
      <c r="A167" s="122"/>
      <c r="B167" s="122"/>
      <c r="C167" s="122"/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O167" s="122"/>
      <c r="AP167" s="166"/>
      <c r="AQ167" s="122"/>
      <c r="AR167" s="167"/>
      <c r="AS167" s="122"/>
      <c r="AT167" s="122"/>
      <c r="AU167" s="122"/>
      <c r="AV167" s="122"/>
      <c r="AW167" s="122"/>
      <c r="AX167" s="122"/>
      <c r="AY167" s="122"/>
      <c r="AZ167" s="122"/>
      <c r="BA167" s="122"/>
      <c r="BB167" s="122"/>
      <c r="BC167" s="122"/>
      <c r="BD167" s="122"/>
      <c r="BE167" s="122"/>
      <c r="BF167" s="122"/>
      <c r="BG167" s="122"/>
      <c r="BH167" s="122"/>
      <c r="BI167" s="122"/>
      <c r="BJ167" s="122"/>
    </row>
    <row r="168" spans="1:62">
      <c r="A168" s="122"/>
      <c r="B168" s="122"/>
      <c r="C168" s="12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O168" s="122"/>
      <c r="AP168" s="166"/>
      <c r="AQ168" s="122"/>
      <c r="AR168" s="167"/>
      <c r="AS168" s="122"/>
      <c r="AT168" s="122"/>
      <c r="AU168" s="122"/>
      <c r="AV168" s="122"/>
      <c r="AW168" s="122"/>
      <c r="AX168" s="122"/>
      <c r="AY168" s="122"/>
      <c r="AZ168" s="122"/>
      <c r="BA168" s="122"/>
      <c r="BB168" s="122"/>
      <c r="BC168" s="122"/>
      <c r="BD168" s="122"/>
      <c r="BE168" s="122"/>
      <c r="BF168" s="122"/>
      <c r="BG168" s="122"/>
      <c r="BH168" s="122"/>
      <c r="BI168" s="122"/>
      <c r="BJ168" s="122"/>
    </row>
    <row r="169" spans="1:62">
      <c r="A169" s="122"/>
      <c r="B169" s="122"/>
      <c r="C169" s="122"/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O169" s="122"/>
      <c r="AP169" s="166"/>
      <c r="AQ169" s="122"/>
      <c r="AR169" s="167"/>
      <c r="AS169" s="122"/>
      <c r="AT169" s="122"/>
      <c r="AU169" s="122"/>
      <c r="AV169" s="122"/>
      <c r="AW169" s="122"/>
      <c r="AX169" s="122"/>
      <c r="AY169" s="122"/>
      <c r="AZ169" s="122"/>
      <c r="BA169" s="122"/>
      <c r="BB169" s="122"/>
      <c r="BC169" s="122"/>
      <c r="BD169" s="122"/>
      <c r="BE169" s="122"/>
      <c r="BF169" s="122"/>
      <c r="BG169" s="122"/>
      <c r="BH169" s="122"/>
      <c r="BI169" s="122"/>
      <c r="BJ169" s="122"/>
    </row>
    <row r="170" spans="1:62">
      <c r="A170" s="122"/>
      <c r="B170" s="122"/>
      <c r="C170" s="122"/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O170" s="122"/>
      <c r="AP170" s="166"/>
      <c r="AQ170" s="122"/>
      <c r="AR170" s="167"/>
      <c r="AS170" s="122"/>
      <c r="AT170" s="122"/>
      <c r="AU170" s="122"/>
      <c r="AV170" s="122"/>
      <c r="AW170" s="122"/>
      <c r="AX170" s="122"/>
      <c r="AY170" s="122"/>
      <c r="AZ170" s="122"/>
      <c r="BA170" s="122"/>
      <c r="BB170" s="122"/>
      <c r="BC170" s="122"/>
      <c r="BD170" s="122"/>
      <c r="BE170" s="122"/>
      <c r="BF170" s="122"/>
      <c r="BG170" s="122"/>
      <c r="BH170" s="122"/>
      <c r="BI170" s="122"/>
      <c r="BJ170" s="122"/>
    </row>
    <row r="171" spans="1:62">
      <c r="A171" s="122"/>
      <c r="B171" s="122"/>
      <c r="C171" s="122"/>
      <c r="D171" s="122"/>
      <c r="E171" s="122"/>
      <c r="F171" s="122"/>
      <c r="G171" s="122"/>
      <c r="H171" s="122"/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O171" s="122"/>
      <c r="AP171" s="166"/>
      <c r="AQ171" s="122"/>
      <c r="AR171" s="167"/>
      <c r="AS171" s="122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22"/>
      <c r="BD171" s="122"/>
      <c r="BE171" s="122"/>
      <c r="BF171" s="122"/>
      <c r="BG171" s="122"/>
      <c r="BH171" s="122"/>
      <c r="BI171" s="122"/>
      <c r="BJ171" s="122"/>
    </row>
    <row r="172" spans="1:62">
      <c r="A172" s="122"/>
      <c r="B172" s="122"/>
      <c r="C172" s="122"/>
      <c r="D172" s="122"/>
      <c r="E172" s="122"/>
      <c r="F172" s="122"/>
      <c r="G172" s="122"/>
      <c r="H172" s="122"/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O172" s="122"/>
      <c r="AP172" s="166"/>
      <c r="AQ172" s="122"/>
      <c r="AR172" s="167"/>
      <c r="AS172" s="122"/>
      <c r="AT172" s="122"/>
      <c r="AU172" s="122"/>
      <c r="AV172" s="122"/>
      <c r="AW172" s="122"/>
      <c r="AX172" s="122"/>
      <c r="AY172" s="122"/>
      <c r="AZ172" s="122"/>
      <c r="BA172" s="122"/>
      <c r="BB172" s="122"/>
      <c r="BC172" s="122"/>
      <c r="BD172" s="122"/>
      <c r="BE172" s="122"/>
      <c r="BF172" s="122"/>
      <c r="BG172" s="122"/>
      <c r="BH172" s="122"/>
      <c r="BI172" s="122"/>
      <c r="BJ172" s="122"/>
    </row>
    <row r="173" spans="1:62">
      <c r="A173" s="122"/>
      <c r="B173" s="122"/>
      <c r="C173" s="122"/>
      <c r="D173" s="122"/>
      <c r="E173" s="122"/>
      <c r="F173" s="122"/>
      <c r="G173" s="122"/>
      <c r="H173" s="122"/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O173" s="122"/>
      <c r="AP173" s="166"/>
      <c r="AQ173" s="122"/>
      <c r="AR173" s="167"/>
      <c r="AS173" s="122"/>
      <c r="AT173" s="122"/>
      <c r="AU173" s="122"/>
      <c r="AV173" s="122"/>
      <c r="AW173" s="122"/>
      <c r="AX173" s="122"/>
      <c r="AY173" s="122"/>
      <c r="AZ173" s="122"/>
      <c r="BA173" s="122"/>
      <c r="BB173" s="122"/>
      <c r="BC173" s="122"/>
      <c r="BD173" s="122"/>
      <c r="BE173" s="122"/>
      <c r="BF173" s="122"/>
      <c r="BG173" s="122"/>
      <c r="BH173" s="122"/>
      <c r="BI173" s="122"/>
      <c r="BJ173" s="122"/>
    </row>
    <row r="174" spans="1:62">
      <c r="A174" s="122"/>
      <c r="B174" s="122"/>
      <c r="C174" s="122"/>
      <c r="D174" s="122"/>
      <c r="E174" s="122"/>
      <c r="F174" s="122"/>
      <c r="G174" s="122"/>
      <c r="H174" s="122"/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O174" s="122"/>
      <c r="AP174" s="166"/>
      <c r="AQ174" s="122"/>
      <c r="AR174" s="167"/>
      <c r="AS174" s="122"/>
      <c r="AT174" s="122"/>
      <c r="AU174" s="122"/>
      <c r="AV174" s="122"/>
      <c r="AW174" s="122"/>
      <c r="AX174" s="122"/>
      <c r="AY174" s="122"/>
      <c r="AZ174" s="122"/>
      <c r="BA174" s="122"/>
      <c r="BB174" s="122"/>
      <c r="BC174" s="122"/>
      <c r="BD174" s="122"/>
      <c r="BE174" s="122"/>
      <c r="BF174" s="122"/>
      <c r="BG174" s="122"/>
      <c r="BH174" s="122"/>
      <c r="BI174" s="122"/>
      <c r="BJ174" s="122"/>
    </row>
    <row r="175" spans="1:62">
      <c r="A175" s="122"/>
      <c r="B175" s="122"/>
      <c r="C175" s="122"/>
      <c r="D175" s="122"/>
      <c r="E175" s="122"/>
      <c r="F175" s="122"/>
      <c r="G175" s="122"/>
      <c r="H175" s="122"/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O175" s="122"/>
      <c r="AP175" s="166"/>
      <c r="AQ175" s="122"/>
      <c r="AR175" s="167"/>
      <c r="AS175" s="122"/>
      <c r="AT175" s="122"/>
      <c r="AU175" s="122"/>
      <c r="AV175" s="122"/>
      <c r="AW175" s="122"/>
      <c r="AX175" s="122"/>
      <c r="AY175" s="122"/>
      <c r="AZ175" s="122"/>
      <c r="BA175" s="122"/>
      <c r="BB175" s="122"/>
      <c r="BC175" s="122"/>
      <c r="BD175" s="122"/>
      <c r="BE175" s="122"/>
      <c r="BF175" s="122"/>
      <c r="BG175" s="122"/>
      <c r="BH175" s="122"/>
      <c r="BI175" s="122"/>
      <c r="BJ175" s="122"/>
    </row>
    <row r="176" spans="1:62">
      <c r="A176" s="122"/>
      <c r="B176" s="122"/>
      <c r="C176" s="122"/>
      <c r="D176" s="122"/>
      <c r="E176" s="122"/>
      <c r="F176" s="122"/>
      <c r="G176" s="122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O176" s="122"/>
      <c r="AP176" s="166"/>
      <c r="AQ176" s="122"/>
      <c r="AR176" s="167"/>
      <c r="AS176" s="122"/>
      <c r="AT176" s="122"/>
      <c r="AU176" s="122"/>
      <c r="AV176" s="122"/>
      <c r="AW176" s="122"/>
      <c r="AX176" s="122"/>
      <c r="AY176" s="122"/>
      <c r="AZ176" s="122"/>
      <c r="BA176" s="122"/>
      <c r="BB176" s="122"/>
      <c r="BC176" s="122"/>
      <c r="BD176" s="122"/>
      <c r="BE176" s="122"/>
      <c r="BF176" s="122"/>
      <c r="BG176" s="122"/>
      <c r="BH176" s="122"/>
      <c r="BI176" s="122"/>
      <c r="BJ176" s="122"/>
    </row>
    <row r="177" spans="1:62">
      <c r="A177" s="122"/>
      <c r="B177" s="122"/>
      <c r="C177" s="122"/>
      <c r="D177" s="122"/>
      <c r="E177" s="122"/>
      <c r="F177" s="122"/>
      <c r="G177" s="122"/>
      <c r="H177" s="122"/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O177" s="122"/>
      <c r="AP177" s="166"/>
      <c r="AQ177" s="122"/>
      <c r="AR177" s="167"/>
      <c r="AS177" s="122"/>
      <c r="AT177" s="122"/>
      <c r="AU177" s="122"/>
      <c r="AV177" s="122"/>
      <c r="AW177" s="122"/>
      <c r="AX177" s="122"/>
      <c r="AY177" s="122"/>
      <c r="AZ177" s="122"/>
      <c r="BA177" s="122"/>
      <c r="BB177" s="122"/>
      <c r="BC177" s="122"/>
      <c r="BD177" s="122"/>
      <c r="BE177" s="122"/>
      <c r="BF177" s="122"/>
      <c r="BG177" s="122"/>
      <c r="BH177" s="122"/>
      <c r="BI177" s="122"/>
      <c r="BJ177" s="122"/>
    </row>
    <row r="178" spans="1:62">
      <c r="A178" s="122"/>
      <c r="B178" s="122"/>
      <c r="C178" s="122"/>
      <c r="D178" s="122"/>
      <c r="E178" s="122"/>
      <c r="F178" s="122"/>
      <c r="G178" s="122"/>
      <c r="H178" s="122"/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  <c r="AP178" s="166"/>
      <c r="AQ178" s="122"/>
      <c r="AR178" s="167"/>
      <c r="AS178" s="122"/>
      <c r="AT178" s="122"/>
      <c r="AU178" s="122"/>
      <c r="AV178" s="122"/>
      <c r="AW178" s="122"/>
      <c r="AX178" s="122"/>
      <c r="AY178" s="122"/>
      <c r="AZ178" s="122"/>
      <c r="BA178" s="122"/>
      <c r="BB178" s="122"/>
      <c r="BC178" s="122"/>
      <c r="BD178" s="122"/>
      <c r="BE178" s="122"/>
      <c r="BF178" s="122"/>
      <c r="BG178" s="122"/>
      <c r="BH178" s="122"/>
      <c r="BI178" s="122"/>
      <c r="BJ178" s="122"/>
    </row>
    <row r="179" spans="1:62">
      <c r="A179" s="122"/>
      <c r="B179" s="122"/>
      <c r="C179" s="122"/>
      <c r="D179" s="122"/>
      <c r="E179" s="122"/>
      <c r="F179" s="122"/>
      <c r="G179" s="122"/>
      <c r="H179" s="122"/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O179" s="122"/>
      <c r="AP179" s="166"/>
      <c r="AQ179" s="122"/>
      <c r="AR179" s="167"/>
      <c r="AS179" s="122"/>
      <c r="AT179" s="122"/>
      <c r="AU179" s="122"/>
      <c r="AV179" s="122"/>
      <c r="AW179" s="122"/>
      <c r="AX179" s="122"/>
      <c r="AY179" s="122"/>
      <c r="AZ179" s="122"/>
      <c r="BA179" s="122"/>
      <c r="BB179" s="122"/>
      <c r="BC179" s="122"/>
      <c r="BD179" s="122"/>
      <c r="BE179" s="122"/>
      <c r="BF179" s="122"/>
      <c r="BG179" s="122"/>
      <c r="BH179" s="122"/>
      <c r="BI179" s="122"/>
      <c r="BJ179" s="122"/>
    </row>
    <row r="180" spans="1:62">
      <c r="A180" s="122"/>
      <c r="B180" s="122"/>
      <c r="C180" s="122"/>
      <c r="D180" s="122"/>
      <c r="E180" s="122"/>
      <c r="F180" s="122"/>
      <c r="G180" s="122"/>
      <c r="H180" s="122"/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O180" s="122"/>
      <c r="AP180" s="166"/>
      <c r="AQ180" s="122"/>
      <c r="AR180" s="167"/>
      <c r="AS180" s="122"/>
      <c r="AT180" s="122"/>
      <c r="AU180" s="122"/>
      <c r="AV180" s="122"/>
      <c r="AW180" s="122"/>
      <c r="AX180" s="122"/>
      <c r="AY180" s="122"/>
      <c r="AZ180" s="122"/>
      <c r="BA180" s="122"/>
      <c r="BB180" s="122"/>
      <c r="BC180" s="122"/>
      <c r="BD180" s="122"/>
      <c r="BE180" s="122"/>
      <c r="BF180" s="122"/>
      <c r="BG180" s="122"/>
      <c r="BH180" s="122"/>
      <c r="BI180" s="122"/>
      <c r="BJ180" s="122"/>
    </row>
    <row r="181" spans="1:62">
      <c r="A181" s="122"/>
      <c r="B181" s="122"/>
      <c r="C181" s="122"/>
      <c r="D181" s="122"/>
      <c r="E181" s="12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66"/>
      <c r="AQ181" s="122"/>
      <c r="AR181" s="167"/>
      <c r="AS181" s="122"/>
      <c r="AT181" s="122"/>
      <c r="AU181" s="122"/>
      <c r="AV181" s="122"/>
      <c r="AW181" s="122"/>
      <c r="AX181" s="122"/>
      <c r="AY181" s="122"/>
      <c r="AZ181" s="122"/>
      <c r="BA181" s="122"/>
      <c r="BB181" s="122"/>
      <c r="BC181" s="122"/>
      <c r="BD181" s="122"/>
      <c r="BE181" s="122"/>
      <c r="BF181" s="122"/>
      <c r="BG181" s="122"/>
      <c r="BH181" s="122"/>
      <c r="BI181" s="122"/>
      <c r="BJ181" s="122"/>
    </row>
    <row r="182" spans="1:62">
      <c r="A182" s="122"/>
      <c r="B182" s="122"/>
      <c r="C182" s="122"/>
      <c r="D182" s="122"/>
      <c r="E182" s="122"/>
      <c r="F182" s="122"/>
      <c r="G182" s="122"/>
      <c r="H182" s="122"/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O182" s="122"/>
      <c r="AP182" s="166"/>
      <c r="AQ182" s="122"/>
      <c r="AR182" s="167"/>
      <c r="AS182" s="122"/>
      <c r="AT182" s="122"/>
      <c r="AU182" s="122"/>
      <c r="AV182" s="122"/>
      <c r="AW182" s="122"/>
      <c r="AX182" s="122"/>
      <c r="AY182" s="122"/>
      <c r="AZ182" s="122"/>
      <c r="BA182" s="122"/>
      <c r="BB182" s="122"/>
      <c r="BC182" s="122"/>
      <c r="BD182" s="122"/>
      <c r="BE182" s="122"/>
      <c r="BF182" s="122"/>
      <c r="BG182" s="122"/>
      <c r="BH182" s="122"/>
      <c r="BI182" s="122"/>
      <c r="BJ182" s="122"/>
    </row>
    <row r="183" spans="1:62">
      <c r="A183" s="122"/>
      <c r="B183" s="122"/>
      <c r="C183" s="122"/>
      <c r="D183" s="122"/>
      <c r="E183" s="122"/>
      <c r="F183" s="122"/>
      <c r="G183" s="122"/>
      <c r="H183" s="122"/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66"/>
      <c r="AQ183" s="122"/>
      <c r="AR183" s="167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2"/>
      <c r="BF183" s="122"/>
      <c r="BG183" s="122"/>
      <c r="BH183" s="122"/>
      <c r="BI183" s="122"/>
      <c r="BJ183" s="122"/>
    </row>
    <row r="184" spans="1:62">
      <c r="A184" s="122"/>
      <c r="B184" s="122"/>
      <c r="C184" s="122"/>
      <c r="D184" s="122"/>
      <c r="E184" s="122"/>
      <c r="F184" s="122"/>
      <c r="G184" s="122"/>
      <c r="H184" s="122"/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O184" s="122"/>
      <c r="AP184" s="166"/>
      <c r="AQ184" s="122"/>
      <c r="AR184" s="167"/>
      <c r="AS184" s="122"/>
      <c r="AT184" s="122"/>
      <c r="AU184" s="122"/>
      <c r="AV184" s="122"/>
      <c r="AW184" s="122"/>
      <c r="AX184" s="122"/>
      <c r="AY184" s="122"/>
      <c r="AZ184" s="122"/>
      <c r="BA184" s="122"/>
      <c r="BB184" s="122"/>
      <c r="BC184" s="122"/>
      <c r="BD184" s="122"/>
      <c r="BE184" s="122"/>
      <c r="BF184" s="122"/>
      <c r="BG184" s="122"/>
      <c r="BH184" s="122"/>
      <c r="BI184" s="122"/>
      <c r="BJ184" s="122"/>
    </row>
    <row r="185" spans="1:62">
      <c r="A185" s="122"/>
      <c r="B185" s="122"/>
      <c r="C185" s="122"/>
      <c r="D185" s="122"/>
      <c r="E185" s="12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O185" s="122"/>
      <c r="AP185" s="166"/>
      <c r="AQ185" s="122"/>
      <c r="AR185" s="167"/>
      <c r="AS185" s="122"/>
      <c r="AT185" s="122"/>
      <c r="AU185" s="122"/>
      <c r="AV185" s="122"/>
      <c r="AW185" s="122"/>
      <c r="AX185" s="122"/>
      <c r="AY185" s="122"/>
      <c r="AZ185" s="122"/>
      <c r="BA185" s="122"/>
      <c r="BB185" s="122"/>
      <c r="BC185" s="122"/>
      <c r="BD185" s="122"/>
      <c r="BE185" s="122"/>
      <c r="BF185" s="122"/>
      <c r="BG185" s="122"/>
      <c r="BH185" s="122"/>
      <c r="BI185" s="122"/>
      <c r="BJ185" s="122"/>
    </row>
    <row r="186" spans="1:62">
      <c r="A186" s="122"/>
      <c r="B186" s="122"/>
      <c r="C186" s="122"/>
      <c r="D186" s="122"/>
      <c r="E186" s="12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O186" s="122"/>
      <c r="AP186" s="166"/>
      <c r="AQ186" s="122"/>
      <c r="AR186" s="167"/>
      <c r="AS186" s="122"/>
      <c r="AT186" s="122"/>
      <c r="AU186" s="122"/>
      <c r="AV186" s="122"/>
      <c r="AW186" s="122"/>
      <c r="AX186" s="122"/>
      <c r="AY186" s="122"/>
      <c r="AZ186" s="122"/>
      <c r="BA186" s="122"/>
      <c r="BB186" s="122"/>
      <c r="BC186" s="122"/>
      <c r="BD186" s="122"/>
      <c r="BE186" s="122"/>
      <c r="BF186" s="122"/>
      <c r="BG186" s="122"/>
      <c r="BH186" s="122"/>
      <c r="BI186" s="122"/>
      <c r="BJ186" s="122"/>
    </row>
    <row r="187" spans="1:62">
      <c r="A187" s="122"/>
      <c r="B187" s="122"/>
      <c r="C187" s="122"/>
      <c r="D187" s="122"/>
      <c r="E187" s="122"/>
      <c r="F187" s="122"/>
      <c r="G187" s="122"/>
      <c r="H187" s="122"/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O187" s="122"/>
      <c r="AP187" s="166"/>
      <c r="AQ187" s="122"/>
      <c r="AR187" s="167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</row>
    <row r="188" spans="1:62">
      <c r="A188" s="122"/>
      <c r="B188" s="122"/>
      <c r="C188" s="122"/>
      <c r="D188" s="122"/>
      <c r="E188" s="12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O188" s="122"/>
      <c r="AP188" s="166"/>
      <c r="AQ188" s="122"/>
      <c r="AR188" s="167"/>
      <c r="AS188" s="122"/>
      <c r="AT188" s="122"/>
      <c r="AU188" s="122"/>
      <c r="AV188" s="122"/>
      <c r="AW188" s="122"/>
      <c r="AX188" s="122"/>
      <c r="AY188" s="122"/>
      <c r="AZ188" s="122"/>
      <c r="BA188" s="122"/>
      <c r="BB188" s="122"/>
      <c r="BC188" s="122"/>
      <c r="BD188" s="122"/>
      <c r="BE188" s="122"/>
      <c r="BF188" s="122"/>
      <c r="BG188" s="122"/>
      <c r="BH188" s="122"/>
      <c r="BI188" s="122"/>
      <c r="BJ188" s="122"/>
    </row>
    <row r="189" spans="1:62">
      <c r="A189" s="122"/>
      <c r="B189" s="122"/>
      <c r="C189" s="122"/>
      <c r="D189" s="122"/>
      <c r="E189" s="122"/>
      <c r="F189" s="122"/>
      <c r="G189" s="122"/>
      <c r="H189" s="122"/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O189" s="122"/>
      <c r="AP189" s="166"/>
      <c r="AQ189" s="122"/>
      <c r="AR189" s="167"/>
      <c r="AS189" s="122"/>
      <c r="AT189" s="122"/>
      <c r="AU189" s="122"/>
      <c r="AV189" s="122"/>
      <c r="AW189" s="122"/>
      <c r="AX189" s="122"/>
      <c r="AY189" s="122"/>
      <c r="AZ189" s="122"/>
      <c r="BA189" s="122"/>
      <c r="BB189" s="122"/>
      <c r="BC189" s="122"/>
      <c r="BD189" s="122"/>
      <c r="BE189" s="122"/>
      <c r="BF189" s="122"/>
      <c r="BG189" s="122"/>
      <c r="BH189" s="122"/>
      <c r="BI189" s="122"/>
      <c r="BJ189" s="122"/>
    </row>
    <row r="190" spans="1:62">
      <c r="A190" s="122"/>
      <c r="B190" s="122"/>
      <c r="C190" s="122"/>
      <c r="D190" s="122"/>
      <c r="E190" s="12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O190" s="122"/>
      <c r="AP190" s="166"/>
      <c r="AQ190" s="122"/>
      <c r="AR190" s="167"/>
      <c r="AS190" s="122"/>
      <c r="AT190" s="122"/>
      <c r="AU190" s="122"/>
      <c r="AV190" s="122"/>
      <c r="AW190" s="122"/>
      <c r="AX190" s="122"/>
      <c r="AY190" s="122"/>
      <c r="AZ190" s="122"/>
      <c r="BA190" s="122"/>
      <c r="BB190" s="122"/>
      <c r="BC190" s="122"/>
      <c r="BD190" s="122"/>
      <c r="BE190" s="122"/>
      <c r="BF190" s="122"/>
      <c r="BG190" s="122"/>
      <c r="BH190" s="122"/>
      <c r="BI190" s="122"/>
      <c r="BJ190" s="122"/>
    </row>
    <row r="191" spans="1:62">
      <c r="A191" s="122"/>
      <c r="B191" s="122"/>
      <c r="C191" s="122"/>
      <c r="D191" s="122"/>
      <c r="E191" s="122"/>
      <c r="F191" s="122"/>
      <c r="G191" s="122"/>
      <c r="H191" s="122"/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O191" s="122"/>
      <c r="AP191" s="166"/>
      <c r="AQ191" s="122"/>
      <c r="AR191" s="167"/>
      <c r="AS191" s="122"/>
      <c r="AT191" s="122"/>
      <c r="AU191" s="122"/>
      <c r="AV191" s="122"/>
      <c r="AW191" s="122"/>
      <c r="AX191" s="122"/>
      <c r="AY191" s="122"/>
      <c r="AZ191" s="122"/>
      <c r="BA191" s="122"/>
      <c r="BB191" s="122"/>
      <c r="BC191" s="122"/>
      <c r="BD191" s="122"/>
      <c r="BE191" s="122"/>
      <c r="BF191" s="122"/>
      <c r="BG191" s="122"/>
      <c r="BH191" s="122"/>
      <c r="BI191" s="122"/>
      <c r="BJ191" s="122"/>
    </row>
    <row r="192" spans="1:62">
      <c r="A192" s="122"/>
      <c r="B192" s="122"/>
      <c r="C192" s="122"/>
      <c r="D192" s="122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  <c r="AP192" s="166"/>
      <c r="AQ192" s="122"/>
      <c r="AR192" s="167"/>
      <c r="AS192" s="122"/>
      <c r="AT192" s="122"/>
      <c r="AU192" s="122"/>
      <c r="AV192" s="122"/>
      <c r="AW192" s="122"/>
      <c r="AX192" s="122"/>
      <c r="AY192" s="122"/>
      <c r="AZ192" s="122"/>
      <c r="BA192" s="122"/>
      <c r="BB192" s="122"/>
      <c r="BC192" s="122"/>
      <c r="BD192" s="122"/>
      <c r="BE192" s="122"/>
      <c r="BF192" s="122"/>
      <c r="BG192" s="122"/>
      <c r="BH192" s="122"/>
      <c r="BI192" s="122"/>
      <c r="BJ192" s="122"/>
    </row>
    <row r="193" spans="1:62">
      <c r="A193" s="122"/>
      <c r="B193" s="122"/>
      <c r="C193" s="122"/>
      <c r="D193" s="122"/>
      <c r="E193" s="122"/>
      <c r="F193" s="122"/>
      <c r="G193" s="122"/>
      <c r="H193" s="122"/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O193" s="122"/>
      <c r="AP193" s="166"/>
      <c r="AQ193" s="122"/>
      <c r="AR193" s="167"/>
      <c r="AS193" s="122"/>
      <c r="AT193" s="122"/>
      <c r="AU193" s="122"/>
      <c r="AV193" s="122"/>
      <c r="AW193" s="122"/>
      <c r="AX193" s="122"/>
      <c r="AY193" s="122"/>
      <c r="AZ193" s="122"/>
      <c r="BA193" s="122"/>
      <c r="BB193" s="122"/>
      <c r="BC193" s="122"/>
      <c r="BD193" s="122"/>
      <c r="BE193" s="122"/>
      <c r="BF193" s="122"/>
      <c r="BG193" s="122"/>
      <c r="BH193" s="122"/>
      <c r="BI193" s="122"/>
      <c r="BJ193" s="122"/>
    </row>
    <row r="194" spans="1:62">
      <c r="A194" s="122"/>
      <c r="B194" s="122"/>
      <c r="C194" s="122"/>
      <c r="D194" s="122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66"/>
      <c r="AQ194" s="122"/>
      <c r="AR194" s="167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2"/>
      <c r="BF194" s="122"/>
      <c r="BG194" s="122"/>
      <c r="BH194" s="122"/>
      <c r="BI194" s="122"/>
      <c r="BJ194" s="122"/>
    </row>
    <row r="195" spans="1:62">
      <c r="A195" s="122"/>
      <c r="B195" s="122"/>
      <c r="C195" s="122"/>
      <c r="D195" s="122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  <c r="AP195" s="166"/>
      <c r="AQ195" s="122"/>
      <c r="AR195" s="167"/>
      <c r="AS195" s="122"/>
      <c r="AT195" s="122"/>
      <c r="AU195" s="122"/>
      <c r="AV195" s="122"/>
      <c r="AW195" s="122"/>
      <c r="AX195" s="122"/>
      <c r="AY195" s="122"/>
      <c r="AZ195" s="122"/>
      <c r="BA195" s="122"/>
      <c r="BB195" s="122"/>
      <c r="BC195" s="122"/>
      <c r="BD195" s="122"/>
      <c r="BE195" s="122"/>
      <c r="BF195" s="122"/>
      <c r="BG195" s="122"/>
      <c r="BH195" s="122"/>
      <c r="BI195" s="122"/>
      <c r="BJ195" s="122"/>
    </row>
    <row r="196" spans="1:62">
      <c r="A196" s="122"/>
      <c r="B196" s="122"/>
      <c r="C196" s="122"/>
      <c r="D196" s="122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  <c r="AP196" s="166"/>
      <c r="AQ196" s="122"/>
      <c r="AR196" s="167"/>
      <c r="AS196" s="122"/>
      <c r="AT196" s="122"/>
      <c r="AU196" s="122"/>
      <c r="AV196" s="122"/>
      <c r="AW196" s="122"/>
      <c r="AX196" s="122"/>
      <c r="AY196" s="122"/>
      <c r="AZ196" s="122"/>
      <c r="BA196" s="122"/>
      <c r="BB196" s="122"/>
      <c r="BC196" s="122"/>
      <c r="BD196" s="122"/>
      <c r="BE196" s="122"/>
      <c r="BF196" s="122"/>
      <c r="BG196" s="122"/>
      <c r="BH196" s="122"/>
      <c r="BI196" s="122"/>
      <c r="BJ196" s="122"/>
    </row>
    <row r="197" spans="1:62">
      <c r="A197" s="122"/>
      <c r="B197" s="122"/>
      <c r="C197" s="122"/>
      <c r="D197" s="122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66"/>
      <c r="AQ197" s="122"/>
      <c r="AR197" s="167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2"/>
      <c r="BF197" s="122"/>
      <c r="BG197" s="122"/>
      <c r="BH197" s="122"/>
      <c r="BI197" s="122"/>
      <c r="BJ197" s="122"/>
    </row>
    <row r="198" spans="1:62">
      <c r="A198" s="122"/>
      <c r="B198" s="122"/>
      <c r="C198" s="122"/>
      <c r="D198" s="122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A198" s="122"/>
      <c r="AB198" s="122"/>
      <c r="AC198" s="122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  <c r="AO198" s="122"/>
      <c r="AP198" s="166"/>
      <c r="AQ198" s="122"/>
      <c r="AR198" s="167"/>
      <c r="AS198" s="122"/>
      <c r="AT198" s="122"/>
      <c r="AU198" s="122"/>
      <c r="AV198" s="122"/>
      <c r="AW198" s="122"/>
      <c r="AX198" s="122"/>
      <c r="AY198" s="122"/>
      <c r="AZ198" s="122"/>
      <c r="BA198" s="122"/>
      <c r="BB198" s="122"/>
      <c r="BC198" s="122"/>
      <c r="BD198" s="122"/>
      <c r="BE198" s="122"/>
      <c r="BF198" s="122"/>
      <c r="BG198" s="122"/>
      <c r="BH198" s="122"/>
      <c r="BI198" s="122"/>
      <c r="BJ198" s="122"/>
    </row>
    <row r="199" spans="1:62">
      <c r="A199" s="122"/>
      <c r="B199" s="122"/>
      <c r="C199" s="122"/>
      <c r="D199" s="122"/>
      <c r="E199" s="12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  <c r="AO199" s="122"/>
      <c r="AP199" s="166"/>
      <c r="AQ199" s="122"/>
      <c r="AR199" s="167"/>
      <c r="AS199" s="122"/>
      <c r="AT199" s="122"/>
      <c r="AU199" s="122"/>
      <c r="AV199" s="122"/>
      <c r="AW199" s="122"/>
      <c r="AX199" s="122"/>
      <c r="AY199" s="122"/>
      <c r="AZ199" s="122"/>
      <c r="BA199" s="122"/>
      <c r="BB199" s="122"/>
      <c r="BC199" s="122"/>
      <c r="BD199" s="122"/>
      <c r="BE199" s="122"/>
      <c r="BF199" s="122"/>
      <c r="BG199" s="122"/>
      <c r="BH199" s="122"/>
      <c r="BI199" s="122"/>
      <c r="BJ199" s="122"/>
    </row>
    <row r="200" spans="1:62">
      <c r="A200" s="122"/>
      <c r="B200" s="122"/>
      <c r="C200" s="122"/>
      <c r="D200" s="122"/>
      <c r="E200" s="122"/>
      <c r="F200" s="122"/>
      <c r="G200" s="122"/>
      <c r="H200" s="122"/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A200" s="122"/>
      <c r="AB200" s="122"/>
      <c r="AC200" s="122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  <c r="AO200" s="122"/>
      <c r="AP200" s="166"/>
      <c r="AQ200" s="122"/>
      <c r="AR200" s="167"/>
      <c r="AS200" s="122"/>
      <c r="AT200" s="122"/>
      <c r="AU200" s="122"/>
      <c r="AV200" s="122"/>
      <c r="AW200" s="122"/>
      <c r="AX200" s="122"/>
      <c r="AY200" s="122"/>
      <c r="AZ200" s="122"/>
      <c r="BA200" s="122"/>
      <c r="BB200" s="122"/>
      <c r="BC200" s="122"/>
      <c r="BD200" s="122"/>
      <c r="BE200" s="122"/>
      <c r="BF200" s="122"/>
      <c r="BG200" s="122"/>
      <c r="BH200" s="122"/>
      <c r="BI200" s="122"/>
      <c r="BJ200" s="122"/>
    </row>
    <row r="201" spans="1:62">
      <c r="A201" s="122"/>
      <c r="B201" s="122"/>
      <c r="C201" s="122"/>
      <c r="D201" s="122"/>
      <c r="E201" s="122"/>
      <c r="F201" s="122"/>
      <c r="G201" s="122"/>
      <c r="H201" s="122"/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A201" s="122"/>
      <c r="AB201" s="122"/>
      <c r="AC201" s="122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  <c r="AO201" s="122"/>
      <c r="AP201" s="166"/>
      <c r="AQ201" s="122"/>
      <c r="AR201" s="167"/>
      <c r="AS201" s="122"/>
      <c r="AT201" s="122"/>
      <c r="AU201" s="122"/>
      <c r="AV201" s="122"/>
      <c r="AW201" s="122"/>
      <c r="AX201" s="122"/>
      <c r="AY201" s="122"/>
      <c r="AZ201" s="122"/>
      <c r="BA201" s="122"/>
      <c r="BB201" s="122"/>
      <c r="BC201" s="122"/>
      <c r="BD201" s="122"/>
      <c r="BE201" s="122"/>
      <c r="BF201" s="122"/>
      <c r="BG201" s="122"/>
      <c r="BH201" s="122"/>
      <c r="BI201" s="122"/>
      <c r="BJ201" s="122"/>
    </row>
    <row r="202" spans="1:62">
      <c r="A202" s="122"/>
      <c r="B202" s="122"/>
      <c r="C202" s="122"/>
      <c r="D202" s="122"/>
      <c r="E202" s="12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A202" s="122"/>
      <c r="AB202" s="122"/>
      <c r="AC202" s="122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  <c r="AO202" s="122"/>
      <c r="AP202" s="166"/>
      <c r="AQ202" s="122"/>
      <c r="AR202" s="167"/>
      <c r="AS202" s="122"/>
      <c r="AT202" s="122"/>
      <c r="AU202" s="122"/>
      <c r="AV202" s="122"/>
      <c r="AW202" s="122"/>
      <c r="AX202" s="122"/>
      <c r="AY202" s="122"/>
      <c r="AZ202" s="122"/>
      <c r="BA202" s="122"/>
      <c r="BB202" s="122"/>
      <c r="BC202" s="122"/>
      <c r="BD202" s="122"/>
      <c r="BE202" s="122"/>
      <c r="BF202" s="122"/>
      <c r="BG202" s="122"/>
      <c r="BH202" s="122"/>
      <c r="BI202" s="122"/>
      <c r="BJ202" s="122"/>
    </row>
    <row r="203" spans="1:62">
      <c r="A203" s="122"/>
      <c r="B203" s="122"/>
      <c r="C203" s="122"/>
      <c r="D203" s="122"/>
      <c r="E203" s="122"/>
      <c r="F203" s="122"/>
      <c r="G203" s="122"/>
      <c r="H203" s="122"/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A203" s="122"/>
      <c r="AB203" s="122"/>
      <c r="AC203" s="122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  <c r="AO203" s="122"/>
      <c r="AP203" s="166"/>
      <c r="AQ203" s="122"/>
      <c r="AR203" s="167"/>
      <c r="AS203" s="122"/>
      <c r="AT203" s="122"/>
      <c r="AU203" s="122"/>
      <c r="AV203" s="122"/>
      <c r="AW203" s="122"/>
      <c r="AX203" s="122"/>
      <c r="AY203" s="122"/>
      <c r="AZ203" s="122"/>
      <c r="BA203" s="122"/>
      <c r="BB203" s="122"/>
      <c r="BC203" s="122"/>
      <c r="BD203" s="122"/>
      <c r="BE203" s="122"/>
      <c r="BF203" s="122"/>
      <c r="BG203" s="122"/>
      <c r="BH203" s="122"/>
      <c r="BI203" s="122"/>
      <c r="BJ203" s="122"/>
    </row>
    <row r="204" spans="1:62">
      <c r="A204" s="122"/>
      <c r="B204" s="122"/>
      <c r="C204" s="122"/>
      <c r="D204" s="122"/>
      <c r="E204" s="12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  <c r="AO204" s="122"/>
      <c r="AP204" s="166"/>
      <c r="AQ204" s="122"/>
      <c r="AR204" s="167"/>
      <c r="AS204" s="122"/>
      <c r="AT204" s="122"/>
      <c r="AU204" s="122"/>
      <c r="AV204" s="122"/>
      <c r="AW204" s="122"/>
      <c r="AX204" s="122"/>
      <c r="AY204" s="122"/>
      <c r="AZ204" s="122"/>
      <c r="BA204" s="122"/>
      <c r="BB204" s="122"/>
      <c r="BC204" s="122"/>
      <c r="BD204" s="122"/>
      <c r="BE204" s="122"/>
      <c r="BF204" s="122"/>
      <c r="BG204" s="122"/>
      <c r="BH204" s="122"/>
      <c r="BI204" s="122"/>
      <c r="BJ204" s="122"/>
    </row>
    <row r="205" spans="1:62">
      <c r="A205" s="122"/>
      <c r="B205" s="122"/>
      <c r="C205" s="122"/>
      <c r="D205" s="122"/>
      <c r="E205" s="122"/>
      <c r="F205" s="122"/>
      <c r="G205" s="122"/>
      <c r="H205" s="122"/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A205" s="122"/>
      <c r="AB205" s="122"/>
      <c r="AC205" s="122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  <c r="AO205" s="122"/>
      <c r="AP205" s="166"/>
      <c r="AQ205" s="122"/>
      <c r="AR205" s="167"/>
      <c r="AS205" s="122"/>
      <c r="AT205" s="122"/>
      <c r="AU205" s="122"/>
      <c r="AV205" s="122"/>
      <c r="AW205" s="122"/>
      <c r="AX205" s="122"/>
      <c r="AY205" s="122"/>
      <c r="AZ205" s="122"/>
      <c r="BA205" s="122"/>
      <c r="BB205" s="122"/>
      <c r="BC205" s="122"/>
      <c r="BD205" s="122"/>
      <c r="BE205" s="122"/>
      <c r="BF205" s="122"/>
      <c r="BG205" s="122"/>
      <c r="BH205" s="122"/>
      <c r="BI205" s="122"/>
      <c r="BJ205" s="122"/>
    </row>
    <row r="206" spans="1:62">
      <c r="A206" s="122"/>
      <c r="B206" s="122"/>
      <c r="C206" s="122"/>
      <c r="D206" s="122"/>
      <c r="E206" s="122"/>
      <c r="F206" s="122"/>
      <c r="G206" s="122"/>
      <c r="H206" s="122"/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  <c r="AO206" s="122"/>
      <c r="AP206" s="166"/>
      <c r="AQ206" s="122"/>
      <c r="AR206" s="167"/>
      <c r="AS206" s="122"/>
      <c r="AT206" s="122"/>
      <c r="AU206" s="122"/>
      <c r="AV206" s="122"/>
      <c r="AW206" s="122"/>
      <c r="AX206" s="122"/>
      <c r="AY206" s="122"/>
      <c r="AZ206" s="122"/>
      <c r="BA206" s="122"/>
      <c r="BB206" s="122"/>
      <c r="BC206" s="122"/>
      <c r="BD206" s="122"/>
      <c r="BE206" s="122"/>
      <c r="BF206" s="122"/>
      <c r="BG206" s="122"/>
      <c r="BH206" s="122"/>
      <c r="BI206" s="122"/>
      <c r="BJ206" s="122"/>
    </row>
    <row r="207" spans="1:62">
      <c r="A207" s="122"/>
      <c r="B207" s="122"/>
      <c r="C207" s="122"/>
      <c r="D207" s="122"/>
      <c r="E207" s="12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  <c r="AP207" s="166"/>
      <c r="AQ207" s="122"/>
      <c r="AR207" s="167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2"/>
      <c r="BF207" s="122"/>
      <c r="BG207" s="122"/>
      <c r="BH207" s="122"/>
      <c r="BI207" s="122"/>
      <c r="BJ207" s="122"/>
    </row>
    <row r="208" spans="1:62">
      <c r="A208" s="122"/>
      <c r="B208" s="122"/>
      <c r="C208" s="122"/>
      <c r="D208" s="122"/>
      <c r="E208" s="122"/>
      <c r="F208" s="122"/>
      <c r="G208" s="122"/>
      <c r="H208" s="122"/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  <c r="AO208" s="122"/>
      <c r="AP208" s="166"/>
      <c r="AQ208" s="122"/>
      <c r="AR208" s="167"/>
      <c r="AS208" s="122"/>
      <c r="AT208" s="122"/>
      <c r="AU208" s="122"/>
      <c r="AV208" s="122"/>
      <c r="AW208" s="122"/>
      <c r="AX208" s="122"/>
      <c r="AY208" s="122"/>
      <c r="AZ208" s="122"/>
      <c r="BA208" s="122"/>
      <c r="BB208" s="122"/>
      <c r="BC208" s="122"/>
      <c r="BD208" s="122"/>
      <c r="BE208" s="122"/>
      <c r="BF208" s="122"/>
      <c r="BG208" s="122"/>
      <c r="BH208" s="122"/>
      <c r="BI208" s="122"/>
      <c r="BJ208" s="122"/>
    </row>
    <row r="209" spans="1:62">
      <c r="A209" s="122"/>
      <c r="B209" s="122"/>
      <c r="C209" s="122"/>
      <c r="D209" s="122"/>
      <c r="E209" s="122"/>
      <c r="F209" s="122"/>
      <c r="G209" s="122"/>
      <c r="H209" s="122"/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A209" s="122"/>
      <c r="AB209" s="122"/>
      <c r="AC209" s="122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  <c r="AO209" s="122"/>
      <c r="AP209" s="166"/>
      <c r="AQ209" s="122"/>
      <c r="AR209" s="167"/>
      <c r="AS209" s="122"/>
      <c r="AT209" s="122"/>
      <c r="AU209" s="122"/>
      <c r="AV209" s="122"/>
      <c r="AW209" s="122"/>
      <c r="AX209" s="122"/>
      <c r="AY209" s="122"/>
      <c r="AZ209" s="122"/>
      <c r="BA209" s="122"/>
      <c r="BB209" s="122"/>
      <c r="BC209" s="122"/>
      <c r="BD209" s="122"/>
      <c r="BE209" s="122"/>
      <c r="BF209" s="122"/>
      <c r="BG209" s="122"/>
      <c r="BH209" s="122"/>
      <c r="BI209" s="122"/>
      <c r="BJ209" s="122"/>
    </row>
    <row r="210" spans="1:62">
      <c r="A210" s="122"/>
      <c r="B210" s="122"/>
      <c r="C210" s="122"/>
      <c r="D210" s="122"/>
      <c r="E210" s="122"/>
      <c r="F210" s="122"/>
      <c r="G210" s="122"/>
      <c r="H210" s="122"/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A210" s="122"/>
      <c r="AB210" s="122"/>
      <c r="AC210" s="122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  <c r="AO210" s="122"/>
      <c r="AP210" s="166"/>
      <c r="AQ210" s="122"/>
      <c r="AR210" s="167"/>
      <c r="AS210" s="122"/>
      <c r="AT210" s="122"/>
      <c r="AU210" s="122"/>
      <c r="AV210" s="122"/>
      <c r="AW210" s="122"/>
      <c r="AX210" s="122"/>
      <c r="AY210" s="122"/>
      <c r="AZ210" s="122"/>
      <c r="BA210" s="122"/>
      <c r="BB210" s="122"/>
      <c r="BC210" s="122"/>
      <c r="BD210" s="122"/>
      <c r="BE210" s="122"/>
      <c r="BF210" s="122"/>
      <c r="BG210" s="122"/>
      <c r="BH210" s="122"/>
      <c r="BI210" s="122"/>
      <c r="BJ210" s="122"/>
    </row>
    <row r="211" spans="1:62">
      <c r="A211" s="122"/>
      <c r="B211" s="122"/>
      <c r="C211" s="122"/>
      <c r="D211" s="122"/>
      <c r="E211" s="122"/>
      <c r="F211" s="122"/>
      <c r="G211" s="122"/>
      <c r="H211" s="122"/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A211" s="122"/>
      <c r="AB211" s="122"/>
      <c r="AC211" s="122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  <c r="AO211" s="122"/>
      <c r="AP211" s="166"/>
      <c r="AQ211" s="122"/>
      <c r="AR211" s="167"/>
      <c r="AS211" s="122"/>
      <c r="AT211" s="122"/>
      <c r="AU211" s="122"/>
      <c r="AV211" s="122"/>
      <c r="AW211" s="122"/>
      <c r="AX211" s="122"/>
      <c r="AY211" s="122"/>
      <c r="AZ211" s="122"/>
      <c r="BA211" s="122"/>
      <c r="BB211" s="122"/>
      <c r="BC211" s="122"/>
      <c r="BD211" s="122"/>
      <c r="BE211" s="122"/>
      <c r="BF211" s="122"/>
      <c r="BG211" s="122"/>
      <c r="BH211" s="122"/>
      <c r="BI211" s="122"/>
      <c r="BJ211" s="122"/>
    </row>
    <row r="212" spans="1:62">
      <c r="A212" s="122"/>
      <c r="B212" s="122"/>
      <c r="C212" s="122"/>
      <c r="D212" s="122"/>
      <c r="E212" s="122"/>
      <c r="F212" s="122"/>
      <c r="G212" s="122"/>
      <c r="H212" s="122"/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A212" s="122"/>
      <c r="AB212" s="122"/>
      <c r="AC212" s="122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  <c r="AO212" s="122"/>
      <c r="AP212" s="166"/>
      <c r="AQ212" s="122"/>
      <c r="AR212" s="167"/>
      <c r="AS212" s="122"/>
      <c r="AT212" s="122"/>
      <c r="AU212" s="122"/>
      <c r="AV212" s="122"/>
      <c r="AW212" s="122"/>
      <c r="AX212" s="122"/>
      <c r="AY212" s="122"/>
      <c r="AZ212" s="122"/>
      <c r="BA212" s="122"/>
      <c r="BB212" s="122"/>
      <c r="BC212" s="122"/>
      <c r="BD212" s="122"/>
      <c r="BE212" s="122"/>
      <c r="BF212" s="122"/>
      <c r="BG212" s="122"/>
      <c r="BH212" s="122"/>
      <c r="BI212" s="122"/>
      <c r="BJ212" s="122"/>
    </row>
    <row r="213" spans="1:62">
      <c r="A213" s="122"/>
      <c r="B213" s="122"/>
      <c r="C213" s="122"/>
      <c r="D213" s="122"/>
      <c r="E213" s="122"/>
      <c r="F213" s="122"/>
      <c r="G213" s="122"/>
      <c r="H213" s="122"/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66"/>
      <c r="AQ213" s="122"/>
      <c r="AR213" s="167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</row>
    <row r="214" spans="1:62">
      <c r="A214" s="122"/>
      <c r="B214" s="122"/>
      <c r="C214" s="122"/>
      <c r="D214" s="122"/>
      <c r="E214" s="122"/>
      <c r="F214" s="122"/>
      <c r="G214" s="122"/>
      <c r="H214" s="122"/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66"/>
      <c r="AQ214" s="122"/>
      <c r="AR214" s="167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</row>
    <row r="215" spans="1:62">
      <c r="A215" s="122"/>
      <c r="B215" s="122"/>
      <c r="C215" s="122"/>
      <c r="D215" s="122"/>
      <c r="E215" s="122"/>
      <c r="F215" s="122"/>
      <c r="G215" s="122"/>
      <c r="H215" s="122"/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66"/>
      <c r="AQ215" s="122"/>
      <c r="AR215" s="167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</row>
    <row r="216" spans="1:62">
      <c r="A216" s="122"/>
      <c r="B216" s="122"/>
      <c r="C216" s="122"/>
      <c r="D216" s="122"/>
      <c r="E216" s="122"/>
      <c r="F216" s="122"/>
      <c r="G216" s="122"/>
      <c r="H216" s="122"/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66"/>
      <c r="AQ216" s="122"/>
      <c r="AR216" s="167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</row>
    <row r="217" spans="1:62">
      <c r="A217" s="122"/>
      <c r="B217" s="122"/>
      <c r="C217" s="122"/>
      <c r="D217" s="122"/>
      <c r="E217" s="122"/>
      <c r="F217" s="122"/>
      <c r="G217" s="122"/>
      <c r="H217" s="122"/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66"/>
      <c r="AQ217" s="122"/>
      <c r="AR217" s="167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</row>
    <row r="218" spans="1:62">
      <c r="A218" s="122"/>
      <c r="B218" s="122"/>
      <c r="C218" s="122"/>
      <c r="D218" s="122"/>
      <c r="E218" s="122"/>
      <c r="F218" s="122"/>
      <c r="G218" s="122"/>
      <c r="H218" s="122"/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66"/>
      <c r="AQ218" s="122"/>
      <c r="AR218" s="167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</row>
    <row r="219" spans="1:62">
      <c r="A219" s="122"/>
      <c r="B219" s="122"/>
      <c r="C219" s="122"/>
      <c r="D219" s="122"/>
      <c r="E219" s="122"/>
      <c r="F219" s="122"/>
      <c r="G219" s="122"/>
      <c r="H219" s="122"/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66"/>
      <c r="AQ219" s="122"/>
      <c r="AR219" s="167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</row>
    <row r="220" spans="1:62">
      <c r="A220" s="122"/>
      <c r="B220" s="122"/>
      <c r="C220" s="122"/>
      <c r="D220" s="122"/>
      <c r="E220" s="122"/>
      <c r="F220" s="122"/>
      <c r="G220" s="122"/>
      <c r="H220" s="122"/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66"/>
      <c r="AQ220" s="122"/>
      <c r="AR220" s="167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</row>
    <row r="221" spans="1:62">
      <c r="A221" s="122"/>
      <c r="B221" s="122"/>
      <c r="C221" s="122"/>
      <c r="D221" s="122"/>
      <c r="E221" s="122"/>
      <c r="F221" s="122"/>
      <c r="G221" s="122"/>
      <c r="H221" s="122"/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66"/>
      <c r="AQ221" s="122"/>
      <c r="AR221" s="167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</row>
    <row r="222" spans="1:62">
      <c r="A222" s="122"/>
      <c r="B222" s="122"/>
      <c r="C222" s="122"/>
      <c r="D222" s="122"/>
      <c r="E222" s="122"/>
      <c r="F222" s="122"/>
      <c r="G222" s="122"/>
      <c r="H222" s="122"/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66"/>
      <c r="AQ222" s="122"/>
      <c r="AR222" s="167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</row>
    <row r="223" spans="1:62">
      <c r="A223" s="122"/>
      <c r="B223" s="122"/>
      <c r="C223" s="122"/>
      <c r="D223" s="122"/>
      <c r="E223" s="122"/>
      <c r="F223" s="122"/>
      <c r="G223" s="122"/>
      <c r="H223" s="122"/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66"/>
      <c r="AQ223" s="122"/>
      <c r="AR223" s="167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</row>
    <row r="224" spans="1:62">
      <c r="A224" s="122"/>
      <c r="B224" s="122"/>
      <c r="C224" s="122"/>
      <c r="D224" s="122"/>
      <c r="E224" s="122"/>
      <c r="F224" s="122"/>
      <c r="G224" s="122"/>
      <c r="H224" s="122"/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66"/>
      <c r="AQ224" s="122"/>
      <c r="AR224" s="167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</row>
    <row r="225" spans="1:62">
      <c r="A225" s="122"/>
      <c r="B225" s="122"/>
      <c r="C225" s="122"/>
      <c r="D225" s="122"/>
      <c r="E225" s="122"/>
      <c r="F225" s="122"/>
      <c r="G225" s="122"/>
      <c r="H225" s="122"/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66"/>
      <c r="AQ225" s="122"/>
      <c r="AR225" s="167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</row>
    <row r="226" spans="1:62">
      <c r="A226" s="122"/>
      <c r="B226" s="122"/>
      <c r="C226" s="122"/>
      <c r="D226" s="122"/>
      <c r="E226" s="122"/>
      <c r="F226" s="122"/>
      <c r="G226" s="122"/>
      <c r="H226" s="122"/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  <c r="AO226" s="122"/>
      <c r="AP226" s="166"/>
      <c r="AQ226" s="122"/>
      <c r="AR226" s="167"/>
      <c r="AS226" s="122"/>
      <c r="AT226" s="122"/>
      <c r="AU226" s="122"/>
      <c r="AV226" s="122"/>
      <c r="AW226" s="122"/>
      <c r="AX226" s="122"/>
      <c r="AY226" s="122"/>
      <c r="AZ226" s="122"/>
      <c r="BA226" s="122"/>
      <c r="BB226" s="122"/>
      <c r="BC226" s="122"/>
      <c r="BD226" s="122"/>
      <c r="BE226" s="122"/>
      <c r="BF226" s="122"/>
      <c r="BG226" s="122"/>
      <c r="BH226" s="122"/>
      <c r="BI226" s="122"/>
      <c r="BJ226" s="122"/>
    </row>
    <row r="227" spans="1:62">
      <c r="A227" s="122"/>
      <c r="B227" s="122"/>
      <c r="C227" s="122"/>
      <c r="D227" s="122"/>
      <c r="E227" s="122"/>
      <c r="F227" s="122"/>
      <c r="G227" s="122"/>
      <c r="H227" s="122"/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  <c r="AO227" s="122"/>
      <c r="AP227" s="166"/>
      <c r="AQ227" s="122"/>
      <c r="AR227" s="167"/>
      <c r="AS227" s="122"/>
      <c r="AT227" s="122"/>
      <c r="AU227" s="122"/>
      <c r="AV227" s="122"/>
      <c r="AW227" s="122"/>
      <c r="AX227" s="122"/>
      <c r="AY227" s="122"/>
      <c r="AZ227" s="122"/>
      <c r="BA227" s="122"/>
      <c r="BB227" s="122"/>
      <c r="BC227" s="122"/>
      <c r="BD227" s="122"/>
      <c r="BE227" s="122"/>
      <c r="BF227" s="122"/>
      <c r="BG227" s="122"/>
      <c r="BH227" s="122"/>
      <c r="BI227" s="122"/>
      <c r="BJ227" s="122"/>
    </row>
    <row r="228" spans="1:62">
      <c r="A228" s="122"/>
      <c r="B228" s="122"/>
      <c r="C228" s="122"/>
      <c r="D228" s="122"/>
      <c r="E228" s="122"/>
      <c r="F228" s="122"/>
      <c r="G228" s="122"/>
      <c r="H228" s="122"/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  <c r="AO228" s="122"/>
      <c r="AP228" s="166"/>
      <c r="AQ228" s="122"/>
      <c r="AR228" s="167"/>
      <c r="AS228" s="122"/>
      <c r="AT228" s="122"/>
      <c r="AU228" s="122"/>
      <c r="AV228" s="122"/>
      <c r="AW228" s="122"/>
      <c r="AX228" s="122"/>
      <c r="AY228" s="122"/>
      <c r="AZ228" s="122"/>
      <c r="BA228" s="122"/>
      <c r="BB228" s="122"/>
      <c r="BC228" s="122"/>
      <c r="BD228" s="122"/>
      <c r="BE228" s="122"/>
      <c r="BF228" s="122"/>
      <c r="BG228" s="122"/>
      <c r="BH228" s="122"/>
      <c r="BI228" s="122"/>
      <c r="BJ228" s="122"/>
    </row>
    <row r="229" spans="1:62">
      <c r="A229" s="122"/>
      <c r="B229" s="122"/>
      <c r="C229" s="122"/>
      <c r="D229" s="122"/>
      <c r="E229" s="122"/>
      <c r="F229" s="122"/>
      <c r="G229" s="122"/>
      <c r="H229" s="122"/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  <c r="AO229" s="122"/>
      <c r="AP229" s="166"/>
      <c r="AQ229" s="122"/>
      <c r="AR229" s="167"/>
      <c r="AS229" s="122"/>
      <c r="AT229" s="122"/>
      <c r="AU229" s="122"/>
      <c r="AV229" s="122"/>
      <c r="AW229" s="122"/>
      <c r="AX229" s="122"/>
      <c r="AY229" s="122"/>
      <c r="AZ229" s="122"/>
      <c r="BA229" s="122"/>
      <c r="BB229" s="122"/>
      <c r="BC229" s="122"/>
      <c r="BD229" s="122"/>
      <c r="BE229" s="122"/>
      <c r="BF229" s="122"/>
      <c r="BG229" s="122"/>
      <c r="BH229" s="122"/>
      <c r="BI229" s="122"/>
      <c r="BJ229" s="122"/>
    </row>
    <row r="230" spans="1:62">
      <c r="A230" s="122"/>
      <c r="B230" s="122"/>
      <c r="C230" s="122"/>
      <c r="D230" s="122"/>
      <c r="E230" s="122"/>
      <c r="F230" s="122"/>
      <c r="G230" s="122"/>
      <c r="H230" s="122"/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A230" s="122"/>
      <c r="AB230" s="122"/>
      <c r="AC230" s="122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  <c r="AO230" s="122"/>
      <c r="AP230" s="166"/>
      <c r="AQ230" s="122"/>
      <c r="AR230" s="167"/>
      <c r="AS230" s="122"/>
      <c r="AT230" s="122"/>
      <c r="AU230" s="122"/>
      <c r="AV230" s="122"/>
      <c r="AW230" s="122"/>
      <c r="AX230" s="122"/>
      <c r="AY230" s="122"/>
      <c r="AZ230" s="122"/>
      <c r="BA230" s="122"/>
      <c r="BB230" s="122"/>
      <c r="BC230" s="122"/>
      <c r="BD230" s="122"/>
      <c r="BE230" s="122"/>
      <c r="BF230" s="122"/>
      <c r="BG230" s="122"/>
      <c r="BH230" s="122"/>
      <c r="BI230" s="122"/>
      <c r="BJ230" s="122"/>
    </row>
    <row r="231" spans="1:62">
      <c r="A231" s="122"/>
      <c r="B231" s="122"/>
      <c r="C231" s="122"/>
      <c r="D231" s="122"/>
      <c r="E231" s="122"/>
      <c r="F231" s="122"/>
      <c r="G231" s="122"/>
      <c r="H231" s="122"/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A231" s="122"/>
      <c r="AB231" s="122"/>
      <c r="AC231" s="122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  <c r="AO231" s="122"/>
      <c r="AP231" s="166"/>
      <c r="AQ231" s="122"/>
      <c r="AR231" s="167"/>
      <c r="AS231" s="122"/>
      <c r="AT231" s="122"/>
      <c r="AU231" s="122"/>
      <c r="AV231" s="122"/>
      <c r="AW231" s="122"/>
      <c r="AX231" s="122"/>
      <c r="AY231" s="122"/>
      <c r="AZ231" s="122"/>
      <c r="BA231" s="122"/>
      <c r="BB231" s="122"/>
      <c r="BC231" s="122"/>
      <c r="BD231" s="122"/>
      <c r="BE231" s="122"/>
      <c r="BF231" s="122"/>
      <c r="BG231" s="122"/>
      <c r="BH231" s="122"/>
      <c r="BI231" s="122"/>
      <c r="BJ231" s="122"/>
    </row>
    <row r="232" spans="1:62">
      <c r="A232" s="122"/>
      <c r="B232" s="122"/>
      <c r="C232" s="122"/>
      <c r="D232" s="122"/>
      <c r="E232" s="122"/>
      <c r="F232" s="122"/>
      <c r="G232" s="122"/>
      <c r="H232" s="122"/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  <c r="AO232" s="122"/>
      <c r="AP232" s="166"/>
      <c r="AQ232" s="122"/>
      <c r="AR232" s="167"/>
      <c r="AS232" s="122"/>
      <c r="AT232" s="122"/>
      <c r="AU232" s="122"/>
      <c r="AV232" s="122"/>
      <c r="AW232" s="122"/>
      <c r="AX232" s="122"/>
      <c r="AY232" s="122"/>
      <c r="AZ232" s="122"/>
      <c r="BA232" s="122"/>
      <c r="BB232" s="122"/>
      <c r="BC232" s="122"/>
      <c r="BD232" s="122"/>
      <c r="BE232" s="122"/>
      <c r="BF232" s="122"/>
      <c r="BG232" s="122"/>
      <c r="BH232" s="122"/>
      <c r="BI232" s="122"/>
      <c r="BJ232" s="122"/>
    </row>
    <row r="233" spans="1:62">
      <c r="A233" s="122"/>
      <c r="B233" s="122"/>
      <c r="C233" s="122"/>
      <c r="D233" s="122"/>
      <c r="E233" s="122"/>
      <c r="F233" s="122"/>
      <c r="G233" s="122"/>
      <c r="H233" s="122"/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  <c r="AO233" s="122"/>
      <c r="AP233" s="166"/>
      <c r="AQ233" s="122"/>
      <c r="AR233" s="167"/>
      <c r="AS233" s="122"/>
      <c r="AT233" s="122"/>
      <c r="AU233" s="122"/>
      <c r="AV233" s="122"/>
      <c r="AW233" s="122"/>
      <c r="AX233" s="122"/>
      <c r="AY233" s="122"/>
      <c r="AZ233" s="122"/>
      <c r="BA233" s="122"/>
      <c r="BB233" s="122"/>
      <c r="BC233" s="122"/>
      <c r="BD233" s="122"/>
      <c r="BE233" s="122"/>
      <c r="BF233" s="122"/>
      <c r="BG233" s="122"/>
      <c r="BH233" s="122"/>
      <c r="BI233" s="122"/>
      <c r="BJ233" s="122"/>
    </row>
    <row r="234" spans="1:62">
      <c r="A234" s="122"/>
      <c r="B234" s="122"/>
      <c r="C234" s="122"/>
      <c r="D234" s="122"/>
      <c r="E234" s="122"/>
      <c r="F234" s="122"/>
      <c r="G234" s="122"/>
      <c r="H234" s="122"/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  <c r="AO234" s="122"/>
      <c r="AP234" s="166"/>
      <c r="AQ234" s="122"/>
      <c r="AR234" s="167"/>
      <c r="AS234" s="122"/>
      <c r="AT234" s="122"/>
      <c r="AU234" s="122"/>
      <c r="AV234" s="122"/>
      <c r="AW234" s="122"/>
      <c r="AX234" s="122"/>
      <c r="AY234" s="122"/>
      <c r="AZ234" s="122"/>
      <c r="BA234" s="122"/>
      <c r="BB234" s="122"/>
      <c r="BC234" s="122"/>
      <c r="BD234" s="122"/>
      <c r="BE234" s="122"/>
      <c r="BF234" s="122"/>
      <c r="BG234" s="122"/>
      <c r="BH234" s="122"/>
      <c r="BI234" s="122"/>
      <c r="BJ234" s="122"/>
    </row>
    <row r="235" spans="1:62">
      <c r="A235" s="122"/>
      <c r="B235" s="122"/>
      <c r="C235" s="122"/>
      <c r="D235" s="122"/>
      <c r="E235" s="122"/>
      <c r="F235" s="122"/>
      <c r="G235" s="122"/>
      <c r="H235" s="122"/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A235" s="122"/>
      <c r="AB235" s="122"/>
      <c r="AC235" s="122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  <c r="AO235" s="122"/>
      <c r="AP235" s="166"/>
      <c r="AQ235" s="122"/>
      <c r="AR235" s="167"/>
      <c r="AS235" s="122"/>
      <c r="AT235" s="122"/>
      <c r="AU235" s="122"/>
      <c r="AV235" s="122"/>
      <c r="AW235" s="122"/>
      <c r="AX235" s="122"/>
      <c r="AY235" s="122"/>
      <c r="AZ235" s="122"/>
      <c r="BA235" s="122"/>
      <c r="BB235" s="122"/>
      <c r="BC235" s="122"/>
      <c r="BD235" s="122"/>
      <c r="BE235" s="122"/>
      <c r="BF235" s="122"/>
      <c r="BG235" s="122"/>
      <c r="BH235" s="122"/>
      <c r="BI235" s="122"/>
      <c r="BJ235" s="122"/>
    </row>
    <row r="236" spans="1:62">
      <c r="A236" s="122"/>
      <c r="B236" s="122"/>
      <c r="C236" s="122"/>
      <c r="D236" s="122"/>
      <c r="E236" s="122"/>
      <c r="F236" s="122"/>
      <c r="G236" s="122"/>
      <c r="H236" s="122"/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  <c r="AO236" s="122"/>
      <c r="AP236" s="166"/>
      <c r="AQ236" s="122"/>
      <c r="AR236" s="167"/>
      <c r="AS236" s="122"/>
      <c r="AT236" s="122"/>
      <c r="AU236" s="122"/>
      <c r="AV236" s="122"/>
      <c r="AW236" s="122"/>
      <c r="AX236" s="122"/>
      <c r="AY236" s="122"/>
      <c r="AZ236" s="122"/>
      <c r="BA236" s="122"/>
      <c r="BB236" s="122"/>
      <c r="BC236" s="122"/>
      <c r="BD236" s="122"/>
      <c r="BE236" s="122"/>
      <c r="BF236" s="122"/>
      <c r="BG236" s="122"/>
      <c r="BH236" s="122"/>
      <c r="BI236" s="122"/>
      <c r="BJ236" s="122"/>
    </row>
    <row r="237" spans="1:62">
      <c r="A237" s="122"/>
      <c r="B237" s="122"/>
      <c r="C237" s="122"/>
      <c r="D237" s="122"/>
      <c r="E237" s="122"/>
      <c r="F237" s="122"/>
      <c r="G237" s="122"/>
      <c r="H237" s="122"/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  <c r="AO237" s="122"/>
      <c r="AP237" s="166"/>
      <c r="AQ237" s="122"/>
      <c r="AR237" s="167"/>
      <c r="AS237" s="122"/>
      <c r="AT237" s="122"/>
      <c r="AU237" s="122"/>
      <c r="AV237" s="122"/>
      <c r="AW237" s="122"/>
      <c r="AX237" s="122"/>
      <c r="AY237" s="122"/>
      <c r="AZ237" s="122"/>
      <c r="BA237" s="122"/>
      <c r="BB237" s="122"/>
      <c r="BC237" s="122"/>
      <c r="BD237" s="122"/>
      <c r="BE237" s="122"/>
      <c r="BF237" s="122"/>
      <c r="BG237" s="122"/>
      <c r="BH237" s="122"/>
      <c r="BI237" s="122"/>
      <c r="BJ237" s="122"/>
    </row>
    <row r="238" spans="1:62">
      <c r="A238" s="122"/>
      <c r="B238" s="122"/>
      <c r="C238" s="122"/>
      <c r="D238" s="122"/>
      <c r="E238" s="122"/>
      <c r="F238" s="122"/>
      <c r="G238" s="122"/>
      <c r="H238" s="122"/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A238" s="122"/>
      <c r="AB238" s="122"/>
      <c r="AC238" s="122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  <c r="AO238" s="122"/>
      <c r="AP238" s="166"/>
      <c r="AQ238" s="122"/>
      <c r="AR238" s="167"/>
      <c r="AS238" s="122"/>
      <c r="AT238" s="122"/>
      <c r="AU238" s="122"/>
      <c r="AV238" s="122"/>
      <c r="AW238" s="122"/>
      <c r="AX238" s="122"/>
      <c r="AY238" s="122"/>
      <c r="AZ238" s="122"/>
      <c r="BA238" s="122"/>
      <c r="BB238" s="122"/>
      <c r="BC238" s="122"/>
      <c r="BD238" s="122"/>
      <c r="BE238" s="122"/>
      <c r="BF238" s="122"/>
      <c r="BG238" s="122"/>
      <c r="BH238" s="122"/>
      <c r="BI238" s="122"/>
      <c r="BJ238" s="122"/>
    </row>
    <row r="239" spans="1:62">
      <c r="A239" s="122"/>
      <c r="B239" s="122"/>
      <c r="C239" s="122"/>
      <c r="D239" s="122"/>
      <c r="E239" s="122"/>
      <c r="F239" s="122"/>
      <c r="G239" s="122"/>
      <c r="H239" s="122"/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  <c r="AO239" s="122"/>
      <c r="AP239" s="166"/>
      <c r="AQ239" s="122"/>
      <c r="AR239" s="167"/>
      <c r="AS239" s="122"/>
      <c r="AT239" s="122"/>
      <c r="AU239" s="122"/>
      <c r="AV239" s="122"/>
      <c r="AW239" s="122"/>
      <c r="AX239" s="122"/>
      <c r="AY239" s="122"/>
      <c r="AZ239" s="122"/>
      <c r="BA239" s="122"/>
      <c r="BB239" s="122"/>
      <c r="BC239" s="122"/>
      <c r="BD239" s="122"/>
      <c r="BE239" s="122"/>
      <c r="BF239" s="122"/>
      <c r="BG239" s="122"/>
      <c r="BH239" s="122"/>
      <c r="BI239" s="122"/>
      <c r="BJ239" s="122"/>
    </row>
    <row r="240" spans="1:62">
      <c r="A240" s="122"/>
      <c r="B240" s="122"/>
      <c r="C240" s="122"/>
      <c r="D240" s="122"/>
      <c r="E240" s="122"/>
      <c r="F240" s="122"/>
      <c r="G240" s="122"/>
      <c r="H240" s="122"/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  <c r="AO240" s="122"/>
      <c r="AP240" s="166"/>
      <c r="AQ240" s="122"/>
      <c r="AR240" s="167"/>
      <c r="AS240" s="122"/>
      <c r="AT240" s="122"/>
      <c r="AU240" s="122"/>
      <c r="AV240" s="122"/>
      <c r="AW240" s="122"/>
      <c r="AX240" s="122"/>
      <c r="AY240" s="122"/>
      <c r="AZ240" s="122"/>
      <c r="BA240" s="122"/>
      <c r="BB240" s="122"/>
      <c r="BC240" s="122"/>
      <c r="BD240" s="122"/>
      <c r="BE240" s="122"/>
      <c r="BF240" s="122"/>
      <c r="BG240" s="122"/>
      <c r="BH240" s="122"/>
      <c r="BI240" s="122"/>
      <c r="BJ240" s="122"/>
    </row>
    <row r="241" spans="1:62">
      <c r="A241" s="122"/>
      <c r="B241" s="122"/>
      <c r="C241" s="122"/>
      <c r="D241" s="122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66"/>
      <c r="AQ241" s="122"/>
      <c r="AR241" s="167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</row>
    <row r="242" spans="1:62">
      <c r="A242" s="122"/>
      <c r="B242" s="122"/>
      <c r="C242" s="122"/>
      <c r="D242" s="122"/>
      <c r="E242" s="122"/>
      <c r="F242" s="122"/>
      <c r="G242" s="122"/>
      <c r="H242" s="122"/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66"/>
      <c r="AQ242" s="122"/>
      <c r="AR242" s="167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</row>
    <row r="243" spans="1:62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66"/>
      <c r="AQ243" s="122"/>
      <c r="AR243" s="167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</row>
    <row r="244" spans="1:62">
      <c r="A244" s="122"/>
      <c r="B244" s="122"/>
      <c r="C244" s="122"/>
      <c r="D244" s="122"/>
      <c r="E244" s="122"/>
      <c r="F244" s="122"/>
      <c r="G244" s="122"/>
      <c r="H244" s="122"/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66"/>
      <c r="AQ244" s="122"/>
      <c r="AR244" s="167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</row>
    <row r="245" spans="1:62">
      <c r="A245" s="122"/>
      <c r="B245" s="122"/>
      <c r="C245" s="122"/>
      <c r="D245" s="122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66"/>
      <c r="AQ245" s="122"/>
      <c r="AR245" s="167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</row>
    <row r="246" spans="1:62">
      <c r="A246" s="122"/>
      <c r="B246" s="122"/>
      <c r="C246" s="122"/>
      <c r="D246" s="122"/>
      <c r="E246" s="122"/>
      <c r="F246" s="122"/>
      <c r="G246" s="122"/>
      <c r="H246" s="122"/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66"/>
      <c r="AQ246" s="122"/>
      <c r="AR246" s="167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</row>
    <row r="247" spans="1:62">
      <c r="A247" s="122"/>
      <c r="B247" s="122"/>
      <c r="C247" s="122"/>
      <c r="D247" s="122"/>
      <c r="E247" s="122"/>
      <c r="F247" s="122"/>
      <c r="G247" s="122"/>
      <c r="H247" s="122"/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66"/>
      <c r="AQ247" s="122"/>
      <c r="AR247" s="167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</row>
    <row r="248" spans="1:62">
      <c r="A248" s="122"/>
      <c r="B248" s="122"/>
      <c r="C248" s="122"/>
      <c r="D248" s="122"/>
      <c r="E248" s="122"/>
      <c r="F248" s="122"/>
      <c r="G248" s="122"/>
      <c r="H248" s="122"/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66"/>
      <c r="AQ248" s="122"/>
      <c r="AR248" s="167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</row>
    <row r="249" spans="1:62">
      <c r="A249" s="122"/>
      <c r="B249" s="122"/>
      <c r="C249" s="122"/>
      <c r="D249" s="122"/>
      <c r="E249" s="122"/>
      <c r="F249" s="122"/>
      <c r="G249" s="122"/>
      <c r="H249" s="122"/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66"/>
      <c r="AQ249" s="122"/>
      <c r="AR249" s="167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</row>
    <row r="250" spans="1:62">
      <c r="A250" s="122"/>
      <c r="B250" s="122"/>
      <c r="C250" s="122"/>
      <c r="D250" s="122"/>
      <c r="E250" s="122"/>
      <c r="F250" s="122"/>
      <c r="G250" s="122"/>
      <c r="H250" s="122"/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66"/>
      <c r="AQ250" s="122"/>
      <c r="AR250" s="167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</row>
    <row r="251" spans="1:62">
      <c r="A251" s="122"/>
      <c r="B251" s="122"/>
      <c r="C251" s="122"/>
      <c r="D251" s="122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66"/>
      <c r="AQ251" s="122"/>
      <c r="AR251" s="167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</row>
    <row r="252" spans="1:62">
      <c r="A252" s="122"/>
      <c r="B252" s="122"/>
      <c r="C252" s="122"/>
      <c r="D252" s="122"/>
      <c r="E252" s="122"/>
      <c r="F252" s="122"/>
      <c r="G252" s="122"/>
      <c r="H252" s="122"/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66"/>
      <c r="AQ252" s="122"/>
      <c r="AR252" s="167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</row>
    <row r="253" spans="1:62">
      <c r="A253" s="122"/>
      <c r="B253" s="122"/>
      <c r="C253" s="122"/>
      <c r="D253" s="122"/>
      <c r="E253" s="122"/>
      <c r="F253" s="122"/>
      <c r="G253" s="122"/>
      <c r="H253" s="122"/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66"/>
      <c r="AQ253" s="122"/>
      <c r="AR253" s="167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</row>
    <row r="254" spans="1:62">
      <c r="A254" s="122"/>
      <c r="B254" s="122"/>
      <c r="C254" s="122"/>
      <c r="D254" s="122"/>
      <c r="E254" s="122"/>
      <c r="F254" s="122"/>
      <c r="G254" s="122"/>
      <c r="H254" s="122"/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66"/>
      <c r="AQ254" s="122"/>
      <c r="AR254" s="167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</row>
    <row r="255" spans="1:62">
      <c r="A255" s="122"/>
      <c r="B255" s="122"/>
      <c r="C255" s="122"/>
      <c r="D255" s="122"/>
      <c r="E255" s="122"/>
      <c r="F255" s="122"/>
      <c r="G255" s="122"/>
      <c r="H255" s="122"/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66"/>
      <c r="AQ255" s="122"/>
      <c r="AR255" s="167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</row>
    <row r="256" spans="1:62">
      <c r="A256" s="122"/>
      <c r="B256" s="122"/>
      <c r="C256" s="122"/>
      <c r="D256" s="122"/>
      <c r="E256" s="122"/>
      <c r="F256" s="122"/>
      <c r="G256" s="122"/>
      <c r="H256" s="122"/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  <c r="AP256" s="166"/>
      <c r="AQ256" s="122"/>
      <c r="AR256" s="167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22"/>
      <c r="BJ256" s="122"/>
    </row>
    <row r="257" spans="1:62">
      <c r="A257" s="122"/>
      <c r="B257" s="122"/>
      <c r="C257" s="122"/>
      <c r="D257" s="122"/>
      <c r="E257" s="122"/>
      <c r="F257" s="122"/>
      <c r="G257" s="122"/>
      <c r="H257" s="122"/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  <c r="AP257" s="166"/>
      <c r="AQ257" s="122"/>
      <c r="AR257" s="167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2"/>
      <c r="BF257" s="122"/>
      <c r="BG257" s="122"/>
      <c r="BH257" s="122"/>
      <c r="BI257" s="122"/>
      <c r="BJ257" s="122"/>
    </row>
    <row r="258" spans="1:62">
      <c r="A258" s="122"/>
      <c r="B258" s="122"/>
      <c r="C258" s="122"/>
      <c r="D258" s="122"/>
      <c r="E258" s="122"/>
      <c r="F258" s="122"/>
      <c r="G258" s="122"/>
      <c r="H258" s="122"/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  <c r="AP258" s="166"/>
      <c r="AQ258" s="122"/>
      <c r="AR258" s="167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2"/>
      <c r="BF258" s="122"/>
      <c r="BG258" s="122"/>
      <c r="BH258" s="122"/>
      <c r="BI258" s="122"/>
      <c r="BJ258" s="122"/>
    </row>
    <row r="259" spans="1:62">
      <c r="A259" s="122"/>
      <c r="B259" s="122"/>
      <c r="C259" s="122"/>
      <c r="D259" s="122"/>
      <c r="E259" s="122"/>
      <c r="F259" s="122"/>
      <c r="G259" s="122"/>
      <c r="H259" s="122"/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  <c r="AP259" s="166"/>
      <c r="AQ259" s="122"/>
      <c r="AR259" s="167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</row>
    <row r="260" spans="1:62">
      <c r="A260" s="122"/>
      <c r="B260" s="122"/>
      <c r="C260" s="122"/>
      <c r="D260" s="122"/>
      <c r="E260" s="122"/>
      <c r="F260" s="122"/>
      <c r="G260" s="122"/>
      <c r="H260" s="122"/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66"/>
      <c r="AQ260" s="122"/>
      <c r="AR260" s="167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</row>
    <row r="261" spans="1:62">
      <c r="A261" s="122"/>
      <c r="B261" s="122"/>
      <c r="C261" s="122"/>
      <c r="D261" s="122"/>
      <c r="E261" s="122"/>
      <c r="F261" s="122"/>
      <c r="G261" s="122"/>
      <c r="H261" s="122"/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  <c r="AP261" s="166"/>
      <c r="AQ261" s="122"/>
      <c r="AR261" s="167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2"/>
      <c r="BF261" s="122"/>
      <c r="BG261" s="122"/>
      <c r="BH261" s="122"/>
      <c r="BI261" s="122"/>
      <c r="BJ261" s="122"/>
    </row>
    <row r="262" spans="1:62">
      <c r="A262" s="122"/>
      <c r="B262" s="122"/>
      <c r="C262" s="122"/>
      <c r="D262" s="122"/>
      <c r="E262" s="122"/>
      <c r="F262" s="122"/>
      <c r="G262" s="122"/>
      <c r="H262" s="122"/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  <c r="AP262" s="166"/>
      <c r="AQ262" s="122"/>
      <c r="AR262" s="167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2"/>
      <c r="BF262" s="122"/>
      <c r="BG262" s="122"/>
      <c r="BH262" s="122"/>
      <c r="BI262" s="122"/>
      <c r="BJ262" s="122"/>
    </row>
    <row r="263" spans="1:62">
      <c r="A263" s="122"/>
      <c r="B263" s="122"/>
      <c r="C263" s="122"/>
      <c r="D263" s="122"/>
      <c r="E263" s="122"/>
      <c r="F263" s="122"/>
      <c r="G263" s="122"/>
      <c r="H263" s="122"/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  <c r="AP263" s="166"/>
      <c r="AQ263" s="122"/>
      <c r="AR263" s="167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2"/>
      <c r="BF263" s="122"/>
      <c r="BG263" s="122"/>
      <c r="BH263" s="122"/>
      <c r="BI263" s="122"/>
      <c r="BJ263" s="122"/>
    </row>
    <row r="264" spans="1:62">
      <c r="A264" s="122"/>
      <c r="B264" s="122"/>
      <c r="C264" s="122"/>
      <c r="D264" s="122"/>
      <c r="E264" s="122"/>
      <c r="F264" s="122"/>
      <c r="G264" s="122"/>
      <c r="H264" s="122"/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  <c r="AP264" s="166"/>
      <c r="AQ264" s="122"/>
      <c r="AR264" s="167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2"/>
      <c r="BF264" s="122"/>
      <c r="BG264" s="122"/>
      <c r="BH264" s="122"/>
      <c r="BI264" s="122"/>
      <c r="BJ264" s="122"/>
    </row>
    <row r="265" spans="1:62">
      <c r="A265" s="122"/>
      <c r="B265" s="122"/>
      <c r="C265" s="122"/>
      <c r="D265" s="122"/>
      <c r="E265" s="122"/>
      <c r="F265" s="122"/>
      <c r="G265" s="122"/>
      <c r="H265" s="122"/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  <c r="AP265" s="166"/>
      <c r="AQ265" s="122"/>
      <c r="AR265" s="167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2"/>
      <c r="BF265" s="122"/>
      <c r="BG265" s="122"/>
      <c r="BH265" s="122"/>
      <c r="BI265" s="122"/>
      <c r="BJ265" s="122"/>
    </row>
    <row r="266" spans="1:62">
      <c r="A266" s="122"/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66"/>
      <c r="AQ266" s="122"/>
      <c r="AR266" s="167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</row>
    <row r="267" spans="1:62">
      <c r="A267" s="122"/>
      <c r="B267" s="122"/>
      <c r="C267" s="122"/>
      <c r="D267" s="122"/>
      <c r="E267" s="122"/>
      <c r="F267" s="122"/>
      <c r="G267" s="122"/>
      <c r="H267" s="122"/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  <c r="AP267" s="166"/>
      <c r="AQ267" s="122"/>
      <c r="AR267" s="167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2"/>
      <c r="BF267" s="122"/>
      <c r="BG267" s="122"/>
      <c r="BH267" s="122"/>
      <c r="BI267" s="122"/>
      <c r="BJ267" s="122"/>
    </row>
    <row r="268" spans="1:62">
      <c r="A268" s="122"/>
      <c r="B268" s="122"/>
      <c r="C268" s="122"/>
      <c r="D268" s="122"/>
      <c r="E268" s="122"/>
      <c r="F268" s="122"/>
      <c r="G268" s="122"/>
      <c r="H268" s="122"/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  <c r="AP268" s="166"/>
      <c r="AQ268" s="122"/>
      <c r="AR268" s="167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2"/>
      <c r="BF268" s="122"/>
      <c r="BG268" s="122"/>
      <c r="BH268" s="122"/>
      <c r="BI268" s="122"/>
      <c r="BJ268" s="122"/>
    </row>
    <row r="269" spans="1:62">
      <c r="A269" s="122"/>
      <c r="B269" s="122"/>
      <c r="C269" s="122"/>
      <c r="D269" s="122"/>
      <c r="E269" s="122"/>
      <c r="F269" s="122"/>
      <c r="G269" s="122"/>
      <c r="H269" s="122"/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  <c r="AP269" s="166"/>
      <c r="AQ269" s="122"/>
      <c r="AR269" s="167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2"/>
      <c r="BF269" s="122"/>
      <c r="BG269" s="122"/>
      <c r="BH269" s="122"/>
      <c r="BI269" s="122"/>
      <c r="BJ269" s="122"/>
    </row>
    <row r="270" spans="1:62">
      <c r="A270" s="122"/>
      <c r="B270" s="122"/>
      <c r="C270" s="122"/>
      <c r="D270" s="122"/>
      <c r="E270" s="122"/>
      <c r="F270" s="122"/>
      <c r="G270" s="122"/>
      <c r="H270" s="122"/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  <c r="AP270" s="166"/>
      <c r="AQ270" s="122"/>
      <c r="AR270" s="167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22"/>
      <c r="BJ270" s="122"/>
    </row>
    <row r="271" spans="1:62">
      <c r="A271" s="122"/>
      <c r="B271" s="122"/>
      <c r="C271" s="122"/>
      <c r="D271" s="122"/>
      <c r="E271" s="122"/>
      <c r="F271" s="122"/>
      <c r="G271" s="122"/>
      <c r="H271" s="122"/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  <c r="AP271" s="166"/>
      <c r="AQ271" s="122"/>
      <c r="AR271" s="167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</row>
    <row r="272" spans="1:62">
      <c r="A272" s="122"/>
      <c r="B272" s="122"/>
      <c r="C272" s="122"/>
      <c r="D272" s="122"/>
      <c r="E272" s="122"/>
      <c r="F272" s="122"/>
      <c r="G272" s="122"/>
      <c r="H272" s="122"/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  <c r="AP272" s="166"/>
      <c r="AQ272" s="122"/>
      <c r="AR272" s="167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2"/>
      <c r="BF272" s="122"/>
      <c r="BG272" s="122"/>
      <c r="BH272" s="122"/>
      <c r="BI272" s="122"/>
      <c r="BJ272" s="122"/>
    </row>
    <row r="273" spans="1:62">
      <c r="A273" s="122"/>
      <c r="B273" s="122"/>
      <c r="C273" s="122"/>
      <c r="D273" s="122"/>
      <c r="E273" s="122"/>
      <c r="F273" s="122"/>
      <c r="G273" s="122"/>
      <c r="H273" s="122"/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66"/>
      <c r="AQ273" s="122"/>
      <c r="AR273" s="167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</row>
    <row r="274" spans="1:62">
      <c r="A274" s="122"/>
      <c r="B274" s="122"/>
      <c r="C274" s="122"/>
      <c r="D274" s="122"/>
      <c r="E274" s="122"/>
      <c r="F274" s="122"/>
      <c r="G274" s="122"/>
      <c r="H274" s="122"/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  <c r="AP274" s="166"/>
      <c r="AQ274" s="122"/>
      <c r="AR274" s="167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2"/>
      <c r="BF274" s="122"/>
      <c r="BG274" s="122"/>
      <c r="BH274" s="122"/>
      <c r="BI274" s="122"/>
      <c r="BJ274" s="122"/>
    </row>
    <row r="275" spans="1:62">
      <c r="A275" s="122"/>
      <c r="B275" s="122"/>
      <c r="C275" s="122"/>
      <c r="D275" s="122"/>
      <c r="E275" s="122"/>
      <c r="F275" s="122"/>
      <c r="G275" s="122"/>
      <c r="H275" s="122"/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66"/>
      <c r="AQ275" s="122"/>
      <c r="AR275" s="167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</row>
    <row r="276" spans="1:62">
      <c r="A276" s="122"/>
      <c r="B276" s="122"/>
      <c r="C276" s="122"/>
      <c r="D276" s="122"/>
      <c r="E276" s="122"/>
      <c r="F276" s="122"/>
      <c r="G276" s="122"/>
      <c r="H276" s="122"/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66"/>
      <c r="AQ276" s="122"/>
      <c r="AR276" s="167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</row>
    <row r="277" spans="1:62">
      <c r="A277" s="122"/>
      <c r="B277" s="122"/>
      <c r="C277" s="122"/>
      <c r="D277" s="122"/>
      <c r="E277" s="122"/>
      <c r="F277" s="122"/>
      <c r="G277" s="122"/>
      <c r="H277" s="122"/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66"/>
      <c r="AQ277" s="122"/>
      <c r="AR277" s="167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</row>
    <row r="278" spans="1:62">
      <c r="A278" s="122"/>
      <c r="B278" s="122"/>
      <c r="C278" s="122"/>
      <c r="D278" s="122"/>
      <c r="E278" s="122"/>
      <c r="F278" s="122"/>
      <c r="G278" s="122"/>
      <c r="H278" s="122"/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  <c r="AP278" s="166"/>
      <c r="AQ278" s="122"/>
      <c r="AR278" s="167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2"/>
      <c r="BF278" s="122"/>
      <c r="BG278" s="122"/>
      <c r="BH278" s="122"/>
      <c r="BI278" s="122"/>
      <c r="BJ278" s="122"/>
    </row>
    <row r="279" spans="1:62">
      <c r="A279" s="122"/>
      <c r="B279" s="122"/>
      <c r="C279" s="122"/>
      <c r="D279" s="122"/>
      <c r="E279" s="122"/>
      <c r="F279" s="122"/>
      <c r="G279" s="122"/>
      <c r="H279" s="122"/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66"/>
      <c r="AQ279" s="122"/>
      <c r="AR279" s="167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</row>
    <row r="280" spans="1:62">
      <c r="A280" s="122"/>
      <c r="B280" s="122"/>
      <c r="C280" s="122"/>
      <c r="D280" s="122"/>
      <c r="E280" s="122"/>
      <c r="F280" s="122"/>
      <c r="G280" s="122"/>
      <c r="H280" s="122"/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66"/>
      <c r="AQ280" s="122"/>
      <c r="AR280" s="167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2"/>
      <c r="BF280" s="122"/>
      <c r="BG280" s="122"/>
      <c r="BH280" s="122"/>
      <c r="BI280" s="122"/>
      <c r="BJ280" s="122"/>
    </row>
    <row r="281" spans="1:62">
      <c r="A281" s="122"/>
      <c r="B281" s="122"/>
      <c r="C281" s="122"/>
      <c r="D281" s="122"/>
      <c r="E281" s="122"/>
      <c r="F281" s="122"/>
      <c r="G281" s="122"/>
      <c r="H281" s="122"/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66"/>
      <c r="AQ281" s="122"/>
      <c r="AR281" s="167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2"/>
      <c r="BF281" s="122"/>
      <c r="BG281" s="122"/>
      <c r="BH281" s="122"/>
      <c r="BI281" s="122"/>
      <c r="BJ281" s="122"/>
    </row>
    <row r="282" spans="1:62">
      <c r="A282" s="122"/>
      <c r="B282" s="122"/>
      <c r="C282" s="122"/>
      <c r="D282" s="122"/>
      <c r="E282" s="122"/>
      <c r="F282" s="122"/>
      <c r="G282" s="122"/>
      <c r="H282" s="122"/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66"/>
      <c r="AQ282" s="122"/>
      <c r="AR282" s="167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2"/>
      <c r="BF282" s="122"/>
      <c r="BG282" s="122"/>
      <c r="BH282" s="122"/>
      <c r="BI282" s="122"/>
      <c r="BJ282" s="122"/>
    </row>
    <row r="283" spans="1:62">
      <c r="A283" s="122"/>
      <c r="B283" s="122"/>
      <c r="C283" s="122"/>
      <c r="D283" s="122"/>
      <c r="E283" s="122"/>
      <c r="F283" s="122"/>
      <c r="G283" s="122"/>
      <c r="H283" s="122"/>
      <c r="I283" s="122"/>
      <c r="J283" s="122"/>
      <c r="K283" s="122"/>
      <c r="L283" s="122"/>
      <c r="M283" s="122"/>
      <c r="N283" s="122"/>
      <c r="O283" s="122"/>
      <c r="P283" s="122"/>
      <c r="Q283" s="122"/>
      <c r="R283" s="122"/>
      <c r="S283" s="122"/>
      <c r="T283" s="122"/>
      <c r="U283" s="122"/>
      <c r="V283" s="122"/>
      <c r="W283" s="122"/>
      <c r="X283" s="122"/>
      <c r="Y283" s="122"/>
      <c r="Z283" s="122"/>
      <c r="AA283" s="122"/>
      <c r="AB283" s="122"/>
      <c r="AC283" s="122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  <c r="AO283" s="122"/>
      <c r="AP283" s="166"/>
      <c r="AQ283" s="122"/>
      <c r="AR283" s="167"/>
      <c r="AS283" s="122"/>
      <c r="AT283" s="122"/>
      <c r="AU283" s="122"/>
      <c r="AV283" s="122"/>
      <c r="AW283" s="122"/>
      <c r="AX283" s="122"/>
      <c r="AY283" s="122"/>
      <c r="AZ283" s="122"/>
      <c r="BA283" s="122"/>
      <c r="BB283" s="122"/>
      <c r="BC283" s="122"/>
      <c r="BD283" s="122"/>
      <c r="BE283" s="122"/>
      <c r="BF283" s="122"/>
      <c r="BG283" s="122"/>
      <c r="BH283" s="122"/>
      <c r="BI283" s="122"/>
      <c r="BJ283" s="122"/>
    </row>
    <row r="284" spans="1:62">
      <c r="A284" s="122"/>
      <c r="B284" s="122"/>
      <c r="C284" s="122"/>
      <c r="D284" s="122"/>
      <c r="E284" s="122"/>
      <c r="F284" s="122"/>
      <c r="G284" s="122"/>
      <c r="H284" s="122"/>
      <c r="I284" s="122"/>
      <c r="J284" s="122"/>
      <c r="K284" s="122"/>
      <c r="L284" s="122"/>
      <c r="M284" s="122"/>
      <c r="N284" s="122"/>
      <c r="O284" s="122"/>
      <c r="P284" s="122"/>
      <c r="Q284" s="122"/>
      <c r="R284" s="122"/>
      <c r="S284" s="122"/>
      <c r="T284" s="122"/>
      <c r="U284" s="122"/>
      <c r="V284" s="122"/>
      <c r="W284" s="122"/>
      <c r="X284" s="122"/>
      <c r="Y284" s="122"/>
      <c r="Z284" s="122"/>
      <c r="AA284" s="122"/>
      <c r="AB284" s="122"/>
      <c r="AC284" s="122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  <c r="AO284" s="122"/>
      <c r="AP284" s="166"/>
      <c r="AQ284" s="122"/>
      <c r="AR284" s="167"/>
      <c r="AS284" s="122"/>
      <c r="AT284" s="122"/>
      <c r="AU284" s="122"/>
      <c r="AV284" s="122"/>
      <c r="AW284" s="122"/>
      <c r="AX284" s="122"/>
      <c r="AY284" s="122"/>
      <c r="AZ284" s="122"/>
      <c r="BA284" s="122"/>
      <c r="BB284" s="122"/>
      <c r="BC284" s="122"/>
      <c r="BD284" s="122"/>
      <c r="BE284" s="122"/>
      <c r="BF284" s="122"/>
      <c r="BG284" s="122"/>
      <c r="BH284" s="122"/>
      <c r="BI284" s="122"/>
      <c r="BJ284" s="122"/>
    </row>
    <row r="285" spans="1:62">
      <c r="A285" s="122"/>
      <c r="B285" s="122"/>
      <c r="C285" s="122"/>
      <c r="D285" s="122"/>
      <c r="E285" s="122"/>
      <c r="F285" s="122"/>
      <c r="G285" s="122"/>
      <c r="H285" s="122"/>
      <c r="I285" s="122"/>
      <c r="J285" s="122"/>
      <c r="K285" s="122"/>
      <c r="L285" s="122"/>
      <c r="M285" s="122"/>
      <c r="N285" s="122"/>
      <c r="O285" s="122"/>
      <c r="P285" s="122"/>
      <c r="Q285" s="122"/>
      <c r="R285" s="122"/>
      <c r="S285" s="122"/>
      <c r="T285" s="122"/>
      <c r="U285" s="122"/>
      <c r="V285" s="122"/>
      <c r="W285" s="122"/>
      <c r="X285" s="122"/>
      <c r="Y285" s="122"/>
      <c r="Z285" s="122"/>
      <c r="AA285" s="122"/>
      <c r="AB285" s="122"/>
      <c r="AC285" s="122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  <c r="AO285" s="122"/>
      <c r="AP285" s="166"/>
      <c r="AQ285" s="122"/>
      <c r="AR285" s="167"/>
      <c r="AS285" s="122"/>
      <c r="AT285" s="122"/>
      <c r="AU285" s="122"/>
      <c r="AV285" s="122"/>
      <c r="AW285" s="122"/>
      <c r="AX285" s="122"/>
      <c r="AY285" s="122"/>
      <c r="AZ285" s="122"/>
      <c r="BA285" s="122"/>
      <c r="BB285" s="122"/>
      <c r="BC285" s="122"/>
      <c r="BD285" s="122"/>
      <c r="BE285" s="122"/>
      <c r="BF285" s="122"/>
      <c r="BG285" s="122"/>
      <c r="BH285" s="122"/>
      <c r="BI285" s="122"/>
      <c r="BJ285" s="122"/>
    </row>
    <row r="286" spans="1:62">
      <c r="A286" s="122"/>
      <c r="B286" s="122"/>
      <c r="C286" s="122"/>
      <c r="D286" s="122"/>
      <c r="E286" s="122"/>
      <c r="F286" s="122"/>
      <c r="G286" s="122"/>
      <c r="H286" s="122"/>
      <c r="I286" s="122"/>
      <c r="J286" s="122"/>
      <c r="K286" s="122"/>
      <c r="L286" s="122"/>
      <c r="M286" s="122"/>
      <c r="N286" s="122"/>
      <c r="O286" s="122"/>
      <c r="P286" s="122"/>
      <c r="Q286" s="122"/>
      <c r="R286" s="122"/>
      <c r="S286" s="122"/>
      <c r="T286" s="122"/>
      <c r="U286" s="122"/>
      <c r="V286" s="122"/>
      <c r="W286" s="122"/>
      <c r="X286" s="122"/>
      <c r="Y286" s="122"/>
      <c r="Z286" s="122"/>
      <c r="AA286" s="122"/>
      <c r="AB286" s="122"/>
      <c r="AC286" s="122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  <c r="AO286" s="122"/>
      <c r="AP286" s="166"/>
      <c r="AQ286" s="122"/>
      <c r="AR286" s="167"/>
      <c r="AS286" s="122"/>
      <c r="AT286" s="122"/>
      <c r="AU286" s="122"/>
      <c r="AV286" s="122"/>
      <c r="AW286" s="122"/>
      <c r="AX286" s="122"/>
      <c r="AY286" s="122"/>
      <c r="AZ286" s="122"/>
      <c r="BA286" s="122"/>
      <c r="BB286" s="122"/>
      <c r="BC286" s="122"/>
      <c r="BD286" s="122"/>
      <c r="BE286" s="122"/>
      <c r="BF286" s="122"/>
      <c r="BG286" s="122"/>
      <c r="BH286" s="122"/>
      <c r="BI286" s="122"/>
      <c r="BJ286" s="122"/>
    </row>
    <row r="287" spans="1:62">
      <c r="A287" s="122"/>
      <c r="B287" s="122"/>
      <c r="C287" s="122"/>
      <c r="D287" s="122"/>
      <c r="E287" s="122"/>
      <c r="F287" s="122"/>
      <c r="G287" s="122"/>
      <c r="H287" s="122"/>
      <c r="I287" s="122"/>
      <c r="J287" s="122"/>
      <c r="K287" s="122"/>
      <c r="L287" s="122"/>
      <c r="M287" s="122"/>
      <c r="N287" s="122"/>
      <c r="O287" s="122"/>
      <c r="P287" s="122"/>
      <c r="Q287" s="122"/>
      <c r="R287" s="122"/>
      <c r="S287" s="122"/>
      <c r="T287" s="122"/>
      <c r="U287" s="122"/>
      <c r="V287" s="122"/>
      <c r="W287" s="122"/>
      <c r="X287" s="122"/>
      <c r="Y287" s="122"/>
      <c r="Z287" s="122"/>
      <c r="AA287" s="122"/>
      <c r="AB287" s="122"/>
      <c r="AC287" s="122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  <c r="AO287" s="122"/>
      <c r="AP287" s="166"/>
      <c r="AQ287" s="122"/>
      <c r="AR287" s="167"/>
      <c r="AS287" s="122"/>
      <c r="AT287" s="122"/>
      <c r="AU287" s="122"/>
      <c r="AV287" s="122"/>
      <c r="AW287" s="122"/>
      <c r="AX287" s="122"/>
      <c r="AY287" s="122"/>
      <c r="AZ287" s="122"/>
      <c r="BA287" s="122"/>
      <c r="BB287" s="122"/>
      <c r="BC287" s="122"/>
      <c r="BD287" s="122"/>
      <c r="BE287" s="122"/>
      <c r="BF287" s="122"/>
      <c r="BG287" s="122"/>
      <c r="BH287" s="122"/>
      <c r="BI287" s="122"/>
      <c r="BJ287" s="122"/>
    </row>
    <row r="288" spans="1:62">
      <c r="A288" s="122"/>
      <c r="B288" s="122"/>
      <c r="C288" s="122"/>
      <c r="D288" s="122"/>
      <c r="E288" s="122"/>
      <c r="F288" s="122"/>
      <c r="G288" s="122"/>
      <c r="H288" s="122"/>
      <c r="I288" s="122"/>
      <c r="J288" s="122"/>
      <c r="K288" s="122"/>
      <c r="L288" s="122"/>
      <c r="M288" s="122"/>
      <c r="N288" s="122"/>
      <c r="O288" s="122"/>
      <c r="P288" s="122"/>
      <c r="Q288" s="122"/>
      <c r="R288" s="122"/>
      <c r="S288" s="122"/>
      <c r="T288" s="122"/>
      <c r="U288" s="122"/>
      <c r="V288" s="122"/>
      <c r="W288" s="122"/>
      <c r="X288" s="122"/>
      <c r="Y288" s="122"/>
      <c r="Z288" s="122"/>
      <c r="AA288" s="122"/>
      <c r="AB288" s="122"/>
      <c r="AC288" s="122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  <c r="AO288" s="122"/>
      <c r="AP288" s="166"/>
      <c r="AQ288" s="122"/>
      <c r="AR288" s="167"/>
      <c r="AS288" s="122"/>
      <c r="AT288" s="122"/>
      <c r="AU288" s="122"/>
      <c r="AV288" s="122"/>
      <c r="AW288" s="122"/>
      <c r="AX288" s="122"/>
      <c r="AY288" s="122"/>
      <c r="AZ288" s="122"/>
      <c r="BA288" s="122"/>
      <c r="BB288" s="122"/>
      <c r="BC288" s="122"/>
      <c r="BD288" s="122"/>
      <c r="BE288" s="122"/>
      <c r="BF288" s="122"/>
      <c r="BG288" s="122"/>
      <c r="BH288" s="122"/>
      <c r="BI288" s="122"/>
      <c r="BJ288" s="122"/>
    </row>
    <row r="289" spans="1:62">
      <c r="A289" s="122"/>
      <c r="B289" s="122"/>
      <c r="C289" s="122"/>
      <c r="D289" s="122"/>
      <c r="E289" s="122"/>
      <c r="F289" s="122"/>
      <c r="G289" s="122"/>
      <c r="H289" s="122"/>
      <c r="I289" s="122"/>
      <c r="J289" s="122"/>
      <c r="K289" s="122"/>
      <c r="L289" s="122"/>
      <c r="M289" s="122"/>
      <c r="N289" s="122"/>
      <c r="O289" s="122"/>
      <c r="P289" s="122"/>
      <c r="Q289" s="122"/>
      <c r="R289" s="122"/>
      <c r="S289" s="122"/>
      <c r="T289" s="122"/>
      <c r="U289" s="122"/>
      <c r="V289" s="122"/>
      <c r="W289" s="122"/>
      <c r="X289" s="122"/>
      <c r="Y289" s="122"/>
      <c r="Z289" s="122"/>
      <c r="AA289" s="122"/>
      <c r="AB289" s="122"/>
      <c r="AC289" s="122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  <c r="AO289" s="122"/>
      <c r="AP289" s="166"/>
      <c r="AQ289" s="122"/>
      <c r="AR289" s="167"/>
      <c r="AS289" s="122"/>
      <c r="AT289" s="122"/>
      <c r="AU289" s="122"/>
      <c r="AV289" s="122"/>
      <c r="AW289" s="122"/>
      <c r="AX289" s="122"/>
      <c r="AY289" s="122"/>
      <c r="AZ289" s="122"/>
      <c r="BA289" s="122"/>
      <c r="BB289" s="122"/>
      <c r="BC289" s="122"/>
      <c r="BD289" s="122"/>
      <c r="BE289" s="122"/>
      <c r="BF289" s="122"/>
      <c r="BG289" s="122"/>
      <c r="BH289" s="122"/>
      <c r="BI289" s="122"/>
      <c r="BJ289" s="122"/>
    </row>
    <row r="290" spans="1:62">
      <c r="A290" s="122"/>
      <c r="B290" s="122"/>
      <c r="C290" s="122"/>
      <c r="D290" s="122"/>
      <c r="E290" s="122"/>
      <c r="F290" s="122"/>
      <c r="G290" s="122"/>
      <c r="H290" s="122"/>
      <c r="I290" s="122"/>
      <c r="J290" s="122"/>
      <c r="K290" s="122"/>
      <c r="L290" s="122"/>
      <c r="M290" s="122"/>
      <c r="N290" s="122"/>
      <c r="O290" s="122"/>
      <c r="P290" s="122"/>
      <c r="Q290" s="122"/>
      <c r="R290" s="122"/>
      <c r="S290" s="122"/>
      <c r="T290" s="122"/>
      <c r="U290" s="122"/>
      <c r="V290" s="122"/>
      <c r="W290" s="122"/>
      <c r="X290" s="122"/>
      <c r="Y290" s="122"/>
      <c r="Z290" s="122"/>
      <c r="AA290" s="122"/>
      <c r="AB290" s="122"/>
      <c r="AC290" s="122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122"/>
      <c r="AP290" s="166"/>
      <c r="AQ290" s="122"/>
      <c r="AR290" s="167"/>
      <c r="AS290" s="122"/>
      <c r="AT290" s="122"/>
      <c r="AU290" s="122"/>
      <c r="AV290" s="122"/>
      <c r="AW290" s="122"/>
      <c r="AX290" s="122"/>
      <c r="AY290" s="122"/>
      <c r="AZ290" s="122"/>
      <c r="BA290" s="122"/>
      <c r="BB290" s="122"/>
      <c r="BC290" s="122"/>
      <c r="BD290" s="122"/>
      <c r="BE290" s="122"/>
      <c r="BF290" s="122"/>
      <c r="BG290" s="122"/>
      <c r="BH290" s="122"/>
      <c r="BI290" s="122"/>
      <c r="BJ290" s="122"/>
    </row>
    <row r="291" spans="1:62">
      <c r="A291" s="122"/>
      <c r="B291" s="122"/>
      <c r="C291" s="122"/>
      <c r="D291" s="122"/>
      <c r="E291" s="122"/>
      <c r="F291" s="122"/>
      <c r="G291" s="122"/>
      <c r="H291" s="122"/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  <c r="AP291" s="166"/>
      <c r="AQ291" s="122"/>
      <c r="AR291" s="167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2"/>
      <c r="BF291" s="122"/>
      <c r="BG291" s="122"/>
      <c r="BH291" s="122"/>
      <c r="BI291" s="122"/>
      <c r="BJ291" s="122"/>
    </row>
    <row r="292" spans="1:62">
      <c r="A292" s="122"/>
      <c r="B292" s="122"/>
      <c r="C292" s="122"/>
      <c r="D292" s="122"/>
      <c r="E292" s="122"/>
      <c r="F292" s="122"/>
      <c r="G292" s="122"/>
      <c r="H292" s="122"/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122"/>
      <c r="AP292" s="166"/>
      <c r="AQ292" s="122"/>
      <c r="AR292" s="167"/>
      <c r="AS292" s="122"/>
      <c r="AT292" s="122"/>
      <c r="AU292" s="122"/>
      <c r="AV292" s="122"/>
      <c r="AW292" s="122"/>
      <c r="AX292" s="122"/>
      <c r="AY292" s="122"/>
      <c r="AZ292" s="122"/>
      <c r="BA292" s="122"/>
      <c r="BB292" s="122"/>
      <c r="BC292" s="122"/>
      <c r="BD292" s="122"/>
      <c r="BE292" s="122"/>
      <c r="BF292" s="122"/>
      <c r="BG292" s="122"/>
      <c r="BH292" s="122"/>
      <c r="BI292" s="122"/>
      <c r="BJ292" s="122"/>
    </row>
    <row r="293" spans="1:62">
      <c r="A293" s="122"/>
      <c r="B293" s="122"/>
      <c r="C293" s="122"/>
      <c r="D293" s="122"/>
      <c r="E293" s="122"/>
      <c r="F293" s="122"/>
      <c r="G293" s="122"/>
      <c r="H293" s="122"/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66"/>
      <c r="AQ293" s="122"/>
      <c r="AR293" s="167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2"/>
      <c r="BF293" s="122"/>
      <c r="BG293" s="122"/>
      <c r="BH293" s="122"/>
      <c r="BI293" s="122"/>
      <c r="BJ293" s="122"/>
    </row>
    <row r="294" spans="1:62">
      <c r="A294" s="122"/>
      <c r="B294" s="122"/>
      <c r="C294" s="122"/>
      <c r="D294" s="122"/>
      <c r="E294" s="122"/>
      <c r="F294" s="122"/>
      <c r="G294" s="122"/>
      <c r="H294" s="122"/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122"/>
      <c r="AP294" s="166"/>
      <c r="AQ294" s="122"/>
      <c r="AR294" s="167"/>
      <c r="AS294" s="122"/>
      <c r="AT294" s="122"/>
      <c r="AU294" s="122"/>
      <c r="AV294" s="122"/>
      <c r="AW294" s="122"/>
      <c r="AX294" s="122"/>
      <c r="AY294" s="122"/>
      <c r="AZ294" s="122"/>
      <c r="BA294" s="122"/>
      <c r="BB294" s="122"/>
      <c r="BC294" s="122"/>
      <c r="BD294" s="122"/>
      <c r="BE294" s="122"/>
      <c r="BF294" s="122"/>
      <c r="BG294" s="122"/>
      <c r="BH294" s="122"/>
      <c r="BI294" s="122"/>
      <c r="BJ294" s="122"/>
    </row>
    <row r="295" spans="1:62">
      <c r="A295" s="122"/>
      <c r="B295" s="122"/>
      <c r="C295" s="122"/>
      <c r="D295" s="122"/>
      <c r="E295" s="122"/>
      <c r="F295" s="122"/>
      <c r="G295" s="122"/>
      <c r="H295" s="122"/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122"/>
      <c r="AP295" s="166"/>
      <c r="AQ295" s="122"/>
      <c r="AR295" s="167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</row>
    <row r="296" spans="1:62">
      <c r="A296" s="122"/>
      <c r="B296" s="122"/>
      <c r="C296" s="122"/>
      <c r="D296" s="122"/>
      <c r="E296" s="122"/>
      <c r="F296" s="122"/>
      <c r="G296" s="122"/>
      <c r="H296" s="122"/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122"/>
      <c r="AP296" s="166"/>
      <c r="AQ296" s="122"/>
      <c r="AR296" s="167"/>
      <c r="AS296" s="122"/>
      <c r="AT296" s="122"/>
      <c r="AU296" s="122"/>
      <c r="AV296" s="122"/>
      <c r="AW296" s="122"/>
      <c r="AX296" s="122"/>
      <c r="AY296" s="122"/>
      <c r="AZ296" s="122"/>
      <c r="BA296" s="122"/>
      <c r="BB296" s="122"/>
      <c r="BC296" s="122"/>
      <c r="BD296" s="122"/>
      <c r="BE296" s="122"/>
      <c r="BF296" s="122"/>
      <c r="BG296" s="122"/>
      <c r="BH296" s="122"/>
      <c r="BI296" s="122"/>
      <c r="BJ296" s="122"/>
    </row>
    <row r="297" spans="1:62">
      <c r="A297" s="122"/>
      <c r="B297" s="122"/>
      <c r="C297" s="122"/>
      <c r="D297" s="122"/>
      <c r="E297" s="122"/>
      <c r="F297" s="122"/>
      <c r="G297" s="122"/>
      <c r="H297" s="122"/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  <c r="AO297" s="122"/>
      <c r="AP297" s="166"/>
      <c r="AQ297" s="122"/>
      <c r="AR297" s="167"/>
      <c r="AS297" s="122"/>
      <c r="AT297" s="122"/>
      <c r="AU297" s="122"/>
      <c r="AV297" s="122"/>
      <c r="AW297" s="122"/>
      <c r="AX297" s="122"/>
      <c r="AY297" s="122"/>
      <c r="AZ297" s="122"/>
      <c r="BA297" s="122"/>
      <c r="BB297" s="122"/>
      <c r="BC297" s="122"/>
      <c r="BD297" s="122"/>
      <c r="BE297" s="122"/>
      <c r="BF297" s="122"/>
      <c r="BG297" s="122"/>
      <c r="BH297" s="122"/>
      <c r="BI297" s="122"/>
      <c r="BJ297" s="122"/>
    </row>
    <row r="298" spans="1:62">
      <c r="A298" s="122"/>
      <c r="B298" s="122"/>
      <c r="C298" s="122"/>
      <c r="D298" s="122"/>
      <c r="E298" s="122"/>
      <c r="F298" s="122"/>
      <c r="G298" s="122"/>
      <c r="H298" s="122"/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  <c r="AO298" s="122"/>
      <c r="AP298" s="166"/>
      <c r="AQ298" s="122"/>
      <c r="AR298" s="167"/>
      <c r="AS298" s="122"/>
      <c r="AT298" s="122"/>
      <c r="AU298" s="122"/>
      <c r="AV298" s="122"/>
      <c r="AW298" s="122"/>
      <c r="AX298" s="122"/>
      <c r="AY298" s="122"/>
      <c r="AZ298" s="122"/>
      <c r="BA298" s="122"/>
      <c r="BB298" s="122"/>
      <c r="BC298" s="122"/>
      <c r="BD298" s="122"/>
      <c r="BE298" s="122"/>
      <c r="BF298" s="122"/>
      <c r="BG298" s="122"/>
      <c r="BH298" s="122"/>
      <c r="BI298" s="122"/>
      <c r="BJ298" s="122"/>
    </row>
    <row r="299" spans="1:62">
      <c r="A299" s="122"/>
      <c r="B299" s="122"/>
      <c r="C299" s="122"/>
      <c r="D299" s="122"/>
      <c r="E299" s="122"/>
      <c r="F299" s="122"/>
      <c r="G299" s="122"/>
      <c r="H299" s="122"/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  <c r="AO299" s="122"/>
      <c r="AP299" s="166"/>
      <c r="AQ299" s="122"/>
      <c r="AR299" s="167"/>
      <c r="AS299" s="122"/>
      <c r="AT299" s="122"/>
      <c r="AU299" s="122"/>
      <c r="AV299" s="122"/>
      <c r="AW299" s="122"/>
      <c r="AX299" s="122"/>
      <c r="AY299" s="122"/>
      <c r="AZ299" s="122"/>
      <c r="BA299" s="122"/>
      <c r="BB299" s="122"/>
      <c r="BC299" s="122"/>
      <c r="BD299" s="122"/>
      <c r="BE299" s="122"/>
      <c r="BF299" s="122"/>
      <c r="BG299" s="122"/>
      <c r="BH299" s="122"/>
      <c r="BI299" s="122"/>
      <c r="BJ299" s="122"/>
    </row>
    <row r="300" spans="1:62">
      <c r="A300" s="122"/>
      <c r="B300" s="122"/>
      <c r="C300" s="122"/>
      <c r="D300" s="122"/>
      <c r="E300" s="122"/>
      <c r="F300" s="122"/>
      <c r="G300" s="122"/>
      <c r="H300" s="122"/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  <c r="AP300" s="166"/>
      <c r="AQ300" s="122"/>
      <c r="AR300" s="167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2"/>
      <c r="BF300" s="122"/>
      <c r="BG300" s="122"/>
      <c r="BH300" s="122"/>
      <c r="BI300" s="122"/>
      <c r="BJ300" s="122"/>
    </row>
    <row r="301" spans="1:62">
      <c r="A301" s="122"/>
      <c r="B301" s="122"/>
      <c r="C301" s="122"/>
      <c r="D301" s="122"/>
      <c r="E301" s="122"/>
      <c r="F301" s="122"/>
      <c r="G301" s="122"/>
      <c r="H301" s="122"/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  <c r="AO301" s="122"/>
      <c r="AP301" s="166"/>
      <c r="AQ301" s="122"/>
      <c r="AR301" s="167"/>
      <c r="AS301" s="122"/>
      <c r="AT301" s="122"/>
      <c r="AU301" s="122"/>
      <c r="AV301" s="122"/>
      <c r="AW301" s="122"/>
      <c r="AX301" s="122"/>
      <c r="AY301" s="122"/>
      <c r="AZ301" s="122"/>
      <c r="BA301" s="122"/>
      <c r="BB301" s="122"/>
      <c r="BC301" s="122"/>
      <c r="BD301" s="122"/>
      <c r="BE301" s="122"/>
      <c r="BF301" s="122"/>
      <c r="BG301" s="122"/>
      <c r="BH301" s="122"/>
      <c r="BI301" s="122"/>
      <c r="BJ301" s="122"/>
    </row>
    <row r="302" spans="1:62">
      <c r="A302" s="122"/>
      <c r="B302" s="122"/>
      <c r="C302" s="122"/>
      <c r="D302" s="122"/>
      <c r="E302" s="122"/>
      <c r="F302" s="122"/>
      <c r="G302" s="122"/>
      <c r="H302" s="122"/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  <c r="AO302" s="122"/>
      <c r="AP302" s="166"/>
      <c r="AQ302" s="122"/>
      <c r="AR302" s="167"/>
      <c r="AS302" s="122"/>
      <c r="AT302" s="122"/>
      <c r="AU302" s="122"/>
      <c r="AV302" s="122"/>
      <c r="AW302" s="122"/>
      <c r="AX302" s="122"/>
      <c r="AY302" s="122"/>
      <c r="AZ302" s="122"/>
      <c r="BA302" s="122"/>
      <c r="BB302" s="122"/>
      <c r="BC302" s="122"/>
      <c r="BD302" s="122"/>
      <c r="BE302" s="122"/>
      <c r="BF302" s="122"/>
      <c r="BG302" s="122"/>
      <c r="BH302" s="122"/>
      <c r="BI302" s="122"/>
      <c r="BJ302" s="122"/>
    </row>
    <row r="303" spans="1:62">
      <c r="A303" s="122"/>
      <c r="B303" s="122"/>
      <c r="C303" s="122"/>
      <c r="D303" s="122"/>
      <c r="E303" s="122"/>
      <c r="F303" s="122"/>
      <c r="G303" s="122"/>
      <c r="H303" s="122"/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66"/>
      <c r="AQ303" s="122"/>
      <c r="AR303" s="167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</row>
    <row r="304" spans="1:62">
      <c r="A304" s="122"/>
      <c r="B304" s="122"/>
      <c r="C304" s="122"/>
      <c r="D304" s="122"/>
      <c r="E304" s="122"/>
      <c r="F304" s="122"/>
      <c r="G304" s="122"/>
      <c r="H304" s="122"/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  <c r="AO304" s="122"/>
      <c r="AP304" s="166"/>
      <c r="AQ304" s="122"/>
      <c r="AR304" s="167"/>
      <c r="AS304" s="122"/>
      <c r="AT304" s="122"/>
      <c r="AU304" s="122"/>
      <c r="AV304" s="122"/>
      <c r="AW304" s="122"/>
      <c r="AX304" s="122"/>
      <c r="AY304" s="122"/>
      <c r="AZ304" s="122"/>
      <c r="BA304" s="122"/>
      <c r="BB304" s="122"/>
      <c r="BC304" s="122"/>
      <c r="BD304" s="122"/>
      <c r="BE304" s="122"/>
      <c r="BF304" s="122"/>
      <c r="BG304" s="122"/>
      <c r="BH304" s="122"/>
      <c r="BI304" s="122"/>
      <c r="BJ304" s="122"/>
    </row>
    <row r="305" spans="1:62">
      <c r="A305" s="122"/>
      <c r="B305" s="122"/>
      <c r="C305" s="122"/>
      <c r="D305" s="122"/>
      <c r="E305" s="122"/>
      <c r="F305" s="122"/>
      <c r="G305" s="122"/>
      <c r="H305" s="122"/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  <c r="AO305" s="122"/>
      <c r="AP305" s="166"/>
      <c r="AQ305" s="122"/>
      <c r="AR305" s="167"/>
      <c r="AS305" s="122"/>
      <c r="AT305" s="122"/>
      <c r="AU305" s="122"/>
      <c r="AV305" s="122"/>
      <c r="AW305" s="122"/>
      <c r="AX305" s="122"/>
      <c r="AY305" s="122"/>
      <c r="AZ305" s="122"/>
      <c r="BA305" s="122"/>
      <c r="BB305" s="122"/>
      <c r="BC305" s="122"/>
      <c r="BD305" s="122"/>
      <c r="BE305" s="122"/>
      <c r="BF305" s="122"/>
      <c r="BG305" s="122"/>
      <c r="BH305" s="122"/>
      <c r="BI305" s="122"/>
      <c r="BJ305" s="122"/>
    </row>
    <row r="306" spans="1:62">
      <c r="A306" s="122"/>
      <c r="B306" s="122"/>
      <c r="C306" s="122"/>
      <c r="D306" s="122"/>
      <c r="E306" s="122"/>
      <c r="F306" s="122"/>
      <c r="G306" s="122"/>
      <c r="H306" s="122"/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  <c r="AP306" s="166"/>
      <c r="AQ306" s="122"/>
      <c r="AR306" s="167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2"/>
      <c r="BF306" s="122"/>
      <c r="BG306" s="122"/>
      <c r="BH306" s="122"/>
      <c r="BI306" s="122"/>
      <c r="BJ306" s="122"/>
    </row>
    <row r="307" spans="1:62">
      <c r="A307" s="122"/>
      <c r="B307" s="122"/>
      <c r="C307" s="122"/>
      <c r="D307" s="122"/>
      <c r="E307" s="122"/>
      <c r="F307" s="122"/>
      <c r="G307" s="122"/>
      <c r="H307" s="122"/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  <c r="AO307" s="122"/>
      <c r="AP307" s="166"/>
      <c r="AQ307" s="122"/>
      <c r="AR307" s="167"/>
      <c r="AS307" s="122"/>
      <c r="AT307" s="122"/>
      <c r="AU307" s="122"/>
      <c r="AV307" s="122"/>
      <c r="AW307" s="122"/>
      <c r="AX307" s="122"/>
      <c r="AY307" s="122"/>
      <c r="AZ307" s="122"/>
      <c r="BA307" s="122"/>
      <c r="BB307" s="122"/>
      <c r="BC307" s="122"/>
      <c r="BD307" s="122"/>
      <c r="BE307" s="122"/>
      <c r="BF307" s="122"/>
      <c r="BG307" s="122"/>
      <c r="BH307" s="122"/>
      <c r="BI307" s="122"/>
      <c r="BJ307" s="122"/>
    </row>
    <row r="308" spans="1:62">
      <c r="A308" s="122"/>
      <c r="B308" s="122"/>
      <c r="C308" s="122"/>
      <c r="D308" s="122"/>
      <c r="E308" s="122"/>
      <c r="F308" s="122"/>
      <c r="G308" s="122"/>
      <c r="H308" s="122"/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  <c r="AP308" s="166"/>
      <c r="AQ308" s="122"/>
      <c r="AR308" s="167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2"/>
      <c r="BF308" s="122"/>
      <c r="BG308" s="122"/>
      <c r="BH308" s="122"/>
      <c r="BI308" s="122"/>
      <c r="BJ308" s="122"/>
    </row>
    <row r="309" spans="1:62">
      <c r="A309" s="122"/>
      <c r="B309" s="122"/>
      <c r="C309" s="122"/>
      <c r="D309" s="122"/>
      <c r="E309" s="122"/>
      <c r="F309" s="122"/>
      <c r="G309" s="122"/>
      <c r="H309" s="122"/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  <c r="AO309" s="122"/>
      <c r="AP309" s="166"/>
      <c r="AQ309" s="122"/>
      <c r="AR309" s="167"/>
      <c r="AS309" s="122"/>
      <c r="AT309" s="122"/>
      <c r="AU309" s="122"/>
      <c r="AV309" s="122"/>
      <c r="AW309" s="122"/>
      <c r="AX309" s="122"/>
      <c r="AY309" s="122"/>
      <c r="AZ309" s="122"/>
      <c r="BA309" s="122"/>
      <c r="BB309" s="122"/>
      <c r="BC309" s="122"/>
      <c r="BD309" s="122"/>
      <c r="BE309" s="122"/>
      <c r="BF309" s="122"/>
      <c r="BG309" s="122"/>
      <c r="BH309" s="122"/>
      <c r="BI309" s="122"/>
      <c r="BJ309" s="122"/>
    </row>
    <row r="310" spans="1:62">
      <c r="A310" s="122"/>
      <c r="B310" s="122"/>
      <c r="C310" s="122"/>
      <c r="D310" s="122"/>
      <c r="E310" s="122"/>
      <c r="F310" s="122"/>
      <c r="G310" s="122"/>
      <c r="H310" s="122"/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  <c r="AP310" s="166"/>
      <c r="AQ310" s="122"/>
      <c r="AR310" s="167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2"/>
      <c r="BF310" s="122"/>
      <c r="BG310" s="122"/>
      <c r="BH310" s="122"/>
      <c r="BI310" s="122"/>
      <c r="BJ310" s="122"/>
    </row>
    <row r="311" spans="1:62">
      <c r="A311" s="122"/>
      <c r="B311" s="122"/>
      <c r="C311" s="122"/>
      <c r="D311" s="122"/>
      <c r="E311" s="122"/>
      <c r="F311" s="122"/>
      <c r="G311" s="122"/>
      <c r="H311" s="122"/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  <c r="AO311" s="122"/>
      <c r="AP311" s="166"/>
      <c r="AQ311" s="122"/>
      <c r="AR311" s="167"/>
      <c r="AS311" s="122"/>
      <c r="AT311" s="122"/>
      <c r="AU311" s="122"/>
      <c r="AV311" s="122"/>
      <c r="AW311" s="122"/>
      <c r="AX311" s="122"/>
      <c r="AY311" s="122"/>
      <c r="AZ311" s="122"/>
      <c r="BA311" s="122"/>
      <c r="BB311" s="122"/>
      <c r="BC311" s="122"/>
      <c r="BD311" s="122"/>
      <c r="BE311" s="122"/>
      <c r="BF311" s="122"/>
      <c r="BG311" s="122"/>
      <c r="BH311" s="122"/>
      <c r="BI311" s="122"/>
      <c r="BJ311" s="122"/>
    </row>
    <row r="312" spans="1:62">
      <c r="A312" s="122"/>
      <c r="B312" s="122"/>
      <c r="C312" s="122"/>
      <c r="D312" s="122"/>
      <c r="E312" s="122"/>
      <c r="F312" s="122"/>
      <c r="G312" s="122"/>
      <c r="H312" s="122"/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  <c r="AP312" s="166"/>
      <c r="AQ312" s="122"/>
      <c r="AR312" s="167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2"/>
      <c r="BF312" s="122"/>
      <c r="BG312" s="122"/>
      <c r="BH312" s="122"/>
      <c r="BI312" s="122"/>
      <c r="BJ312" s="122"/>
    </row>
    <row r="313" spans="1:62">
      <c r="A313" s="122"/>
      <c r="B313" s="122"/>
      <c r="C313" s="122"/>
      <c r="D313" s="122"/>
      <c r="E313" s="122"/>
      <c r="F313" s="122"/>
      <c r="G313" s="122"/>
      <c r="H313" s="122"/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  <c r="AO313" s="122"/>
      <c r="AP313" s="166"/>
      <c r="AQ313" s="122"/>
      <c r="AR313" s="167"/>
      <c r="AS313" s="122"/>
      <c r="AT313" s="122"/>
      <c r="AU313" s="122"/>
      <c r="AV313" s="122"/>
      <c r="AW313" s="122"/>
      <c r="AX313" s="122"/>
      <c r="AY313" s="122"/>
      <c r="AZ313" s="122"/>
      <c r="BA313" s="122"/>
      <c r="BB313" s="122"/>
      <c r="BC313" s="122"/>
      <c r="BD313" s="122"/>
      <c r="BE313" s="122"/>
      <c r="BF313" s="122"/>
      <c r="BG313" s="122"/>
      <c r="BH313" s="122"/>
      <c r="BI313" s="122"/>
      <c r="BJ313" s="122"/>
    </row>
    <row r="314" spans="1:62">
      <c r="A314" s="122"/>
      <c r="B314" s="122"/>
      <c r="C314" s="122"/>
      <c r="D314" s="122"/>
      <c r="E314" s="122"/>
      <c r="F314" s="122"/>
      <c r="G314" s="122"/>
      <c r="H314" s="122"/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66"/>
      <c r="AQ314" s="122"/>
      <c r="AR314" s="167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</row>
    <row r="315" spans="1:62">
      <c r="A315" s="122"/>
      <c r="B315" s="122"/>
      <c r="C315" s="122"/>
      <c r="D315" s="122"/>
      <c r="E315" s="122"/>
      <c r="F315" s="122"/>
      <c r="G315" s="122"/>
      <c r="H315" s="122"/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  <c r="AP315" s="166"/>
      <c r="AQ315" s="122"/>
      <c r="AR315" s="167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2"/>
      <c r="BF315" s="122"/>
      <c r="BG315" s="122"/>
      <c r="BH315" s="122"/>
      <c r="BI315" s="122"/>
      <c r="BJ315" s="122"/>
    </row>
    <row r="316" spans="1:62">
      <c r="A316" s="122"/>
      <c r="B316" s="122"/>
      <c r="C316" s="122"/>
      <c r="D316" s="122"/>
      <c r="E316" s="122"/>
      <c r="F316" s="122"/>
      <c r="G316" s="122"/>
      <c r="H316" s="122"/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  <c r="AP316" s="166"/>
      <c r="AQ316" s="122"/>
      <c r="AR316" s="167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2"/>
      <c r="BF316" s="122"/>
      <c r="BG316" s="122"/>
      <c r="BH316" s="122"/>
      <c r="BI316" s="122"/>
      <c r="BJ316" s="122"/>
    </row>
    <row r="317" spans="1:62">
      <c r="A317" s="122"/>
      <c r="B317" s="122"/>
      <c r="C317" s="122"/>
      <c r="D317" s="122"/>
      <c r="E317" s="122"/>
      <c r="F317" s="122"/>
      <c r="G317" s="122"/>
      <c r="H317" s="122"/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  <c r="AO317" s="122"/>
      <c r="AP317" s="166"/>
      <c r="AQ317" s="122"/>
      <c r="AR317" s="167"/>
      <c r="AS317" s="122"/>
      <c r="AT317" s="122"/>
      <c r="AU317" s="122"/>
      <c r="AV317" s="122"/>
      <c r="AW317" s="122"/>
      <c r="AX317" s="122"/>
      <c r="AY317" s="122"/>
      <c r="AZ317" s="122"/>
      <c r="BA317" s="122"/>
      <c r="BB317" s="122"/>
      <c r="BC317" s="122"/>
      <c r="BD317" s="122"/>
      <c r="BE317" s="122"/>
      <c r="BF317" s="122"/>
      <c r="BG317" s="122"/>
      <c r="BH317" s="122"/>
      <c r="BI317" s="122"/>
      <c r="BJ317" s="122"/>
    </row>
    <row r="318" spans="1:62">
      <c r="A318" s="122"/>
      <c r="B318" s="122"/>
      <c r="C318" s="122"/>
      <c r="D318" s="122"/>
      <c r="E318" s="122"/>
      <c r="F318" s="122"/>
      <c r="G318" s="122"/>
      <c r="H318" s="122"/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  <c r="AO318" s="122"/>
      <c r="AP318" s="166"/>
      <c r="AQ318" s="122"/>
      <c r="AR318" s="167"/>
      <c r="AS318" s="122"/>
      <c r="AT318" s="122"/>
      <c r="AU318" s="122"/>
      <c r="AV318" s="122"/>
      <c r="AW318" s="122"/>
      <c r="AX318" s="122"/>
      <c r="AY318" s="122"/>
      <c r="AZ318" s="122"/>
      <c r="BA318" s="122"/>
      <c r="BB318" s="122"/>
      <c r="BC318" s="122"/>
      <c r="BD318" s="122"/>
      <c r="BE318" s="122"/>
      <c r="BF318" s="122"/>
      <c r="BG318" s="122"/>
      <c r="BH318" s="122"/>
      <c r="BI318" s="122"/>
      <c r="BJ318" s="122"/>
    </row>
    <row r="319" spans="1:62">
      <c r="A319" s="122"/>
      <c r="B319" s="122"/>
      <c r="C319" s="122"/>
      <c r="D319" s="122"/>
      <c r="E319" s="122"/>
      <c r="F319" s="122"/>
      <c r="G319" s="122"/>
      <c r="H319" s="122"/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  <c r="AO319" s="122"/>
      <c r="AP319" s="166"/>
      <c r="AQ319" s="122"/>
      <c r="AR319" s="167"/>
      <c r="AS319" s="122"/>
      <c r="AT319" s="122"/>
      <c r="AU319" s="122"/>
      <c r="AV319" s="122"/>
      <c r="AW319" s="122"/>
      <c r="AX319" s="122"/>
      <c r="AY319" s="122"/>
      <c r="AZ319" s="122"/>
      <c r="BA319" s="122"/>
      <c r="BB319" s="122"/>
      <c r="BC319" s="122"/>
      <c r="BD319" s="122"/>
      <c r="BE319" s="122"/>
      <c r="BF319" s="122"/>
      <c r="BG319" s="122"/>
      <c r="BH319" s="122"/>
      <c r="BI319" s="122"/>
      <c r="BJ319" s="122"/>
    </row>
    <row r="320" spans="1:62">
      <c r="A320" s="122"/>
      <c r="B320" s="122"/>
      <c r="C320" s="122"/>
      <c r="D320" s="122"/>
      <c r="E320" s="122"/>
      <c r="F320" s="122"/>
      <c r="G320" s="122"/>
      <c r="H320" s="122"/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  <c r="AA320" s="122"/>
      <c r="AB320" s="122"/>
      <c r="AC320" s="122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  <c r="AO320" s="122"/>
      <c r="AP320" s="166"/>
      <c r="AQ320" s="122"/>
      <c r="AR320" s="167"/>
      <c r="AS320" s="122"/>
      <c r="AT320" s="122"/>
      <c r="AU320" s="122"/>
      <c r="AV320" s="122"/>
      <c r="AW320" s="122"/>
      <c r="AX320" s="122"/>
      <c r="AY320" s="122"/>
      <c r="AZ320" s="122"/>
      <c r="BA320" s="122"/>
      <c r="BB320" s="122"/>
      <c r="BC320" s="122"/>
      <c r="BD320" s="122"/>
      <c r="BE320" s="122"/>
      <c r="BF320" s="122"/>
      <c r="BG320" s="122"/>
      <c r="BH320" s="122"/>
      <c r="BI320" s="122"/>
      <c r="BJ320" s="122"/>
    </row>
    <row r="321" spans="1:62">
      <c r="A321" s="122"/>
      <c r="B321" s="122"/>
      <c r="C321" s="122"/>
      <c r="D321" s="122"/>
      <c r="E321" s="122"/>
      <c r="F321" s="122"/>
      <c r="G321" s="122"/>
      <c r="H321" s="122"/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  <c r="AO321" s="122"/>
      <c r="AP321" s="166"/>
      <c r="AQ321" s="122"/>
      <c r="AR321" s="167"/>
      <c r="AS321" s="122"/>
      <c r="AT321" s="122"/>
      <c r="AU321" s="122"/>
      <c r="AV321" s="122"/>
      <c r="AW321" s="122"/>
      <c r="AX321" s="122"/>
      <c r="AY321" s="122"/>
      <c r="AZ321" s="122"/>
      <c r="BA321" s="122"/>
      <c r="BB321" s="122"/>
      <c r="BC321" s="122"/>
      <c r="BD321" s="122"/>
      <c r="BE321" s="122"/>
      <c r="BF321" s="122"/>
      <c r="BG321" s="122"/>
      <c r="BH321" s="122"/>
      <c r="BI321" s="122"/>
      <c r="BJ321" s="122"/>
    </row>
    <row r="322" spans="1:62">
      <c r="A322" s="122"/>
      <c r="B322" s="122"/>
      <c r="C322" s="122"/>
      <c r="D322" s="122"/>
      <c r="E322" s="122"/>
      <c r="F322" s="122"/>
      <c r="G322" s="122"/>
      <c r="H322" s="122"/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  <c r="AO322" s="122"/>
      <c r="AP322" s="166"/>
      <c r="AQ322" s="122"/>
      <c r="AR322" s="167"/>
      <c r="AS322" s="122"/>
      <c r="AT322" s="122"/>
      <c r="AU322" s="122"/>
      <c r="AV322" s="122"/>
      <c r="AW322" s="122"/>
      <c r="AX322" s="122"/>
      <c r="AY322" s="122"/>
      <c r="AZ322" s="122"/>
      <c r="BA322" s="122"/>
      <c r="BB322" s="122"/>
      <c r="BC322" s="122"/>
      <c r="BD322" s="122"/>
      <c r="BE322" s="122"/>
      <c r="BF322" s="122"/>
      <c r="BG322" s="122"/>
      <c r="BH322" s="122"/>
      <c r="BI322" s="122"/>
      <c r="BJ322" s="122"/>
    </row>
    <row r="323" spans="1:62">
      <c r="A323" s="122"/>
      <c r="B323" s="122"/>
      <c r="C323" s="122"/>
      <c r="D323" s="122"/>
      <c r="E323" s="122"/>
      <c r="F323" s="122"/>
      <c r="G323" s="122"/>
      <c r="H323" s="122"/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  <c r="AA323" s="122"/>
      <c r="AB323" s="122"/>
      <c r="AC323" s="122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  <c r="AO323" s="122"/>
      <c r="AP323" s="166"/>
      <c r="AQ323" s="122"/>
      <c r="AR323" s="167"/>
      <c r="AS323" s="122"/>
      <c r="AT323" s="122"/>
      <c r="AU323" s="122"/>
      <c r="AV323" s="122"/>
      <c r="AW323" s="122"/>
      <c r="AX323" s="122"/>
      <c r="AY323" s="122"/>
      <c r="AZ323" s="122"/>
      <c r="BA323" s="122"/>
      <c r="BB323" s="122"/>
      <c r="BC323" s="122"/>
      <c r="BD323" s="122"/>
      <c r="BE323" s="122"/>
      <c r="BF323" s="122"/>
      <c r="BG323" s="122"/>
      <c r="BH323" s="122"/>
      <c r="BI323" s="122"/>
      <c r="BJ323" s="122"/>
    </row>
    <row r="324" spans="1:62">
      <c r="A324" s="122"/>
      <c r="B324" s="122"/>
      <c r="C324" s="122"/>
      <c r="D324" s="122"/>
      <c r="E324" s="122"/>
      <c r="F324" s="122"/>
      <c r="G324" s="122"/>
      <c r="H324" s="122"/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  <c r="AO324" s="122"/>
      <c r="AP324" s="166"/>
      <c r="AQ324" s="122"/>
      <c r="AR324" s="167"/>
      <c r="AS324" s="122"/>
      <c r="AT324" s="122"/>
      <c r="AU324" s="122"/>
      <c r="AV324" s="122"/>
      <c r="AW324" s="122"/>
      <c r="AX324" s="122"/>
      <c r="AY324" s="122"/>
      <c r="AZ324" s="122"/>
      <c r="BA324" s="122"/>
      <c r="BB324" s="122"/>
      <c r="BC324" s="122"/>
      <c r="BD324" s="122"/>
      <c r="BE324" s="122"/>
      <c r="BF324" s="122"/>
      <c r="BG324" s="122"/>
      <c r="BH324" s="122"/>
      <c r="BI324" s="122"/>
      <c r="BJ324" s="122"/>
    </row>
    <row r="325" spans="1:62">
      <c r="A325" s="122"/>
      <c r="B325" s="122"/>
      <c r="C325" s="122"/>
      <c r="D325" s="122"/>
      <c r="E325" s="122"/>
      <c r="F325" s="122"/>
      <c r="G325" s="122"/>
      <c r="H325" s="122"/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  <c r="AA325" s="122"/>
      <c r="AB325" s="122"/>
      <c r="AC325" s="122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  <c r="AO325" s="122"/>
      <c r="AP325" s="166"/>
      <c r="AQ325" s="122"/>
      <c r="AR325" s="167"/>
      <c r="AS325" s="122"/>
      <c r="AT325" s="122"/>
      <c r="AU325" s="122"/>
      <c r="AV325" s="122"/>
      <c r="AW325" s="122"/>
      <c r="AX325" s="122"/>
      <c r="AY325" s="122"/>
      <c r="AZ325" s="122"/>
      <c r="BA325" s="122"/>
      <c r="BB325" s="122"/>
      <c r="BC325" s="122"/>
      <c r="BD325" s="122"/>
      <c r="BE325" s="122"/>
      <c r="BF325" s="122"/>
      <c r="BG325" s="122"/>
      <c r="BH325" s="122"/>
      <c r="BI325" s="122"/>
      <c r="BJ325" s="122"/>
    </row>
    <row r="326" spans="1:62">
      <c r="A326" s="122"/>
      <c r="B326" s="122"/>
      <c r="C326" s="122"/>
      <c r="D326" s="122"/>
      <c r="E326" s="122"/>
      <c r="F326" s="122"/>
      <c r="G326" s="122"/>
      <c r="H326" s="122"/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  <c r="AP326" s="166"/>
      <c r="AQ326" s="122"/>
      <c r="AR326" s="167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2"/>
      <c r="BF326" s="122"/>
      <c r="BG326" s="122"/>
      <c r="BH326" s="122"/>
      <c r="BI326" s="122"/>
      <c r="BJ326" s="122"/>
    </row>
    <row r="327" spans="1:62">
      <c r="A327" s="122"/>
      <c r="B327" s="122"/>
      <c r="C327" s="122"/>
      <c r="D327" s="122"/>
      <c r="E327" s="122"/>
      <c r="F327" s="122"/>
      <c r="G327" s="122"/>
      <c r="H327" s="122"/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  <c r="AA327" s="122"/>
      <c r="AB327" s="122"/>
      <c r="AC327" s="122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  <c r="AO327" s="122"/>
      <c r="AP327" s="166"/>
      <c r="AQ327" s="122"/>
      <c r="AR327" s="167"/>
      <c r="AS327" s="122"/>
      <c r="AT327" s="122"/>
      <c r="AU327" s="122"/>
      <c r="AV327" s="122"/>
      <c r="AW327" s="122"/>
      <c r="AX327" s="122"/>
      <c r="AY327" s="122"/>
      <c r="AZ327" s="122"/>
      <c r="BA327" s="122"/>
      <c r="BB327" s="122"/>
      <c r="BC327" s="122"/>
      <c r="BD327" s="122"/>
      <c r="BE327" s="122"/>
      <c r="BF327" s="122"/>
      <c r="BG327" s="122"/>
      <c r="BH327" s="122"/>
      <c r="BI327" s="122"/>
      <c r="BJ327" s="122"/>
    </row>
    <row r="328" spans="1:62">
      <c r="A328" s="122"/>
      <c r="B328" s="122"/>
      <c r="C328" s="122"/>
      <c r="D328" s="122"/>
      <c r="E328" s="122"/>
      <c r="F328" s="122"/>
      <c r="G328" s="122"/>
      <c r="H328" s="122"/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  <c r="AA328" s="122"/>
      <c r="AB328" s="122"/>
      <c r="AC328" s="122"/>
      <c r="AD328" s="122"/>
      <c r="AE328" s="122"/>
      <c r="AF328" s="122"/>
      <c r="AG328" s="122"/>
      <c r="AH328" s="122"/>
      <c r="AI328" s="122"/>
      <c r="AJ328" s="122"/>
      <c r="AK328" s="122"/>
      <c r="AL328" s="122"/>
      <c r="AM328" s="122"/>
      <c r="AN328" s="122"/>
      <c r="AO328" s="122"/>
      <c r="AP328" s="166"/>
      <c r="AQ328" s="122"/>
      <c r="AR328" s="167"/>
      <c r="AS328" s="122"/>
      <c r="AT328" s="122"/>
      <c r="AU328" s="122"/>
      <c r="AV328" s="122"/>
      <c r="AW328" s="122"/>
      <c r="AX328" s="122"/>
      <c r="AY328" s="122"/>
      <c r="AZ328" s="122"/>
      <c r="BA328" s="122"/>
      <c r="BB328" s="122"/>
      <c r="BC328" s="122"/>
      <c r="BD328" s="122"/>
      <c r="BE328" s="122"/>
      <c r="BF328" s="122"/>
      <c r="BG328" s="122"/>
      <c r="BH328" s="122"/>
      <c r="BI328" s="122"/>
      <c r="BJ328" s="122"/>
    </row>
    <row r="329" spans="1:62">
      <c r="A329" s="122"/>
      <c r="B329" s="122"/>
      <c r="C329" s="122"/>
      <c r="D329" s="122"/>
      <c r="E329" s="122"/>
      <c r="F329" s="122"/>
      <c r="G329" s="122"/>
      <c r="H329" s="122"/>
      <c r="I329" s="122"/>
      <c r="J329" s="122"/>
      <c r="K329" s="122"/>
      <c r="L329" s="122"/>
      <c r="M329" s="122"/>
      <c r="N329" s="122"/>
      <c r="O329" s="122"/>
      <c r="P329" s="122"/>
      <c r="Q329" s="122"/>
      <c r="R329" s="122"/>
      <c r="S329" s="122"/>
      <c r="T329" s="122"/>
      <c r="U329" s="122"/>
      <c r="V329" s="122"/>
      <c r="W329" s="122"/>
      <c r="X329" s="122"/>
      <c r="Y329" s="122"/>
      <c r="Z329" s="122"/>
      <c r="AA329" s="122"/>
      <c r="AB329" s="122"/>
      <c r="AC329" s="122"/>
      <c r="AD329" s="122"/>
      <c r="AE329" s="122"/>
      <c r="AF329" s="122"/>
      <c r="AG329" s="122"/>
      <c r="AH329" s="122"/>
      <c r="AI329" s="122"/>
      <c r="AJ329" s="122"/>
      <c r="AK329" s="122"/>
      <c r="AL329" s="122"/>
      <c r="AM329" s="122"/>
      <c r="AN329" s="122"/>
      <c r="AO329" s="122"/>
      <c r="AP329" s="166"/>
      <c r="AQ329" s="122"/>
      <c r="AR329" s="167"/>
      <c r="AS329" s="122"/>
      <c r="AT329" s="122"/>
      <c r="AU329" s="122"/>
      <c r="AV329" s="122"/>
      <c r="AW329" s="122"/>
      <c r="AX329" s="122"/>
      <c r="AY329" s="122"/>
      <c r="AZ329" s="122"/>
      <c r="BA329" s="122"/>
      <c r="BB329" s="122"/>
      <c r="BC329" s="122"/>
      <c r="BD329" s="122"/>
      <c r="BE329" s="122"/>
      <c r="BF329" s="122"/>
      <c r="BG329" s="122"/>
      <c r="BH329" s="122"/>
      <c r="BI329" s="122"/>
      <c r="BJ329" s="122"/>
    </row>
    <row r="330" spans="1:62">
      <c r="A330" s="122"/>
      <c r="B330" s="122"/>
      <c r="C330" s="122"/>
      <c r="D330" s="122"/>
      <c r="E330" s="122"/>
      <c r="F330" s="122"/>
      <c r="G330" s="122"/>
      <c r="H330" s="122"/>
      <c r="I330" s="122"/>
      <c r="J330" s="122"/>
      <c r="K330" s="122"/>
      <c r="L330" s="122"/>
      <c r="M330" s="122"/>
      <c r="N330" s="122"/>
      <c r="O330" s="122"/>
      <c r="P330" s="122"/>
      <c r="Q330" s="122"/>
      <c r="R330" s="122"/>
      <c r="S330" s="122"/>
      <c r="T330" s="122"/>
      <c r="U330" s="122"/>
      <c r="V330" s="122"/>
      <c r="W330" s="122"/>
      <c r="X330" s="122"/>
      <c r="Y330" s="122"/>
      <c r="Z330" s="122"/>
      <c r="AA330" s="122"/>
      <c r="AB330" s="122"/>
      <c r="AC330" s="122"/>
      <c r="AD330" s="122"/>
      <c r="AE330" s="122"/>
      <c r="AF330" s="122"/>
      <c r="AG330" s="122"/>
      <c r="AH330" s="122"/>
      <c r="AI330" s="122"/>
      <c r="AJ330" s="122"/>
      <c r="AK330" s="122"/>
      <c r="AL330" s="122"/>
      <c r="AM330" s="122"/>
      <c r="AN330" s="122"/>
      <c r="AO330" s="122"/>
      <c r="AP330" s="166"/>
      <c r="AQ330" s="122"/>
      <c r="AR330" s="167"/>
      <c r="AS330" s="122"/>
      <c r="AT330" s="122"/>
      <c r="AU330" s="122"/>
      <c r="AV330" s="122"/>
      <c r="AW330" s="122"/>
      <c r="AX330" s="122"/>
      <c r="AY330" s="122"/>
      <c r="AZ330" s="122"/>
      <c r="BA330" s="122"/>
      <c r="BB330" s="122"/>
      <c r="BC330" s="122"/>
      <c r="BD330" s="122"/>
      <c r="BE330" s="122"/>
      <c r="BF330" s="122"/>
      <c r="BG330" s="122"/>
      <c r="BH330" s="122"/>
      <c r="BI330" s="122"/>
      <c r="BJ330" s="122"/>
    </row>
    <row r="331" spans="1:62">
      <c r="A331" s="122"/>
      <c r="B331" s="122"/>
      <c r="C331" s="122"/>
      <c r="D331" s="122"/>
      <c r="E331" s="122"/>
      <c r="F331" s="122"/>
      <c r="G331" s="122"/>
      <c r="H331" s="122"/>
      <c r="I331" s="122"/>
      <c r="J331" s="122"/>
      <c r="K331" s="122"/>
      <c r="L331" s="122"/>
      <c r="M331" s="122"/>
      <c r="N331" s="122"/>
      <c r="O331" s="122"/>
      <c r="P331" s="122"/>
      <c r="Q331" s="122"/>
      <c r="R331" s="122"/>
      <c r="S331" s="122"/>
      <c r="T331" s="122"/>
      <c r="U331" s="122"/>
      <c r="V331" s="122"/>
      <c r="W331" s="122"/>
      <c r="X331" s="122"/>
      <c r="Y331" s="122"/>
      <c r="Z331" s="122"/>
      <c r="AA331" s="122"/>
      <c r="AB331" s="122"/>
      <c r="AC331" s="122"/>
      <c r="AD331" s="122"/>
      <c r="AE331" s="122"/>
      <c r="AF331" s="122"/>
      <c r="AG331" s="122"/>
      <c r="AH331" s="122"/>
      <c r="AI331" s="122"/>
      <c r="AJ331" s="122"/>
      <c r="AK331" s="122"/>
      <c r="AL331" s="122"/>
      <c r="AM331" s="122"/>
      <c r="AN331" s="122"/>
      <c r="AO331" s="122"/>
      <c r="AP331" s="166"/>
      <c r="AQ331" s="122"/>
      <c r="AR331" s="167"/>
      <c r="AS331" s="122"/>
      <c r="AT331" s="122"/>
      <c r="AU331" s="122"/>
      <c r="AV331" s="122"/>
      <c r="AW331" s="122"/>
      <c r="AX331" s="122"/>
      <c r="AY331" s="122"/>
      <c r="AZ331" s="122"/>
      <c r="BA331" s="122"/>
      <c r="BB331" s="122"/>
      <c r="BC331" s="122"/>
      <c r="BD331" s="122"/>
      <c r="BE331" s="122"/>
      <c r="BF331" s="122"/>
      <c r="BG331" s="122"/>
      <c r="BH331" s="122"/>
      <c r="BI331" s="122"/>
      <c r="BJ331" s="122"/>
    </row>
    <row r="332" spans="1:62">
      <c r="A332" s="122"/>
      <c r="B332" s="122"/>
      <c r="C332" s="122"/>
      <c r="D332" s="122"/>
      <c r="E332" s="122"/>
      <c r="F332" s="122"/>
      <c r="G332" s="122"/>
      <c r="H332" s="122"/>
      <c r="I332" s="122"/>
      <c r="J332" s="122"/>
      <c r="K332" s="122"/>
      <c r="L332" s="122"/>
      <c r="M332" s="122"/>
      <c r="N332" s="122"/>
      <c r="O332" s="122"/>
      <c r="P332" s="122"/>
      <c r="Q332" s="122"/>
      <c r="R332" s="122"/>
      <c r="S332" s="122"/>
      <c r="T332" s="122"/>
      <c r="U332" s="122"/>
      <c r="V332" s="122"/>
      <c r="W332" s="122"/>
      <c r="X332" s="122"/>
      <c r="Y332" s="122"/>
      <c r="Z332" s="122"/>
      <c r="AA332" s="122"/>
      <c r="AB332" s="122"/>
      <c r="AC332" s="122"/>
      <c r="AD332" s="122"/>
      <c r="AE332" s="122"/>
      <c r="AF332" s="122"/>
      <c r="AG332" s="122"/>
      <c r="AH332" s="122"/>
      <c r="AI332" s="122"/>
      <c r="AJ332" s="122"/>
      <c r="AK332" s="122"/>
      <c r="AL332" s="122"/>
      <c r="AM332" s="122"/>
      <c r="AN332" s="122"/>
      <c r="AO332" s="122"/>
      <c r="AP332" s="166"/>
      <c r="AQ332" s="122"/>
      <c r="AR332" s="167"/>
      <c r="AS332" s="122"/>
      <c r="AT332" s="122"/>
      <c r="AU332" s="122"/>
      <c r="AV332" s="122"/>
      <c r="AW332" s="122"/>
      <c r="AX332" s="122"/>
      <c r="AY332" s="122"/>
      <c r="AZ332" s="122"/>
      <c r="BA332" s="122"/>
      <c r="BB332" s="122"/>
      <c r="BC332" s="122"/>
      <c r="BD332" s="122"/>
      <c r="BE332" s="122"/>
      <c r="BF332" s="122"/>
      <c r="BG332" s="122"/>
      <c r="BH332" s="122"/>
      <c r="BI332" s="122"/>
      <c r="BJ332" s="122"/>
    </row>
    <row r="333" spans="1:62">
      <c r="A333" s="122"/>
      <c r="B333" s="122"/>
      <c r="C333" s="122"/>
      <c r="D333" s="122"/>
      <c r="E333" s="122"/>
      <c r="F333" s="122"/>
      <c r="G333" s="122"/>
      <c r="H333" s="122"/>
      <c r="I333" s="122"/>
      <c r="J333" s="122"/>
      <c r="K333" s="122"/>
      <c r="L333" s="122"/>
      <c r="M333" s="122"/>
      <c r="N333" s="122"/>
      <c r="O333" s="122"/>
      <c r="P333" s="122"/>
      <c r="Q333" s="122"/>
      <c r="R333" s="122"/>
      <c r="S333" s="122"/>
      <c r="T333" s="122"/>
      <c r="U333" s="122"/>
      <c r="V333" s="122"/>
      <c r="W333" s="122"/>
      <c r="X333" s="122"/>
      <c r="Y333" s="122"/>
      <c r="Z333" s="122"/>
      <c r="AA333" s="122"/>
      <c r="AB333" s="122"/>
      <c r="AC333" s="122"/>
      <c r="AD333" s="122"/>
      <c r="AE333" s="122"/>
      <c r="AF333" s="122"/>
      <c r="AG333" s="122"/>
      <c r="AH333" s="122"/>
      <c r="AI333" s="122"/>
      <c r="AJ333" s="122"/>
      <c r="AK333" s="122"/>
      <c r="AL333" s="122"/>
      <c r="AM333" s="122"/>
      <c r="AN333" s="122"/>
      <c r="AO333" s="122"/>
      <c r="AP333" s="166"/>
      <c r="AQ333" s="122"/>
      <c r="AR333" s="167"/>
      <c r="AS333" s="122"/>
      <c r="AT333" s="122"/>
      <c r="AU333" s="122"/>
      <c r="AV333" s="122"/>
      <c r="AW333" s="122"/>
      <c r="AX333" s="122"/>
      <c r="AY333" s="122"/>
      <c r="AZ333" s="122"/>
      <c r="BA333" s="122"/>
      <c r="BB333" s="122"/>
      <c r="BC333" s="122"/>
      <c r="BD333" s="122"/>
      <c r="BE333" s="122"/>
      <c r="BF333" s="122"/>
      <c r="BG333" s="122"/>
      <c r="BH333" s="122"/>
      <c r="BI333" s="122"/>
      <c r="BJ333" s="122"/>
    </row>
    <row r="334" spans="1:62">
      <c r="A334" s="122"/>
      <c r="B334" s="122"/>
      <c r="C334" s="122"/>
      <c r="D334" s="122"/>
      <c r="E334" s="122"/>
      <c r="F334" s="122"/>
      <c r="G334" s="122"/>
      <c r="H334" s="122"/>
      <c r="I334" s="122"/>
      <c r="J334" s="122"/>
      <c r="K334" s="122"/>
      <c r="L334" s="122"/>
      <c r="M334" s="122"/>
      <c r="N334" s="122"/>
      <c r="O334" s="122"/>
      <c r="P334" s="122"/>
      <c r="Q334" s="122"/>
      <c r="R334" s="122"/>
      <c r="S334" s="122"/>
      <c r="T334" s="122"/>
      <c r="U334" s="122"/>
      <c r="V334" s="122"/>
      <c r="W334" s="122"/>
      <c r="X334" s="122"/>
      <c r="Y334" s="122"/>
      <c r="Z334" s="122"/>
      <c r="AA334" s="122"/>
      <c r="AB334" s="122"/>
      <c r="AC334" s="122"/>
      <c r="AD334" s="122"/>
      <c r="AE334" s="122"/>
      <c r="AF334" s="122"/>
      <c r="AG334" s="122"/>
      <c r="AH334" s="122"/>
      <c r="AI334" s="122"/>
      <c r="AJ334" s="122"/>
      <c r="AK334" s="122"/>
      <c r="AL334" s="122"/>
      <c r="AM334" s="122"/>
      <c r="AN334" s="122"/>
      <c r="AO334" s="122"/>
      <c r="AP334" s="166"/>
      <c r="AQ334" s="122"/>
      <c r="AR334" s="167"/>
      <c r="AS334" s="122"/>
      <c r="AT334" s="122"/>
      <c r="AU334" s="122"/>
      <c r="AV334" s="122"/>
      <c r="AW334" s="122"/>
      <c r="AX334" s="122"/>
      <c r="AY334" s="122"/>
      <c r="AZ334" s="122"/>
      <c r="BA334" s="122"/>
      <c r="BB334" s="122"/>
      <c r="BC334" s="122"/>
      <c r="BD334" s="122"/>
      <c r="BE334" s="122"/>
      <c r="BF334" s="122"/>
      <c r="BG334" s="122"/>
      <c r="BH334" s="122"/>
      <c r="BI334" s="122"/>
      <c r="BJ334" s="122"/>
    </row>
    <row r="335" spans="1:62">
      <c r="A335" s="122"/>
      <c r="B335" s="122"/>
      <c r="C335" s="122"/>
      <c r="D335" s="122"/>
      <c r="E335" s="122"/>
      <c r="F335" s="122"/>
      <c r="G335" s="122"/>
      <c r="H335" s="122"/>
      <c r="I335" s="122"/>
      <c r="J335" s="122"/>
      <c r="K335" s="122"/>
      <c r="L335" s="122"/>
      <c r="M335" s="122"/>
      <c r="N335" s="122"/>
      <c r="O335" s="122"/>
      <c r="P335" s="122"/>
      <c r="Q335" s="122"/>
      <c r="R335" s="122"/>
      <c r="S335" s="122"/>
      <c r="T335" s="122"/>
      <c r="U335" s="122"/>
      <c r="V335" s="122"/>
      <c r="W335" s="122"/>
      <c r="X335" s="122"/>
      <c r="Y335" s="122"/>
      <c r="Z335" s="122"/>
      <c r="AA335" s="122"/>
      <c r="AB335" s="122"/>
      <c r="AC335" s="122"/>
      <c r="AD335" s="122"/>
      <c r="AE335" s="122"/>
      <c r="AF335" s="122"/>
      <c r="AG335" s="122"/>
      <c r="AH335" s="122"/>
      <c r="AI335" s="122"/>
      <c r="AJ335" s="122"/>
      <c r="AK335" s="122"/>
      <c r="AL335" s="122"/>
      <c r="AM335" s="122"/>
      <c r="AN335" s="122"/>
      <c r="AO335" s="122"/>
      <c r="AP335" s="166"/>
      <c r="AQ335" s="122"/>
      <c r="AR335" s="167"/>
      <c r="AS335" s="122"/>
      <c r="AT335" s="122"/>
      <c r="AU335" s="122"/>
      <c r="AV335" s="122"/>
      <c r="AW335" s="122"/>
      <c r="AX335" s="122"/>
      <c r="AY335" s="122"/>
      <c r="AZ335" s="122"/>
      <c r="BA335" s="122"/>
      <c r="BB335" s="122"/>
      <c r="BC335" s="122"/>
      <c r="BD335" s="122"/>
      <c r="BE335" s="122"/>
      <c r="BF335" s="122"/>
      <c r="BG335" s="122"/>
      <c r="BH335" s="122"/>
      <c r="BI335" s="122"/>
      <c r="BJ335" s="122"/>
    </row>
    <row r="336" spans="1:62">
      <c r="A336" s="122"/>
      <c r="B336" s="122"/>
      <c r="C336" s="122"/>
      <c r="D336" s="122"/>
      <c r="E336" s="122"/>
      <c r="F336" s="122"/>
      <c r="G336" s="122"/>
      <c r="H336" s="122"/>
      <c r="I336" s="122"/>
      <c r="J336" s="122"/>
      <c r="K336" s="122"/>
      <c r="L336" s="122"/>
      <c r="M336" s="122"/>
      <c r="N336" s="122"/>
      <c r="O336" s="122"/>
      <c r="P336" s="122"/>
      <c r="Q336" s="122"/>
      <c r="R336" s="122"/>
      <c r="S336" s="122"/>
      <c r="T336" s="122"/>
      <c r="U336" s="122"/>
      <c r="V336" s="122"/>
      <c r="W336" s="122"/>
      <c r="X336" s="122"/>
      <c r="Y336" s="122"/>
      <c r="Z336" s="122"/>
      <c r="AA336" s="122"/>
      <c r="AB336" s="122"/>
      <c r="AC336" s="122"/>
      <c r="AD336" s="122"/>
      <c r="AE336" s="122"/>
      <c r="AF336" s="122"/>
      <c r="AG336" s="122"/>
      <c r="AH336" s="122"/>
      <c r="AI336" s="122"/>
      <c r="AJ336" s="122"/>
      <c r="AK336" s="122"/>
      <c r="AL336" s="122"/>
      <c r="AM336" s="122"/>
      <c r="AN336" s="122"/>
      <c r="AO336" s="122"/>
      <c r="AP336" s="166"/>
      <c r="AQ336" s="122"/>
      <c r="AR336" s="167"/>
      <c r="AS336" s="122"/>
      <c r="AT336" s="122"/>
      <c r="AU336" s="122"/>
      <c r="AV336" s="122"/>
      <c r="AW336" s="122"/>
      <c r="AX336" s="122"/>
      <c r="AY336" s="122"/>
      <c r="AZ336" s="122"/>
      <c r="BA336" s="122"/>
      <c r="BB336" s="122"/>
      <c r="BC336" s="122"/>
      <c r="BD336" s="122"/>
      <c r="BE336" s="122"/>
      <c r="BF336" s="122"/>
      <c r="BG336" s="122"/>
      <c r="BH336" s="122"/>
      <c r="BI336" s="122"/>
      <c r="BJ336" s="122"/>
    </row>
    <row r="337" spans="1:62">
      <c r="A337" s="122"/>
      <c r="B337" s="122"/>
      <c r="C337" s="122"/>
      <c r="D337" s="122"/>
      <c r="E337" s="122"/>
      <c r="F337" s="122"/>
      <c r="G337" s="122"/>
      <c r="H337" s="122"/>
      <c r="I337" s="122"/>
      <c r="J337" s="122"/>
      <c r="K337" s="122"/>
      <c r="L337" s="122"/>
      <c r="M337" s="122"/>
      <c r="N337" s="122"/>
      <c r="O337" s="122"/>
      <c r="P337" s="122"/>
      <c r="Q337" s="122"/>
      <c r="R337" s="122"/>
      <c r="S337" s="122"/>
      <c r="T337" s="122"/>
      <c r="U337" s="122"/>
      <c r="V337" s="122"/>
      <c r="W337" s="122"/>
      <c r="X337" s="122"/>
      <c r="Y337" s="122"/>
      <c r="Z337" s="122"/>
      <c r="AA337" s="122"/>
      <c r="AB337" s="122"/>
      <c r="AC337" s="122"/>
      <c r="AD337" s="122"/>
      <c r="AE337" s="122"/>
      <c r="AF337" s="122"/>
      <c r="AG337" s="122"/>
      <c r="AH337" s="122"/>
      <c r="AI337" s="122"/>
      <c r="AJ337" s="122"/>
      <c r="AK337" s="122"/>
      <c r="AL337" s="122"/>
      <c r="AM337" s="122"/>
      <c r="AN337" s="122"/>
      <c r="AO337" s="122"/>
      <c r="AP337" s="166"/>
      <c r="AQ337" s="122"/>
      <c r="AR337" s="167"/>
      <c r="AS337" s="122"/>
      <c r="AT337" s="122"/>
      <c r="AU337" s="122"/>
      <c r="AV337" s="122"/>
      <c r="AW337" s="122"/>
      <c r="AX337" s="122"/>
      <c r="AY337" s="122"/>
      <c r="AZ337" s="122"/>
      <c r="BA337" s="122"/>
      <c r="BB337" s="122"/>
      <c r="BC337" s="122"/>
      <c r="BD337" s="122"/>
      <c r="BE337" s="122"/>
      <c r="BF337" s="122"/>
      <c r="BG337" s="122"/>
      <c r="BH337" s="122"/>
      <c r="BI337" s="122"/>
      <c r="BJ337" s="122"/>
    </row>
    <row r="338" spans="1:62">
      <c r="A338" s="122"/>
      <c r="B338" s="122"/>
      <c r="C338" s="122"/>
      <c r="D338" s="122"/>
      <c r="E338" s="122"/>
      <c r="F338" s="122"/>
      <c r="G338" s="122"/>
      <c r="H338" s="122"/>
      <c r="I338" s="122"/>
      <c r="J338" s="122"/>
      <c r="K338" s="122"/>
      <c r="L338" s="122"/>
      <c r="M338" s="122"/>
      <c r="N338" s="122"/>
      <c r="O338" s="122"/>
      <c r="P338" s="122"/>
      <c r="Q338" s="122"/>
      <c r="R338" s="122"/>
      <c r="S338" s="122"/>
      <c r="T338" s="122"/>
      <c r="U338" s="122"/>
      <c r="V338" s="122"/>
      <c r="W338" s="122"/>
      <c r="X338" s="122"/>
      <c r="Y338" s="122"/>
      <c r="Z338" s="122"/>
      <c r="AA338" s="122"/>
      <c r="AB338" s="122"/>
      <c r="AC338" s="122"/>
      <c r="AD338" s="122"/>
      <c r="AE338" s="122"/>
      <c r="AF338" s="122"/>
      <c r="AG338" s="122"/>
      <c r="AH338" s="122"/>
      <c r="AI338" s="122"/>
      <c r="AJ338" s="122"/>
      <c r="AK338" s="122"/>
      <c r="AL338" s="122"/>
      <c r="AM338" s="122"/>
      <c r="AN338" s="122"/>
      <c r="AO338" s="122"/>
      <c r="AP338" s="166"/>
      <c r="AQ338" s="122"/>
      <c r="AR338" s="167"/>
      <c r="AS338" s="122"/>
      <c r="AT338" s="122"/>
      <c r="AU338" s="122"/>
      <c r="AV338" s="122"/>
      <c r="AW338" s="122"/>
      <c r="AX338" s="122"/>
      <c r="AY338" s="122"/>
      <c r="AZ338" s="122"/>
      <c r="BA338" s="122"/>
      <c r="BB338" s="122"/>
      <c r="BC338" s="122"/>
      <c r="BD338" s="122"/>
      <c r="BE338" s="122"/>
      <c r="BF338" s="122"/>
      <c r="BG338" s="122"/>
      <c r="BH338" s="122"/>
      <c r="BI338" s="122"/>
      <c r="BJ338" s="122"/>
    </row>
    <row r="339" spans="1:62">
      <c r="A339" s="122"/>
      <c r="B339" s="122"/>
      <c r="C339" s="122"/>
      <c r="D339" s="122"/>
      <c r="E339" s="122"/>
      <c r="F339" s="122"/>
      <c r="G339" s="122"/>
      <c r="H339" s="122"/>
      <c r="I339" s="122"/>
      <c r="J339" s="122"/>
      <c r="K339" s="122"/>
      <c r="L339" s="122"/>
      <c r="M339" s="122"/>
      <c r="N339" s="122"/>
      <c r="O339" s="122"/>
      <c r="P339" s="122"/>
      <c r="Q339" s="122"/>
      <c r="R339" s="122"/>
      <c r="S339" s="122"/>
      <c r="T339" s="122"/>
      <c r="U339" s="122"/>
      <c r="V339" s="122"/>
      <c r="W339" s="122"/>
      <c r="X339" s="122"/>
      <c r="Y339" s="122"/>
      <c r="Z339" s="122"/>
      <c r="AA339" s="122"/>
      <c r="AB339" s="122"/>
      <c r="AC339" s="122"/>
      <c r="AD339" s="122"/>
      <c r="AE339" s="122"/>
      <c r="AF339" s="122"/>
      <c r="AG339" s="122"/>
      <c r="AH339" s="122"/>
      <c r="AI339" s="122"/>
      <c r="AJ339" s="122"/>
      <c r="AK339" s="122"/>
      <c r="AL339" s="122"/>
      <c r="AM339" s="122"/>
      <c r="AN339" s="122"/>
      <c r="AO339" s="122"/>
      <c r="AP339" s="166"/>
      <c r="AQ339" s="122"/>
      <c r="AR339" s="167"/>
      <c r="AS339" s="122"/>
      <c r="AT339" s="122"/>
      <c r="AU339" s="122"/>
      <c r="AV339" s="122"/>
      <c r="AW339" s="122"/>
      <c r="AX339" s="122"/>
      <c r="AY339" s="122"/>
      <c r="AZ339" s="122"/>
      <c r="BA339" s="122"/>
      <c r="BB339" s="122"/>
      <c r="BC339" s="122"/>
      <c r="BD339" s="122"/>
      <c r="BE339" s="122"/>
      <c r="BF339" s="122"/>
      <c r="BG339" s="122"/>
      <c r="BH339" s="122"/>
      <c r="BI339" s="122"/>
      <c r="BJ339" s="122"/>
    </row>
    <row r="340" spans="1:62">
      <c r="A340" s="122"/>
      <c r="B340" s="122"/>
      <c r="C340" s="122"/>
      <c r="D340" s="122"/>
      <c r="E340" s="122"/>
      <c r="F340" s="122"/>
      <c r="G340" s="122"/>
      <c r="H340" s="122"/>
      <c r="I340" s="122"/>
      <c r="J340" s="122"/>
      <c r="K340" s="122"/>
      <c r="L340" s="122"/>
      <c r="M340" s="122"/>
      <c r="N340" s="122"/>
      <c r="O340" s="122"/>
      <c r="P340" s="122"/>
      <c r="Q340" s="122"/>
      <c r="R340" s="122"/>
      <c r="S340" s="122"/>
      <c r="T340" s="122"/>
      <c r="U340" s="122"/>
      <c r="V340" s="122"/>
      <c r="W340" s="122"/>
      <c r="X340" s="122"/>
      <c r="Y340" s="122"/>
      <c r="Z340" s="122"/>
      <c r="AA340" s="122"/>
      <c r="AB340" s="122"/>
      <c r="AC340" s="122"/>
      <c r="AD340" s="122"/>
      <c r="AE340" s="122"/>
      <c r="AF340" s="122"/>
      <c r="AG340" s="122"/>
      <c r="AH340" s="122"/>
      <c r="AI340" s="122"/>
      <c r="AJ340" s="122"/>
      <c r="AK340" s="122"/>
      <c r="AL340" s="122"/>
      <c r="AM340" s="122"/>
      <c r="AN340" s="122"/>
      <c r="AO340" s="122"/>
      <c r="AP340" s="166"/>
      <c r="AQ340" s="122"/>
      <c r="AR340" s="167"/>
      <c r="AS340" s="122"/>
      <c r="AT340" s="122"/>
      <c r="AU340" s="122"/>
      <c r="AV340" s="122"/>
      <c r="AW340" s="122"/>
      <c r="AX340" s="122"/>
      <c r="AY340" s="122"/>
      <c r="AZ340" s="122"/>
      <c r="BA340" s="122"/>
      <c r="BB340" s="122"/>
      <c r="BC340" s="122"/>
      <c r="BD340" s="122"/>
      <c r="BE340" s="122"/>
      <c r="BF340" s="122"/>
      <c r="BG340" s="122"/>
      <c r="BH340" s="122"/>
      <c r="BI340" s="122"/>
      <c r="BJ340" s="122"/>
    </row>
    <row r="341" spans="1:62">
      <c r="A341" s="122"/>
      <c r="B341" s="122"/>
      <c r="C341" s="122"/>
      <c r="D341" s="122"/>
      <c r="E341" s="122"/>
      <c r="F341" s="122"/>
      <c r="G341" s="122"/>
      <c r="H341" s="122"/>
      <c r="I341" s="122"/>
      <c r="J341" s="122"/>
      <c r="K341" s="122"/>
      <c r="L341" s="122"/>
      <c r="M341" s="122"/>
      <c r="N341" s="122"/>
      <c r="O341" s="122"/>
      <c r="P341" s="122"/>
      <c r="Q341" s="122"/>
      <c r="R341" s="122"/>
      <c r="S341" s="122"/>
      <c r="T341" s="122"/>
      <c r="U341" s="122"/>
      <c r="V341" s="122"/>
      <c r="W341" s="122"/>
      <c r="X341" s="122"/>
      <c r="Y341" s="122"/>
      <c r="Z341" s="122"/>
      <c r="AA341" s="122"/>
      <c r="AB341" s="122"/>
      <c r="AC341" s="122"/>
      <c r="AD341" s="122"/>
      <c r="AE341" s="122"/>
      <c r="AF341" s="122"/>
      <c r="AG341" s="122"/>
      <c r="AH341" s="122"/>
      <c r="AI341" s="122"/>
      <c r="AJ341" s="122"/>
      <c r="AK341" s="122"/>
      <c r="AL341" s="122"/>
      <c r="AM341" s="122"/>
      <c r="AN341" s="122"/>
      <c r="AO341" s="122"/>
      <c r="AP341" s="166"/>
      <c r="AQ341" s="122"/>
      <c r="AR341" s="167"/>
      <c r="AS341" s="122"/>
      <c r="AT341" s="122"/>
      <c r="AU341" s="122"/>
      <c r="AV341" s="122"/>
      <c r="AW341" s="122"/>
      <c r="AX341" s="122"/>
      <c r="AY341" s="122"/>
      <c r="AZ341" s="122"/>
      <c r="BA341" s="122"/>
      <c r="BB341" s="122"/>
      <c r="BC341" s="122"/>
      <c r="BD341" s="122"/>
      <c r="BE341" s="122"/>
      <c r="BF341" s="122"/>
      <c r="BG341" s="122"/>
      <c r="BH341" s="122"/>
      <c r="BI341" s="122"/>
      <c r="BJ341" s="122"/>
    </row>
    <row r="342" spans="1:62">
      <c r="A342" s="122"/>
      <c r="B342" s="122"/>
      <c r="C342" s="122"/>
      <c r="D342" s="122"/>
      <c r="E342" s="122"/>
      <c r="F342" s="122"/>
      <c r="G342" s="122"/>
      <c r="H342" s="122"/>
      <c r="I342" s="122"/>
      <c r="J342" s="122"/>
      <c r="K342" s="122"/>
      <c r="L342" s="122"/>
      <c r="M342" s="122"/>
      <c r="N342" s="122"/>
      <c r="O342" s="122"/>
      <c r="P342" s="122"/>
      <c r="Q342" s="122"/>
      <c r="R342" s="122"/>
      <c r="S342" s="122"/>
      <c r="T342" s="122"/>
      <c r="U342" s="122"/>
      <c r="V342" s="122"/>
      <c r="W342" s="122"/>
      <c r="X342" s="122"/>
      <c r="Y342" s="122"/>
      <c r="Z342" s="122"/>
      <c r="AA342" s="122"/>
      <c r="AB342" s="122"/>
      <c r="AC342" s="122"/>
      <c r="AD342" s="122"/>
      <c r="AE342" s="122"/>
      <c r="AF342" s="122"/>
      <c r="AG342" s="122"/>
      <c r="AH342" s="122"/>
      <c r="AI342" s="122"/>
      <c r="AJ342" s="122"/>
      <c r="AK342" s="122"/>
      <c r="AL342" s="122"/>
      <c r="AM342" s="122"/>
      <c r="AN342" s="122"/>
      <c r="AO342" s="122"/>
      <c r="AP342" s="166"/>
      <c r="AQ342" s="122"/>
      <c r="AR342" s="167"/>
      <c r="AS342" s="122"/>
      <c r="AT342" s="122"/>
      <c r="AU342" s="122"/>
      <c r="AV342" s="122"/>
      <c r="AW342" s="122"/>
      <c r="AX342" s="122"/>
      <c r="AY342" s="122"/>
      <c r="AZ342" s="122"/>
      <c r="BA342" s="122"/>
      <c r="BB342" s="122"/>
      <c r="BC342" s="122"/>
      <c r="BD342" s="122"/>
      <c r="BE342" s="122"/>
      <c r="BF342" s="122"/>
      <c r="BG342" s="122"/>
      <c r="BH342" s="122"/>
      <c r="BI342" s="122"/>
      <c r="BJ342" s="122"/>
    </row>
    <row r="343" spans="1:62">
      <c r="A343" s="122"/>
      <c r="B343" s="122"/>
      <c r="C343" s="122"/>
      <c r="D343" s="122"/>
      <c r="E343" s="122"/>
      <c r="F343" s="122"/>
      <c r="G343" s="122"/>
      <c r="H343" s="122"/>
      <c r="I343" s="122"/>
      <c r="J343" s="122"/>
      <c r="K343" s="122"/>
      <c r="L343" s="122"/>
      <c r="M343" s="122"/>
      <c r="N343" s="122"/>
      <c r="O343" s="122"/>
      <c r="P343" s="122"/>
      <c r="Q343" s="122"/>
      <c r="R343" s="122"/>
      <c r="S343" s="122"/>
      <c r="T343" s="122"/>
      <c r="U343" s="122"/>
      <c r="V343" s="122"/>
      <c r="W343" s="122"/>
      <c r="X343" s="122"/>
      <c r="Y343" s="122"/>
      <c r="Z343" s="122"/>
      <c r="AA343" s="122"/>
      <c r="AB343" s="122"/>
      <c r="AC343" s="122"/>
      <c r="AD343" s="122"/>
      <c r="AE343" s="122"/>
      <c r="AF343" s="122"/>
      <c r="AG343" s="122"/>
      <c r="AH343" s="122"/>
      <c r="AI343" s="122"/>
      <c r="AJ343" s="122"/>
      <c r="AK343" s="122"/>
      <c r="AL343" s="122"/>
      <c r="AM343" s="122"/>
      <c r="AN343" s="122"/>
      <c r="AO343" s="122"/>
      <c r="AP343" s="166"/>
      <c r="AQ343" s="122"/>
      <c r="AR343" s="167"/>
      <c r="AS343" s="122"/>
      <c r="AT343" s="122"/>
      <c r="AU343" s="122"/>
      <c r="AV343" s="122"/>
      <c r="AW343" s="122"/>
      <c r="AX343" s="122"/>
      <c r="AY343" s="122"/>
      <c r="AZ343" s="122"/>
      <c r="BA343" s="122"/>
      <c r="BB343" s="122"/>
      <c r="BC343" s="122"/>
      <c r="BD343" s="122"/>
      <c r="BE343" s="122"/>
      <c r="BF343" s="122"/>
      <c r="BG343" s="122"/>
      <c r="BH343" s="122"/>
      <c r="BI343" s="122"/>
      <c r="BJ343" s="122"/>
    </row>
    <row r="344" spans="1:62">
      <c r="A344" s="122"/>
      <c r="B344" s="122"/>
      <c r="C344" s="122"/>
      <c r="D344" s="122"/>
      <c r="E344" s="122"/>
      <c r="F344" s="122"/>
      <c r="G344" s="122"/>
      <c r="H344" s="122"/>
      <c r="I344" s="122"/>
      <c r="J344" s="122"/>
      <c r="K344" s="122"/>
      <c r="L344" s="122"/>
      <c r="M344" s="122"/>
      <c r="N344" s="122"/>
      <c r="O344" s="122"/>
      <c r="P344" s="122"/>
      <c r="Q344" s="122"/>
      <c r="R344" s="122"/>
      <c r="S344" s="122"/>
      <c r="T344" s="122"/>
      <c r="U344" s="122"/>
      <c r="V344" s="122"/>
      <c r="W344" s="122"/>
      <c r="X344" s="122"/>
      <c r="Y344" s="122"/>
      <c r="Z344" s="122"/>
      <c r="AA344" s="122"/>
      <c r="AB344" s="122"/>
      <c r="AC344" s="122"/>
      <c r="AD344" s="122"/>
      <c r="AE344" s="122"/>
      <c r="AF344" s="122"/>
      <c r="AG344" s="122"/>
      <c r="AH344" s="122"/>
      <c r="AI344" s="122"/>
      <c r="AJ344" s="122"/>
      <c r="AK344" s="122"/>
      <c r="AL344" s="122"/>
      <c r="AM344" s="122"/>
      <c r="AN344" s="122"/>
      <c r="AO344" s="122"/>
      <c r="AP344" s="166"/>
      <c r="AQ344" s="122"/>
      <c r="AR344" s="167"/>
      <c r="AS344" s="122"/>
      <c r="AT344" s="122"/>
      <c r="AU344" s="122"/>
      <c r="AV344" s="122"/>
      <c r="AW344" s="122"/>
      <c r="AX344" s="122"/>
      <c r="AY344" s="122"/>
      <c r="AZ344" s="122"/>
      <c r="BA344" s="122"/>
      <c r="BB344" s="122"/>
      <c r="BC344" s="122"/>
      <c r="BD344" s="122"/>
      <c r="BE344" s="122"/>
      <c r="BF344" s="122"/>
      <c r="BG344" s="122"/>
      <c r="BH344" s="122"/>
      <c r="BI344" s="122"/>
      <c r="BJ344" s="122"/>
    </row>
    <row r="345" spans="1:62">
      <c r="A345" s="122"/>
      <c r="B345" s="122"/>
      <c r="C345" s="122"/>
      <c r="D345" s="122"/>
      <c r="E345" s="122"/>
      <c r="F345" s="122"/>
      <c r="G345" s="122"/>
      <c r="H345" s="122"/>
      <c r="I345" s="122"/>
      <c r="J345" s="122"/>
      <c r="K345" s="122"/>
      <c r="L345" s="122"/>
      <c r="M345" s="122"/>
      <c r="N345" s="122"/>
      <c r="O345" s="122"/>
      <c r="P345" s="122"/>
      <c r="Q345" s="122"/>
      <c r="R345" s="122"/>
      <c r="S345" s="122"/>
      <c r="T345" s="122"/>
      <c r="U345" s="122"/>
      <c r="V345" s="122"/>
      <c r="W345" s="122"/>
      <c r="X345" s="122"/>
      <c r="Y345" s="122"/>
      <c r="Z345" s="122"/>
      <c r="AA345" s="122"/>
      <c r="AB345" s="122"/>
      <c r="AC345" s="122"/>
      <c r="AD345" s="122"/>
      <c r="AE345" s="122"/>
      <c r="AF345" s="122"/>
      <c r="AG345" s="122"/>
      <c r="AH345" s="122"/>
      <c r="AI345" s="122"/>
      <c r="AJ345" s="122"/>
      <c r="AK345" s="122"/>
      <c r="AL345" s="122"/>
      <c r="AM345" s="122"/>
      <c r="AN345" s="122"/>
      <c r="AO345" s="122"/>
      <c r="AP345" s="166"/>
      <c r="AQ345" s="122"/>
      <c r="AR345" s="167"/>
      <c r="AS345" s="122"/>
      <c r="AT345" s="122"/>
      <c r="AU345" s="122"/>
      <c r="AV345" s="122"/>
      <c r="AW345" s="122"/>
      <c r="AX345" s="122"/>
      <c r="AY345" s="122"/>
      <c r="AZ345" s="122"/>
      <c r="BA345" s="122"/>
      <c r="BB345" s="122"/>
      <c r="BC345" s="122"/>
      <c r="BD345" s="122"/>
      <c r="BE345" s="122"/>
      <c r="BF345" s="122"/>
      <c r="BG345" s="122"/>
      <c r="BH345" s="122"/>
      <c r="BI345" s="122"/>
      <c r="BJ345" s="122"/>
    </row>
    <row r="346" spans="1:62">
      <c r="A346" s="122"/>
      <c r="B346" s="122"/>
      <c r="C346" s="122"/>
      <c r="D346" s="122"/>
      <c r="E346" s="122"/>
      <c r="F346" s="122"/>
      <c r="G346" s="122"/>
      <c r="H346" s="122"/>
      <c r="I346" s="122"/>
      <c r="J346" s="122"/>
      <c r="K346" s="122"/>
      <c r="L346" s="122"/>
      <c r="M346" s="122"/>
      <c r="N346" s="122"/>
      <c r="O346" s="122"/>
      <c r="P346" s="122"/>
      <c r="Q346" s="122"/>
      <c r="R346" s="122"/>
      <c r="S346" s="122"/>
      <c r="T346" s="122"/>
      <c r="U346" s="122"/>
      <c r="V346" s="122"/>
      <c r="W346" s="122"/>
      <c r="X346" s="122"/>
      <c r="Y346" s="122"/>
      <c r="Z346" s="122"/>
      <c r="AA346" s="122"/>
      <c r="AB346" s="122"/>
      <c r="AC346" s="122"/>
      <c r="AD346" s="122"/>
      <c r="AE346" s="122"/>
      <c r="AF346" s="122"/>
      <c r="AG346" s="122"/>
      <c r="AH346" s="122"/>
      <c r="AI346" s="122"/>
      <c r="AJ346" s="122"/>
      <c r="AK346" s="122"/>
      <c r="AL346" s="122"/>
      <c r="AM346" s="122"/>
      <c r="AN346" s="122"/>
      <c r="AO346" s="122"/>
      <c r="AP346" s="166"/>
      <c r="AQ346" s="122"/>
      <c r="AR346" s="167"/>
      <c r="AS346" s="122"/>
      <c r="AT346" s="122"/>
      <c r="AU346" s="122"/>
      <c r="AV346" s="122"/>
      <c r="AW346" s="122"/>
      <c r="AX346" s="122"/>
      <c r="AY346" s="122"/>
      <c r="AZ346" s="122"/>
      <c r="BA346" s="122"/>
      <c r="BB346" s="122"/>
      <c r="BC346" s="122"/>
      <c r="BD346" s="122"/>
      <c r="BE346" s="122"/>
      <c r="BF346" s="122"/>
      <c r="BG346" s="122"/>
      <c r="BH346" s="122"/>
      <c r="BI346" s="122"/>
      <c r="BJ346" s="122"/>
    </row>
    <row r="347" spans="1:62">
      <c r="A347" s="122"/>
      <c r="B347" s="122"/>
      <c r="C347" s="122"/>
      <c r="D347" s="122"/>
      <c r="E347" s="122"/>
      <c r="F347" s="122"/>
      <c r="G347" s="122"/>
      <c r="H347" s="122"/>
      <c r="I347" s="122"/>
      <c r="J347" s="122"/>
      <c r="K347" s="122"/>
      <c r="L347" s="122"/>
      <c r="M347" s="122"/>
      <c r="N347" s="122"/>
      <c r="O347" s="122"/>
      <c r="P347" s="122"/>
      <c r="Q347" s="122"/>
      <c r="R347" s="122"/>
      <c r="S347" s="122"/>
      <c r="T347" s="122"/>
      <c r="U347" s="122"/>
      <c r="V347" s="122"/>
      <c r="W347" s="122"/>
      <c r="X347" s="122"/>
      <c r="Y347" s="122"/>
      <c r="Z347" s="122"/>
      <c r="AA347" s="122"/>
      <c r="AB347" s="122"/>
      <c r="AC347" s="122"/>
      <c r="AD347" s="122"/>
      <c r="AE347" s="122"/>
      <c r="AF347" s="122"/>
      <c r="AG347" s="122"/>
      <c r="AH347" s="122"/>
      <c r="AI347" s="122"/>
      <c r="AJ347" s="122"/>
      <c r="AK347" s="122"/>
      <c r="AL347" s="122"/>
      <c r="AM347" s="122"/>
      <c r="AN347" s="122"/>
      <c r="AO347" s="122"/>
      <c r="AP347" s="166"/>
      <c r="AQ347" s="122"/>
      <c r="AR347" s="167"/>
      <c r="AS347" s="122"/>
      <c r="AT347" s="122"/>
      <c r="AU347" s="122"/>
      <c r="AV347" s="122"/>
      <c r="AW347" s="122"/>
      <c r="AX347" s="122"/>
      <c r="AY347" s="122"/>
      <c r="AZ347" s="122"/>
      <c r="BA347" s="122"/>
      <c r="BB347" s="122"/>
      <c r="BC347" s="122"/>
      <c r="BD347" s="122"/>
      <c r="BE347" s="122"/>
      <c r="BF347" s="122"/>
      <c r="BG347" s="122"/>
      <c r="BH347" s="122"/>
      <c r="BI347" s="122"/>
      <c r="BJ347" s="122"/>
    </row>
    <row r="348" spans="1:62">
      <c r="A348" s="122"/>
      <c r="B348" s="122"/>
      <c r="C348" s="122"/>
      <c r="D348" s="122"/>
      <c r="E348" s="122"/>
      <c r="F348" s="122"/>
      <c r="G348" s="122"/>
      <c r="H348" s="122"/>
      <c r="I348" s="122"/>
      <c r="J348" s="122"/>
      <c r="K348" s="122"/>
      <c r="L348" s="122"/>
      <c r="M348" s="122"/>
      <c r="N348" s="122"/>
      <c r="O348" s="122"/>
      <c r="P348" s="122"/>
      <c r="Q348" s="122"/>
      <c r="R348" s="122"/>
      <c r="S348" s="122"/>
      <c r="T348" s="122"/>
      <c r="U348" s="122"/>
      <c r="V348" s="122"/>
      <c r="W348" s="122"/>
      <c r="X348" s="122"/>
      <c r="Y348" s="122"/>
      <c r="Z348" s="122"/>
      <c r="AA348" s="122"/>
      <c r="AB348" s="122"/>
      <c r="AC348" s="122"/>
      <c r="AD348" s="122"/>
      <c r="AE348" s="122"/>
      <c r="AF348" s="122"/>
      <c r="AG348" s="122"/>
      <c r="AH348" s="122"/>
      <c r="AI348" s="122"/>
      <c r="AJ348" s="122"/>
      <c r="AK348" s="122"/>
      <c r="AL348" s="122"/>
      <c r="AM348" s="122"/>
      <c r="AN348" s="122"/>
      <c r="AO348" s="122"/>
      <c r="AP348" s="166"/>
      <c r="AQ348" s="122"/>
      <c r="AR348" s="167"/>
      <c r="AS348" s="122"/>
      <c r="AT348" s="122"/>
      <c r="AU348" s="122"/>
      <c r="AV348" s="122"/>
      <c r="AW348" s="122"/>
      <c r="AX348" s="122"/>
      <c r="AY348" s="122"/>
      <c r="AZ348" s="122"/>
      <c r="BA348" s="122"/>
      <c r="BB348" s="122"/>
      <c r="BC348" s="122"/>
      <c r="BD348" s="122"/>
      <c r="BE348" s="122"/>
      <c r="BF348" s="122"/>
      <c r="BG348" s="122"/>
      <c r="BH348" s="122"/>
      <c r="BI348" s="122"/>
      <c r="BJ348" s="122"/>
    </row>
    <row r="349" spans="1:62">
      <c r="A349" s="122"/>
      <c r="B349" s="122"/>
      <c r="C349" s="122"/>
      <c r="D349" s="122"/>
      <c r="E349" s="122"/>
      <c r="F349" s="122"/>
      <c r="G349" s="122"/>
      <c r="H349" s="122"/>
      <c r="I349" s="122"/>
      <c r="J349" s="122"/>
      <c r="K349" s="122"/>
      <c r="L349" s="122"/>
      <c r="M349" s="122"/>
      <c r="N349" s="122"/>
      <c r="O349" s="122"/>
      <c r="P349" s="122"/>
      <c r="Q349" s="122"/>
      <c r="R349" s="122"/>
      <c r="S349" s="122"/>
      <c r="T349" s="122"/>
      <c r="U349" s="122"/>
      <c r="V349" s="122"/>
      <c r="W349" s="122"/>
      <c r="X349" s="122"/>
      <c r="Y349" s="122"/>
      <c r="Z349" s="122"/>
      <c r="AA349" s="122"/>
      <c r="AB349" s="122"/>
      <c r="AC349" s="122"/>
      <c r="AD349" s="122"/>
      <c r="AE349" s="122"/>
      <c r="AF349" s="122"/>
      <c r="AG349" s="122"/>
      <c r="AH349" s="122"/>
      <c r="AI349" s="122"/>
      <c r="AJ349" s="122"/>
      <c r="AK349" s="122"/>
      <c r="AL349" s="122"/>
      <c r="AM349" s="122"/>
      <c r="AN349" s="122"/>
      <c r="AO349" s="122"/>
      <c r="AP349" s="166"/>
      <c r="AQ349" s="122"/>
      <c r="AR349" s="167"/>
      <c r="AS349" s="122"/>
      <c r="AT349" s="122"/>
      <c r="AU349" s="122"/>
      <c r="AV349" s="122"/>
      <c r="AW349" s="122"/>
      <c r="AX349" s="122"/>
      <c r="AY349" s="122"/>
      <c r="AZ349" s="122"/>
      <c r="BA349" s="122"/>
      <c r="BB349" s="122"/>
      <c r="BC349" s="122"/>
      <c r="BD349" s="122"/>
      <c r="BE349" s="122"/>
      <c r="BF349" s="122"/>
      <c r="BG349" s="122"/>
      <c r="BH349" s="122"/>
      <c r="BI349" s="122"/>
      <c r="BJ349" s="122"/>
    </row>
    <row r="350" spans="1:62">
      <c r="A350" s="122"/>
      <c r="B350" s="122"/>
      <c r="C350" s="122"/>
      <c r="D350" s="122"/>
      <c r="E350" s="122"/>
      <c r="F350" s="122"/>
      <c r="G350" s="122"/>
      <c r="H350" s="122"/>
      <c r="I350" s="122"/>
      <c r="J350" s="122"/>
      <c r="K350" s="122"/>
      <c r="L350" s="122"/>
      <c r="M350" s="122"/>
      <c r="N350" s="122"/>
      <c r="O350" s="122"/>
      <c r="P350" s="122"/>
      <c r="Q350" s="122"/>
      <c r="R350" s="122"/>
      <c r="S350" s="122"/>
      <c r="T350" s="122"/>
      <c r="U350" s="122"/>
      <c r="V350" s="122"/>
      <c r="W350" s="122"/>
      <c r="X350" s="122"/>
      <c r="Y350" s="122"/>
      <c r="Z350" s="122"/>
      <c r="AA350" s="122"/>
      <c r="AB350" s="122"/>
      <c r="AC350" s="122"/>
      <c r="AD350" s="122"/>
      <c r="AE350" s="122"/>
      <c r="AF350" s="122"/>
      <c r="AG350" s="122"/>
      <c r="AH350" s="122"/>
      <c r="AI350" s="122"/>
      <c r="AJ350" s="122"/>
      <c r="AK350" s="122"/>
      <c r="AL350" s="122"/>
      <c r="AM350" s="122"/>
      <c r="AN350" s="122"/>
      <c r="AO350" s="122"/>
      <c r="AP350" s="166"/>
      <c r="AQ350" s="122"/>
      <c r="AR350" s="167"/>
      <c r="AS350" s="122"/>
      <c r="AT350" s="122"/>
      <c r="AU350" s="122"/>
      <c r="AV350" s="122"/>
      <c r="AW350" s="122"/>
      <c r="AX350" s="122"/>
      <c r="AY350" s="122"/>
      <c r="AZ350" s="122"/>
      <c r="BA350" s="122"/>
      <c r="BB350" s="122"/>
      <c r="BC350" s="122"/>
      <c r="BD350" s="122"/>
      <c r="BE350" s="122"/>
      <c r="BF350" s="122"/>
      <c r="BG350" s="122"/>
      <c r="BH350" s="122"/>
      <c r="BI350" s="122"/>
      <c r="BJ350" s="122"/>
    </row>
    <row r="351" spans="1:62">
      <c r="A351" s="122"/>
      <c r="B351" s="122"/>
      <c r="C351" s="122"/>
      <c r="D351" s="122"/>
      <c r="E351" s="122"/>
      <c r="F351" s="122"/>
      <c r="G351" s="122"/>
      <c r="H351" s="122"/>
      <c r="I351" s="122"/>
      <c r="J351" s="122"/>
      <c r="K351" s="122"/>
      <c r="L351" s="122"/>
      <c r="M351" s="122"/>
      <c r="N351" s="122"/>
      <c r="O351" s="122"/>
      <c r="P351" s="122"/>
      <c r="Q351" s="122"/>
      <c r="R351" s="122"/>
      <c r="S351" s="122"/>
      <c r="T351" s="122"/>
      <c r="U351" s="122"/>
      <c r="V351" s="122"/>
      <c r="W351" s="122"/>
      <c r="X351" s="122"/>
      <c r="Y351" s="122"/>
      <c r="Z351" s="122"/>
      <c r="AA351" s="122"/>
      <c r="AB351" s="122"/>
      <c r="AC351" s="122"/>
      <c r="AD351" s="122"/>
      <c r="AE351" s="122"/>
      <c r="AF351" s="122"/>
      <c r="AG351" s="122"/>
      <c r="AH351" s="122"/>
      <c r="AI351" s="122"/>
      <c r="AJ351" s="122"/>
      <c r="AK351" s="122"/>
      <c r="AL351" s="122"/>
      <c r="AM351" s="122"/>
      <c r="AN351" s="122"/>
      <c r="AO351" s="122"/>
      <c r="AP351" s="166"/>
      <c r="AQ351" s="122"/>
      <c r="AR351" s="167"/>
      <c r="AS351" s="122"/>
      <c r="AT351" s="122"/>
      <c r="AU351" s="122"/>
      <c r="AV351" s="122"/>
      <c r="AW351" s="122"/>
      <c r="AX351" s="122"/>
      <c r="AY351" s="122"/>
      <c r="AZ351" s="122"/>
      <c r="BA351" s="122"/>
      <c r="BB351" s="122"/>
      <c r="BC351" s="122"/>
      <c r="BD351" s="122"/>
      <c r="BE351" s="122"/>
      <c r="BF351" s="122"/>
      <c r="BG351" s="122"/>
      <c r="BH351" s="122"/>
      <c r="BI351" s="122"/>
      <c r="BJ351" s="122"/>
    </row>
    <row r="352" spans="1:62">
      <c r="A352" s="122"/>
      <c r="B352" s="122"/>
      <c r="C352" s="122"/>
      <c r="D352" s="122"/>
      <c r="E352" s="122"/>
      <c r="F352" s="122"/>
      <c r="G352" s="122"/>
      <c r="H352" s="122"/>
      <c r="I352" s="122"/>
      <c r="J352" s="122"/>
      <c r="K352" s="122"/>
      <c r="L352" s="122"/>
      <c r="M352" s="122"/>
      <c r="N352" s="122"/>
      <c r="O352" s="122"/>
      <c r="P352" s="122"/>
      <c r="Q352" s="122"/>
      <c r="R352" s="122"/>
      <c r="S352" s="122"/>
      <c r="T352" s="122"/>
      <c r="U352" s="122"/>
      <c r="V352" s="122"/>
      <c r="W352" s="122"/>
      <c r="X352" s="122"/>
      <c r="Y352" s="122"/>
      <c r="Z352" s="122"/>
      <c r="AA352" s="122"/>
      <c r="AB352" s="122"/>
      <c r="AC352" s="122"/>
      <c r="AD352" s="122"/>
      <c r="AE352" s="122"/>
      <c r="AF352" s="122"/>
      <c r="AG352" s="122"/>
      <c r="AH352" s="122"/>
      <c r="AI352" s="122"/>
      <c r="AJ352" s="122"/>
      <c r="AK352" s="122"/>
      <c r="AL352" s="122"/>
      <c r="AM352" s="122"/>
      <c r="AN352" s="122"/>
      <c r="AO352" s="122"/>
      <c r="AP352" s="166"/>
      <c r="AQ352" s="122"/>
      <c r="AR352" s="167"/>
      <c r="AS352" s="122"/>
      <c r="AT352" s="122"/>
      <c r="AU352" s="122"/>
      <c r="AV352" s="122"/>
      <c r="AW352" s="122"/>
      <c r="AX352" s="122"/>
      <c r="AY352" s="122"/>
      <c r="AZ352" s="122"/>
      <c r="BA352" s="122"/>
      <c r="BB352" s="122"/>
      <c r="BC352" s="122"/>
      <c r="BD352" s="122"/>
      <c r="BE352" s="122"/>
      <c r="BF352" s="122"/>
      <c r="BG352" s="122"/>
      <c r="BH352" s="122"/>
      <c r="BI352" s="122"/>
      <c r="BJ352" s="122"/>
    </row>
    <row r="353" spans="1:62">
      <c r="A353" s="122"/>
      <c r="B353" s="122"/>
      <c r="C353" s="122"/>
      <c r="D353" s="122"/>
      <c r="E353" s="122"/>
      <c r="F353" s="122"/>
      <c r="G353" s="122"/>
      <c r="H353" s="122"/>
      <c r="I353" s="122"/>
      <c r="J353" s="122"/>
      <c r="K353" s="122"/>
      <c r="L353" s="122"/>
      <c r="M353" s="122"/>
      <c r="N353" s="122"/>
      <c r="O353" s="122"/>
      <c r="P353" s="122"/>
      <c r="Q353" s="122"/>
      <c r="R353" s="122"/>
      <c r="S353" s="122"/>
      <c r="T353" s="122"/>
      <c r="U353" s="122"/>
      <c r="V353" s="122"/>
      <c r="W353" s="122"/>
      <c r="X353" s="122"/>
      <c r="Y353" s="122"/>
      <c r="Z353" s="122"/>
      <c r="AA353" s="122"/>
      <c r="AB353" s="122"/>
      <c r="AC353" s="122"/>
      <c r="AD353" s="122"/>
      <c r="AE353" s="122"/>
      <c r="AF353" s="122"/>
      <c r="AG353" s="122"/>
      <c r="AH353" s="122"/>
      <c r="AI353" s="122"/>
      <c r="AJ353" s="122"/>
      <c r="AK353" s="122"/>
      <c r="AL353" s="122"/>
      <c r="AM353" s="122"/>
      <c r="AN353" s="122"/>
      <c r="AO353" s="122"/>
      <c r="AP353" s="166"/>
      <c r="AQ353" s="122"/>
      <c r="AR353" s="167"/>
      <c r="AS353" s="122"/>
      <c r="AT353" s="122"/>
      <c r="AU353" s="122"/>
      <c r="AV353" s="122"/>
      <c r="AW353" s="122"/>
      <c r="AX353" s="122"/>
      <c r="AY353" s="122"/>
      <c r="AZ353" s="122"/>
      <c r="BA353" s="122"/>
      <c r="BB353" s="122"/>
      <c r="BC353" s="122"/>
      <c r="BD353" s="122"/>
      <c r="BE353" s="122"/>
      <c r="BF353" s="122"/>
      <c r="BG353" s="122"/>
      <c r="BH353" s="122"/>
      <c r="BI353" s="122"/>
      <c r="BJ353" s="122"/>
    </row>
    <row r="354" spans="1:62">
      <c r="A354" s="122"/>
      <c r="B354" s="122"/>
      <c r="C354" s="122"/>
      <c r="D354" s="122"/>
      <c r="E354" s="122"/>
      <c r="F354" s="122"/>
      <c r="G354" s="122"/>
      <c r="H354" s="122"/>
      <c r="I354" s="122"/>
      <c r="J354" s="122"/>
      <c r="K354" s="122"/>
      <c r="L354" s="122"/>
      <c r="M354" s="122"/>
      <c r="N354" s="122"/>
      <c r="O354" s="122"/>
      <c r="P354" s="122"/>
      <c r="Q354" s="122"/>
      <c r="R354" s="122"/>
      <c r="S354" s="122"/>
      <c r="T354" s="122"/>
      <c r="U354" s="122"/>
      <c r="V354" s="122"/>
      <c r="W354" s="122"/>
      <c r="X354" s="122"/>
      <c r="Y354" s="122"/>
      <c r="Z354" s="122"/>
      <c r="AA354" s="122"/>
      <c r="AB354" s="122"/>
      <c r="AC354" s="122"/>
      <c r="AD354" s="122"/>
      <c r="AE354" s="122"/>
      <c r="AF354" s="122"/>
      <c r="AG354" s="122"/>
      <c r="AH354" s="122"/>
      <c r="AI354" s="122"/>
      <c r="AJ354" s="122"/>
      <c r="AK354" s="122"/>
      <c r="AL354" s="122"/>
      <c r="AM354" s="122"/>
      <c r="AN354" s="122"/>
      <c r="AO354" s="122"/>
      <c r="AP354" s="166"/>
      <c r="AQ354" s="122"/>
      <c r="AR354" s="167"/>
      <c r="AS354" s="122"/>
      <c r="AT354" s="122"/>
      <c r="AU354" s="122"/>
      <c r="AV354" s="122"/>
      <c r="AW354" s="122"/>
      <c r="AX354" s="122"/>
      <c r="AY354" s="122"/>
      <c r="AZ354" s="122"/>
      <c r="BA354" s="122"/>
      <c r="BB354" s="122"/>
      <c r="BC354" s="122"/>
      <c r="BD354" s="122"/>
      <c r="BE354" s="122"/>
      <c r="BF354" s="122"/>
      <c r="BG354" s="122"/>
      <c r="BH354" s="122"/>
      <c r="BI354" s="122"/>
      <c r="BJ354" s="122"/>
    </row>
    <row r="355" spans="1:62">
      <c r="A355" s="122"/>
      <c r="B355" s="122"/>
      <c r="C355" s="122"/>
      <c r="D355" s="122"/>
      <c r="E355" s="122"/>
      <c r="F355" s="122"/>
      <c r="G355" s="122"/>
      <c r="H355" s="122"/>
      <c r="I355" s="122"/>
      <c r="J355" s="122"/>
      <c r="K355" s="122"/>
      <c r="L355" s="122"/>
      <c r="M355" s="122"/>
      <c r="N355" s="122"/>
      <c r="O355" s="122"/>
      <c r="P355" s="122"/>
      <c r="Q355" s="122"/>
      <c r="R355" s="122"/>
      <c r="S355" s="122"/>
      <c r="T355" s="122"/>
      <c r="U355" s="122"/>
      <c r="V355" s="122"/>
      <c r="W355" s="122"/>
      <c r="X355" s="122"/>
      <c r="Y355" s="122"/>
      <c r="Z355" s="122"/>
      <c r="AA355" s="122"/>
      <c r="AB355" s="122"/>
      <c r="AC355" s="122"/>
      <c r="AD355" s="122"/>
      <c r="AE355" s="122"/>
      <c r="AF355" s="122"/>
      <c r="AG355" s="122"/>
      <c r="AH355" s="122"/>
      <c r="AI355" s="122"/>
      <c r="AJ355" s="122"/>
      <c r="AK355" s="122"/>
      <c r="AL355" s="122"/>
      <c r="AM355" s="122"/>
      <c r="AN355" s="122"/>
      <c r="AO355" s="122"/>
      <c r="AP355" s="166"/>
      <c r="AQ355" s="122"/>
      <c r="AR355" s="167"/>
      <c r="AS355" s="122"/>
      <c r="AT355" s="122"/>
      <c r="AU355" s="122"/>
      <c r="AV355" s="122"/>
      <c r="AW355" s="122"/>
      <c r="AX355" s="122"/>
      <c r="AY355" s="122"/>
      <c r="AZ355" s="122"/>
      <c r="BA355" s="122"/>
      <c r="BB355" s="122"/>
      <c r="BC355" s="122"/>
      <c r="BD355" s="122"/>
      <c r="BE355" s="122"/>
      <c r="BF355" s="122"/>
      <c r="BG355" s="122"/>
      <c r="BH355" s="122"/>
      <c r="BI355" s="122"/>
      <c r="BJ355" s="122"/>
    </row>
    <row r="356" spans="1:62">
      <c r="A356" s="122"/>
      <c r="B356" s="122"/>
      <c r="C356" s="122"/>
      <c r="D356" s="122"/>
      <c r="E356" s="122"/>
      <c r="F356" s="122"/>
      <c r="G356" s="122"/>
      <c r="H356" s="122"/>
      <c r="I356" s="122"/>
      <c r="J356" s="122"/>
      <c r="K356" s="122"/>
      <c r="L356" s="122"/>
      <c r="M356" s="122"/>
      <c r="N356" s="122"/>
      <c r="O356" s="122"/>
      <c r="P356" s="122"/>
      <c r="Q356" s="122"/>
      <c r="R356" s="122"/>
      <c r="S356" s="122"/>
      <c r="T356" s="122"/>
      <c r="U356" s="122"/>
      <c r="V356" s="122"/>
      <c r="W356" s="122"/>
      <c r="X356" s="122"/>
      <c r="Y356" s="122"/>
      <c r="Z356" s="122"/>
      <c r="AA356" s="122"/>
      <c r="AB356" s="122"/>
      <c r="AC356" s="122"/>
      <c r="AD356" s="122"/>
      <c r="AE356" s="122"/>
      <c r="AF356" s="122"/>
      <c r="AG356" s="122"/>
      <c r="AH356" s="122"/>
      <c r="AI356" s="122"/>
      <c r="AJ356" s="122"/>
      <c r="AK356" s="122"/>
      <c r="AL356" s="122"/>
      <c r="AM356" s="122"/>
      <c r="AN356" s="122"/>
      <c r="AO356" s="122"/>
      <c r="AP356" s="166"/>
      <c r="AQ356" s="122"/>
      <c r="AR356" s="167"/>
      <c r="AS356" s="122"/>
      <c r="AT356" s="122"/>
      <c r="AU356" s="122"/>
      <c r="AV356" s="122"/>
      <c r="AW356" s="122"/>
      <c r="AX356" s="122"/>
      <c r="AY356" s="122"/>
      <c r="AZ356" s="122"/>
      <c r="BA356" s="122"/>
      <c r="BB356" s="122"/>
      <c r="BC356" s="122"/>
      <c r="BD356" s="122"/>
      <c r="BE356" s="122"/>
      <c r="BF356" s="122"/>
      <c r="BG356" s="122"/>
      <c r="BH356" s="122"/>
      <c r="BI356" s="122"/>
      <c r="BJ356" s="122"/>
    </row>
    <row r="357" spans="1:62">
      <c r="A357" s="122"/>
      <c r="B357" s="122"/>
      <c r="C357" s="122"/>
      <c r="D357" s="122"/>
      <c r="E357" s="122"/>
      <c r="F357" s="122"/>
      <c r="G357" s="122"/>
      <c r="H357" s="122"/>
      <c r="I357" s="122"/>
      <c r="J357" s="122"/>
      <c r="K357" s="122"/>
      <c r="L357" s="122"/>
      <c r="M357" s="122"/>
      <c r="N357" s="122"/>
      <c r="O357" s="122"/>
      <c r="P357" s="122"/>
      <c r="Q357" s="122"/>
      <c r="R357" s="122"/>
      <c r="S357" s="122"/>
      <c r="T357" s="122"/>
      <c r="U357" s="122"/>
      <c r="V357" s="122"/>
      <c r="W357" s="122"/>
      <c r="X357" s="122"/>
      <c r="Y357" s="122"/>
      <c r="Z357" s="122"/>
      <c r="AA357" s="122"/>
      <c r="AB357" s="122"/>
      <c r="AC357" s="122"/>
      <c r="AD357" s="122"/>
      <c r="AE357" s="122"/>
      <c r="AF357" s="122"/>
      <c r="AG357" s="122"/>
      <c r="AH357" s="122"/>
      <c r="AI357" s="122"/>
      <c r="AJ357" s="122"/>
      <c r="AK357" s="122"/>
      <c r="AL357" s="122"/>
      <c r="AM357" s="122"/>
      <c r="AN357" s="122"/>
      <c r="AO357" s="122"/>
      <c r="AP357" s="166"/>
      <c r="AQ357" s="122"/>
      <c r="AR357" s="167"/>
      <c r="AS357" s="122"/>
      <c r="AT357" s="122"/>
      <c r="AU357" s="122"/>
      <c r="AV357" s="122"/>
      <c r="AW357" s="122"/>
      <c r="AX357" s="122"/>
      <c r="AY357" s="122"/>
      <c r="AZ357" s="122"/>
      <c r="BA357" s="122"/>
      <c r="BB357" s="122"/>
      <c r="BC357" s="122"/>
      <c r="BD357" s="122"/>
      <c r="BE357" s="122"/>
      <c r="BF357" s="122"/>
      <c r="BG357" s="122"/>
      <c r="BH357" s="122"/>
      <c r="BI357" s="122"/>
      <c r="BJ357" s="122"/>
    </row>
    <row r="358" spans="1:62">
      <c r="A358" s="122"/>
      <c r="B358" s="122"/>
      <c r="C358" s="122"/>
      <c r="D358" s="122"/>
      <c r="E358" s="122"/>
      <c r="F358" s="122"/>
      <c r="G358" s="122"/>
      <c r="H358" s="122"/>
      <c r="I358" s="122"/>
      <c r="J358" s="122"/>
      <c r="K358" s="122"/>
      <c r="L358" s="122"/>
      <c r="M358" s="122"/>
      <c r="N358" s="122"/>
      <c r="O358" s="122"/>
      <c r="P358" s="122"/>
      <c r="Q358" s="122"/>
      <c r="R358" s="122"/>
      <c r="S358" s="122"/>
      <c r="T358" s="122"/>
      <c r="U358" s="122"/>
      <c r="V358" s="122"/>
      <c r="W358" s="122"/>
      <c r="X358" s="122"/>
      <c r="Y358" s="122"/>
      <c r="Z358" s="122"/>
      <c r="AA358" s="122"/>
      <c r="AB358" s="122"/>
      <c r="AC358" s="122"/>
      <c r="AD358" s="122"/>
      <c r="AE358" s="122"/>
      <c r="AF358" s="122"/>
      <c r="AG358" s="122"/>
      <c r="AH358" s="122"/>
      <c r="AI358" s="122"/>
      <c r="AJ358" s="122"/>
      <c r="AK358" s="122"/>
      <c r="AL358" s="122"/>
      <c r="AM358" s="122"/>
      <c r="AN358" s="122"/>
      <c r="AO358" s="122"/>
      <c r="AP358" s="166"/>
      <c r="AQ358" s="122"/>
      <c r="AR358" s="167"/>
      <c r="AS358" s="122"/>
      <c r="AT358" s="122"/>
      <c r="AU358" s="122"/>
      <c r="AV358" s="122"/>
      <c r="AW358" s="122"/>
      <c r="AX358" s="122"/>
      <c r="AY358" s="122"/>
      <c r="AZ358" s="122"/>
      <c r="BA358" s="122"/>
      <c r="BB358" s="122"/>
      <c r="BC358" s="122"/>
      <c r="BD358" s="122"/>
      <c r="BE358" s="122"/>
      <c r="BF358" s="122"/>
      <c r="BG358" s="122"/>
      <c r="BH358" s="122"/>
      <c r="BI358" s="122"/>
      <c r="BJ358" s="122"/>
    </row>
    <row r="359" spans="1:62">
      <c r="A359" s="122"/>
      <c r="B359" s="122"/>
      <c r="C359" s="122"/>
      <c r="D359" s="122"/>
      <c r="E359" s="122"/>
      <c r="F359" s="122"/>
      <c r="G359" s="122"/>
      <c r="H359" s="122"/>
      <c r="I359" s="122"/>
      <c r="J359" s="122"/>
      <c r="K359" s="122"/>
      <c r="L359" s="122"/>
      <c r="M359" s="122"/>
      <c r="N359" s="122"/>
      <c r="O359" s="122"/>
      <c r="P359" s="122"/>
      <c r="Q359" s="122"/>
      <c r="R359" s="122"/>
      <c r="S359" s="122"/>
      <c r="T359" s="122"/>
      <c r="U359" s="122"/>
      <c r="V359" s="122"/>
      <c r="W359" s="122"/>
      <c r="X359" s="122"/>
      <c r="Y359" s="122"/>
      <c r="Z359" s="122"/>
      <c r="AA359" s="122"/>
      <c r="AB359" s="122"/>
      <c r="AC359" s="122"/>
      <c r="AD359" s="122"/>
      <c r="AE359" s="122"/>
      <c r="AF359" s="122"/>
      <c r="AG359" s="122"/>
      <c r="AH359" s="122"/>
      <c r="AI359" s="122"/>
      <c r="AJ359" s="122"/>
      <c r="AK359" s="122"/>
      <c r="AL359" s="122"/>
      <c r="AM359" s="122"/>
      <c r="AN359" s="122"/>
      <c r="AO359" s="122"/>
      <c r="AP359" s="166"/>
      <c r="AQ359" s="122"/>
      <c r="AR359" s="167"/>
      <c r="AS359" s="122"/>
      <c r="AT359" s="122"/>
      <c r="AU359" s="122"/>
      <c r="AV359" s="122"/>
      <c r="AW359" s="122"/>
      <c r="AX359" s="122"/>
      <c r="AY359" s="122"/>
      <c r="AZ359" s="122"/>
      <c r="BA359" s="122"/>
      <c r="BB359" s="122"/>
      <c r="BC359" s="122"/>
      <c r="BD359" s="122"/>
      <c r="BE359" s="122"/>
      <c r="BF359" s="122"/>
      <c r="BG359" s="122"/>
      <c r="BH359" s="122"/>
      <c r="BI359" s="122"/>
      <c r="BJ359" s="122"/>
    </row>
    <row r="360" spans="1:62">
      <c r="A360" s="122"/>
      <c r="B360" s="122"/>
      <c r="C360" s="122"/>
      <c r="D360" s="122"/>
      <c r="E360" s="122"/>
      <c r="F360" s="122"/>
      <c r="G360" s="122"/>
      <c r="H360" s="122"/>
      <c r="I360" s="122"/>
      <c r="J360" s="122"/>
      <c r="K360" s="122"/>
      <c r="L360" s="122"/>
      <c r="M360" s="122"/>
      <c r="N360" s="122"/>
      <c r="O360" s="122"/>
      <c r="P360" s="122"/>
      <c r="Q360" s="122"/>
      <c r="R360" s="122"/>
      <c r="S360" s="122"/>
      <c r="T360" s="122"/>
      <c r="U360" s="122"/>
      <c r="V360" s="122"/>
      <c r="W360" s="122"/>
      <c r="X360" s="122"/>
      <c r="Y360" s="122"/>
      <c r="Z360" s="122"/>
      <c r="AA360" s="122"/>
      <c r="AB360" s="122"/>
      <c r="AC360" s="122"/>
      <c r="AD360" s="122"/>
      <c r="AE360" s="122"/>
      <c r="AF360" s="122"/>
      <c r="AG360" s="122"/>
      <c r="AH360" s="122"/>
      <c r="AI360" s="122"/>
      <c r="AJ360" s="122"/>
      <c r="AK360" s="122"/>
      <c r="AL360" s="122"/>
      <c r="AM360" s="122"/>
      <c r="AN360" s="122"/>
      <c r="AO360" s="122"/>
      <c r="AP360" s="166"/>
      <c r="AQ360" s="122"/>
      <c r="AR360" s="167"/>
      <c r="AS360" s="122"/>
      <c r="AT360" s="122"/>
      <c r="AU360" s="122"/>
      <c r="AV360" s="122"/>
      <c r="AW360" s="122"/>
      <c r="AX360" s="122"/>
      <c r="AY360" s="122"/>
      <c r="AZ360" s="122"/>
      <c r="BA360" s="122"/>
      <c r="BB360" s="122"/>
      <c r="BC360" s="122"/>
      <c r="BD360" s="122"/>
      <c r="BE360" s="122"/>
      <c r="BF360" s="122"/>
      <c r="BG360" s="122"/>
      <c r="BH360" s="122"/>
      <c r="BI360" s="122"/>
      <c r="BJ360" s="122"/>
    </row>
    <row r="361" spans="1:62">
      <c r="A361" s="122"/>
      <c r="B361" s="122"/>
      <c r="C361" s="122"/>
      <c r="D361" s="122"/>
      <c r="E361" s="122"/>
      <c r="F361" s="122"/>
      <c r="G361" s="122"/>
      <c r="H361" s="122"/>
      <c r="I361" s="122"/>
      <c r="J361" s="122"/>
      <c r="K361" s="122"/>
      <c r="L361" s="122"/>
      <c r="M361" s="122"/>
      <c r="N361" s="122"/>
      <c r="O361" s="122"/>
      <c r="P361" s="122"/>
      <c r="Q361" s="122"/>
      <c r="R361" s="122"/>
      <c r="S361" s="122"/>
      <c r="T361" s="122"/>
      <c r="U361" s="122"/>
      <c r="V361" s="122"/>
      <c r="W361" s="122"/>
      <c r="X361" s="122"/>
      <c r="Y361" s="122"/>
      <c r="Z361" s="122"/>
      <c r="AA361" s="122"/>
      <c r="AB361" s="122"/>
      <c r="AC361" s="122"/>
      <c r="AD361" s="122"/>
      <c r="AE361" s="122"/>
      <c r="AF361" s="122"/>
      <c r="AG361" s="122"/>
      <c r="AH361" s="122"/>
      <c r="AI361" s="122"/>
      <c r="AJ361" s="122"/>
      <c r="AK361" s="122"/>
      <c r="AL361" s="122"/>
      <c r="AM361" s="122"/>
      <c r="AN361" s="122"/>
      <c r="AO361" s="122"/>
      <c r="AP361" s="166"/>
      <c r="AQ361" s="122"/>
      <c r="AR361" s="167"/>
      <c r="AS361" s="122"/>
      <c r="AT361" s="122"/>
      <c r="AU361" s="122"/>
      <c r="AV361" s="122"/>
      <c r="AW361" s="122"/>
      <c r="AX361" s="122"/>
      <c r="AY361" s="122"/>
      <c r="AZ361" s="122"/>
      <c r="BA361" s="122"/>
      <c r="BB361" s="122"/>
      <c r="BC361" s="122"/>
      <c r="BD361" s="122"/>
      <c r="BE361" s="122"/>
      <c r="BF361" s="122"/>
      <c r="BG361" s="122"/>
      <c r="BH361" s="122"/>
      <c r="BI361" s="122"/>
      <c r="BJ361" s="122"/>
    </row>
    <row r="362" spans="1:62">
      <c r="A362" s="122"/>
      <c r="B362" s="122"/>
      <c r="C362" s="122"/>
      <c r="D362" s="122"/>
      <c r="E362" s="122"/>
      <c r="F362" s="122"/>
      <c r="G362" s="122"/>
      <c r="H362" s="122"/>
      <c r="I362" s="122"/>
      <c r="J362" s="122"/>
      <c r="K362" s="122"/>
      <c r="L362" s="122"/>
      <c r="M362" s="122"/>
      <c r="N362" s="122"/>
      <c r="O362" s="122"/>
      <c r="P362" s="122"/>
      <c r="Q362" s="122"/>
      <c r="R362" s="122"/>
      <c r="S362" s="122"/>
      <c r="T362" s="122"/>
      <c r="U362" s="122"/>
      <c r="V362" s="122"/>
      <c r="W362" s="122"/>
      <c r="X362" s="122"/>
      <c r="Y362" s="122"/>
      <c r="Z362" s="122"/>
      <c r="AA362" s="122"/>
      <c r="AB362" s="122"/>
      <c r="AC362" s="122"/>
      <c r="AD362" s="122"/>
      <c r="AE362" s="122"/>
      <c r="AF362" s="122"/>
      <c r="AG362" s="122"/>
      <c r="AH362" s="122"/>
      <c r="AI362" s="122"/>
      <c r="AJ362" s="122"/>
      <c r="AK362" s="122"/>
      <c r="AL362" s="122"/>
      <c r="AM362" s="122"/>
      <c r="AN362" s="122"/>
      <c r="AO362" s="122"/>
      <c r="AP362" s="166"/>
      <c r="AQ362" s="122"/>
      <c r="AR362" s="167"/>
      <c r="AS362" s="122"/>
      <c r="AT362" s="122"/>
      <c r="AU362" s="122"/>
      <c r="AV362" s="122"/>
      <c r="AW362" s="122"/>
      <c r="AX362" s="122"/>
      <c r="AY362" s="122"/>
      <c r="AZ362" s="122"/>
      <c r="BA362" s="122"/>
      <c r="BB362" s="122"/>
      <c r="BC362" s="122"/>
      <c r="BD362" s="122"/>
      <c r="BE362" s="122"/>
      <c r="BF362" s="122"/>
      <c r="BG362" s="122"/>
      <c r="BH362" s="122"/>
      <c r="BI362" s="122"/>
      <c r="BJ362" s="122"/>
    </row>
    <row r="363" spans="1:62">
      <c r="A363" s="122"/>
      <c r="B363" s="122"/>
      <c r="C363" s="122"/>
      <c r="D363" s="122"/>
      <c r="E363" s="122"/>
      <c r="F363" s="122"/>
      <c r="G363" s="122"/>
      <c r="H363" s="122"/>
      <c r="I363" s="122"/>
      <c r="J363" s="122"/>
      <c r="K363" s="122"/>
      <c r="L363" s="122"/>
      <c r="M363" s="122"/>
      <c r="N363" s="122"/>
      <c r="O363" s="122"/>
      <c r="P363" s="122"/>
      <c r="Q363" s="122"/>
      <c r="R363" s="122"/>
      <c r="S363" s="122"/>
      <c r="T363" s="122"/>
      <c r="U363" s="122"/>
      <c r="V363" s="122"/>
      <c r="W363" s="122"/>
      <c r="X363" s="122"/>
      <c r="Y363" s="122"/>
      <c r="Z363" s="122"/>
      <c r="AA363" s="122"/>
      <c r="AB363" s="122"/>
      <c r="AC363" s="122"/>
      <c r="AD363" s="122"/>
      <c r="AE363" s="122"/>
      <c r="AF363" s="122"/>
      <c r="AG363" s="122"/>
      <c r="AH363" s="122"/>
      <c r="AI363" s="122"/>
      <c r="AJ363" s="122"/>
      <c r="AK363" s="122"/>
      <c r="AL363" s="122"/>
      <c r="AM363" s="122"/>
      <c r="AN363" s="122"/>
      <c r="AO363" s="122"/>
      <c r="AP363" s="166"/>
      <c r="AQ363" s="122"/>
      <c r="AR363" s="167"/>
      <c r="AS363" s="122"/>
      <c r="AT363" s="122"/>
      <c r="AU363" s="122"/>
      <c r="AV363" s="122"/>
      <c r="AW363" s="122"/>
      <c r="AX363" s="122"/>
      <c r="AY363" s="122"/>
      <c r="AZ363" s="122"/>
      <c r="BA363" s="122"/>
      <c r="BB363" s="122"/>
      <c r="BC363" s="122"/>
      <c r="BD363" s="122"/>
      <c r="BE363" s="122"/>
      <c r="BF363" s="122"/>
      <c r="BG363" s="122"/>
      <c r="BH363" s="122"/>
      <c r="BI363" s="122"/>
      <c r="BJ363" s="122"/>
    </row>
    <row r="364" spans="1:62">
      <c r="A364" s="122"/>
      <c r="B364" s="122"/>
      <c r="C364" s="122"/>
      <c r="D364" s="122"/>
      <c r="E364" s="122"/>
      <c r="F364" s="122"/>
      <c r="G364" s="122"/>
      <c r="H364" s="122"/>
      <c r="I364" s="122"/>
      <c r="J364" s="122"/>
      <c r="K364" s="122"/>
      <c r="L364" s="122"/>
      <c r="M364" s="122"/>
      <c r="N364" s="122"/>
      <c r="O364" s="122"/>
      <c r="P364" s="122"/>
      <c r="Q364" s="122"/>
      <c r="R364" s="122"/>
      <c r="S364" s="122"/>
      <c r="T364" s="122"/>
      <c r="U364" s="122"/>
      <c r="V364" s="122"/>
      <c r="W364" s="122"/>
      <c r="X364" s="122"/>
      <c r="Y364" s="122"/>
      <c r="Z364" s="122"/>
      <c r="AA364" s="122"/>
      <c r="AB364" s="122"/>
      <c r="AC364" s="122"/>
      <c r="AD364" s="122"/>
      <c r="AE364" s="122"/>
      <c r="AF364" s="122"/>
      <c r="AG364" s="122"/>
      <c r="AH364" s="122"/>
      <c r="AI364" s="122"/>
      <c r="AJ364" s="122"/>
      <c r="AK364" s="122"/>
      <c r="AL364" s="122"/>
      <c r="AM364" s="122"/>
      <c r="AN364" s="122"/>
      <c r="AO364" s="122"/>
      <c r="AP364" s="166"/>
      <c r="AQ364" s="122"/>
      <c r="AR364" s="167"/>
      <c r="AS364" s="122"/>
      <c r="AT364" s="122"/>
      <c r="AU364" s="122"/>
      <c r="AV364" s="122"/>
      <c r="AW364" s="122"/>
      <c r="AX364" s="122"/>
      <c r="AY364" s="122"/>
      <c r="AZ364" s="122"/>
      <c r="BA364" s="122"/>
      <c r="BB364" s="122"/>
      <c r="BC364" s="122"/>
      <c r="BD364" s="122"/>
      <c r="BE364" s="122"/>
      <c r="BF364" s="122"/>
      <c r="BG364" s="122"/>
      <c r="BH364" s="122"/>
      <c r="BI364" s="122"/>
      <c r="BJ364" s="122"/>
    </row>
    <row r="365" spans="1:62">
      <c r="A365" s="122"/>
      <c r="B365" s="122"/>
      <c r="C365" s="122"/>
      <c r="D365" s="122"/>
      <c r="E365" s="122"/>
      <c r="F365" s="122"/>
      <c r="G365" s="122"/>
      <c r="H365" s="122"/>
      <c r="I365" s="122"/>
      <c r="J365" s="122"/>
      <c r="K365" s="122"/>
      <c r="L365" s="122"/>
      <c r="M365" s="122"/>
      <c r="N365" s="122"/>
      <c r="O365" s="122"/>
      <c r="P365" s="122"/>
      <c r="Q365" s="122"/>
      <c r="R365" s="122"/>
      <c r="S365" s="122"/>
      <c r="T365" s="122"/>
      <c r="U365" s="122"/>
      <c r="V365" s="122"/>
      <c r="W365" s="122"/>
      <c r="X365" s="122"/>
      <c r="Y365" s="122"/>
      <c r="Z365" s="122"/>
      <c r="AA365" s="122"/>
      <c r="AB365" s="122"/>
      <c r="AC365" s="122"/>
      <c r="AD365" s="122"/>
      <c r="AE365" s="122"/>
      <c r="AF365" s="122"/>
      <c r="AG365" s="122"/>
      <c r="AH365" s="122"/>
      <c r="AI365" s="122"/>
      <c r="AJ365" s="122"/>
      <c r="AK365" s="122"/>
      <c r="AL365" s="122"/>
      <c r="AM365" s="122"/>
      <c r="AN365" s="122"/>
      <c r="AO365" s="122"/>
      <c r="AP365" s="166"/>
      <c r="AQ365" s="122"/>
      <c r="AR365" s="167"/>
      <c r="AS365" s="122"/>
      <c r="AT365" s="122"/>
      <c r="AU365" s="122"/>
      <c r="AV365" s="122"/>
      <c r="AW365" s="122"/>
      <c r="AX365" s="122"/>
      <c r="AY365" s="122"/>
      <c r="AZ365" s="122"/>
      <c r="BA365" s="122"/>
      <c r="BB365" s="122"/>
      <c r="BC365" s="122"/>
      <c r="BD365" s="122"/>
      <c r="BE365" s="122"/>
      <c r="BF365" s="122"/>
      <c r="BG365" s="122"/>
      <c r="BH365" s="122"/>
      <c r="BI365" s="122"/>
      <c r="BJ365" s="122"/>
    </row>
    <row r="366" spans="1:62">
      <c r="A366" s="122"/>
      <c r="B366" s="122"/>
      <c r="C366" s="122"/>
      <c r="D366" s="122"/>
      <c r="E366" s="122"/>
      <c r="F366" s="122"/>
      <c r="G366" s="122"/>
      <c r="H366" s="122"/>
      <c r="I366" s="122"/>
      <c r="J366" s="122"/>
      <c r="K366" s="122"/>
      <c r="L366" s="122"/>
      <c r="M366" s="122"/>
      <c r="N366" s="122"/>
      <c r="O366" s="122"/>
      <c r="P366" s="122"/>
      <c r="Q366" s="122"/>
      <c r="R366" s="122"/>
      <c r="S366" s="122"/>
      <c r="T366" s="122"/>
      <c r="U366" s="122"/>
      <c r="V366" s="122"/>
      <c r="W366" s="122"/>
      <c r="X366" s="122"/>
      <c r="Y366" s="122"/>
      <c r="Z366" s="122"/>
      <c r="AA366" s="122"/>
      <c r="AB366" s="122"/>
      <c r="AC366" s="122"/>
      <c r="AD366" s="122"/>
      <c r="AE366" s="122"/>
      <c r="AF366" s="122"/>
      <c r="AG366" s="122"/>
      <c r="AH366" s="122"/>
      <c r="AI366" s="122"/>
      <c r="AJ366" s="122"/>
      <c r="AK366" s="122"/>
      <c r="AL366" s="122"/>
      <c r="AM366" s="122"/>
      <c r="AN366" s="122"/>
      <c r="AO366" s="122"/>
      <c r="AP366" s="166"/>
      <c r="AQ366" s="122"/>
      <c r="AR366" s="167"/>
      <c r="AS366" s="122"/>
      <c r="AT366" s="122"/>
      <c r="AU366" s="122"/>
      <c r="AV366" s="122"/>
      <c r="AW366" s="122"/>
      <c r="AX366" s="122"/>
      <c r="AY366" s="122"/>
      <c r="AZ366" s="122"/>
      <c r="BA366" s="122"/>
      <c r="BB366" s="122"/>
      <c r="BC366" s="122"/>
      <c r="BD366" s="122"/>
      <c r="BE366" s="122"/>
      <c r="BF366" s="122"/>
      <c r="BG366" s="122"/>
      <c r="BH366" s="122"/>
      <c r="BI366" s="122"/>
      <c r="BJ366" s="122"/>
    </row>
    <row r="367" spans="1:62">
      <c r="A367" s="122"/>
      <c r="B367" s="122"/>
      <c r="C367" s="122"/>
      <c r="D367" s="122"/>
      <c r="E367" s="122"/>
      <c r="F367" s="122"/>
      <c r="G367" s="122"/>
      <c r="H367" s="122"/>
      <c r="I367" s="122"/>
      <c r="J367" s="122"/>
      <c r="K367" s="122"/>
      <c r="L367" s="122"/>
      <c r="M367" s="122"/>
      <c r="N367" s="122"/>
      <c r="O367" s="122"/>
      <c r="P367" s="122"/>
      <c r="Q367" s="122"/>
      <c r="R367" s="122"/>
      <c r="S367" s="122"/>
      <c r="T367" s="122"/>
      <c r="U367" s="122"/>
      <c r="V367" s="122"/>
      <c r="W367" s="122"/>
      <c r="X367" s="122"/>
      <c r="Y367" s="122"/>
      <c r="Z367" s="122"/>
      <c r="AA367" s="122"/>
      <c r="AB367" s="122"/>
      <c r="AC367" s="122"/>
      <c r="AD367" s="122"/>
      <c r="AE367" s="122"/>
      <c r="AF367" s="122"/>
      <c r="AG367" s="122"/>
      <c r="AH367" s="122"/>
      <c r="AI367" s="122"/>
      <c r="AJ367" s="122"/>
      <c r="AK367" s="122"/>
      <c r="AL367" s="122"/>
      <c r="AM367" s="122"/>
      <c r="AN367" s="122"/>
      <c r="AO367" s="122"/>
      <c r="AP367" s="166"/>
      <c r="AQ367" s="122"/>
      <c r="AR367" s="167"/>
      <c r="AS367" s="122"/>
      <c r="AT367" s="122"/>
      <c r="AU367" s="122"/>
      <c r="AV367" s="122"/>
      <c r="AW367" s="122"/>
      <c r="AX367" s="122"/>
      <c r="AY367" s="122"/>
      <c r="AZ367" s="122"/>
      <c r="BA367" s="122"/>
      <c r="BB367" s="122"/>
      <c r="BC367" s="122"/>
      <c r="BD367" s="122"/>
      <c r="BE367" s="122"/>
      <c r="BF367" s="122"/>
      <c r="BG367" s="122"/>
      <c r="BH367" s="122"/>
      <c r="BI367" s="122"/>
      <c r="BJ367" s="122"/>
    </row>
    <row r="368" spans="1:62">
      <c r="A368" s="122"/>
      <c r="B368" s="122"/>
      <c r="C368" s="122"/>
      <c r="D368" s="122"/>
      <c r="E368" s="122"/>
      <c r="F368" s="122"/>
      <c r="G368" s="122"/>
      <c r="H368" s="122"/>
      <c r="I368" s="122"/>
      <c r="J368" s="122"/>
      <c r="K368" s="122"/>
      <c r="L368" s="122"/>
      <c r="M368" s="122"/>
      <c r="N368" s="122"/>
      <c r="O368" s="122"/>
      <c r="P368" s="122"/>
      <c r="Q368" s="122"/>
      <c r="R368" s="122"/>
      <c r="S368" s="122"/>
      <c r="T368" s="122"/>
      <c r="U368" s="122"/>
      <c r="V368" s="122"/>
      <c r="W368" s="122"/>
      <c r="X368" s="122"/>
      <c r="Y368" s="122"/>
      <c r="Z368" s="122"/>
      <c r="AA368" s="122"/>
      <c r="AB368" s="122"/>
      <c r="AC368" s="122"/>
      <c r="AD368" s="122"/>
      <c r="AE368" s="122"/>
      <c r="AF368" s="122"/>
      <c r="AG368" s="122"/>
      <c r="AH368" s="122"/>
      <c r="AI368" s="122"/>
      <c r="AJ368" s="122"/>
      <c r="AK368" s="122"/>
      <c r="AL368" s="122"/>
      <c r="AM368" s="122"/>
      <c r="AN368" s="122"/>
      <c r="AO368" s="122"/>
      <c r="AP368" s="166"/>
      <c r="AQ368" s="122"/>
      <c r="AR368" s="167"/>
      <c r="AS368" s="122"/>
      <c r="AT368" s="122"/>
      <c r="AU368" s="122"/>
      <c r="AV368" s="122"/>
      <c r="AW368" s="122"/>
      <c r="AX368" s="122"/>
      <c r="AY368" s="122"/>
      <c r="AZ368" s="122"/>
      <c r="BA368" s="122"/>
      <c r="BB368" s="122"/>
      <c r="BC368" s="122"/>
      <c r="BD368" s="122"/>
      <c r="BE368" s="122"/>
      <c r="BF368" s="122"/>
      <c r="BG368" s="122"/>
      <c r="BH368" s="122"/>
      <c r="BI368" s="122"/>
      <c r="BJ368" s="122"/>
    </row>
    <row r="369" spans="1:62">
      <c r="A369" s="122"/>
      <c r="B369" s="122"/>
      <c r="C369" s="122"/>
      <c r="D369" s="122"/>
      <c r="E369" s="122"/>
      <c r="F369" s="122"/>
      <c r="G369" s="122"/>
      <c r="H369" s="122"/>
      <c r="I369" s="122"/>
      <c r="J369" s="122"/>
      <c r="K369" s="122"/>
      <c r="L369" s="122"/>
      <c r="M369" s="122"/>
      <c r="N369" s="122"/>
      <c r="O369" s="122"/>
      <c r="P369" s="122"/>
      <c r="Q369" s="122"/>
      <c r="R369" s="122"/>
      <c r="S369" s="122"/>
      <c r="T369" s="122"/>
      <c r="U369" s="122"/>
      <c r="V369" s="122"/>
      <c r="W369" s="122"/>
      <c r="X369" s="122"/>
      <c r="Y369" s="122"/>
      <c r="Z369" s="122"/>
      <c r="AA369" s="122"/>
      <c r="AB369" s="122"/>
      <c r="AC369" s="122"/>
      <c r="AD369" s="122"/>
      <c r="AE369" s="122"/>
      <c r="AF369" s="122"/>
      <c r="AG369" s="122"/>
      <c r="AH369" s="122"/>
      <c r="AI369" s="122"/>
      <c r="AJ369" s="122"/>
      <c r="AK369" s="122"/>
      <c r="AL369" s="122"/>
      <c r="AM369" s="122"/>
      <c r="AN369" s="122"/>
      <c r="AO369" s="122"/>
      <c r="AP369" s="166"/>
      <c r="AQ369" s="122"/>
      <c r="AR369" s="167"/>
      <c r="AS369" s="122"/>
      <c r="AT369" s="122"/>
      <c r="AU369" s="122"/>
      <c r="AV369" s="122"/>
      <c r="AW369" s="122"/>
      <c r="AX369" s="122"/>
      <c r="AY369" s="122"/>
      <c r="AZ369" s="122"/>
      <c r="BA369" s="122"/>
      <c r="BB369" s="122"/>
      <c r="BC369" s="122"/>
      <c r="BD369" s="122"/>
      <c r="BE369" s="122"/>
      <c r="BF369" s="122"/>
      <c r="BG369" s="122"/>
      <c r="BH369" s="122"/>
      <c r="BI369" s="122"/>
      <c r="BJ369" s="122"/>
    </row>
    <row r="370" spans="1:62">
      <c r="A370" s="122"/>
      <c r="B370" s="122"/>
      <c r="C370" s="122"/>
      <c r="D370" s="122"/>
      <c r="E370" s="122"/>
      <c r="F370" s="122"/>
      <c r="G370" s="122"/>
      <c r="H370" s="122"/>
      <c r="I370" s="122"/>
      <c r="J370" s="122"/>
      <c r="K370" s="122"/>
      <c r="L370" s="122"/>
      <c r="M370" s="122"/>
      <c r="N370" s="122"/>
      <c r="O370" s="122"/>
      <c r="P370" s="122"/>
      <c r="Q370" s="122"/>
      <c r="R370" s="122"/>
      <c r="S370" s="122"/>
      <c r="T370" s="122"/>
      <c r="U370" s="122"/>
      <c r="V370" s="122"/>
      <c r="W370" s="122"/>
      <c r="X370" s="122"/>
      <c r="Y370" s="122"/>
      <c r="Z370" s="122"/>
      <c r="AA370" s="122"/>
      <c r="AB370" s="122"/>
      <c r="AC370" s="122"/>
      <c r="AD370" s="122"/>
      <c r="AE370" s="122"/>
      <c r="AF370" s="122"/>
      <c r="AG370" s="122"/>
      <c r="AH370" s="122"/>
      <c r="AI370" s="122"/>
      <c r="AJ370" s="122"/>
      <c r="AK370" s="122"/>
      <c r="AL370" s="122"/>
      <c r="AM370" s="122"/>
      <c r="AN370" s="122"/>
      <c r="AO370" s="122"/>
      <c r="AP370" s="166"/>
      <c r="AQ370" s="122"/>
      <c r="AR370" s="167"/>
      <c r="AS370" s="122"/>
      <c r="AT370" s="122"/>
      <c r="AU370" s="122"/>
      <c r="AV370" s="122"/>
      <c r="AW370" s="122"/>
      <c r="AX370" s="122"/>
      <c r="AY370" s="122"/>
      <c r="AZ370" s="122"/>
      <c r="BA370" s="122"/>
      <c r="BB370" s="122"/>
      <c r="BC370" s="122"/>
      <c r="BD370" s="122"/>
      <c r="BE370" s="122"/>
      <c r="BF370" s="122"/>
      <c r="BG370" s="122"/>
      <c r="BH370" s="122"/>
      <c r="BI370" s="122"/>
      <c r="BJ370" s="122"/>
    </row>
    <row r="371" spans="1:62">
      <c r="A371" s="122"/>
      <c r="B371" s="122"/>
      <c r="C371" s="122"/>
      <c r="D371" s="122"/>
      <c r="E371" s="122"/>
      <c r="F371" s="122"/>
      <c r="G371" s="122"/>
      <c r="H371" s="122"/>
      <c r="I371" s="122"/>
      <c r="J371" s="122"/>
      <c r="K371" s="122"/>
      <c r="L371" s="122"/>
      <c r="M371" s="122"/>
      <c r="N371" s="122"/>
      <c r="O371" s="122"/>
      <c r="P371" s="122"/>
      <c r="Q371" s="122"/>
      <c r="R371" s="122"/>
      <c r="S371" s="122"/>
      <c r="T371" s="122"/>
      <c r="U371" s="122"/>
      <c r="V371" s="122"/>
      <c r="W371" s="122"/>
      <c r="X371" s="122"/>
      <c r="Y371" s="122"/>
      <c r="Z371" s="122"/>
      <c r="AA371" s="122"/>
      <c r="AB371" s="122"/>
      <c r="AC371" s="122"/>
      <c r="AD371" s="122"/>
      <c r="AE371" s="122"/>
      <c r="AF371" s="122"/>
      <c r="AG371" s="122"/>
      <c r="AH371" s="122"/>
      <c r="AI371" s="122"/>
      <c r="AJ371" s="122"/>
      <c r="AK371" s="122"/>
      <c r="AL371" s="122"/>
      <c r="AM371" s="122"/>
      <c r="AN371" s="122"/>
      <c r="AO371" s="122"/>
      <c r="AP371" s="166"/>
      <c r="AQ371" s="122"/>
      <c r="AR371" s="167"/>
      <c r="AS371" s="122"/>
      <c r="AT371" s="122"/>
      <c r="AU371" s="122"/>
      <c r="AV371" s="122"/>
      <c r="AW371" s="122"/>
      <c r="AX371" s="122"/>
      <c r="AY371" s="122"/>
      <c r="AZ371" s="122"/>
      <c r="BA371" s="122"/>
      <c r="BB371" s="122"/>
      <c r="BC371" s="122"/>
      <c r="BD371" s="122"/>
      <c r="BE371" s="122"/>
      <c r="BF371" s="122"/>
      <c r="BG371" s="122"/>
      <c r="BH371" s="122"/>
      <c r="BI371" s="122"/>
      <c r="BJ371" s="122"/>
    </row>
    <row r="372" spans="1:62">
      <c r="A372" s="122"/>
      <c r="B372" s="122"/>
      <c r="C372" s="122"/>
      <c r="D372" s="122"/>
      <c r="E372" s="122"/>
      <c r="F372" s="122"/>
      <c r="G372" s="122"/>
      <c r="H372" s="122"/>
      <c r="I372" s="122"/>
      <c r="J372" s="122"/>
      <c r="K372" s="122"/>
      <c r="L372" s="122"/>
      <c r="M372" s="122"/>
      <c r="N372" s="122"/>
      <c r="O372" s="122"/>
      <c r="P372" s="122"/>
      <c r="Q372" s="122"/>
      <c r="R372" s="122"/>
      <c r="S372" s="122"/>
      <c r="T372" s="122"/>
      <c r="U372" s="122"/>
      <c r="V372" s="122"/>
      <c r="W372" s="122"/>
      <c r="X372" s="122"/>
      <c r="Y372" s="122"/>
      <c r="Z372" s="122"/>
      <c r="AA372" s="122"/>
      <c r="AB372" s="122"/>
      <c r="AC372" s="122"/>
      <c r="AD372" s="122"/>
      <c r="AE372" s="122"/>
      <c r="AF372" s="122"/>
      <c r="AG372" s="122"/>
      <c r="AH372" s="122"/>
      <c r="AI372" s="122"/>
      <c r="AJ372" s="122"/>
      <c r="AK372" s="122"/>
      <c r="AL372" s="122"/>
      <c r="AM372" s="122"/>
      <c r="AN372" s="122"/>
      <c r="AO372" s="122"/>
      <c r="AP372" s="166"/>
      <c r="AQ372" s="122"/>
      <c r="AR372" s="167"/>
      <c r="AS372" s="122"/>
      <c r="AT372" s="122"/>
      <c r="AU372" s="122"/>
      <c r="AV372" s="122"/>
      <c r="AW372" s="122"/>
      <c r="AX372" s="122"/>
      <c r="AY372" s="122"/>
      <c r="AZ372" s="122"/>
      <c r="BA372" s="122"/>
      <c r="BB372" s="122"/>
      <c r="BC372" s="122"/>
      <c r="BD372" s="122"/>
      <c r="BE372" s="122"/>
      <c r="BF372" s="122"/>
      <c r="BG372" s="122"/>
      <c r="BH372" s="122"/>
      <c r="BI372" s="122"/>
      <c r="BJ372" s="122"/>
    </row>
    <row r="373" spans="1:62">
      <c r="A373" s="122"/>
      <c r="B373" s="122"/>
      <c r="C373" s="122"/>
      <c r="D373" s="122"/>
      <c r="E373" s="122"/>
      <c r="F373" s="122"/>
      <c r="G373" s="122"/>
      <c r="H373" s="122"/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  <c r="AA373" s="122"/>
      <c r="AB373" s="122"/>
      <c r="AC373" s="122"/>
      <c r="AD373" s="122"/>
      <c r="AE373" s="122"/>
      <c r="AF373" s="122"/>
      <c r="AG373" s="122"/>
      <c r="AH373" s="122"/>
      <c r="AI373" s="122"/>
      <c r="AJ373" s="122"/>
      <c r="AK373" s="122"/>
      <c r="AL373" s="122"/>
      <c r="AM373" s="122"/>
      <c r="AN373" s="122"/>
      <c r="AO373" s="122"/>
      <c r="AP373" s="166"/>
      <c r="AQ373" s="122"/>
      <c r="AR373" s="167"/>
      <c r="AS373" s="122"/>
      <c r="AT373" s="122"/>
      <c r="AU373" s="122"/>
      <c r="AV373" s="122"/>
      <c r="AW373" s="122"/>
      <c r="AX373" s="122"/>
      <c r="AY373" s="122"/>
      <c r="AZ373" s="122"/>
      <c r="BA373" s="122"/>
      <c r="BB373" s="122"/>
      <c r="BC373" s="122"/>
      <c r="BD373" s="122"/>
      <c r="BE373" s="122"/>
      <c r="BF373" s="122"/>
      <c r="BG373" s="122"/>
      <c r="BH373" s="122"/>
      <c r="BI373" s="122"/>
      <c r="BJ373" s="122"/>
    </row>
    <row r="374" spans="1:62">
      <c r="A374" s="122"/>
      <c r="B374" s="122"/>
      <c r="C374" s="122"/>
      <c r="D374" s="122"/>
      <c r="E374" s="122"/>
      <c r="F374" s="122"/>
      <c r="G374" s="122"/>
      <c r="H374" s="122"/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  <c r="AA374" s="122"/>
      <c r="AB374" s="122"/>
      <c r="AC374" s="122"/>
      <c r="AD374" s="122"/>
      <c r="AE374" s="122"/>
      <c r="AF374" s="122"/>
      <c r="AG374" s="122"/>
      <c r="AH374" s="122"/>
      <c r="AI374" s="122"/>
      <c r="AJ374" s="122"/>
      <c r="AK374" s="122"/>
      <c r="AL374" s="122"/>
      <c r="AM374" s="122"/>
      <c r="AN374" s="122"/>
      <c r="AO374" s="122"/>
      <c r="AP374" s="166"/>
      <c r="AQ374" s="122"/>
      <c r="AR374" s="167"/>
      <c r="AS374" s="122"/>
      <c r="AT374" s="122"/>
      <c r="AU374" s="122"/>
      <c r="AV374" s="122"/>
      <c r="AW374" s="122"/>
      <c r="AX374" s="122"/>
      <c r="AY374" s="122"/>
      <c r="AZ374" s="122"/>
      <c r="BA374" s="122"/>
      <c r="BB374" s="122"/>
      <c r="BC374" s="122"/>
      <c r="BD374" s="122"/>
      <c r="BE374" s="122"/>
      <c r="BF374" s="122"/>
      <c r="BG374" s="122"/>
      <c r="BH374" s="122"/>
      <c r="BI374" s="122"/>
      <c r="BJ374" s="122"/>
    </row>
    <row r="375" spans="1:62">
      <c r="A375" s="122"/>
      <c r="B375" s="122"/>
      <c r="C375" s="122"/>
      <c r="D375" s="122"/>
      <c r="E375" s="122"/>
      <c r="F375" s="122"/>
      <c r="G375" s="122"/>
      <c r="H375" s="122"/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  <c r="AA375" s="122"/>
      <c r="AB375" s="122"/>
      <c r="AC375" s="122"/>
      <c r="AD375" s="122"/>
      <c r="AE375" s="122"/>
      <c r="AF375" s="122"/>
      <c r="AG375" s="122"/>
      <c r="AH375" s="122"/>
      <c r="AI375" s="122"/>
      <c r="AJ375" s="122"/>
      <c r="AK375" s="122"/>
      <c r="AL375" s="122"/>
      <c r="AM375" s="122"/>
      <c r="AN375" s="122"/>
      <c r="AO375" s="122"/>
      <c r="AP375" s="166"/>
      <c r="AQ375" s="122"/>
      <c r="AR375" s="167"/>
      <c r="AS375" s="122"/>
      <c r="AT375" s="122"/>
      <c r="AU375" s="122"/>
      <c r="AV375" s="122"/>
      <c r="AW375" s="122"/>
      <c r="AX375" s="122"/>
      <c r="AY375" s="122"/>
      <c r="AZ375" s="122"/>
      <c r="BA375" s="122"/>
      <c r="BB375" s="122"/>
      <c r="BC375" s="122"/>
      <c r="BD375" s="122"/>
      <c r="BE375" s="122"/>
      <c r="BF375" s="122"/>
      <c r="BG375" s="122"/>
      <c r="BH375" s="122"/>
      <c r="BI375" s="122"/>
      <c r="BJ375" s="122"/>
    </row>
    <row r="376" spans="1:62">
      <c r="A376" s="122"/>
      <c r="B376" s="122"/>
      <c r="C376" s="122"/>
      <c r="D376" s="122"/>
      <c r="E376" s="122"/>
      <c r="F376" s="122"/>
      <c r="G376" s="122"/>
      <c r="H376" s="122"/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  <c r="AA376" s="122"/>
      <c r="AB376" s="122"/>
      <c r="AC376" s="122"/>
      <c r="AD376" s="122"/>
      <c r="AE376" s="122"/>
      <c r="AF376" s="122"/>
      <c r="AG376" s="122"/>
      <c r="AH376" s="122"/>
      <c r="AI376" s="122"/>
      <c r="AJ376" s="122"/>
      <c r="AK376" s="122"/>
      <c r="AL376" s="122"/>
      <c r="AM376" s="122"/>
      <c r="AN376" s="122"/>
      <c r="AO376" s="122"/>
      <c r="AP376" s="166"/>
      <c r="AQ376" s="122"/>
      <c r="AR376" s="167"/>
      <c r="AS376" s="122"/>
      <c r="AT376" s="122"/>
      <c r="AU376" s="122"/>
      <c r="AV376" s="122"/>
      <c r="AW376" s="122"/>
      <c r="AX376" s="122"/>
      <c r="AY376" s="122"/>
      <c r="AZ376" s="122"/>
      <c r="BA376" s="122"/>
      <c r="BB376" s="122"/>
      <c r="BC376" s="122"/>
      <c r="BD376" s="122"/>
      <c r="BE376" s="122"/>
      <c r="BF376" s="122"/>
      <c r="BG376" s="122"/>
      <c r="BH376" s="122"/>
      <c r="BI376" s="122"/>
      <c r="BJ376" s="122"/>
    </row>
    <row r="377" spans="1:62">
      <c r="A377" s="122"/>
      <c r="B377" s="122"/>
      <c r="C377" s="122"/>
      <c r="D377" s="122"/>
      <c r="E377" s="122"/>
      <c r="F377" s="122"/>
      <c r="G377" s="122"/>
      <c r="H377" s="122"/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122"/>
      <c r="AL377" s="122"/>
      <c r="AM377" s="122"/>
      <c r="AN377" s="122"/>
      <c r="AO377" s="122"/>
      <c r="AP377" s="166"/>
      <c r="AQ377" s="122"/>
      <c r="AR377" s="167"/>
      <c r="AS377" s="122"/>
      <c r="AT377" s="122"/>
      <c r="AU377" s="122"/>
      <c r="AV377" s="122"/>
      <c r="AW377" s="122"/>
      <c r="AX377" s="122"/>
      <c r="AY377" s="122"/>
      <c r="AZ377" s="122"/>
      <c r="BA377" s="122"/>
      <c r="BB377" s="122"/>
      <c r="BC377" s="122"/>
      <c r="BD377" s="122"/>
      <c r="BE377" s="122"/>
      <c r="BF377" s="122"/>
      <c r="BG377" s="122"/>
      <c r="BH377" s="122"/>
      <c r="BI377" s="122"/>
      <c r="BJ377" s="122"/>
    </row>
    <row r="378" spans="1:62">
      <c r="A378" s="122"/>
      <c r="B378" s="122"/>
      <c r="C378" s="122"/>
      <c r="D378" s="122"/>
      <c r="E378" s="122"/>
      <c r="F378" s="122"/>
      <c r="G378" s="122"/>
      <c r="H378" s="122"/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122"/>
      <c r="AL378" s="122"/>
      <c r="AM378" s="122"/>
      <c r="AN378" s="122"/>
      <c r="AO378" s="122"/>
      <c r="AP378" s="166"/>
      <c r="AQ378" s="122"/>
      <c r="AR378" s="167"/>
      <c r="AS378" s="122"/>
      <c r="AT378" s="122"/>
      <c r="AU378" s="122"/>
      <c r="AV378" s="122"/>
      <c r="AW378" s="122"/>
      <c r="AX378" s="122"/>
      <c r="AY378" s="122"/>
      <c r="AZ378" s="122"/>
      <c r="BA378" s="122"/>
      <c r="BB378" s="122"/>
      <c r="BC378" s="122"/>
      <c r="BD378" s="122"/>
      <c r="BE378" s="122"/>
      <c r="BF378" s="122"/>
      <c r="BG378" s="122"/>
      <c r="BH378" s="122"/>
      <c r="BI378" s="122"/>
      <c r="BJ378" s="122"/>
    </row>
    <row r="379" spans="1:62">
      <c r="A379" s="122"/>
      <c r="B379" s="122"/>
      <c r="C379" s="122"/>
      <c r="D379" s="122"/>
      <c r="E379" s="122"/>
      <c r="F379" s="122"/>
      <c r="G379" s="122"/>
      <c r="H379" s="122"/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  <c r="AA379" s="122"/>
      <c r="AB379" s="122"/>
      <c r="AC379" s="122"/>
      <c r="AD379" s="122"/>
      <c r="AE379" s="122"/>
      <c r="AF379" s="122"/>
      <c r="AG379" s="122"/>
      <c r="AH379" s="122"/>
      <c r="AI379" s="122"/>
      <c r="AJ379" s="122"/>
      <c r="AK379" s="122"/>
      <c r="AL379" s="122"/>
      <c r="AM379" s="122"/>
      <c r="AN379" s="122"/>
      <c r="AO379" s="122"/>
      <c r="AP379" s="166"/>
      <c r="AQ379" s="122"/>
      <c r="AR379" s="167"/>
      <c r="AS379" s="122"/>
      <c r="AT379" s="122"/>
      <c r="AU379" s="122"/>
      <c r="AV379" s="122"/>
      <c r="AW379" s="122"/>
      <c r="AX379" s="122"/>
      <c r="AY379" s="122"/>
      <c r="AZ379" s="122"/>
      <c r="BA379" s="122"/>
      <c r="BB379" s="122"/>
      <c r="BC379" s="122"/>
      <c r="BD379" s="122"/>
      <c r="BE379" s="122"/>
      <c r="BF379" s="122"/>
      <c r="BG379" s="122"/>
      <c r="BH379" s="122"/>
      <c r="BI379" s="122"/>
      <c r="BJ379" s="122"/>
    </row>
    <row r="380" spans="1:62">
      <c r="A380" s="122"/>
      <c r="B380" s="122"/>
      <c r="C380" s="122"/>
      <c r="D380" s="122"/>
      <c r="E380" s="122"/>
      <c r="F380" s="122"/>
      <c r="G380" s="122"/>
      <c r="H380" s="122"/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122"/>
      <c r="AL380" s="122"/>
      <c r="AM380" s="122"/>
      <c r="AN380" s="122"/>
      <c r="AO380" s="122"/>
      <c r="AP380" s="166"/>
      <c r="AQ380" s="122"/>
      <c r="AR380" s="167"/>
      <c r="AS380" s="122"/>
      <c r="AT380" s="122"/>
      <c r="AU380" s="122"/>
      <c r="AV380" s="122"/>
      <c r="AW380" s="122"/>
      <c r="AX380" s="122"/>
      <c r="AY380" s="122"/>
      <c r="AZ380" s="122"/>
      <c r="BA380" s="122"/>
      <c r="BB380" s="122"/>
      <c r="BC380" s="122"/>
      <c r="BD380" s="122"/>
      <c r="BE380" s="122"/>
      <c r="BF380" s="122"/>
      <c r="BG380" s="122"/>
      <c r="BH380" s="122"/>
      <c r="BI380" s="122"/>
      <c r="BJ380" s="122"/>
    </row>
    <row r="381" spans="1:62">
      <c r="A381" s="122"/>
      <c r="B381" s="122"/>
      <c r="C381" s="122"/>
      <c r="D381" s="122"/>
      <c r="E381" s="122"/>
      <c r="F381" s="122"/>
      <c r="G381" s="122"/>
      <c r="H381" s="122"/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  <c r="AA381" s="122"/>
      <c r="AB381" s="122"/>
      <c r="AC381" s="122"/>
      <c r="AD381" s="122"/>
      <c r="AE381" s="122"/>
      <c r="AF381" s="122"/>
      <c r="AG381" s="122"/>
      <c r="AH381" s="122"/>
      <c r="AI381" s="122"/>
      <c r="AJ381" s="122"/>
      <c r="AK381" s="122"/>
      <c r="AL381" s="122"/>
      <c r="AM381" s="122"/>
      <c r="AN381" s="122"/>
      <c r="AO381" s="122"/>
      <c r="AP381" s="166"/>
      <c r="AQ381" s="122"/>
      <c r="AR381" s="167"/>
      <c r="AS381" s="122"/>
      <c r="AT381" s="122"/>
      <c r="AU381" s="122"/>
      <c r="AV381" s="122"/>
      <c r="AW381" s="122"/>
      <c r="AX381" s="122"/>
      <c r="AY381" s="122"/>
      <c r="AZ381" s="122"/>
      <c r="BA381" s="122"/>
      <c r="BB381" s="122"/>
      <c r="BC381" s="122"/>
      <c r="BD381" s="122"/>
      <c r="BE381" s="122"/>
      <c r="BF381" s="122"/>
      <c r="BG381" s="122"/>
      <c r="BH381" s="122"/>
      <c r="BI381" s="122"/>
      <c r="BJ381" s="122"/>
    </row>
    <row r="382" spans="1:62">
      <c r="A382" s="122"/>
      <c r="B382" s="122"/>
      <c r="C382" s="122"/>
      <c r="D382" s="122"/>
      <c r="E382" s="122"/>
      <c r="F382" s="122"/>
      <c r="G382" s="122"/>
      <c r="H382" s="122"/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  <c r="AA382" s="122"/>
      <c r="AB382" s="122"/>
      <c r="AC382" s="122"/>
      <c r="AD382" s="122"/>
      <c r="AE382" s="122"/>
      <c r="AF382" s="122"/>
      <c r="AG382" s="122"/>
      <c r="AH382" s="122"/>
      <c r="AI382" s="122"/>
      <c r="AJ382" s="122"/>
      <c r="AK382" s="122"/>
      <c r="AL382" s="122"/>
      <c r="AM382" s="122"/>
      <c r="AN382" s="122"/>
      <c r="AO382" s="122"/>
      <c r="AP382" s="166"/>
      <c r="AQ382" s="122"/>
      <c r="AR382" s="167"/>
      <c r="AS382" s="122"/>
      <c r="AT382" s="122"/>
      <c r="AU382" s="122"/>
      <c r="AV382" s="122"/>
      <c r="AW382" s="122"/>
      <c r="AX382" s="122"/>
      <c r="AY382" s="122"/>
      <c r="AZ382" s="122"/>
      <c r="BA382" s="122"/>
      <c r="BB382" s="122"/>
      <c r="BC382" s="122"/>
      <c r="BD382" s="122"/>
      <c r="BE382" s="122"/>
      <c r="BF382" s="122"/>
      <c r="BG382" s="122"/>
      <c r="BH382" s="122"/>
      <c r="BI382" s="122"/>
      <c r="BJ382" s="122"/>
    </row>
    <row r="383" spans="1:62">
      <c r="A383" s="122"/>
      <c r="B383" s="122"/>
      <c r="C383" s="122"/>
      <c r="D383" s="122"/>
      <c r="E383" s="122"/>
      <c r="F383" s="122"/>
      <c r="G383" s="122"/>
      <c r="H383" s="122"/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  <c r="AA383" s="122"/>
      <c r="AB383" s="122"/>
      <c r="AC383" s="122"/>
      <c r="AD383" s="122"/>
      <c r="AE383" s="122"/>
      <c r="AF383" s="122"/>
      <c r="AG383" s="122"/>
      <c r="AH383" s="122"/>
      <c r="AI383" s="122"/>
      <c r="AJ383" s="122"/>
      <c r="AK383" s="122"/>
      <c r="AL383" s="122"/>
      <c r="AM383" s="122"/>
      <c r="AN383" s="122"/>
      <c r="AO383" s="122"/>
      <c r="AP383" s="166"/>
      <c r="AQ383" s="122"/>
      <c r="AR383" s="167"/>
      <c r="AS383" s="122"/>
      <c r="AT383" s="122"/>
      <c r="AU383" s="122"/>
      <c r="AV383" s="122"/>
      <c r="AW383" s="122"/>
      <c r="AX383" s="122"/>
      <c r="AY383" s="122"/>
      <c r="AZ383" s="122"/>
      <c r="BA383" s="122"/>
      <c r="BB383" s="122"/>
      <c r="BC383" s="122"/>
      <c r="BD383" s="122"/>
      <c r="BE383" s="122"/>
      <c r="BF383" s="122"/>
      <c r="BG383" s="122"/>
      <c r="BH383" s="122"/>
      <c r="BI383" s="122"/>
      <c r="BJ383" s="122"/>
    </row>
    <row r="384" spans="1:62">
      <c r="A384" s="122"/>
      <c r="B384" s="122"/>
      <c r="C384" s="122"/>
      <c r="D384" s="122"/>
      <c r="E384" s="122"/>
      <c r="F384" s="122"/>
      <c r="G384" s="122"/>
      <c r="H384" s="122"/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122"/>
      <c r="AL384" s="122"/>
      <c r="AM384" s="122"/>
      <c r="AN384" s="122"/>
      <c r="AO384" s="122"/>
      <c r="AP384" s="166"/>
      <c r="AQ384" s="122"/>
      <c r="AR384" s="167"/>
      <c r="AS384" s="122"/>
      <c r="AT384" s="122"/>
      <c r="AU384" s="122"/>
      <c r="AV384" s="122"/>
      <c r="AW384" s="122"/>
      <c r="AX384" s="122"/>
      <c r="AY384" s="122"/>
      <c r="AZ384" s="122"/>
      <c r="BA384" s="122"/>
      <c r="BB384" s="122"/>
      <c r="BC384" s="122"/>
      <c r="BD384" s="122"/>
      <c r="BE384" s="122"/>
      <c r="BF384" s="122"/>
      <c r="BG384" s="122"/>
      <c r="BH384" s="122"/>
      <c r="BI384" s="122"/>
      <c r="BJ384" s="122"/>
    </row>
    <row r="385" spans="1:62">
      <c r="A385" s="122"/>
      <c r="B385" s="122"/>
      <c r="C385" s="122"/>
      <c r="D385" s="122"/>
      <c r="E385" s="122"/>
      <c r="F385" s="122"/>
      <c r="G385" s="122"/>
      <c r="H385" s="122"/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122"/>
      <c r="AL385" s="122"/>
      <c r="AM385" s="122"/>
      <c r="AN385" s="122"/>
      <c r="AO385" s="122"/>
      <c r="AP385" s="166"/>
      <c r="AQ385" s="122"/>
      <c r="AR385" s="167"/>
      <c r="AS385" s="122"/>
      <c r="AT385" s="122"/>
      <c r="AU385" s="122"/>
      <c r="AV385" s="122"/>
      <c r="AW385" s="122"/>
      <c r="AX385" s="122"/>
      <c r="AY385" s="122"/>
      <c r="AZ385" s="122"/>
      <c r="BA385" s="122"/>
      <c r="BB385" s="122"/>
      <c r="BC385" s="122"/>
      <c r="BD385" s="122"/>
      <c r="BE385" s="122"/>
      <c r="BF385" s="122"/>
      <c r="BG385" s="122"/>
      <c r="BH385" s="122"/>
      <c r="BI385" s="122"/>
      <c r="BJ385" s="122"/>
    </row>
    <row r="386" spans="1:62">
      <c r="A386" s="122"/>
      <c r="B386" s="122"/>
      <c r="C386" s="122"/>
      <c r="D386" s="122"/>
      <c r="E386" s="122"/>
      <c r="F386" s="122"/>
      <c r="G386" s="122"/>
      <c r="H386" s="122"/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  <c r="AA386" s="122"/>
      <c r="AB386" s="122"/>
      <c r="AC386" s="122"/>
      <c r="AD386" s="122"/>
      <c r="AE386" s="122"/>
      <c r="AF386" s="122"/>
      <c r="AG386" s="122"/>
      <c r="AH386" s="122"/>
      <c r="AI386" s="122"/>
      <c r="AJ386" s="122"/>
      <c r="AK386" s="122"/>
      <c r="AL386" s="122"/>
      <c r="AM386" s="122"/>
      <c r="AN386" s="122"/>
      <c r="AO386" s="122"/>
      <c r="AP386" s="166"/>
      <c r="AQ386" s="122"/>
      <c r="AR386" s="167"/>
      <c r="AS386" s="122"/>
      <c r="AT386" s="122"/>
      <c r="AU386" s="122"/>
      <c r="AV386" s="122"/>
      <c r="AW386" s="122"/>
      <c r="AX386" s="122"/>
      <c r="AY386" s="122"/>
      <c r="AZ386" s="122"/>
      <c r="BA386" s="122"/>
      <c r="BB386" s="122"/>
      <c r="BC386" s="122"/>
      <c r="BD386" s="122"/>
      <c r="BE386" s="122"/>
      <c r="BF386" s="122"/>
      <c r="BG386" s="122"/>
      <c r="BH386" s="122"/>
      <c r="BI386" s="122"/>
      <c r="BJ386" s="122"/>
    </row>
    <row r="387" spans="1:62">
      <c r="A387" s="122"/>
      <c r="B387" s="122"/>
      <c r="C387" s="122"/>
      <c r="D387" s="122"/>
      <c r="E387" s="122"/>
      <c r="F387" s="122"/>
      <c r="G387" s="122"/>
      <c r="H387" s="122"/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  <c r="AA387" s="122"/>
      <c r="AB387" s="122"/>
      <c r="AC387" s="122"/>
      <c r="AD387" s="122"/>
      <c r="AE387" s="122"/>
      <c r="AF387" s="122"/>
      <c r="AG387" s="122"/>
      <c r="AH387" s="122"/>
      <c r="AI387" s="122"/>
      <c r="AJ387" s="122"/>
      <c r="AK387" s="122"/>
      <c r="AL387" s="122"/>
      <c r="AM387" s="122"/>
      <c r="AN387" s="122"/>
      <c r="AO387" s="122"/>
      <c r="AP387" s="166"/>
      <c r="AQ387" s="122"/>
      <c r="AR387" s="167"/>
      <c r="AS387" s="122"/>
      <c r="AT387" s="122"/>
      <c r="AU387" s="122"/>
      <c r="AV387" s="122"/>
      <c r="AW387" s="122"/>
      <c r="AX387" s="122"/>
      <c r="AY387" s="122"/>
      <c r="AZ387" s="122"/>
      <c r="BA387" s="122"/>
      <c r="BB387" s="122"/>
      <c r="BC387" s="122"/>
      <c r="BD387" s="122"/>
      <c r="BE387" s="122"/>
      <c r="BF387" s="122"/>
      <c r="BG387" s="122"/>
      <c r="BH387" s="122"/>
      <c r="BI387" s="122"/>
      <c r="BJ387" s="122"/>
    </row>
    <row r="388" spans="1:62">
      <c r="A388" s="122"/>
      <c r="B388" s="122"/>
      <c r="C388" s="122"/>
      <c r="D388" s="122"/>
      <c r="E388" s="122"/>
      <c r="F388" s="122"/>
      <c r="G388" s="122"/>
      <c r="H388" s="122"/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66"/>
      <c r="AQ388" s="122"/>
      <c r="AR388" s="167"/>
      <c r="AS388" s="122"/>
      <c r="AT388" s="122"/>
      <c r="AU388" s="122"/>
      <c r="AV388" s="122"/>
      <c r="AW388" s="122"/>
      <c r="AX388" s="122"/>
      <c r="AY388" s="122"/>
      <c r="AZ388" s="122"/>
      <c r="BA388" s="122"/>
      <c r="BB388" s="122"/>
      <c r="BC388" s="122"/>
      <c r="BD388" s="122"/>
      <c r="BE388" s="122"/>
      <c r="BF388" s="122"/>
      <c r="BG388" s="122"/>
      <c r="BH388" s="122"/>
      <c r="BI388" s="122"/>
      <c r="BJ388" s="122"/>
    </row>
    <row r="389" spans="1:62">
      <c r="A389" s="122"/>
      <c r="B389" s="122"/>
      <c r="C389" s="122"/>
      <c r="D389" s="122"/>
      <c r="E389" s="122"/>
      <c r="F389" s="122"/>
      <c r="G389" s="122"/>
      <c r="H389" s="122"/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122"/>
      <c r="AL389" s="122"/>
      <c r="AM389" s="122"/>
      <c r="AN389" s="122"/>
      <c r="AO389" s="122"/>
      <c r="AP389" s="166"/>
      <c r="AQ389" s="122"/>
      <c r="AR389" s="167"/>
      <c r="AS389" s="122"/>
      <c r="AT389" s="122"/>
      <c r="AU389" s="122"/>
      <c r="AV389" s="122"/>
      <c r="AW389" s="122"/>
      <c r="AX389" s="122"/>
      <c r="AY389" s="122"/>
      <c r="AZ389" s="122"/>
      <c r="BA389" s="122"/>
      <c r="BB389" s="122"/>
      <c r="BC389" s="122"/>
      <c r="BD389" s="122"/>
      <c r="BE389" s="122"/>
      <c r="BF389" s="122"/>
      <c r="BG389" s="122"/>
      <c r="BH389" s="122"/>
      <c r="BI389" s="122"/>
      <c r="BJ389" s="122"/>
    </row>
    <row r="390" spans="1:62">
      <c r="A390" s="122"/>
      <c r="B390" s="122"/>
      <c r="C390" s="122"/>
      <c r="D390" s="122"/>
      <c r="E390" s="122"/>
      <c r="F390" s="122"/>
      <c r="G390" s="122"/>
      <c r="H390" s="122"/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2"/>
      <c r="AH390" s="122"/>
      <c r="AI390" s="122"/>
      <c r="AJ390" s="122"/>
      <c r="AK390" s="122"/>
      <c r="AL390" s="122"/>
      <c r="AM390" s="122"/>
      <c r="AN390" s="122"/>
      <c r="AO390" s="122"/>
      <c r="AP390" s="166"/>
      <c r="AQ390" s="122"/>
      <c r="AR390" s="167"/>
      <c r="AS390" s="122"/>
      <c r="AT390" s="122"/>
      <c r="AU390" s="122"/>
      <c r="AV390" s="122"/>
      <c r="AW390" s="122"/>
      <c r="AX390" s="122"/>
      <c r="AY390" s="122"/>
      <c r="AZ390" s="122"/>
      <c r="BA390" s="122"/>
      <c r="BB390" s="122"/>
      <c r="BC390" s="122"/>
      <c r="BD390" s="122"/>
      <c r="BE390" s="122"/>
      <c r="BF390" s="122"/>
      <c r="BG390" s="122"/>
      <c r="BH390" s="122"/>
      <c r="BI390" s="122"/>
      <c r="BJ390" s="122"/>
    </row>
    <row r="391" spans="1:62">
      <c r="A391" s="122"/>
      <c r="B391" s="122"/>
      <c r="C391" s="122"/>
      <c r="D391" s="122"/>
      <c r="E391" s="122"/>
      <c r="F391" s="122"/>
      <c r="G391" s="122"/>
      <c r="H391" s="122"/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  <c r="AA391" s="122"/>
      <c r="AB391" s="122"/>
      <c r="AC391" s="122"/>
      <c r="AD391" s="122"/>
      <c r="AE391" s="122"/>
      <c r="AF391" s="122"/>
      <c r="AG391" s="122"/>
      <c r="AH391" s="122"/>
      <c r="AI391" s="122"/>
      <c r="AJ391" s="122"/>
      <c r="AK391" s="122"/>
      <c r="AL391" s="122"/>
      <c r="AM391" s="122"/>
      <c r="AN391" s="122"/>
      <c r="AO391" s="122"/>
      <c r="AP391" s="166"/>
      <c r="AQ391" s="122"/>
      <c r="AR391" s="167"/>
      <c r="AS391" s="122"/>
      <c r="AT391" s="122"/>
      <c r="AU391" s="122"/>
      <c r="AV391" s="122"/>
      <c r="AW391" s="122"/>
      <c r="AX391" s="122"/>
      <c r="AY391" s="122"/>
      <c r="AZ391" s="122"/>
      <c r="BA391" s="122"/>
      <c r="BB391" s="122"/>
      <c r="BC391" s="122"/>
      <c r="BD391" s="122"/>
      <c r="BE391" s="122"/>
      <c r="BF391" s="122"/>
      <c r="BG391" s="122"/>
      <c r="BH391" s="122"/>
      <c r="BI391" s="122"/>
      <c r="BJ391" s="122"/>
    </row>
    <row r="392" spans="1:62">
      <c r="A392" s="122"/>
      <c r="B392" s="122"/>
      <c r="C392" s="122"/>
      <c r="D392" s="122"/>
      <c r="E392" s="122"/>
      <c r="F392" s="122"/>
      <c r="G392" s="122"/>
      <c r="H392" s="122"/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2"/>
      <c r="AH392" s="122"/>
      <c r="AI392" s="122"/>
      <c r="AJ392" s="122"/>
      <c r="AK392" s="122"/>
      <c r="AL392" s="122"/>
      <c r="AM392" s="122"/>
      <c r="AN392" s="122"/>
      <c r="AO392" s="122"/>
      <c r="AP392" s="166"/>
      <c r="AQ392" s="122"/>
      <c r="AR392" s="167"/>
      <c r="AS392" s="122"/>
      <c r="AT392" s="122"/>
      <c r="AU392" s="122"/>
      <c r="AV392" s="122"/>
      <c r="AW392" s="122"/>
      <c r="AX392" s="122"/>
      <c r="AY392" s="122"/>
      <c r="AZ392" s="122"/>
      <c r="BA392" s="122"/>
      <c r="BB392" s="122"/>
      <c r="BC392" s="122"/>
      <c r="BD392" s="122"/>
      <c r="BE392" s="122"/>
      <c r="BF392" s="122"/>
      <c r="BG392" s="122"/>
      <c r="BH392" s="122"/>
      <c r="BI392" s="122"/>
      <c r="BJ392" s="122"/>
    </row>
    <row r="393" spans="1:62">
      <c r="A393" s="122"/>
      <c r="B393" s="122"/>
      <c r="C393" s="122"/>
      <c r="D393" s="122"/>
      <c r="E393" s="122"/>
      <c r="F393" s="122"/>
      <c r="G393" s="122"/>
      <c r="H393" s="122"/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2"/>
      <c r="AH393" s="122"/>
      <c r="AI393" s="122"/>
      <c r="AJ393" s="122"/>
      <c r="AK393" s="122"/>
      <c r="AL393" s="122"/>
      <c r="AM393" s="122"/>
      <c r="AN393" s="122"/>
      <c r="AO393" s="122"/>
      <c r="AP393" s="166"/>
      <c r="AQ393" s="122"/>
      <c r="AR393" s="167"/>
      <c r="AS393" s="122"/>
      <c r="AT393" s="122"/>
      <c r="AU393" s="122"/>
      <c r="AV393" s="122"/>
      <c r="AW393" s="122"/>
      <c r="AX393" s="122"/>
      <c r="AY393" s="122"/>
      <c r="AZ393" s="122"/>
      <c r="BA393" s="122"/>
      <c r="BB393" s="122"/>
      <c r="BC393" s="122"/>
      <c r="BD393" s="122"/>
      <c r="BE393" s="122"/>
      <c r="BF393" s="122"/>
      <c r="BG393" s="122"/>
      <c r="BH393" s="122"/>
      <c r="BI393" s="122"/>
      <c r="BJ393" s="122"/>
    </row>
    <row r="394" spans="1:62">
      <c r="A394" s="122"/>
      <c r="B394" s="122"/>
      <c r="C394" s="122"/>
      <c r="D394" s="122"/>
      <c r="E394" s="122"/>
      <c r="F394" s="122"/>
      <c r="G394" s="122"/>
      <c r="H394" s="122"/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66"/>
      <c r="AQ394" s="122"/>
      <c r="AR394" s="167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</row>
    <row r="395" spans="1:62">
      <c r="A395" s="122"/>
      <c r="B395" s="122"/>
      <c r="C395" s="122"/>
      <c r="D395" s="122"/>
      <c r="E395" s="122"/>
      <c r="F395" s="122"/>
      <c r="G395" s="122"/>
      <c r="H395" s="122"/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66"/>
      <c r="AQ395" s="122"/>
      <c r="AR395" s="167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</row>
    <row r="396" spans="1:62">
      <c r="A396" s="122"/>
      <c r="B396" s="122"/>
      <c r="C396" s="122"/>
      <c r="D396" s="122"/>
      <c r="E396" s="122"/>
      <c r="F396" s="122"/>
      <c r="G396" s="122"/>
      <c r="H396" s="122"/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66"/>
      <c r="AQ396" s="122"/>
      <c r="AR396" s="167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</row>
    <row r="397" spans="1:62">
      <c r="A397" s="122"/>
      <c r="B397" s="122"/>
      <c r="C397" s="122"/>
      <c r="D397" s="122"/>
      <c r="E397" s="122"/>
      <c r="F397" s="122"/>
      <c r="G397" s="122"/>
      <c r="H397" s="122"/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66"/>
      <c r="AQ397" s="122"/>
      <c r="AR397" s="167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</row>
    <row r="398" spans="1:62">
      <c r="A398" s="122"/>
      <c r="B398" s="122"/>
      <c r="C398" s="122"/>
      <c r="D398" s="122"/>
      <c r="E398" s="122"/>
      <c r="F398" s="122"/>
      <c r="G398" s="122"/>
      <c r="H398" s="122"/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66"/>
      <c r="AQ398" s="122"/>
      <c r="AR398" s="167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</row>
    <row r="399" spans="1:62">
      <c r="A399" s="122"/>
      <c r="B399" s="122"/>
      <c r="C399" s="122"/>
      <c r="D399" s="122"/>
      <c r="E399" s="122"/>
      <c r="F399" s="122"/>
      <c r="G399" s="122"/>
      <c r="H399" s="122"/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66"/>
      <c r="AQ399" s="122"/>
      <c r="AR399" s="167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</row>
    <row r="400" spans="1:62">
      <c r="A400" s="122"/>
      <c r="B400" s="122"/>
      <c r="C400" s="122"/>
      <c r="D400" s="122"/>
      <c r="E400" s="122"/>
      <c r="F400" s="122"/>
      <c r="G400" s="122"/>
      <c r="H400" s="122"/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66"/>
      <c r="AQ400" s="122"/>
      <c r="AR400" s="167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</row>
    <row r="401" spans="1:62">
      <c r="A401" s="122"/>
      <c r="B401" s="122"/>
      <c r="C401" s="122"/>
      <c r="D401" s="122"/>
      <c r="E401" s="122"/>
      <c r="F401" s="122"/>
      <c r="G401" s="122"/>
      <c r="H401" s="122"/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66"/>
      <c r="AQ401" s="122"/>
      <c r="AR401" s="167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</row>
    <row r="402" spans="1:62">
      <c r="A402" s="122"/>
      <c r="B402" s="122"/>
      <c r="C402" s="122"/>
      <c r="D402" s="122"/>
      <c r="E402" s="122"/>
      <c r="F402" s="122"/>
      <c r="G402" s="122"/>
      <c r="H402" s="122"/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66"/>
      <c r="AQ402" s="122"/>
      <c r="AR402" s="167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</row>
    <row r="403" spans="1:62">
      <c r="A403" s="122"/>
      <c r="B403" s="122"/>
      <c r="C403" s="122"/>
      <c r="D403" s="122"/>
      <c r="E403" s="122"/>
      <c r="F403" s="122"/>
      <c r="G403" s="122"/>
      <c r="H403" s="122"/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66"/>
      <c r="AQ403" s="122"/>
      <c r="AR403" s="167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</row>
    <row r="404" spans="1:62">
      <c r="A404" s="122"/>
      <c r="B404" s="122"/>
      <c r="C404" s="122"/>
      <c r="D404" s="122"/>
      <c r="E404" s="122"/>
      <c r="F404" s="122"/>
      <c r="G404" s="122"/>
      <c r="H404" s="122"/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66"/>
      <c r="AQ404" s="122"/>
      <c r="AR404" s="167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</row>
    <row r="405" spans="1:62">
      <c r="A405" s="122"/>
      <c r="B405" s="122"/>
      <c r="C405" s="122"/>
      <c r="D405" s="122"/>
      <c r="E405" s="122"/>
      <c r="F405" s="122"/>
      <c r="G405" s="122"/>
      <c r="H405" s="122"/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66"/>
      <c r="AQ405" s="122"/>
      <c r="AR405" s="167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</row>
    <row r="406" spans="1:62">
      <c r="A406" s="122"/>
      <c r="B406" s="122"/>
      <c r="C406" s="122"/>
      <c r="D406" s="122"/>
      <c r="E406" s="122"/>
      <c r="F406" s="122"/>
      <c r="G406" s="122"/>
      <c r="H406" s="122"/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66"/>
      <c r="AQ406" s="122"/>
      <c r="AR406" s="167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</row>
    <row r="407" spans="1:62">
      <c r="A407" s="122"/>
      <c r="B407" s="122"/>
      <c r="C407" s="122"/>
      <c r="D407" s="122"/>
      <c r="E407" s="122"/>
      <c r="F407" s="122"/>
      <c r="G407" s="122"/>
      <c r="H407" s="122"/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66"/>
      <c r="AQ407" s="122"/>
      <c r="AR407" s="167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</row>
    <row r="408" spans="1:62">
      <c r="A408" s="122"/>
      <c r="B408" s="122"/>
      <c r="C408" s="122"/>
      <c r="D408" s="122"/>
      <c r="E408" s="122"/>
      <c r="F408" s="122"/>
      <c r="G408" s="122"/>
      <c r="H408" s="122"/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66"/>
      <c r="AQ408" s="122"/>
      <c r="AR408" s="167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</row>
    <row r="409" spans="1:62">
      <c r="A409" s="122"/>
      <c r="B409" s="122"/>
      <c r="C409" s="122"/>
      <c r="D409" s="122"/>
      <c r="E409" s="122"/>
      <c r="F409" s="122"/>
      <c r="G409" s="122"/>
      <c r="H409" s="122"/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66"/>
      <c r="AQ409" s="122"/>
      <c r="AR409" s="167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</row>
    <row r="410" spans="1:62">
      <c r="A410" s="122"/>
      <c r="B410" s="122"/>
      <c r="C410" s="122"/>
      <c r="D410" s="122"/>
      <c r="E410" s="122"/>
      <c r="F410" s="122"/>
      <c r="G410" s="122"/>
      <c r="H410" s="122"/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66"/>
      <c r="AQ410" s="122"/>
      <c r="AR410" s="167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</row>
    <row r="411" spans="1:62">
      <c r="A411" s="122"/>
      <c r="B411" s="122"/>
      <c r="C411" s="122"/>
      <c r="D411" s="122"/>
      <c r="E411" s="122"/>
      <c r="F411" s="122"/>
      <c r="G411" s="122"/>
      <c r="H411" s="122"/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66"/>
      <c r="AQ411" s="122"/>
      <c r="AR411" s="167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</row>
    <row r="412" spans="1:62">
      <c r="A412" s="122"/>
      <c r="B412" s="122"/>
      <c r="C412" s="122"/>
      <c r="D412" s="122"/>
      <c r="E412" s="122"/>
      <c r="F412" s="122"/>
      <c r="G412" s="122"/>
      <c r="H412" s="122"/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66"/>
      <c r="AQ412" s="122"/>
      <c r="AR412" s="167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</row>
    <row r="413" spans="1:62">
      <c r="A413" s="122"/>
      <c r="B413" s="122"/>
      <c r="C413" s="122"/>
      <c r="D413" s="122"/>
      <c r="E413" s="122"/>
      <c r="F413" s="122"/>
      <c r="G413" s="122"/>
      <c r="H413" s="122"/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66"/>
      <c r="AQ413" s="122"/>
      <c r="AR413" s="167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</row>
    <row r="414" spans="1:62">
      <c r="A414" s="122"/>
      <c r="B414" s="122"/>
      <c r="C414" s="122"/>
      <c r="D414" s="122"/>
      <c r="E414" s="122"/>
      <c r="F414" s="122"/>
      <c r="G414" s="122"/>
      <c r="H414" s="122"/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66"/>
      <c r="AQ414" s="122"/>
      <c r="AR414" s="167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</row>
    <row r="415" spans="1:62">
      <c r="A415" s="122"/>
      <c r="B415" s="122"/>
      <c r="C415" s="122"/>
      <c r="D415" s="122"/>
      <c r="E415" s="122"/>
      <c r="F415" s="122"/>
      <c r="G415" s="122"/>
      <c r="H415" s="122"/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66"/>
      <c r="AQ415" s="122"/>
      <c r="AR415" s="167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</row>
    <row r="416" spans="1:62">
      <c r="A416" s="122"/>
      <c r="B416" s="122"/>
      <c r="C416" s="122"/>
      <c r="D416" s="122"/>
      <c r="E416" s="122"/>
      <c r="F416" s="122"/>
      <c r="G416" s="122"/>
      <c r="H416" s="122"/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66"/>
      <c r="AQ416" s="122"/>
      <c r="AR416" s="167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</row>
    <row r="417" spans="1:62">
      <c r="A417" s="122"/>
      <c r="B417" s="122"/>
      <c r="C417" s="122"/>
      <c r="D417" s="122"/>
      <c r="E417" s="122"/>
      <c r="F417" s="122"/>
      <c r="G417" s="122"/>
      <c r="H417" s="122"/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66"/>
      <c r="AQ417" s="122"/>
      <c r="AR417" s="167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</row>
    <row r="418" spans="1:62">
      <c r="A418" s="122"/>
      <c r="B418" s="122"/>
      <c r="C418" s="122"/>
      <c r="D418" s="122"/>
      <c r="E418" s="122"/>
      <c r="F418" s="122"/>
      <c r="G418" s="122"/>
      <c r="H418" s="122"/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66"/>
      <c r="AQ418" s="122"/>
      <c r="AR418" s="167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</row>
    <row r="419" spans="1:62">
      <c r="A419" s="122"/>
      <c r="B419" s="122"/>
      <c r="C419" s="122"/>
      <c r="D419" s="122"/>
      <c r="E419" s="122"/>
      <c r="F419" s="122"/>
      <c r="G419" s="122"/>
      <c r="H419" s="122"/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66"/>
      <c r="AQ419" s="122"/>
      <c r="AR419" s="167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</row>
    <row r="420" spans="1:62">
      <c r="A420" s="122"/>
      <c r="B420" s="122"/>
      <c r="C420" s="122"/>
      <c r="D420" s="122"/>
      <c r="E420" s="122"/>
      <c r="F420" s="122"/>
      <c r="G420" s="122"/>
      <c r="H420" s="122"/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66"/>
      <c r="AQ420" s="122"/>
      <c r="AR420" s="167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</row>
    <row r="421" spans="1:62">
      <c r="A421" s="122"/>
      <c r="B421" s="122"/>
      <c r="C421" s="122"/>
      <c r="D421" s="122"/>
      <c r="E421" s="122"/>
      <c r="F421" s="122"/>
      <c r="G421" s="122"/>
      <c r="H421" s="122"/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66"/>
      <c r="AQ421" s="122"/>
      <c r="AR421" s="167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</row>
    <row r="422" spans="1:62">
      <c r="A422" s="122"/>
      <c r="B422" s="122"/>
      <c r="C422" s="122"/>
      <c r="D422" s="122"/>
      <c r="E422" s="122"/>
      <c r="F422" s="122"/>
      <c r="G422" s="122"/>
      <c r="H422" s="122"/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66"/>
      <c r="AQ422" s="122"/>
      <c r="AR422" s="167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</row>
    <row r="423" spans="1:62">
      <c r="A423" s="122"/>
      <c r="B423" s="122"/>
      <c r="C423" s="122"/>
      <c r="D423" s="122"/>
      <c r="E423" s="122"/>
      <c r="F423" s="122"/>
      <c r="G423" s="122"/>
      <c r="H423" s="122"/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66"/>
      <c r="AQ423" s="122"/>
      <c r="AR423" s="167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</row>
    <row r="424" spans="1:62">
      <c r="A424" s="122"/>
      <c r="B424" s="122"/>
      <c r="C424" s="122"/>
      <c r="D424" s="122"/>
      <c r="E424" s="122"/>
      <c r="F424" s="122"/>
      <c r="G424" s="122"/>
      <c r="H424" s="122"/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66"/>
      <c r="AQ424" s="122"/>
      <c r="AR424" s="167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</row>
    <row r="425" spans="1:62">
      <c r="A425" s="122"/>
      <c r="B425" s="122"/>
      <c r="C425" s="122"/>
      <c r="D425" s="122"/>
      <c r="E425" s="122"/>
      <c r="F425" s="122"/>
      <c r="G425" s="122"/>
      <c r="H425" s="122"/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66"/>
      <c r="AQ425" s="122"/>
      <c r="AR425" s="167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</row>
    <row r="426" spans="1:62">
      <c r="A426" s="122"/>
      <c r="B426" s="122"/>
      <c r="C426" s="122"/>
      <c r="D426" s="122"/>
      <c r="E426" s="122"/>
      <c r="F426" s="122"/>
      <c r="G426" s="122"/>
      <c r="H426" s="122"/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66"/>
      <c r="AQ426" s="122"/>
      <c r="AR426" s="167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</row>
    <row r="427" spans="1:62">
      <c r="A427" s="122"/>
      <c r="B427" s="122"/>
      <c r="C427" s="122"/>
      <c r="D427" s="122"/>
      <c r="E427" s="122"/>
      <c r="F427" s="122"/>
      <c r="G427" s="122"/>
      <c r="H427" s="122"/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66"/>
      <c r="AQ427" s="122"/>
      <c r="AR427" s="167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</row>
    <row r="428" spans="1:62">
      <c r="A428" s="122"/>
      <c r="B428" s="122"/>
      <c r="C428" s="122"/>
      <c r="D428" s="122"/>
      <c r="E428" s="122"/>
      <c r="F428" s="122"/>
      <c r="G428" s="122"/>
      <c r="H428" s="122"/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66"/>
      <c r="AQ428" s="122"/>
      <c r="AR428" s="167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</row>
    <row r="429" spans="1:62">
      <c r="A429" s="122"/>
      <c r="B429" s="122"/>
      <c r="C429" s="122"/>
      <c r="D429" s="122"/>
      <c r="E429" s="122"/>
      <c r="F429" s="122"/>
      <c r="G429" s="122"/>
      <c r="H429" s="122"/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66"/>
      <c r="AQ429" s="122"/>
      <c r="AR429" s="167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</row>
    <row r="430" spans="1:62">
      <c r="A430" s="122"/>
      <c r="B430" s="122"/>
      <c r="C430" s="122"/>
      <c r="D430" s="122"/>
      <c r="E430" s="122"/>
      <c r="F430" s="122"/>
      <c r="G430" s="122"/>
      <c r="H430" s="122"/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66"/>
      <c r="AQ430" s="122"/>
      <c r="AR430" s="167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</row>
    <row r="431" spans="1:62">
      <c r="A431" s="122"/>
      <c r="B431" s="122"/>
      <c r="C431" s="122"/>
      <c r="D431" s="122"/>
      <c r="E431" s="122"/>
      <c r="F431" s="122"/>
      <c r="G431" s="122"/>
      <c r="H431" s="122"/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66"/>
      <c r="AQ431" s="122"/>
      <c r="AR431" s="167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</row>
    <row r="432" spans="1:62">
      <c r="A432" s="122"/>
      <c r="B432" s="122"/>
      <c r="C432" s="122"/>
      <c r="D432" s="122"/>
      <c r="E432" s="122"/>
      <c r="F432" s="122"/>
      <c r="G432" s="122"/>
      <c r="H432" s="122"/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66"/>
      <c r="AQ432" s="122"/>
      <c r="AR432" s="167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</row>
    <row r="433" spans="1:62">
      <c r="A433" s="122"/>
      <c r="B433" s="122"/>
      <c r="C433" s="122"/>
      <c r="D433" s="122"/>
      <c r="E433" s="122"/>
      <c r="F433" s="122"/>
      <c r="G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66"/>
      <c r="AQ433" s="122"/>
      <c r="AR433" s="167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</row>
    <row r="434" spans="1:62">
      <c r="A434" s="122"/>
      <c r="B434" s="122"/>
      <c r="C434" s="122"/>
      <c r="D434" s="122"/>
      <c r="E434" s="122"/>
      <c r="F434" s="122"/>
      <c r="G434" s="122"/>
      <c r="H434" s="122"/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66"/>
      <c r="AQ434" s="122"/>
      <c r="AR434" s="167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</row>
    <row r="435" spans="1:62">
      <c r="A435" s="122"/>
      <c r="B435" s="122"/>
      <c r="C435" s="122"/>
      <c r="D435" s="122"/>
      <c r="E435" s="122"/>
      <c r="F435" s="122"/>
      <c r="G435" s="122"/>
      <c r="H435" s="122"/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66"/>
      <c r="AQ435" s="122"/>
      <c r="AR435" s="167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</row>
    <row r="436" spans="1:62">
      <c r="A436" s="122"/>
      <c r="B436" s="122"/>
      <c r="C436" s="122"/>
      <c r="D436" s="122"/>
      <c r="E436" s="122"/>
      <c r="F436" s="122"/>
      <c r="G436" s="122"/>
      <c r="H436" s="122"/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66"/>
      <c r="AQ436" s="122"/>
      <c r="AR436" s="167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</row>
    <row r="437" spans="1:62">
      <c r="A437" s="122"/>
      <c r="B437" s="122"/>
      <c r="C437" s="122"/>
      <c r="D437" s="122"/>
      <c r="E437" s="122"/>
      <c r="F437" s="122"/>
      <c r="G437" s="122"/>
      <c r="H437" s="122"/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66"/>
      <c r="AQ437" s="122"/>
      <c r="AR437" s="167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</row>
    <row r="438" spans="1:62">
      <c r="A438" s="122"/>
      <c r="B438" s="122"/>
      <c r="C438" s="122"/>
      <c r="D438" s="122"/>
      <c r="E438" s="122"/>
      <c r="F438" s="122"/>
      <c r="G438" s="122"/>
      <c r="H438" s="122"/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66"/>
      <c r="AQ438" s="122"/>
      <c r="AR438" s="167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</row>
    <row r="439" spans="1:62">
      <c r="A439" s="122"/>
      <c r="B439" s="122"/>
      <c r="C439" s="122"/>
      <c r="D439" s="122"/>
      <c r="E439" s="122"/>
      <c r="F439" s="122"/>
      <c r="G439" s="122"/>
      <c r="H439" s="122"/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66"/>
      <c r="AQ439" s="122"/>
      <c r="AR439" s="167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</row>
    <row r="440" spans="1:62">
      <c r="A440" s="122"/>
      <c r="B440" s="122"/>
      <c r="C440" s="122"/>
      <c r="D440" s="122"/>
      <c r="E440" s="122"/>
      <c r="F440" s="122"/>
      <c r="G440" s="122"/>
      <c r="H440" s="122"/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66"/>
      <c r="AQ440" s="122"/>
      <c r="AR440" s="167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</row>
    <row r="441" spans="1:62">
      <c r="A441" s="122"/>
      <c r="B441" s="122"/>
      <c r="C441" s="122"/>
      <c r="D441" s="122"/>
      <c r="E441" s="122"/>
      <c r="F441" s="122"/>
      <c r="G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66"/>
      <c r="AQ441" s="122"/>
      <c r="AR441" s="167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</row>
    <row r="442" spans="1:62">
      <c r="A442" s="122"/>
      <c r="B442" s="122"/>
      <c r="C442" s="122"/>
      <c r="D442" s="122"/>
      <c r="E442" s="122"/>
      <c r="F442" s="122"/>
      <c r="G442" s="122"/>
      <c r="H442" s="122"/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66"/>
      <c r="AQ442" s="122"/>
      <c r="AR442" s="167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</row>
    <row r="443" spans="1:62">
      <c r="A443" s="122"/>
      <c r="B443" s="122"/>
      <c r="C443" s="122"/>
      <c r="D443" s="122"/>
      <c r="E443" s="122"/>
      <c r="F443" s="122"/>
      <c r="G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66"/>
      <c r="AQ443" s="122"/>
      <c r="AR443" s="167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</row>
    <row r="444" spans="1:62">
      <c r="A444" s="122"/>
      <c r="B444" s="122"/>
      <c r="C444" s="122"/>
      <c r="D444" s="122"/>
      <c r="E444" s="122"/>
      <c r="F444" s="122"/>
      <c r="G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66"/>
      <c r="AQ444" s="122"/>
      <c r="AR444" s="167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</row>
    <row r="445" spans="1:62">
      <c r="A445" s="122"/>
      <c r="B445" s="122"/>
      <c r="C445" s="122"/>
      <c r="D445" s="122"/>
      <c r="E445" s="122"/>
      <c r="F445" s="122"/>
      <c r="G445" s="122"/>
      <c r="H445" s="122"/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66"/>
      <c r="AQ445" s="122"/>
      <c r="AR445" s="167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</row>
    <row r="446" spans="1:62">
      <c r="A446" s="122"/>
      <c r="B446" s="122"/>
      <c r="C446" s="122"/>
      <c r="D446" s="122"/>
      <c r="E446" s="122"/>
      <c r="F446" s="122"/>
      <c r="G446" s="122"/>
      <c r="H446" s="122"/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66"/>
      <c r="AQ446" s="122"/>
      <c r="AR446" s="167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</row>
    <row r="447" spans="1:62">
      <c r="A447" s="122"/>
      <c r="B447" s="122"/>
      <c r="C447" s="122"/>
      <c r="D447" s="122"/>
      <c r="E447" s="122"/>
      <c r="F447" s="122"/>
      <c r="G447" s="122"/>
      <c r="H447" s="122"/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66"/>
      <c r="AQ447" s="122"/>
      <c r="AR447" s="167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</row>
    <row r="448" spans="1:62">
      <c r="A448" s="122"/>
      <c r="B448" s="122"/>
      <c r="C448" s="122"/>
      <c r="D448" s="122"/>
      <c r="E448" s="122"/>
      <c r="F448" s="122"/>
      <c r="G448" s="122"/>
      <c r="H448" s="122"/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66"/>
      <c r="AQ448" s="122"/>
      <c r="AR448" s="167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</row>
    <row r="449" spans="1:62">
      <c r="A449" s="122"/>
      <c r="B449" s="122"/>
      <c r="C449" s="122"/>
      <c r="D449" s="122"/>
      <c r="E449" s="122"/>
      <c r="F449" s="122"/>
      <c r="G449" s="122"/>
      <c r="H449" s="122"/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66"/>
      <c r="AQ449" s="122"/>
      <c r="AR449" s="167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</row>
    <row r="450" spans="1:62">
      <c r="A450" s="122"/>
      <c r="B450" s="122"/>
      <c r="C450" s="122"/>
      <c r="D450" s="122"/>
      <c r="E450" s="122"/>
      <c r="F450" s="122"/>
      <c r="G450" s="122"/>
      <c r="H450" s="122"/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  <c r="AA450" s="122"/>
      <c r="AB450" s="122"/>
      <c r="AC450" s="122"/>
      <c r="AD450" s="122"/>
      <c r="AE450" s="122"/>
      <c r="AF450" s="122"/>
      <c r="AG450" s="122"/>
      <c r="AH450" s="122"/>
      <c r="AI450" s="122"/>
      <c r="AJ450" s="122"/>
      <c r="AK450" s="122"/>
      <c r="AL450" s="122"/>
      <c r="AM450" s="122"/>
      <c r="AN450" s="122"/>
      <c r="AO450" s="122"/>
      <c r="AP450" s="166"/>
      <c r="AQ450" s="122"/>
      <c r="AR450" s="167"/>
      <c r="AS450" s="122"/>
      <c r="AT450" s="122"/>
      <c r="AU450" s="122"/>
      <c r="AV450" s="122"/>
      <c r="AW450" s="122"/>
      <c r="AX450" s="122"/>
      <c r="AY450" s="122"/>
      <c r="AZ450" s="122"/>
      <c r="BA450" s="122"/>
      <c r="BB450" s="122"/>
      <c r="BC450" s="122"/>
      <c r="BD450" s="122"/>
      <c r="BE450" s="122"/>
      <c r="BF450" s="122"/>
      <c r="BG450" s="122"/>
      <c r="BH450" s="122"/>
      <c r="BI450" s="122"/>
      <c r="BJ450" s="122"/>
    </row>
    <row r="451" spans="1:62">
      <c r="A451" s="122"/>
      <c r="B451" s="122"/>
      <c r="C451" s="122"/>
      <c r="D451" s="122"/>
      <c r="E451" s="122"/>
      <c r="F451" s="122"/>
      <c r="G451" s="122"/>
      <c r="H451" s="122"/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22"/>
      <c r="AG451" s="122"/>
      <c r="AH451" s="122"/>
      <c r="AI451" s="122"/>
      <c r="AJ451" s="122"/>
      <c r="AK451" s="122"/>
      <c r="AL451" s="122"/>
      <c r="AM451" s="122"/>
      <c r="AN451" s="122"/>
      <c r="AO451" s="122"/>
      <c r="AP451" s="166"/>
      <c r="AQ451" s="122"/>
      <c r="AR451" s="167"/>
      <c r="AS451" s="122"/>
      <c r="AT451" s="122"/>
      <c r="AU451" s="122"/>
      <c r="AV451" s="122"/>
      <c r="AW451" s="122"/>
      <c r="AX451" s="122"/>
      <c r="AY451" s="122"/>
      <c r="AZ451" s="122"/>
      <c r="BA451" s="122"/>
      <c r="BB451" s="122"/>
      <c r="BC451" s="122"/>
      <c r="BD451" s="122"/>
      <c r="BE451" s="122"/>
      <c r="BF451" s="122"/>
      <c r="BG451" s="122"/>
      <c r="BH451" s="122"/>
      <c r="BI451" s="122"/>
      <c r="BJ451" s="122"/>
    </row>
    <row r="452" spans="1:62">
      <c r="A452" s="122"/>
      <c r="B452" s="122"/>
      <c r="C452" s="122"/>
      <c r="D452" s="122"/>
      <c r="E452" s="122"/>
      <c r="F452" s="122"/>
      <c r="G452" s="122"/>
      <c r="H452" s="122"/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  <c r="AA452" s="122"/>
      <c r="AB452" s="122"/>
      <c r="AC452" s="122"/>
      <c r="AD452" s="122"/>
      <c r="AE452" s="122"/>
      <c r="AF452" s="122"/>
      <c r="AG452" s="122"/>
      <c r="AH452" s="122"/>
      <c r="AI452" s="122"/>
      <c r="AJ452" s="122"/>
      <c r="AK452" s="122"/>
      <c r="AL452" s="122"/>
      <c r="AM452" s="122"/>
      <c r="AN452" s="122"/>
      <c r="AO452" s="122"/>
      <c r="AP452" s="166"/>
      <c r="AQ452" s="122"/>
      <c r="AR452" s="167"/>
      <c r="AS452" s="122"/>
      <c r="AT452" s="122"/>
      <c r="AU452" s="122"/>
      <c r="AV452" s="122"/>
      <c r="AW452" s="122"/>
      <c r="AX452" s="122"/>
      <c r="AY452" s="122"/>
      <c r="AZ452" s="122"/>
      <c r="BA452" s="122"/>
      <c r="BB452" s="122"/>
      <c r="BC452" s="122"/>
      <c r="BD452" s="122"/>
      <c r="BE452" s="122"/>
      <c r="BF452" s="122"/>
      <c r="BG452" s="122"/>
      <c r="BH452" s="122"/>
      <c r="BI452" s="122"/>
      <c r="BJ452" s="122"/>
    </row>
    <row r="453" spans="1:62">
      <c r="A453" s="122"/>
      <c r="B453" s="122"/>
      <c r="C453" s="122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  <c r="AA453" s="122"/>
      <c r="AB453" s="122"/>
      <c r="AC453" s="122"/>
      <c r="AD453" s="122"/>
      <c r="AE453" s="122"/>
      <c r="AF453" s="122"/>
      <c r="AG453" s="122"/>
      <c r="AH453" s="122"/>
      <c r="AI453" s="122"/>
      <c r="AJ453" s="122"/>
      <c r="AK453" s="122"/>
      <c r="AL453" s="122"/>
      <c r="AM453" s="122"/>
      <c r="AN453" s="122"/>
      <c r="AO453" s="122"/>
      <c r="AP453" s="166"/>
      <c r="AQ453" s="122"/>
      <c r="AR453" s="167"/>
      <c r="AS453" s="122"/>
      <c r="AT453" s="122"/>
      <c r="AU453" s="122"/>
      <c r="AV453" s="122"/>
      <c r="AW453" s="122"/>
      <c r="AX453" s="122"/>
      <c r="AY453" s="122"/>
      <c r="AZ453" s="122"/>
      <c r="BA453" s="122"/>
      <c r="BB453" s="122"/>
      <c r="BC453" s="122"/>
      <c r="BD453" s="122"/>
      <c r="BE453" s="122"/>
      <c r="BF453" s="122"/>
      <c r="BG453" s="122"/>
      <c r="BH453" s="122"/>
      <c r="BI453" s="122"/>
      <c r="BJ453" s="122"/>
    </row>
    <row r="454" spans="1:62">
      <c r="A454" s="122"/>
      <c r="B454" s="122"/>
      <c r="C454" s="122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  <c r="AA454" s="122"/>
      <c r="AB454" s="122"/>
      <c r="AC454" s="122"/>
      <c r="AD454" s="122"/>
      <c r="AE454" s="122"/>
      <c r="AF454" s="122"/>
      <c r="AG454" s="122"/>
      <c r="AH454" s="122"/>
      <c r="AI454" s="122"/>
      <c r="AJ454" s="122"/>
      <c r="AK454" s="122"/>
      <c r="AL454" s="122"/>
      <c r="AM454" s="122"/>
      <c r="AN454" s="122"/>
      <c r="AO454" s="122"/>
      <c r="AP454" s="166"/>
      <c r="AQ454" s="122"/>
      <c r="AR454" s="167"/>
      <c r="AS454" s="122"/>
      <c r="AT454" s="122"/>
      <c r="AU454" s="122"/>
      <c r="AV454" s="122"/>
      <c r="AW454" s="122"/>
      <c r="AX454" s="122"/>
      <c r="AY454" s="122"/>
      <c r="AZ454" s="122"/>
      <c r="BA454" s="122"/>
      <c r="BB454" s="122"/>
      <c r="BC454" s="122"/>
      <c r="BD454" s="122"/>
      <c r="BE454" s="122"/>
      <c r="BF454" s="122"/>
      <c r="BG454" s="122"/>
      <c r="BH454" s="122"/>
      <c r="BI454" s="122"/>
      <c r="BJ454" s="122"/>
    </row>
    <row r="455" spans="1:62">
      <c r="A455" s="122"/>
      <c r="B455" s="122"/>
      <c r="C455" s="122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  <c r="AA455" s="122"/>
      <c r="AB455" s="122"/>
      <c r="AC455" s="122"/>
      <c r="AD455" s="122"/>
      <c r="AE455" s="122"/>
      <c r="AF455" s="122"/>
      <c r="AG455" s="122"/>
      <c r="AH455" s="122"/>
      <c r="AI455" s="122"/>
      <c r="AJ455" s="122"/>
      <c r="AK455" s="122"/>
      <c r="AL455" s="122"/>
      <c r="AM455" s="122"/>
      <c r="AN455" s="122"/>
      <c r="AO455" s="122"/>
      <c r="AP455" s="166"/>
      <c r="AQ455" s="122"/>
      <c r="AR455" s="167"/>
      <c r="AS455" s="122"/>
      <c r="AT455" s="122"/>
      <c r="AU455" s="122"/>
      <c r="AV455" s="122"/>
      <c r="AW455" s="122"/>
      <c r="AX455" s="122"/>
      <c r="AY455" s="122"/>
      <c r="AZ455" s="122"/>
      <c r="BA455" s="122"/>
      <c r="BB455" s="122"/>
      <c r="BC455" s="122"/>
      <c r="BD455" s="122"/>
      <c r="BE455" s="122"/>
      <c r="BF455" s="122"/>
      <c r="BG455" s="122"/>
      <c r="BH455" s="122"/>
      <c r="BI455" s="122"/>
      <c r="BJ455" s="122"/>
    </row>
    <row r="456" spans="1:62">
      <c r="A456" s="122"/>
      <c r="B456" s="122"/>
      <c r="C456" s="122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  <c r="AA456" s="122"/>
      <c r="AB456" s="122"/>
      <c r="AC456" s="122"/>
      <c r="AD456" s="122"/>
      <c r="AE456" s="122"/>
      <c r="AF456" s="122"/>
      <c r="AG456" s="122"/>
      <c r="AH456" s="122"/>
      <c r="AI456" s="122"/>
      <c r="AJ456" s="122"/>
      <c r="AK456" s="122"/>
      <c r="AL456" s="122"/>
      <c r="AM456" s="122"/>
      <c r="AN456" s="122"/>
      <c r="AO456" s="122"/>
      <c r="AP456" s="166"/>
      <c r="AQ456" s="122"/>
      <c r="AR456" s="167"/>
      <c r="AS456" s="122"/>
      <c r="AT456" s="122"/>
      <c r="AU456" s="122"/>
      <c r="AV456" s="122"/>
      <c r="AW456" s="122"/>
      <c r="AX456" s="122"/>
      <c r="AY456" s="122"/>
      <c r="AZ456" s="122"/>
      <c r="BA456" s="122"/>
      <c r="BB456" s="122"/>
      <c r="BC456" s="122"/>
      <c r="BD456" s="122"/>
      <c r="BE456" s="122"/>
      <c r="BF456" s="122"/>
      <c r="BG456" s="122"/>
      <c r="BH456" s="122"/>
      <c r="BI456" s="122"/>
      <c r="BJ456" s="122"/>
    </row>
    <row r="457" spans="1:62">
      <c r="A457" s="122"/>
      <c r="B457" s="122"/>
      <c r="C457" s="122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  <c r="AA457" s="122"/>
      <c r="AB457" s="122"/>
      <c r="AC457" s="122"/>
      <c r="AD457" s="122"/>
      <c r="AE457" s="122"/>
      <c r="AF457" s="122"/>
      <c r="AG457" s="122"/>
      <c r="AH457" s="122"/>
      <c r="AI457" s="122"/>
      <c r="AJ457" s="122"/>
      <c r="AK457" s="122"/>
      <c r="AL457" s="122"/>
      <c r="AM457" s="122"/>
      <c r="AN457" s="122"/>
      <c r="AO457" s="122"/>
      <c r="AP457" s="166"/>
      <c r="AQ457" s="122"/>
      <c r="AR457" s="167"/>
      <c r="AS457" s="122"/>
      <c r="AT457" s="122"/>
      <c r="AU457" s="122"/>
      <c r="AV457" s="122"/>
      <c r="AW457" s="122"/>
      <c r="AX457" s="122"/>
      <c r="AY457" s="122"/>
      <c r="AZ457" s="122"/>
      <c r="BA457" s="122"/>
      <c r="BB457" s="122"/>
      <c r="BC457" s="122"/>
      <c r="BD457" s="122"/>
      <c r="BE457" s="122"/>
      <c r="BF457" s="122"/>
      <c r="BG457" s="122"/>
      <c r="BH457" s="122"/>
      <c r="BI457" s="122"/>
      <c r="BJ457" s="122"/>
    </row>
    <row r="458" spans="1:62">
      <c r="A458" s="122"/>
      <c r="B458" s="122"/>
      <c r="C458" s="122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66"/>
      <c r="AQ458" s="122"/>
      <c r="AR458" s="167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</row>
    <row r="459" spans="1:62">
      <c r="A459" s="122"/>
      <c r="B459" s="122"/>
      <c r="C459" s="122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66"/>
      <c r="AQ459" s="122"/>
      <c r="AR459" s="167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</row>
    <row r="460" spans="1:62">
      <c r="A460" s="122"/>
      <c r="B460" s="122"/>
      <c r="C460" s="122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66"/>
      <c r="AQ460" s="122"/>
      <c r="AR460" s="167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</row>
    <row r="461" spans="1:62">
      <c r="A461" s="122"/>
      <c r="B461" s="122"/>
      <c r="C461" s="122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66"/>
      <c r="AQ461" s="122"/>
      <c r="AR461" s="167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</row>
    <row r="462" spans="1:62">
      <c r="A462" s="122"/>
      <c r="B462" s="122"/>
      <c r="C462" s="122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66"/>
      <c r="AQ462" s="122"/>
      <c r="AR462" s="167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</row>
    <row r="463" spans="1:62">
      <c r="A463" s="122"/>
      <c r="B463" s="122"/>
      <c r="C463" s="122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66"/>
      <c r="AQ463" s="122"/>
      <c r="AR463" s="167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</row>
    <row r="464" spans="1:62">
      <c r="A464" s="122"/>
      <c r="B464" s="122"/>
      <c r="C464" s="122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66"/>
      <c r="AQ464" s="122"/>
      <c r="AR464" s="167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</row>
    <row r="465" spans="1:62">
      <c r="A465" s="122"/>
      <c r="B465" s="122"/>
      <c r="C465" s="122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66"/>
      <c r="AQ465" s="122"/>
      <c r="AR465" s="167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</row>
    <row r="466" spans="1:62">
      <c r="A466" s="122"/>
      <c r="B466" s="122"/>
      <c r="C466" s="122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66"/>
      <c r="AQ466" s="122"/>
      <c r="AR466" s="167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</row>
    <row r="467" spans="1:62">
      <c r="A467" s="122"/>
      <c r="B467" s="122"/>
      <c r="C467" s="122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66"/>
      <c r="AQ467" s="122"/>
      <c r="AR467" s="167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</row>
    <row r="468" spans="1:62">
      <c r="A468" s="122"/>
      <c r="B468" s="122"/>
      <c r="C468" s="122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2"/>
      <c r="W468" s="122"/>
      <c r="X468" s="122"/>
      <c r="Y468" s="122"/>
      <c r="Z468" s="122"/>
      <c r="AA468" s="122"/>
      <c r="AB468" s="122"/>
      <c r="AC468" s="122"/>
      <c r="AD468" s="122"/>
      <c r="AE468" s="122"/>
      <c r="AF468" s="122"/>
      <c r="AG468" s="122"/>
      <c r="AH468" s="122"/>
      <c r="AI468" s="122"/>
      <c r="AJ468" s="122"/>
      <c r="AK468" s="122"/>
      <c r="AL468" s="122"/>
      <c r="AM468" s="122"/>
      <c r="AN468" s="122"/>
      <c r="AO468" s="122"/>
      <c r="AP468" s="166"/>
      <c r="AQ468" s="122"/>
      <c r="AR468" s="167"/>
      <c r="AS468" s="122"/>
      <c r="AT468" s="122"/>
      <c r="AU468" s="122"/>
      <c r="AV468" s="122"/>
      <c r="AW468" s="122"/>
      <c r="AX468" s="122"/>
      <c r="AY468" s="122"/>
      <c r="AZ468" s="122"/>
      <c r="BA468" s="122"/>
      <c r="BB468" s="122"/>
      <c r="BC468" s="122"/>
      <c r="BD468" s="122"/>
      <c r="BE468" s="122"/>
      <c r="BF468" s="122"/>
      <c r="BG468" s="122"/>
      <c r="BH468" s="122"/>
      <c r="BI468" s="122"/>
      <c r="BJ468" s="122"/>
    </row>
    <row r="469" spans="1:62">
      <c r="A469" s="122"/>
      <c r="B469" s="122"/>
      <c r="C469" s="122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2"/>
      <c r="W469" s="122"/>
      <c r="X469" s="122"/>
      <c r="Y469" s="122"/>
      <c r="Z469" s="122"/>
      <c r="AA469" s="122"/>
      <c r="AB469" s="122"/>
      <c r="AC469" s="122"/>
      <c r="AD469" s="122"/>
      <c r="AE469" s="122"/>
      <c r="AF469" s="122"/>
      <c r="AG469" s="122"/>
      <c r="AH469" s="122"/>
      <c r="AI469" s="122"/>
      <c r="AJ469" s="122"/>
      <c r="AK469" s="122"/>
      <c r="AL469" s="122"/>
      <c r="AM469" s="122"/>
      <c r="AN469" s="122"/>
      <c r="AO469" s="122"/>
      <c r="AP469" s="166"/>
      <c r="AQ469" s="122"/>
      <c r="AR469" s="167"/>
      <c r="AS469" s="122"/>
      <c r="AT469" s="122"/>
      <c r="AU469" s="122"/>
      <c r="AV469" s="122"/>
      <c r="AW469" s="122"/>
      <c r="AX469" s="122"/>
      <c r="AY469" s="122"/>
      <c r="AZ469" s="122"/>
      <c r="BA469" s="122"/>
      <c r="BB469" s="122"/>
      <c r="BC469" s="122"/>
      <c r="BD469" s="122"/>
      <c r="BE469" s="122"/>
      <c r="BF469" s="122"/>
      <c r="BG469" s="122"/>
      <c r="BH469" s="122"/>
      <c r="BI469" s="122"/>
      <c r="BJ469" s="122"/>
    </row>
    <row r="470" spans="1:62">
      <c r="A470" s="122"/>
      <c r="B470" s="122"/>
      <c r="C470" s="122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2"/>
      <c r="W470" s="122"/>
      <c r="X470" s="122"/>
      <c r="Y470" s="122"/>
      <c r="Z470" s="122"/>
      <c r="AA470" s="122"/>
      <c r="AB470" s="122"/>
      <c r="AC470" s="122"/>
      <c r="AD470" s="122"/>
      <c r="AE470" s="122"/>
      <c r="AF470" s="122"/>
      <c r="AG470" s="122"/>
      <c r="AH470" s="122"/>
      <c r="AI470" s="122"/>
      <c r="AJ470" s="122"/>
      <c r="AK470" s="122"/>
      <c r="AL470" s="122"/>
      <c r="AM470" s="122"/>
      <c r="AN470" s="122"/>
      <c r="AO470" s="122"/>
      <c r="AP470" s="166"/>
      <c r="AQ470" s="122"/>
      <c r="AR470" s="167"/>
      <c r="AS470" s="122"/>
      <c r="AT470" s="122"/>
      <c r="AU470" s="122"/>
      <c r="AV470" s="122"/>
      <c r="AW470" s="122"/>
      <c r="AX470" s="122"/>
      <c r="AY470" s="122"/>
      <c r="AZ470" s="122"/>
      <c r="BA470" s="122"/>
      <c r="BB470" s="122"/>
      <c r="BC470" s="122"/>
      <c r="BD470" s="122"/>
      <c r="BE470" s="122"/>
      <c r="BF470" s="122"/>
      <c r="BG470" s="122"/>
      <c r="BH470" s="122"/>
      <c r="BI470" s="122"/>
      <c r="BJ470" s="122"/>
    </row>
    <row r="471" spans="1:62">
      <c r="A471" s="122"/>
      <c r="B471" s="122"/>
      <c r="C471" s="122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  <c r="AA471" s="122"/>
      <c r="AB471" s="122"/>
      <c r="AC471" s="122"/>
      <c r="AD471" s="122"/>
      <c r="AE471" s="122"/>
      <c r="AF471" s="122"/>
      <c r="AG471" s="122"/>
      <c r="AH471" s="122"/>
      <c r="AI471" s="122"/>
      <c r="AJ471" s="122"/>
      <c r="AK471" s="122"/>
      <c r="AL471" s="122"/>
      <c r="AM471" s="122"/>
      <c r="AN471" s="122"/>
      <c r="AO471" s="122"/>
      <c r="AP471" s="166"/>
      <c r="AQ471" s="122"/>
      <c r="AR471" s="167"/>
      <c r="AS471" s="122"/>
      <c r="AT471" s="122"/>
      <c r="AU471" s="122"/>
      <c r="AV471" s="122"/>
      <c r="AW471" s="122"/>
      <c r="AX471" s="122"/>
      <c r="AY471" s="122"/>
      <c r="AZ471" s="122"/>
      <c r="BA471" s="122"/>
      <c r="BB471" s="122"/>
      <c r="BC471" s="122"/>
      <c r="BD471" s="122"/>
      <c r="BE471" s="122"/>
      <c r="BF471" s="122"/>
      <c r="BG471" s="122"/>
      <c r="BH471" s="122"/>
      <c r="BI471" s="122"/>
      <c r="BJ471" s="122"/>
    </row>
    <row r="472" spans="1:62">
      <c r="A472" s="122"/>
      <c r="B472" s="122"/>
      <c r="C472" s="122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2"/>
      <c r="W472" s="122"/>
      <c r="X472" s="122"/>
      <c r="Y472" s="122"/>
      <c r="Z472" s="122"/>
      <c r="AA472" s="122"/>
      <c r="AB472" s="122"/>
      <c r="AC472" s="122"/>
      <c r="AD472" s="122"/>
      <c r="AE472" s="122"/>
      <c r="AF472" s="122"/>
      <c r="AG472" s="122"/>
      <c r="AH472" s="122"/>
      <c r="AI472" s="122"/>
      <c r="AJ472" s="122"/>
      <c r="AK472" s="122"/>
      <c r="AL472" s="122"/>
      <c r="AM472" s="122"/>
      <c r="AN472" s="122"/>
      <c r="AO472" s="122"/>
      <c r="AP472" s="166"/>
      <c r="AQ472" s="122"/>
      <c r="AR472" s="167"/>
      <c r="AS472" s="122"/>
      <c r="AT472" s="122"/>
      <c r="AU472" s="122"/>
      <c r="AV472" s="122"/>
      <c r="AW472" s="122"/>
      <c r="AX472" s="122"/>
      <c r="AY472" s="122"/>
      <c r="AZ472" s="122"/>
      <c r="BA472" s="122"/>
      <c r="BB472" s="122"/>
      <c r="BC472" s="122"/>
      <c r="BD472" s="122"/>
      <c r="BE472" s="122"/>
      <c r="BF472" s="122"/>
      <c r="BG472" s="122"/>
      <c r="BH472" s="122"/>
      <c r="BI472" s="122"/>
      <c r="BJ472" s="122"/>
    </row>
    <row r="473" spans="1:62">
      <c r="A473" s="122"/>
      <c r="B473" s="122"/>
      <c r="C473" s="122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2"/>
      <c r="P473" s="122"/>
      <c r="Q473" s="122"/>
      <c r="R473" s="122"/>
      <c r="S473" s="122"/>
      <c r="T473" s="122"/>
      <c r="U473" s="122"/>
      <c r="V473" s="122"/>
      <c r="W473" s="122"/>
      <c r="X473" s="122"/>
      <c r="Y473" s="122"/>
      <c r="Z473" s="122"/>
      <c r="AA473" s="122"/>
      <c r="AB473" s="122"/>
      <c r="AC473" s="122"/>
      <c r="AD473" s="122"/>
      <c r="AE473" s="122"/>
      <c r="AF473" s="122"/>
      <c r="AG473" s="122"/>
      <c r="AH473" s="122"/>
      <c r="AI473" s="122"/>
      <c r="AJ473" s="122"/>
      <c r="AK473" s="122"/>
      <c r="AL473" s="122"/>
      <c r="AM473" s="122"/>
      <c r="AN473" s="122"/>
      <c r="AO473" s="122"/>
      <c r="AP473" s="166"/>
      <c r="AQ473" s="122"/>
      <c r="AR473" s="167"/>
      <c r="AS473" s="122"/>
      <c r="AT473" s="122"/>
      <c r="AU473" s="122"/>
      <c r="AV473" s="122"/>
      <c r="AW473" s="122"/>
      <c r="AX473" s="122"/>
      <c r="AY473" s="122"/>
      <c r="AZ473" s="122"/>
      <c r="BA473" s="122"/>
      <c r="BB473" s="122"/>
      <c r="BC473" s="122"/>
      <c r="BD473" s="122"/>
      <c r="BE473" s="122"/>
      <c r="BF473" s="122"/>
      <c r="BG473" s="122"/>
      <c r="BH473" s="122"/>
      <c r="BI473" s="122"/>
      <c r="BJ473" s="122"/>
    </row>
    <row r="474" spans="1:62">
      <c r="A474" s="122"/>
      <c r="B474" s="122"/>
      <c r="C474" s="122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2"/>
      <c r="W474" s="122"/>
      <c r="X474" s="122"/>
      <c r="Y474" s="122"/>
      <c r="Z474" s="122"/>
      <c r="AA474" s="122"/>
      <c r="AB474" s="122"/>
      <c r="AC474" s="122"/>
      <c r="AD474" s="122"/>
      <c r="AE474" s="122"/>
      <c r="AF474" s="122"/>
      <c r="AG474" s="122"/>
      <c r="AH474" s="122"/>
      <c r="AI474" s="122"/>
      <c r="AJ474" s="122"/>
      <c r="AK474" s="122"/>
      <c r="AL474" s="122"/>
      <c r="AM474" s="122"/>
      <c r="AN474" s="122"/>
      <c r="AO474" s="122"/>
      <c r="AP474" s="166"/>
      <c r="AQ474" s="122"/>
      <c r="AR474" s="167"/>
      <c r="AS474" s="122"/>
      <c r="AT474" s="122"/>
      <c r="AU474" s="122"/>
      <c r="AV474" s="122"/>
      <c r="AW474" s="122"/>
      <c r="AX474" s="122"/>
      <c r="AY474" s="122"/>
      <c r="AZ474" s="122"/>
      <c r="BA474" s="122"/>
      <c r="BB474" s="122"/>
      <c r="BC474" s="122"/>
      <c r="BD474" s="122"/>
      <c r="BE474" s="122"/>
      <c r="BF474" s="122"/>
      <c r="BG474" s="122"/>
      <c r="BH474" s="122"/>
      <c r="BI474" s="122"/>
      <c r="BJ474" s="122"/>
    </row>
    <row r="475" spans="1:62">
      <c r="A475" s="122"/>
      <c r="B475" s="122"/>
      <c r="C475" s="122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2"/>
      <c r="P475" s="122"/>
      <c r="Q475" s="122"/>
      <c r="R475" s="122"/>
      <c r="S475" s="122"/>
      <c r="T475" s="122"/>
      <c r="U475" s="122"/>
      <c r="V475" s="122"/>
      <c r="W475" s="122"/>
      <c r="X475" s="122"/>
      <c r="Y475" s="122"/>
      <c r="Z475" s="122"/>
      <c r="AA475" s="122"/>
      <c r="AB475" s="122"/>
      <c r="AC475" s="122"/>
      <c r="AD475" s="122"/>
      <c r="AE475" s="122"/>
      <c r="AF475" s="122"/>
      <c r="AG475" s="122"/>
      <c r="AH475" s="122"/>
      <c r="AI475" s="122"/>
      <c r="AJ475" s="122"/>
      <c r="AK475" s="122"/>
      <c r="AL475" s="122"/>
      <c r="AM475" s="122"/>
      <c r="AN475" s="122"/>
      <c r="AO475" s="122"/>
      <c r="AP475" s="166"/>
      <c r="AQ475" s="122"/>
      <c r="AR475" s="167"/>
      <c r="AS475" s="122"/>
      <c r="AT475" s="122"/>
      <c r="AU475" s="122"/>
      <c r="AV475" s="122"/>
      <c r="AW475" s="122"/>
      <c r="AX475" s="122"/>
      <c r="AY475" s="122"/>
      <c r="AZ475" s="122"/>
      <c r="BA475" s="122"/>
      <c r="BB475" s="122"/>
      <c r="BC475" s="122"/>
      <c r="BD475" s="122"/>
      <c r="BE475" s="122"/>
      <c r="BF475" s="122"/>
      <c r="BG475" s="122"/>
      <c r="BH475" s="122"/>
      <c r="BI475" s="122"/>
      <c r="BJ475" s="122"/>
    </row>
    <row r="476" spans="1:62">
      <c r="A476" s="122"/>
      <c r="B476" s="122"/>
      <c r="C476" s="122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66"/>
      <c r="AQ476" s="122"/>
      <c r="AR476" s="167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</row>
    <row r="477" spans="1:62">
      <c r="A477" s="122"/>
      <c r="B477" s="122"/>
      <c r="C477" s="122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66"/>
      <c r="AQ477" s="122"/>
      <c r="AR477" s="167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</row>
    <row r="478" spans="1:62">
      <c r="A478" s="122"/>
      <c r="B478" s="122"/>
      <c r="C478" s="122"/>
      <c r="D478" s="122"/>
      <c r="E478" s="122"/>
      <c r="F478" s="122"/>
      <c r="G478" s="122"/>
      <c r="H478" s="122"/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66"/>
      <c r="AQ478" s="122"/>
      <c r="AR478" s="167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</row>
    <row r="479" spans="1:62">
      <c r="A479" s="122"/>
      <c r="B479" s="122"/>
      <c r="C479" s="122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66"/>
      <c r="AQ479" s="122"/>
      <c r="AR479" s="167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</row>
    <row r="480" spans="1:62">
      <c r="A480" s="122"/>
      <c r="B480" s="122"/>
      <c r="C480" s="122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66"/>
      <c r="AQ480" s="122"/>
      <c r="AR480" s="167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</row>
    <row r="481" spans="1:62">
      <c r="A481" s="122"/>
      <c r="B481" s="122"/>
      <c r="C481" s="122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66"/>
      <c r="AQ481" s="122"/>
      <c r="AR481" s="167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</row>
    <row r="482" spans="1:62">
      <c r="A482" s="122"/>
      <c r="B482" s="122"/>
      <c r="C482" s="122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66"/>
      <c r="AQ482" s="122"/>
      <c r="AR482" s="167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</row>
    <row r="483" spans="1:62">
      <c r="A483" s="122"/>
      <c r="B483" s="122"/>
      <c r="C483" s="122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66"/>
      <c r="AQ483" s="122"/>
      <c r="AR483" s="167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</row>
    <row r="484" spans="1:62">
      <c r="A484" s="122"/>
      <c r="B484" s="122"/>
      <c r="C484" s="122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66"/>
      <c r="AQ484" s="122"/>
      <c r="AR484" s="167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</row>
    <row r="485" spans="1:62">
      <c r="A485" s="122"/>
      <c r="B485" s="122"/>
      <c r="C485" s="122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66"/>
      <c r="AQ485" s="122"/>
      <c r="AR485" s="167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</row>
    <row r="486" spans="1:62">
      <c r="A486" s="122"/>
      <c r="B486" s="122"/>
      <c r="C486" s="122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66"/>
      <c r="AQ486" s="122"/>
      <c r="AR486" s="167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</row>
    <row r="487" spans="1:62">
      <c r="A487" s="122"/>
      <c r="B487" s="122"/>
      <c r="C487" s="122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66"/>
      <c r="AQ487" s="122"/>
      <c r="AR487" s="167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</row>
    <row r="488" spans="1:62">
      <c r="A488" s="122"/>
      <c r="B488" s="122"/>
      <c r="C488" s="122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66"/>
      <c r="AQ488" s="122"/>
      <c r="AR488" s="167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</row>
    <row r="489" spans="1:62">
      <c r="A489" s="122"/>
      <c r="B489" s="122"/>
      <c r="C489" s="122"/>
      <c r="D489" s="122"/>
      <c r="E489" s="122"/>
      <c r="F489" s="122"/>
      <c r="G489" s="122"/>
      <c r="H489" s="122"/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66"/>
      <c r="AQ489" s="122"/>
      <c r="AR489" s="167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</row>
    <row r="490" spans="1:62">
      <c r="A490" s="122"/>
      <c r="B490" s="122"/>
      <c r="C490" s="122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66"/>
      <c r="AQ490" s="122"/>
      <c r="AR490" s="167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</row>
    <row r="491" spans="1:62">
      <c r="A491" s="122"/>
      <c r="B491" s="122"/>
      <c r="C491" s="122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66"/>
      <c r="AQ491" s="122"/>
      <c r="AR491" s="167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</row>
    <row r="492" spans="1:62">
      <c r="A492" s="122"/>
      <c r="B492" s="122"/>
      <c r="C492" s="122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66"/>
      <c r="AQ492" s="122"/>
      <c r="AR492" s="167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</row>
    <row r="493" spans="1:62">
      <c r="A493" s="122"/>
      <c r="B493" s="122"/>
      <c r="C493" s="122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66"/>
      <c r="AQ493" s="122"/>
      <c r="AR493" s="167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</row>
    <row r="494" spans="1:62">
      <c r="A494" s="122"/>
      <c r="B494" s="122"/>
      <c r="C494" s="122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66"/>
      <c r="AQ494" s="122"/>
      <c r="AR494" s="167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</row>
    <row r="495" spans="1:62">
      <c r="A495" s="122"/>
      <c r="B495" s="122"/>
      <c r="C495" s="122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66"/>
      <c r="AQ495" s="122"/>
      <c r="AR495" s="167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</row>
    <row r="496" spans="1:62">
      <c r="A496" s="122"/>
      <c r="B496" s="122"/>
      <c r="C496" s="122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66"/>
      <c r="AQ496" s="122"/>
      <c r="AR496" s="167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</row>
    <row r="497" spans="1:62">
      <c r="A497" s="122"/>
      <c r="B497" s="122"/>
      <c r="C497" s="122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66"/>
      <c r="AQ497" s="122"/>
      <c r="AR497" s="167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</row>
    <row r="498" spans="1:62">
      <c r="A498" s="122"/>
      <c r="B498" s="122"/>
      <c r="C498" s="122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66"/>
      <c r="AQ498" s="122"/>
      <c r="AR498" s="167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</row>
    <row r="499" spans="1:62">
      <c r="A499" s="122"/>
      <c r="B499" s="122"/>
      <c r="C499" s="122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66"/>
      <c r="AQ499" s="122"/>
      <c r="AR499" s="167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</row>
    <row r="500" spans="1:62">
      <c r="A500" s="122"/>
      <c r="B500" s="122"/>
      <c r="C500" s="122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66"/>
      <c r="AQ500" s="122"/>
      <c r="AR500" s="167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</row>
    <row r="501" spans="1:62">
      <c r="A501" s="122"/>
      <c r="B501" s="122"/>
      <c r="C501" s="122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66"/>
      <c r="AQ501" s="122"/>
      <c r="AR501" s="167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</row>
    <row r="502" spans="1:62">
      <c r="A502" s="122"/>
      <c r="B502" s="122"/>
      <c r="C502" s="122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66"/>
      <c r="AQ502" s="122"/>
      <c r="AR502" s="167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</row>
    <row r="503" spans="1:62">
      <c r="A503" s="122"/>
      <c r="B503" s="122"/>
      <c r="C503" s="122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66"/>
      <c r="AQ503" s="122"/>
      <c r="AR503" s="167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</row>
    <row r="504" spans="1:62">
      <c r="A504" s="122"/>
      <c r="B504" s="122"/>
      <c r="C504" s="122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66"/>
      <c r="AQ504" s="122"/>
      <c r="AR504" s="167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</row>
    <row r="505" spans="1:62">
      <c r="A505" s="122"/>
      <c r="B505" s="122"/>
      <c r="C505" s="122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66"/>
      <c r="AQ505" s="122"/>
      <c r="AR505" s="167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</row>
    <row r="506" spans="1:62">
      <c r="A506" s="122"/>
      <c r="B506" s="122"/>
      <c r="C506" s="122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66"/>
      <c r="AQ506" s="122"/>
      <c r="AR506" s="167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</row>
    <row r="507" spans="1:62">
      <c r="A507" s="122"/>
      <c r="B507" s="122"/>
      <c r="C507" s="122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66"/>
      <c r="AQ507" s="122"/>
      <c r="AR507" s="167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</row>
    <row r="508" spans="1:62">
      <c r="A508" s="122"/>
      <c r="B508" s="122"/>
      <c r="C508" s="122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66"/>
      <c r="AQ508" s="122"/>
      <c r="AR508" s="167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</row>
    <row r="509" spans="1:62">
      <c r="A509" s="122"/>
      <c r="B509" s="122"/>
      <c r="C509" s="122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66"/>
      <c r="AQ509" s="122"/>
      <c r="AR509" s="167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</row>
    <row r="510" spans="1:62">
      <c r="A510" s="122"/>
      <c r="B510" s="122"/>
      <c r="C510" s="122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66"/>
      <c r="AQ510" s="122"/>
      <c r="AR510" s="167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</row>
    <row r="511" spans="1:62">
      <c r="A511" s="122"/>
      <c r="B511" s="122"/>
      <c r="C511" s="122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66"/>
      <c r="AQ511" s="122"/>
      <c r="AR511" s="167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</row>
    <row r="512" spans="1:62">
      <c r="A512" s="122"/>
      <c r="B512" s="122"/>
      <c r="C512" s="122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66"/>
      <c r="AQ512" s="122"/>
      <c r="AR512" s="167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</row>
    <row r="513" spans="1:62">
      <c r="A513" s="122"/>
      <c r="B513" s="122"/>
      <c r="C513" s="122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66"/>
      <c r="AQ513" s="122"/>
      <c r="AR513" s="167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</row>
    <row r="514" spans="1:62">
      <c r="A514" s="122"/>
      <c r="B514" s="122"/>
      <c r="C514" s="122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66"/>
      <c r="AQ514" s="122"/>
      <c r="AR514" s="167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</row>
    <row r="515" spans="1:62">
      <c r="A515" s="122"/>
      <c r="B515" s="122"/>
      <c r="C515" s="122"/>
      <c r="D515" s="122"/>
      <c r="E515" s="122"/>
      <c r="F515" s="122"/>
      <c r="G515" s="122"/>
      <c r="H515" s="122"/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66"/>
      <c r="AQ515" s="122"/>
      <c r="AR515" s="167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</row>
    <row r="516" spans="1:62">
      <c r="A516" s="122"/>
      <c r="B516" s="122"/>
      <c r="C516" s="122"/>
      <c r="D516" s="122"/>
      <c r="E516" s="122"/>
      <c r="F516" s="122"/>
      <c r="G516" s="122"/>
      <c r="H516" s="122"/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66"/>
      <c r="AQ516" s="122"/>
      <c r="AR516" s="167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</row>
    <row r="517" spans="1:62">
      <c r="A517" s="122"/>
      <c r="B517" s="122"/>
      <c r="C517" s="122"/>
      <c r="D517" s="122"/>
      <c r="E517" s="122"/>
      <c r="F517" s="122"/>
      <c r="G517" s="122"/>
      <c r="H517" s="122"/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66"/>
      <c r="AQ517" s="122"/>
      <c r="AR517" s="167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</row>
    <row r="518" spans="1:62">
      <c r="A518" s="122"/>
      <c r="B518" s="122"/>
      <c r="C518" s="122"/>
      <c r="D518" s="122"/>
      <c r="E518" s="122"/>
      <c r="F518" s="122"/>
      <c r="G518" s="122"/>
      <c r="H518" s="122"/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66"/>
      <c r="AQ518" s="122"/>
      <c r="AR518" s="167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</row>
    <row r="519" spans="1:62">
      <c r="A519" s="122"/>
      <c r="B519" s="122"/>
      <c r="C519" s="122"/>
      <c r="D519" s="122"/>
      <c r="E519" s="122"/>
      <c r="F519" s="122"/>
      <c r="G519" s="122"/>
      <c r="H519" s="122"/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66"/>
      <c r="AQ519" s="122"/>
      <c r="AR519" s="167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</row>
    <row r="520" spans="1:62">
      <c r="A520" s="122"/>
      <c r="B520" s="122"/>
      <c r="C520" s="122"/>
      <c r="D520" s="122"/>
      <c r="E520" s="122"/>
      <c r="F520" s="122"/>
      <c r="G520" s="122"/>
      <c r="H520" s="122"/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66"/>
      <c r="AQ520" s="122"/>
      <c r="AR520" s="167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</row>
    <row r="521" spans="1:62">
      <c r="A521" s="122"/>
      <c r="B521" s="122"/>
      <c r="C521" s="122"/>
      <c r="D521" s="122"/>
      <c r="E521" s="122"/>
      <c r="F521" s="122"/>
      <c r="G521" s="122"/>
      <c r="H521" s="122"/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66"/>
      <c r="AQ521" s="122"/>
      <c r="AR521" s="167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</row>
    <row r="522" spans="1:62">
      <c r="A522" s="122"/>
      <c r="B522" s="122"/>
      <c r="C522" s="122"/>
      <c r="D522" s="122"/>
      <c r="E522" s="122"/>
      <c r="F522" s="122"/>
      <c r="G522" s="122"/>
      <c r="H522" s="122"/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66"/>
      <c r="AQ522" s="122"/>
      <c r="AR522" s="167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</row>
    <row r="523" spans="1:62">
      <c r="A523" s="122"/>
      <c r="B523" s="122"/>
      <c r="C523" s="122"/>
      <c r="D523" s="122"/>
      <c r="E523" s="122"/>
      <c r="F523" s="122"/>
      <c r="G523" s="122"/>
      <c r="H523" s="122"/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66"/>
      <c r="AQ523" s="122"/>
      <c r="AR523" s="167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</row>
    <row r="524" spans="1:62">
      <c r="A524" s="122"/>
      <c r="B524" s="122"/>
      <c r="C524" s="122"/>
      <c r="D524" s="122"/>
      <c r="E524" s="122"/>
      <c r="F524" s="122"/>
      <c r="G524" s="122"/>
      <c r="H524" s="122"/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66"/>
      <c r="AQ524" s="122"/>
      <c r="AR524" s="167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</row>
    <row r="525" spans="1:62">
      <c r="A525" s="122"/>
      <c r="B525" s="122"/>
      <c r="C525" s="122"/>
      <c r="D525" s="122"/>
      <c r="E525" s="122"/>
      <c r="F525" s="122"/>
      <c r="G525" s="122"/>
      <c r="H525" s="122"/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66"/>
      <c r="AQ525" s="122"/>
      <c r="AR525" s="167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</row>
    <row r="526" spans="1:62">
      <c r="A526" s="122"/>
      <c r="B526" s="122"/>
      <c r="C526" s="122"/>
      <c r="D526" s="122"/>
      <c r="E526" s="122"/>
      <c r="F526" s="122"/>
      <c r="G526" s="122"/>
      <c r="H526" s="122"/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66"/>
      <c r="AQ526" s="122"/>
      <c r="AR526" s="167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</row>
    <row r="527" spans="1:62">
      <c r="A527" s="122"/>
      <c r="B527" s="122"/>
      <c r="C527" s="122"/>
      <c r="D527" s="122"/>
      <c r="E527" s="122"/>
      <c r="F527" s="122"/>
      <c r="G527" s="122"/>
      <c r="H527" s="122"/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66"/>
      <c r="AQ527" s="122"/>
      <c r="AR527" s="167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</row>
    <row r="528" spans="1:62">
      <c r="A528" s="122"/>
      <c r="B528" s="122"/>
      <c r="C528" s="122"/>
      <c r="D528" s="122"/>
      <c r="E528" s="122"/>
      <c r="F528" s="122"/>
      <c r="G528" s="122"/>
      <c r="H528" s="122"/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66"/>
      <c r="AQ528" s="122"/>
      <c r="AR528" s="167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</row>
    <row r="529" spans="1:62">
      <c r="A529" s="122"/>
      <c r="B529" s="122"/>
      <c r="C529" s="122"/>
      <c r="D529" s="122"/>
      <c r="E529" s="122"/>
      <c r="F529" s="122"/>
      <c r="G529" s="122"/>
      <c r="H529" s="122"/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66"/>
      <c r="AQ529" s="122"/>
      <c r="AR529" s="167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</row>
    <row r="530" spans="1:62">
      <c r="A530" s="122"/>
      <c r="B530" s="122"/>
      <c r="C530" s="122"/>
      <c r="D530" s="122"/>
      <c r="E530" s="122"/>
      <c r="F530" s="122"/>
      <c r="G530" s="122"/>
      <c r="H530" s="122"/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66"/>
      <c r="AQ530" s="122"/>
      <c r="AR530" s="167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</row>
    <row r="531" spans="1:62">
      <c r="A531" s="122"/>
      <c r="B531" s="122"/>
      <c r="C531" s="122"/>
      <c r="D531" s="122"/>
      <c r="E531" s="122"/>
      <c r="F531" s="122"/>
      <c r="G531" s="122"/>
      <c r="H531" s="122"/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66"/>
      <c r="AQ531" s="122"/>
      <c r="AR531" s="167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</row>
    <row r="532" spans="1:62">
      <c r="A532" s="122"/>
      <c r="B532" s="122"/>
      <c r="C532" s="122"/>
      <c r="D532" s="122"/>
      <c r="E532" s="122"/>
      <c r="F532" s="122"/>
      <c r="G532" s="122"/>
      <c r="H532" s="122"/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66"/>
      <c r="AQ532" s="122"/>
      <c r="AR532" s="167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</row>
    <row r="533" spans="1:62">
      <c r="A533" s="122"/>
      <c r="B533" s="122"/>
      <c r="C533" s="122"/>
      <c r="D533" s="122"/>
      <c r="E533" s="122"/>
      <c r="F533" s="122"/>
      <c r="G533" s="122"/>
      <c r="H533" s="122"/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66"/>
      <c r="AQ533" s="122"/>
      <c r="AR533" s="167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</row>
    <row r="534" spans="1:62">
      <c r="A534" s="122"/>
      <c r="B534" s="122"/>
      <c r="C534" s="122"/>
      <c r="D534" s="122"/>
      <c r="E534" s="122"/>
      <c r="F534" s="122"/>
      <c r="G534" s="122"/>
      <c r="H534" s="122"/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66"/>
      <c r="AQ534" s="122"/>
      <c r="AR534" s="167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</row>
    <row r="535" spans="1:62">
      <c r="A535" s="122"/>
      <c r="B535" s="122"/>
      <c r="C535" s="122"/>
      <c r="D535" s="122"/>
      <c r="E535" s="122"/>
      <c r="F535" s="122"/>
      <c r="G535" s="122"/>
      <c r="H535" s="122"/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66"/>
      <c r="AQ535" s="122"/>
      <c r="AR535" s="167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</row>
    <row r="536" spans="1:62">
      <c r="A536" s="122"/>
      <c r="B536" s="122"/>
      <c r="C536" s="122"/>
      <c r="D536" s="122"/>
      <c r="E536" s="122"/>
      <c r="F536" s="122"/>
      <c r="G536" s="122"/>
      <c r="H536" s="122"/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66"/>
      <c r="AQ536" s="122"/>
      <c r="AR536" s="167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</row>
    <row r="537" spans="1:62">
      <c r="A537" s="122"/>
      <c r="B537" s="122"/>
      <c r="C537" s="122"/>
      <c r="D537" s="122"/>
      <c r="E537" s="122"/>
      <c r="F537" s="122"/>
      <c r="G537" s="122"/>
      <c r="H537" s="122"/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66"/>
      <c r="AQ537" s="122"/>
      <c r="AR537" s="167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</row>
    <row r="538" spans="1:62">
      <c r="A538" s="122"/>
      <c r="B538" s="122"/>
      <c r="C538" s="122"/>
      <c r="D538" s="122"/>
      <c r="E538" s="122"/>
      <c r="F538" s="122"/>
      <c r="G538" s="122"/>
      <c r="H538" s="122"/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66"/>
      <c r="AQ538" s="122"/>
      <c r="AR538" s="167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</row>
    <row r="539" spans="1:62">
      <c r="A539" s="122"/>
      <c r="B539" s="122"/>
      <c r="C539" s="122"/>
      <c r="D539" s="122"/>
      <c r="E539" s="122"/>
      <c r="F539" s="122"/>
      <c r="G539" s="122"/>
      <c r="H539" s="122"/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66"/>
      <c r="AQ539" s="122"/>
      <c r="AR539" s="167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</row>
    <row r="540" spans="1:62">
      <c r="A540" s="122"/>
      <c r="B540" s="122"/>
      <c r="C540" s="122"/>
      <c r="D540" s="122"/>
      <c r="E540" s="122"/>
      <c r="F540" s="122"/>
      <c r="G540" s="122"/>
      <c r="H540" s="122"/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66"/>
      <c r="AQ540" s="122"/>
      <c r="AR540" s="167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</row>
    <row r="541" spans="1:62">
      <c r="A541" s="122"/>
      <c r="B541" s="122"/>
      <c r="C541" s="122"/>
      <c r="D541" s="122"/>
      <c r="E541" s="122"/>
      <c r="F541" s="122"/>
      <c r="G541" s="122"/>
      <c r="H541" s="122"/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66"/>
      <c r="AQ541" s="122"/>
      <c r="AR541" s="167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</row>
    <row r="542" spans="1:62">
      <c r="A542" s="122"/>
      <c r="B542" s="122"/>
      <c r="C542" s="122"/>
      <c r="D542" s="122"/>
      <c r="E542" s="122"/>
      <c r="F542" s="122"/>
      <c r="G542" s="122"/>
      <c r="H542" s="122"/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66"/>
      <c r="AQ542" s="122"/>
      <c r="AR542" s="167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</row>
    <row r="543" spans="1:62">
      <c r="A543" s="122"/>
      <c r="B543" s="122"/>
      <c r="C543" s="122"/>
      <c r="D543" s="122"/>
      <c r="E543" s="122"/>
      <c r="F543" s="122"/>
      <c r="G543" s="122"/>
      <c r="H543" s="122"/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66"/>
      <c r="AQ543" s="122"/>
      <c r="AR543" s="167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</row>
    <row r="544" spans="1:62">
      <c r="A544" s="122"/>
      <c r="B544" s="122"/>
      <c r="C544" s="122"/>
      <c r="D544" s="122"/>
      <c r="E544" s="122"/>
      <c r="F544" s="122"/>
      <c r="G544" s="122"/>
      <c r="H544" s="122"/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66"/>
      <c r="AQ544" s="122"/>
      <c r="AR544" s="167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</row>
    <row r="545" spans="1:62">
      <c r="A545" s="122"/>
      <c r="B545" s="122"/>
      <c r="C545" s="122"/>
      <c r="D545" s="122"/>
      <c r="E545" s="122"/>
      <c r="F545" s="122"/>
      <c r="G545" s="122"/>
      <c r="H545" s="122"/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66"/>
      <c r="AQ545" s="122"/>
      <c r="AR545" s="167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</row>
    <row r="546" spans="1:62">
      <c r="A546" s="122"/>
      <c r="B546" s="122"/>
      <c r="C546" s="122"/>
      <c r="D546" s="122"/>
      <c r="E546" s="122"/>
      <c r="F546" s="122"/>
      <c r="G546" s="122"/>
      <c r="H546" s="122"/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66"/>
      <c r="AQ546" s="122"/>
      <c r="AR546" s="167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</row>
    <row r="547" spans="1:62">
      <c r="A547" s="122"/>
      <c r="B547" s="122"/>
      <c r="C547" s="122"/>
      <c r="D547" s="122"/>
      <c r="E547" s="122"/>
      <c r="F547" s="122"/>
      <c r="G547" s="122"/>
      <c r="H547" s="122"/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66"/>
      <c r="AQ547" s="122"/>
      <c r="AR547" s="167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</row>
    <row r="548" spans="1:62">
      <c r="A548" s="122"/>
      <c r="B548" s="122"/>
      <c r="C548" s="122"/>
      <c r="D548" s="122"/>
      <c r="E548" s="122"/>
      <c r="F548" s="122"/>
      <c r="G548" s="122"/>
      <c r="H548" s="122"/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66"/>
      <c r="AQ548" s="122"/>
      <c r="AR548" s="167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</row>
    <row r="549" spans="1:62">
      <c r="A549" s="122"/>
      <c r="B549" s="122"/>
      <c r="C549" s="122"/>
      <c r="D549" s="122"/>
      <c r="E549" s="122"/>
      <c r="F549" s="122"/>
      <c r="G549" s="122"/>
      <c r="H549" s="122"/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66"/>
      <c r="AQ549" s="122"/>
      <c r="AR549" s="167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</row>
    <row r="550" spans="1:62">
      <c r="A550" s="122"/>
      <c r="B550" s="122"/>
      <c r="C550" s="122"/>
      <c r="D550" s="122"/>
      <c r="E550" s="122"/>
      <c r="F550" s="122"/>
      <c r="G550" s="122"/>
      <c r="H550" s="122"/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66"/>
      <c r="AQ550" s="122"/>
      <c r="AR550" s="167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</row>
    <row r="551" spans="1:62">
      <c r="A551" s="122"/>
      <c r="B551" s="122"/>
      <c r="C551" s="122"/>
      <c r="D551" s="122"/>
      <c r="E551" s="122"/>
      <c r="F551" s="122"/>
      <c r="G551" s="122"/>
      <c r="H551" s="122"/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66"/>
      <c r="AQ551" s="122"/>
      <c r="AR551" s="167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</row>
    <row r="552" spans="1:62">
      <c r="A552" s="122"/>
      <c r="B552" s="122"/>
      <c r="C552" s="122"/>
      <c r="D552" s="122"/>
      <c r="E552" s="122"/>
      <c r="F552" s="122"/>
      <c r="G552" s="122"/>
      <c r="H552" s="122"/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66"/>
      <c r="AQ552" s="122"/>
      <c r="AR552" s="167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</row>
    <row r="553" spans="1:62">
      <c r="A553" s="122"/>
      <c r="B553" s="122"/>
      <c r="C553" s="122"/>
      <c r="D553" s="122"/>
      <c r="E553" s="122"/>
      <c r="F553" s="122"/>
      <c r="G553" s="122"/>
      <c r="H553" s="122"/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2"/>
      <c r="X553" s="122"/>
      <c r="Y553" s="122"/>
      <c r="Z553" s="122"/>
      <c r="AA553" s="122"/>
      <c r="AB553" s="122"/>
      <c r="AC553" s="122"/>
      <c r="AD553" s="122"/>
      <c r="AE553" s="122"/>
      <c r="AF553" s="122"/>
      <c r="AG553" s="122"/>
      <c r="AH553" s="122"/>
      <c r="AI553" s="122"/>
      <c r="AJ553" s="122"/>
      <c r="AK553" s="122"/>
      <c r="AL553" s="122"/>
      <c r="AM553" s="122"/>
      <c r="AN553" s="122"/>
      <c r="AO553" s="122"/>
      <c r="AP553" s="166"/>
      <c r="AQ553" s="122"/>
      <c r="AR553" s="167"/>
      <c r="AS553" s="122"/>
      <c r="AT553" s="122"/>
      <c r="AU553" s="122"/>
      <c r="AV553" s="122"/>
      <c r="AW553" s="122"/>
      <c r="AX553" s="122"/>
      <c r="AY553" s="122"/>
      <c r="AZ553" s="122"/>
      <c r="BA553" s="122"/>
      <c r="BB553" s="122"/>
      <c r="BC553" s="122"/>
      <c r="BD553" s="122"/>
      <c r="BE553" s="122"/>
      <c r="BF553" s="122"/>
      <c r="BG553" s="122"/>
      <c r="BH553" s="122"/>
      <c r="BI553" s="122"/>
      <c r="BJ553" s="122"/>
    </row>
    <row r="554" spans="1:62">
      <c r="A554" s="122"/>
      <c r="B554" s="122"/>
      <c r="C554" s="122"/>
      <c r="D554" s="122"/>
      <c r="E554" s="122"/>
      <c r="F554" s="122"/>
      <c r="G554" s="122"/>
      <c r="H554" s="122"/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2"/>
      <c r="W554" s="122"/>
      <c r="X554" s="122"/>
      <c r="Y554" s="122"/>
      <c r="Z554" s="122"/>
      <c r="AA554" s="122"/>
      <c r="AB554" s="122"/>
      <c r="AC554" s="122"/>
      <c r="AD554" s="122"/>
      <c r="AE554" s="122"/>
      <c r="AF554" s="122"/>
      <c r="AG554" s="122"/>
      <c r="AH554" s="122"/>
      <c r="AI554" s="122"/>
      <c r="AJ554" s="122"/>
      <c r="AK554" s="122"/>
      <c r="AL554" s="122"/>
      <c r="AM554" s="122"/>
      <c r="AN554" s="122"/>
      <c r="AO554" s="122"/>
      <c r="AP554" s="166"/>
      <c r="AQ554" s="122"/>
      <c r="AR554" s="167"/>
      <c r="AS554" s="122"/>
      <c r="AT554" s="122"/>
      <c r="AU554" s="122"/>
      <c r="AV554" s="122"/>
      <c r="AW554" s="122"/>
      <c r="AX554" s="122"/>
      <c r="AY554" s="122"/>
      <c r="AZ554" s="122"/>
      <c r="BA554" s="122"/>
      <c r="BB554" s="122"/>
      <c r="BC554" s="122"/>
      <c r="BD554" s="122"/>
      <c r="BE554" s="122"/>
      <c r="BF554" s="122"/>
      <c r="BG554" s="122"/>
      <c r="BH554" s="122"/>
      <c r="BI554" s="122"/>
      <c r="BJ554" s="122"/>
    </row>
    <row r="555" spans="1:62">
      <c r="A555" s="122"/>
      <c r="B555" s="122"/>
      <c r="C555" s="122"/>
      <c r="D555" s="122"/>
      <c r="E555" s="122"/>
      <c r="F555" s="122"/>
      <c r="G555" s="122"/>
      <c r="H555" s="122"/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2"/>
      <c r="W555" s="122"/>
      <c r="X555" s="122"/>
      <c r="Y555" s="122"/>
      <c r="Z555" s="122"/>
      <c r="AA555" s="122"/>
      <c r="AB555" s="122"/>
      <c r="AC555" s="122"/>
      <c r="AD555" s="122"/>
      <c r="AE555" s="122"/>
      <c r="AF555" s="122"/>
      <c r="AG555" s="122"/>
      <c r="AH555" s="122"/>
      <c r="AI555" s="122"/>
      <c r="AJ555" s="122"/>
      <c r="AK555" s="122"/>
      <c r="AL555" s="122"/>
      <c r="AM555" s="122"/>
      <c r="AN555" s="122"/>
      <c r="AO555" s="122"/>
      <c r="AP555" s="166"/>
      <c r="AQ555" s="122"/>
      <c r="AR555" s="167"/>
      <c r="AS555" s="122"/>
      <c r="AT555" s="122"/>
      <c r="AU555" s="122"/>
      <c r="AV555" s="122"/>
      <c r="AW555" s="122"/>
      <c r="AX555" s="122"/>
      <c r="AY555" s="122"/>
      <c r="AZ555" s="122"/>
      <c r="BA555" s="122"/>
      <c r="BB555" s="122"/>
      <c r="BC555" s="122"/>
      <c r="BD555" s="122"/>
      <c r="BE555" s="122"/>
      <c r="BF555" s="122"/>
      <c r="BG555" s="122"/>
      <c r="BH555" s="122"/>
      <c r="BI555" s="122"/>
      <c r="BJ555" s="122"/>
    </row>
    <row r="556" spans="1:62">
      <c r="A556" s="122"/>
      <c r="B556" s="122"/>
      <c r="C556" s="122"/>
      <c r="D556" s="122"/>
      <c r="E556" s="122"/>
      <c r="F556" s="122"/>
      <c r="G556" s="122"/>
      <c r="H556" s="122"/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2"/>
      <c r="W556" s="122"/>
      <c r="X556" s="122"/>
      <c r="Y556" s="122"/>
      <c r="Z556" s="122"/>
      <c r="AA556" s="122"/>
      <c r="AB556" s="122"/>
      <c r="AC556" s="122"/>
      <c r="AD556" s="122"/>
      <c r="AE556" s="122"/>
      <c r="AF556" s="122"/>
      <c r="AG556" s="122"/>
      <c r="AH556" s="122"/>
      <c r="AI556" s="122"/>
      <c r="AJ556" s="122"/>
      <c r="AK556" s="122"/>
      <c r="AL556" s="122"/>
      <c r="AM556" s="122"/>
      <c r="AN556" s="122"/>
      <c r="AO556" s="122"/>
      <c r="AP556" s="166"/>
      <c r="AQ556" s="122"/>
      <c r="AR556" s="167"/>
      <c r="AS556" s="122"/>
      <c r="AT556" s="122"/>
      <c r="AU556" s="122"/>
      <c r="AV556" s="122"/>
      <c r="AW556" s="122"/>
      <c r="AX556" s="122"/>
      <c r="AY556" s="122"/>
      <c r="AZ556" s="122"/>
      <c r="BA556" s="122"/>
      <c r="BB556" s="122"/>
      <c r="BC556" s="122"/>
      <c r="BD556" s="122"/>
      <c r="BE556" s="122"/>
      <c r="BF556" s="122"/>
      <c r="BG556" s="122"/>
      <c r="BH556" s="122"/>
      <c r="BI556" s="122"/>
      <c r="BJ556" s="122"/>
    </row>
    <row r="557" spans="1:62">
      <c r="A557" s="122"/>
      <c r="B557" s="122"/>
      <c r="C557" s="122"/>
      <c r="D557" s="122"/>
      <c r="E557" s="122"/>
      <c r="F557" s="122"/>
      <c r="G557" s="122"/>
      <c r="H557" s="122"/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2"/>
      <c r="W557" s="122"/>
      <c r="X557" s="122"/>
      <c r="Y557" s="122"/>
      <c r="Z557" s="122"/>
      <c r="AA557" s="122"/>
      <c r="AB557" s="122"/>
      <c r="AC557" s="122"/>
      <c r="AD557" s="122"/>
      <c r="AE557" s="122"/>
      <c r="AF557" s="122"/>
      <c r="AG557" s="122"/>
      <c r="AH557" s="122"/>
      <c r="AI557" s="122"/>
      <c r="AJ557" s="122"/>
      <c r="AK557" s="122"/>
      <c r="AL557" s="122"/>
      <c r="AM557" s="122"/>
      <c r="AN557" s="122"/>
      <c r="AO557" s="122"/>
      <c r="AP557" s="166"/>
      <c r="AQ557" s="122"/>
      <c r="AR557" s="167"/>
      <c r="AS557" s="122"/>
      <c r="AT557" s="122"/>
      <c r="AU557" s="122"/>
      <c r="AV557" s="122"/>
      <c r="AW557" s="122"/>
      <c r="AX557" s="122"/>
      <c r="AY557" s="122"/>
      <c r="AZ557" s="122"/>
      <c r="BA557" s="122"/>
      <c r="BB557" s="122"/>
      <c r="BC557" s="122"/>
      <c r="BD557" s="122"/>
      <c r="BE557" s="122"/>
      <c r="BF557" s="122"/>
      <c r="BG557" s="122"/>
      <c r="BH557" s="122"/>
      <c r="BI557" s="122"/>
      <c r="BJ557" s="122"/>
    </row>
    <row r="558" spans="1:62">
      <c r="A558" s="122"/>
      <c r="B558" s="122"/>
      <c r="C558" s="122"/>
      <c r="D558" s="122"/>
      <c r="E558" s="122"/>
      <c r="F558" s="122"/>
      <c r="G558" s="122"/>
      <c r="H558" s="122"/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2"/>
      <c r="W558" s="122"/>
      <c r="X558" s="122"/>
      <c r="Y558" s="122"/>
      <c r="Z558" s="122"/>
      <c r="AA558" s="122"/>
      <c r="AB558" s="122"/>
      <c r="AC558" s="122"/>
      <c r="AD558" s="122"/>
      <c r="AE558" s="122"/>
      <c r="AF558" s="122"/>
      <c r="AG558" s="122"/>
      <c r="AH558" s="122"/>
      <c r="AI558" s="122"/>
      <c r="AJ558" s="122"/>
      <c r="AK558" s="122"/>
      <c r="AL558" s="122"/>
      <c r="AM558" s="122"/>
      <c r="AN558" s="122"/>
      <c r="AO558" s="122"/>
      <c r="AP558" s="166"/>
      <c r="AQ558" s="122"/>
      <c r="AR558" s="167"/>
      <c r="AS558" s="122"/>
      <c r="AT558" s="122"/>
      <c r="AU558" s="122"/>
      <c r="AV558" s="122"/>
      <c r="AW558" s="122"/>
      <c r="AX558" s="122"/>
      <c r="AY558" s="122"/>
      <c r="AZ558" s="122"/>
      <c r="BA558" s="122"/>
      <c r="BB558" s="122"/>
      <c r="BC558" s="122"/>
      <c r="BD558" s="122"/>
      <c r="BE558" s="122"/>
      <c r="BF558" s="122"/>
      <c r="BG558" s="122"/>
      <c r="BH558" s="122"/>
      <c r="BI558" s="122"/>
      <c r="BJ558" s="122"/>
    </row>
    <row r="559" spans="1:62">
      <c r="A559" s="122"/>
      <c r="B559" s="122"/>
      <c r="C559" s="122"/>
      <c r="D559" s="122"/>
      <c r="E559" s="122"/>
      <c r="F559" s="122"/>
      <c r="G559" s="122"/>
      <c r="H559" s="122"/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2"/>
      <c r="W559" s="122"/>
      <c r="X559" s="122"/>
      <c r="Y559" s="122"/>
      <c r="Z559" s="122"/>
      <c r="AA559" s="122"/>
      <c r="AB559" s="122"/>
      <c r="AC559" s="122"/>
      <c r="AD559" s="122"/>
      <c r="AE559" s="122"/>
      <c r="AF559" s="122"/>
      <c r="AG559" s="122"/>
      <c r="AH559" s="122"/>
      <c r="AI559" s="122"/>
      <c r="AJ559" s="122"/>
      <c r="AK559" s="122"/>
      <c r="AL559" s="122"/>
      <c r="AM559" s="122"/>
      <c r="AN559" s="122"/>
      <c r="AO559" s="122"/>
      <c r="AP559" s="166"/>
      <c r="AQ559" s="122"/>
      <c r="AR559" s="167"/>
      <c r="AS559" s="122"/>
      <c r="AT559" s="122"/>
      <c r="AU559" s="122"/>
      <c r="AV559" s="122"/>
      <c r="AW559" s="122"/>
      <c r="AX559" s="122"/>
      <c r="AY559" s="122"/>
      <c r="AZ559" s="122"/>
      <c r="BA559" s="122"/>
      <c r="BB559" s="122"/>
      <c r="BC559" s="122"/>
      <c r="BD559" s="122"/>
      <c r="BE559" s="122"/>
      <c r="BF559" s="122"/>
      <c r="BG559" s="122"/>
      <c r="BH559" s="122"/>
      <c r="BI559" s="122"/>
      <c r="BJ559" s="122"/>
    </row>
    <row r="560" spans="1:62">
      <c r="A560" s="122"/>
      <c r="B560" s="122"/>
      <c r="C560" s="122"/>
      <c r="D560" s="122"/>
      <c r="E560" s="122"/>
      <c r="F560" s="122"/>
      <c r="G560" s="122"/>
      <c r="H560" s="122"/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2"/>
      <c r="W560" s="122"/>
      <c r="X560" s="122"/>
      <c r="Y560" s="122"/>
      <c r="Z560" s="122"/>
      <c r="AA560" s="122"/>
      <c r="AB560" s="122"/>
      <c r="AC560" s="122"/>
      <c r="AD560" s="122"/>
      <c r="AE560" s="122"/>
      <c r="AF560" s="122"/>
      <c r="AG560" s="122"/>
      <c r="AH560" s="122"/>
      <c r="AI560" s="122"/>
      <c r="AJ560" s="122"/>
      <c r="AK560" s="122"/>
      <c r="AL560" s="122"/>
      <c r="AM560" s="122"/>
      <c r="AN560" s="122"/>
      <c r="AO560" s="122"/>
      <c r="AP560" s="166"/>
      <c r="AQ560" s="122"/>
      <c r="AR560" s="167"/>
      <c r="AS560" s="122"/>
      <c r="AT560" s="122"/>
      <c r="AU560" s="122"/>
      <c r="AV560" s="122"/>
      <c r="AW560" s="122"/>
      <c r="AX560" s="122"/>
      <c r="AY560" s="122"/>
      <c r="AZ560" s="122"/>
      <c r="BA560" s="122"/>
      <c r="BB560" s="122"/>
      <c r="BC560" s="122"/>
      <c r="BD560" s="122"/>
      <c r="BE560" s="122"/>
      <c r="BF560" s="122"/>
      <c r="BG560" s="122"/>
      <c r="BH560" s="122"/>
      <c r="BI560" s="122"/>
      <c r="BJ560" s="122"/>
    </row>
    <row r="561" spans="1:62">
      <c r="A561" s="122"/>
      <c r="B561" s="122"/>
      <c r="C561" s="122"/>
      <c r="D561" s="122"/>
      <c r="E561" s="122"/>
      <c r="F561" s="122"/>
      <c r="G561" s="122"/>
      <c r="H561" s="122"/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2"/>
      <c r="W561" s="122"/>
      <c r="X561" s="122"/>
      <c r="Y561" s="122"/>
      <c r="Z561" s="122"/>
      <c r="AA561" s="122"/>
      <c r="AB561" s="122"/>
      <c r="AC561" s="122"/>
      <c r="AD561" s="122"/>
      <c r="AE561" s="122"/>
      <c r="AF561" s="122"/>
      <c r="AG561" s="122"/>
      <c r="AH561" s="122"/>
      <c r="AI561" s="122"/>
      <c r="AJ561" s="122"/>
      <c r="AK561" s="122"/>
      <c r="AL561" s="122"/>
      <c r="AM561" s="122"/>
      <c r="AN561" s="122"/>
      <c r="AO561" s="122"/>
      <c r="AP561" s="166"/>
      <c r="AQ561" s="122"/>
      <c r="AR561" s="167"/>
      <c r="AS561" s="122"/>
      <c r="AT561" s="122"/>
      <c r="AU561" s="122"/>
      <c r="AV561" s="122"/>
      <c r="AW561" s="122"/>
      <c r="AX561" s="122"/>
      <c r="AY561" s="122"/>
      <c r="AZ561" s="122"/>
      <c r="BA561" s="122"/>
      <c r="BB561" s="122"/>
      <c r="BC561" s="122"/>
      <c r="BD561" s="122"/>
      <c r="BE561" s="122"/>
      <c r="BF561" s="122"/>
      <c r="BG561" s="122"/>
      <c r="BH561" s="122"/>
      <c r="BI561" s="122"/>
      <c r="BJ561" s="122"/>
    </row>
    <row r="562" spans="1:62">
      <c r="A562" s="122"/>
      <c r="B562" s="122"/>
      <c r="C562" s="122"/>
      <c r="D562" s="122"/>
      <c r="E562" s="122"/>
      <c r="F562" s="122"/>
      <c r="G562" s="122"/>
      <c r="H562" s="122"/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2"/>
      <c r="W562" s="122"/>
      <c r="X562" s="122"/>
      <c r="Y562" s="122"/>
      <c r="Z562" s="122"/>
      <c r="AA562" s="122"/>
      <c r="AB562" s="122"/>
      <c r="AC562" s="122"/>
      <c r="AD562" s="122"/>
      <c r="AE562" s="122"/>
      <c r="AF562" s="122"/>
      <c r="AG562" s="122"/>
      <c r="AH562" s="122"/>
      <c r="AI562" s="122"/>
      <c r="AJ562" s="122"/>
      <c r="AK562" s="122"/>
      <c r="AL562" s="122"/>
      <c r="AM562" s="122"/>
      <c r="AN562" s="122"/>
      <c r="AO562" s="122"/>
      <c r="AP562" s="166"/>
      <c r="AQ562" s="122"/>
      <c r="AR562" s="167"/>
      <c r="AS562" s="122"/>
      <c r="AT562" s="122"/>
      <c r="AU562" s="122"/>
      <c r="AV562" s="122"/>
      <c r="AW562" s="122"/>
      <c r="AX562" s="122"/>
      <c r="AY562" s="122"/>
      <c r="AZ562" s="122"/>
      <c r="BA562" s="122"/>
      <c r="BB562" s="122"/>
      <c r="BC562" s="122"/>
      <c r="BD562" s="122"/>
      <c r="BE562" s="122"/>
      <c r="BF562" s="122"/>
      <c r="BG562" s="122"/>
      <c r="BH562" s="122"/>
      <c r="BI562" s="122"/>
      <c r="BJ562" s="122"/>
    </row>
    <row r="563" spans="1:62">
      <c r="A563" s="122"/>
      <c r="B563" s="122"/>
      <c r="C563" s="122"/>
      <c r="D563" s="122"/>
      <c r="E563" s="122"/>
      <c r="F563" s="122"/>
      <c r="G563" s="122"/>
      <c r="H563" s="122"/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2"/>
      <c r="W563" s="122"/>
      <c r="X563" s="122"/>
      <c r="Y563" s="122"/>
      <c r="Z563" s="122"/>
      <c r="AA563" s="122"/>
      <c r="AB563" s="122"/>
      <c r="AC563" s="122"/>
      <c r="AD563" s="122"/>
      <c r="AE563" s="122"/>
      <c r="AF563" s="122"/>
      <c r="AG563" s="122"/>
      <c r="AH563" s="122"/>
      <c r="AI563" s="122"/>
      <c r="AJ563" s="122"/>
      <c r="AK563" s="122"/>
      <c r="AL563" s="122"/>
      <c r="AM563" s="122"/>
      <c r="AN563" s="122"/>
      <c r="AO563" s="122"/>
      <c r="AP563" s="166"/>
      <c r="AQ563" s="122"/>
      <c r="AR563" s="167"/>
      <c r="AS563" s="122"/>
      <c r="AT563" s="122"/>
      <c r="AU563" s="122"/>
      <c r="AV563" s="122"/>
      <c r="AW563" s="122"/>
      <c r="AX563" s="122"/>
      <c r="AY563" s="122"/>
      <c r="AZ563" s="122"/>
      <c r="BA563" s="122"/>
      <c r="BB563" s="122"/>
      <c r="BC563" s="122"/>
      <c r="BD563" s="122"/>
      <c r="BE563" s="122"/>
      <c r="BF563" s="122"/>
      <c r="BG563" s="122"/>
      <c r="BH563" s="122"/>
      <c r="BI563" s="122"/>
      <c r="BJ563" s="122"/>
    </row>
    <row r="564" spans="1:62">
      <c r="A564" s="122"/>
      <c r="B564" s="122"/>
      <c r="C564" s="122"/>
      <c r="D564" s="122"/>
      <c r="E564" s="122"/>
      <c r="F564" s="122"/>
      <c r="G564" s="122"/>
      <c r="H564" s="122"/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2"/>
      <c r="W564" s="122"/>
      <c r="X564" s="122"/>
      <c r="Y564" s="122"/>
      <c r="Z564" s="122"/>
      <c r="AA564" s="122"/>
      <c r="AB564" s="122"/>
      <c r="AC564" s="122"/>
      <c r="AD564" s="122"/>
      <c r="AE564" s="122"/>
      <c r="AF564" s="122"/>
      <c r="AG564" s="122"/>
      <c r="AH564" s="122"/>
      <c r="AI564" s="122"/>
      <c r="AJ564" s="122"/>
      <c r="AK564" s="122"/>
      <c r="AL564" s="122"/>
      <c r="AM564" s="122"/>
      <c r="AN564" s="122"/>
      <c r="AO564" s="122"/>
      <c r="AP564" s="166"/>
      <c r="AQ564" s="122"/>
      <c r="AR564" s="167"/>
      <c r="AS564" s="122"/>
      <c r="AT564" s="122"/>
      <c r="AU564" s="122"/>
      <c r="AV564" s="122"/>
      <c r="AW564" s="122"/>
      <c r="AX564" s="122"/>
      <c r="AY564" s="122"/>
      <c r="AZ564" s="122"/>
      <c r="BA564" s="122"/>
      <c r="BB564" s="122"/>
      <c r="BC564" s="122"/>
      <c r="BD564" s="122"/>
      <c r="BE564" s="122"/>
      <c r="BF564" s="122"/>
      <c r="BG564" s="122"/>
      <c r="BH564" s="122"/>
      <c r="BI564" s="122"/>
      <c r="BJ564" s="122"/>
    </row>
    <row r="565" spans="1:62">
      <c r="A565" s="122"/>
      <c r="B565" s="122"/>
      <c r="C565" s="122"/>
      <c r="D565" s="122"/>
      <c r="E565" s="122"/>
      <c r="F565" s="122"/>
      <c r="G565" s="122"/>
      <c r="H565" s="122"/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2"/>
      <c r="W565" s="122"/>
      <c r="X565" s="122"/>
      <c r="Y565" s="122"/>
      <c r="Z565" s="122"/>
      <c r="AA565" s="122"/>
      <c r="AB565" s="122"/>
      <c r="AC565" s="122"/>
      <c r="AD565" s="122"/>
      <c r="AE565" s="122"/>
      <c r="AF565" s="122"/>
      <c r="AG565" s="122"/>
      <c r="AH565" s="122"/>
      <c r="AI565" s="122"/>
      <c r="AJ565" s="122"/>
      <c r="AK565" s="122"/>
      <c r="AL565" s="122"/>
      <c r="AM565" s="122"/>
      <c r="AN565" s="122"/>
      <c r="AO565" s="122"/>
      <c r="AP565" s="166"/>
      <c r="AQ565" s="122"/>
      <c r="AR565" s="167"/>
      <c r="AS565" s="122"/>
      <c r="AT565" s="122"/>
      <c r="AU565" s="122"/>
      <c r="AV565" s="122"/>
      <c r="AW565" s="122"/>
      <c r="AX565" s="122"/>
      <c r="AY565" s="122"/>
      <c r="AZ565" s="122"/>
      <c r="BA565" s="122"/>
      <c r="BB565" s="122"/>
      <c r="BC565" s="122"/>
      <c r="BD565" s="122"/>
      <c r="BE565" s="122"/>
      <c r="BF565" s="122"/>
      <c r="BG565" s="122"/>
      <c r="BH565" s="122"/>
      <c r="BI565" s="122"/>
      <c r="BJ565" s="122"/>
    </row>
    <row r="566" spans="1:62">
      <c r="A566" s="122"/>
      <c r="B566" s="122"/>
      <c r="C566" s="122"/>
      <c r="D566" s="122"/>
      <c r="E566" s="122"/>
      <c r="F566" s="122"/>
      <c r="G566" s="122"/>
      <c r="H566" s="122"/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2"/>
      <c r="W566" s="122"/>
      <c r="X566" s="122"/>
      <c r="Y566" s="122"/>
      <c r="Z566" s="122"/>
      <c r="AA566" s="122"/>
      <c r="AB566" s="122"/>
      <c r="AC566" s="122"/>
      <c r="AD566" s="122"/>
      <c r="AE566" s="122"/>
      <c r="AF566" s="122"/>
      <c r="AG566" s="122"/>
      <c r="AH566" s="122"/>
      <c r="AI566" s="122"/>
      <c r="AJ566" s="122"/>
      <c r="AK566" s="122"/>
      <c r="AL566" s="122"/>
      <c r="AM566" s="122"/>
      <c r="AN566" s="122"/>
      <c r="AO566" s="122"/>
      <c r="AP566" s="166"/>
      <c r="AQ566" s="122"/>
      <c r="AR566" s="167"/>
      <c r="AS566" s="122"/>
      <c r="AT566" s="122"/>
      <c r="AU566" s="122"/>
      <c r="AV566" s="122"/>
      <c r="AW566" s="122"/>
      <c r="AX566" s="122"/>
      <c r="AY566" s="122"/>
      <c r="AZ566" s="122"/>
      <c r="BA566" s="122"/>
      <c r="BB566" s="122"/>
      <c r="BC566" s="122"/>
      <c r="BD566" s="122"/>
      <c r="BE566" s="122"/>
      <c r="BF566" s="122"/>
      <c r="BG566" s="122"/>
      <c r="BH566" s="122"/>
      <c r="BI566" s="122"/>
      <c r="BJ566" s="122"/>
    </row>
    <row r="567" spans="1:62">
      <c r="A567" s="122"/>
      <c r="B567" s="122"/>
      <c r="C567" s="122"/>
      <c r="D567" s="122"/>
      <c r="E567" s="122"/>
      <c r="F567" s="122"/>
      <c r="G567" s="122"/>
      <c r="H567" s="122"/>
      <c r="I567" s="122"/>
      <c r="J567" s="122"/>
      <c r="K567" s="122"/>
      <c r="L567" s="122"/>
      <c r="M567" s="122"/>
      <c r="N567" s="122"/>
      <c r="O567" s="122"/>
      <c r="P567" s="122"/>
      <c r="Q567" s="122"/>
      <c r="R567" s="122"/>
      <c r="S567" s="122"/>
      <c r="T567" s="122"/>
      <c r="U567" s="122"/>
      <c r="V567" s="122"/>
      <c r="W567" s="122"/>
      <c r="X567" s="122"/>
      <c r="Y567" s="122"/>
      <c r="Z567" s="122"/>
      <c r="AA567" s="122"/>
      <c r="AB567" s="122"/>
      <c r="AC567" s="122"/>
      <c r="AD567" s="122"/>
      <c r="AE567" s="122"/>
      <c r="AF567" s="122"/>
      <c r="AG567" s="122"/>
      <c r="AH567" s="122"/>
      <c r="AI567" s="122"/>
      <c r="AJ567" s="122"/>
      <c r="AK567" s="122"/>
      <c r="AL567" s="122"/>
      <c r="AM567" s="122"/>
      <c r="AN567" s="122"/>
      <c r="AO567" s="122"/>
      <c r="AP567" s="166"/>
      <c r="AQ567" s="122"/>
      <c r="AR567" s="167"/>
      <c r="AS567" s="122"/>
      <c r="AT567" s="122"/>
      <c r="AU567" s="122"/>
      <c r="AV567" s="122"/>
      <c r="AW567" s="122"/>
      <c r="AX567" s="122"/>
      <c r="AY567" s="122"/>
      <c r="AZ567" s="122"/>
      <c r="BA567" s="122"/>
      <c r="BB567" s="122"/>
      <c r="BC567" s="122"/>
      <c r="BD567" s="122"/>
      <c r="BE567" s="122"/>
      <c r="BF567" s="122"/>
      <c r="BG567" s="122"/>
      <c r="BH567" s="122"/>
      <c r="BI567" s="122"/>
      <c r="BJ567" s="122"/>
    </row>
    <row r="568" spans="1:62">
      <c r="A568" s="122"/>
      <c r="B568" s="122"/>
      <c r="C568" s="122"/>
      <c r="D568" s="122"/>
      <c r="E568" s="122"/>
      <c r="F568" s="122"/>
      <c r="G568" s="122"/>
      <c r="H568" s="122"/>
      <c r="I568" s="122"/>
      <c r="J568" s="122"/>
      <c r="K568" s="122"/>
      <c r="L568" s="122"/>
      <c r="M568" s="122"/>
      <c r="N568" s="122"/>
      <c r="O568" s="122"/>
      <c r="P568" s="122"/>
      <c r="Q568" s="122"/>
      <c r="R568" s="122"/>
      <c r="S568" s="122"/>
      <c r="T568" s="122"/>
      <c r="U568" s="122"/>
      <c r="V568" s="122"/>
      <c r="W568" s="122"/>
      <c r="X568" s="122"/>
      <c r="Y568" s="122"/>
      <c r="Z568" s="122"/>
      <c r="AA568" s="122"/>
      <c r="AB568" s="122"/>
      <c r="AC568" s="122"/>
      <c r="AD568" s="122"/>
      <c r="AE568" s="122"/>
      <c r="AF568" s="122"/>
      <c r="AG568" s="122"/>
      <c r="AH568" s="122"/>
      <c r="AI568" s="122"/>
      <c r="AJ568" s="122"/>
      <c r="AK568" s="122"/>
      <c r="AL568" s="122"/>
      <c r="AM568" s="122"/>
      <c r="AN568" s="122"/>
      <c r="AO568" s="122"/>
      <c r="AP568" s="166"/>
      <c r="AQ568" s="122"/>
      <c r="AR568" s="167"/>
      <c r="AS568" s="122"/>
      <c r="AT568" s="122"/>
      <c r="AU568" s="122"/>
      <c r="AV568" s="122"/>
      <c r="AW568" s="122"/>
      <c r="AX568" s="122"/>
      <c r="AY568" s="122"/>
      <c r="AZ568" s="122"/>
      <c r="BA568" s="122"/>
      <c r="BB568" s="122"/>
      <c r="BC568" s="122"/>
      <c r="BD568" s="122"/>
      <c r="BE568" s="122"/>
      <c r="BF568" s="122"/>
      <c r="BG568" s="122"/>
      <c r="BH568" s="122"/>
      <c r="BI568" s="122"/>
      <c r="BJ568" s="122"/>
    </row>
    <row r="569" spans="1:62">
      <c r="A569" s="122"/>
      <c r="B569" s="122"/>
      <c r="C569" s="122"/>
      <c r="D569" s="122"/>
      <c r="E569" s="122"/>
      <c r="F569" s="122"/>
      <c r="G569" s="122"/>
      <c r="H569" s="122"/>
      <c r="I569" s="122"/>
      <c r="J569" s="122"/>
      <c r="K569" s="122"/>
      <c r="L569" s="122"/>
      <c r="M569" s="122"/>
      <c r="N569" s="122"/>
      <c r="O569" s="122"/>
      <c r="P569" s="122"/>
      <c r="Q569" s="122"/>
      <c r="R569" s="122"/>
      <c r="S569" s="122"/>
      <c r="T569" s="122"/>
      <c r="U569" s="122"/>
      <c r="V569" s="122"/>
      <c r="W569" s="122"/>
      <c r="X569" s="122"/>
      <c r="Y569" s="122"/>
      <c r="Z569" s="122"/>
      <c r="AA569" s="122"/>
      <c r="AB569" s="122"/>
      <c r="AC569" s="122"/>
      <c r="AD569" s="122"/>
      <c r="AE569" s="122"/>
      <c r="AF569" s="122"/>
      <c r="AG569" s="122"/>
      <c r="AH569" s="122"/>
      <c r="AI569" s="122"/>
      <c r="AJ569" s="122"/>
      <c r="AK569" s="122"/>
      <c r="AL569" s="122"/>
      <c r="AM569" s="122"/>
      <c r="AN569" s="122"/>
      <c r="AO569" s="122"/>
      <c r="AP569" s="166"/>
      <c r="AQ569" s="122"/>
      <c r="AR569" s="167"/>
      <c r="AS569" s="122"/>
      <c r="AT569" s="122"/>
      <c r="AU569" s="122"/>
      <c r="AV569" s="122"/>
      <c r="AW569" s="122"/>
      <c r="AX569" s="122"/>
      <c r="AY569" s="122"/>
      <c r="AZ569" s="122"/>
      <c r="BA569" s="122"/>
      <c r="BB569" s="122"/>
      <c r="BC569" s="122"/>
      <c r="BD569" s="122"/>
      <c r="BE569" s="122"/>
      <c r="BF569" s="122"/>
      <c r="BG569" s="122"/>
      <c r="BH569" s="122"/>
      <c r="BI569" s="122"/>
      <c r="BJ569" s="122"/>
    </row>
    <row r="570" spans="1:62">
      <c r="A570" s="122"/>
      <c r="B570" s="122"/>
      <c r="C570" s="122"/>
      <c r="D570" s="122"/>
      <c r="E570" s="122"/>
      <c r="F570" s="122"/>
      <c r="G570" s="122"/>
      <c r="H570" s="122"/>
      <c r="I570" s="122"/>
      <c r="J570" s="122"/>
      <c r="K570" s="122"/>
      <c r="L570" s="122"/>
      <c r="M570" s="122"/>
      <c r="N570" s="122"/>
      <c r="O570" s="122"/>
      <c r="P570" s="122"/>
      <c r="Q570" s="122"/>
      <c r="R570" s="122"/>
      <c r="S570" s="122"/>
      <c r="T570" s="122"/>
      <c r="U570" s="122"/>
      <c r="V570" s="122"/>
      <c r="W570" s="122"/>
      <c r="X570" s="122"/>
      <c r="Y570" s="122"/>
      <c r="Z570" s="122"/>
      <c r="AA570" s="122"/>
      <c r="AB570" s="122"/>
      <c r="AC570" s="122"/>
      <c r="AD570" s="122"/>
      <c r="AE570" s="122"/>
      <c r="AF570" s="122"/>
      <c r="AG570" s="122"/>
      <c r="AH570" s="122"/>
      <c r="AI570" s="122"/>
      <c r="AJ570" s="122"/>
      <c r="AK570" s="122"/>
      <c r="AL570" s="122"/>
      <c r="AM570" s="122"/>
      <c r="AN570" s="122"/>
      <c r="AO570" s="122"/>
      <c r="AP570" s="166"/>
      <c r="AQ570" s="122"/>
      <c r="AR570" s="167"/>
      <c r="AS570" s="122"/>
      <c r="AT570" s="122"/>
      <c r="AU570" s="122"/>
      <c r="AV570" s="122"/>
      <c r="AW570" s="122"/>
      <c r="AX570" s="122"/>
      <c r="AY570" s="122"/>
      <c r="AZ570" s="122"/>
      <c r="BA570" s="122"/>
      <c r="BB570" s="122"/>
      <c r="BC570" s="122"/>
      <c r="BD570" s="122"/>
      <c r="BE570" s="122"/>
      <c r="BF570" s="122"/>
      <c r="BG570" s="122"/>
      <c r="BH570" s="122"/>
      <c r="BI570" s="122"/>
      <c r="BJ570" s="122"/>
    </row>
    <row r="571" spans="1:62">
      <c r="A571" s="122"/>
      <c r="B571" s="122"/>
      <c r="C571" s="122"/>
      <c r="D571" s="122"/>
      <c r="E571" s="122"/>
      <c r="F571" s="122"/>
      <c r="G571" s="122"/>
      <c r="H571" s="122"/>
      <c r="I571" s="122"/>
      <c r="J571" s="122"/>
      <c r="K571" s="122"/>
      <c r="L571" s="122"/>
      <c r="M571" s="122"/>
      <c r="N571" s="122"/>
      <c r="O571" s="122"/>
      <c r="P571" s="122"/>
      <c r="Q571" s="122"/>
      <c r="R571" s="122"/>
      <c r="S571" s="122"/>
      <c r="T571" s="122"/>
      <c r="U571" s="122"/>
      <c r="V571" s="122"/>
      <c r="W571" s="122"/>
      <c r="X571" s="122"/>
      <c r="Y571" s="122"/>
      <c r="Z571" s="122"/>
      <c r="AA571" s="122"/>
      <c r="AB571" s="122"/>
      <c r="AC571" s="122"/>
      <c r="AD571" s="122"/>
      <c r="AE571" s="122"/>
      <c r="AF571" s="122"/>
      <c r="AG571" s="122"/>
      <c r="AH571" s="122"/>
      <c r="AI571" s="122"/>
      <c r="AJ571" s="122"/>
      <c r="AK571" s="122"/>
      <c r="AL571" s="122"/>
      <c r="AM571" s="122"/>
      <c r="AN571" s="122"/>
      <c r="AO571" s="122"/>
      <c r="AP571" s="166"/>
      <c r="AQ571" s="122"/>
      <c r="AR571" s="167"/>
      <c r="AS571" s="122"/>
      <c r="AT571" s="122"/>
      <c r="AU571" s="122"/>
      <c r="AV571" s="122"/>
      <c r="AW571" s="122"/>
      <c r="AX571" s="122"/>
      <c r="AY571" s="122"/>
      <c r="AZ571" s="122"/>
      <c r="BA571" s="122"/>
      <c r="BB571" s="122"/>
      <c r="BC571" s="122"/>
      <c r="BD571" s="122"/>
      <c r="BE571" s="122"/>
      <c r="BF571" s="122"/>
      <c r="BG571" s="122"/>
      <c r="BH571" s="122"/>
      <c r="BI571" s="122"/>
      <c r="BJ571" s="122"/>
    </row>
    <row r="572" spans="1:62">
      <c r="A572" s="122"/>
      <c r="B572" s="122"/>
      <c r="C572" s="122"/>
      <c r="D572" s="122"/>
      <c r="E572" s="122"/>
      <c r="F572" s="122"/>
      <c r="G572" s="122"/>
      <c r="H572" s="122"/>
      <c r="I572" s="122"/>
      <c r="J572" s="122"/>
      <c r="K572" s="122"/>
      <c r="L572" s="122"/>
      <c r="M572" s="122"/>
      <c r="N572" s="122"/>
      <c r="O572" s="122"/>
      <c r="P572" s="122"/>
      <c r="Q572" s="122"/>
      <c r="R572" s="122"/>
      <c r="S572" s="122"/>
      <c r="T572" s="122"/>
      <c r="U572" s="122"/>
      <c r="V572" s="122"/>
      <c r="W572" s="122"/>
      <c r="X572" s="122"/>
      <c r="Y572" s="122"/>
      <c r="Z572" s="122"/>
      <c r="AA572" s="122"/>
      <c r="AB572" s="122"/>
      <c r="AC572" s="122"/>
      <c r="AD572" s="122"/>
      <c r="AE572" s="122"/>
      <c r="AF572" s="122"/>
      <c r="AG572" s="122"/>
      <c r="AH572" s="122"/>
      <c r="AI572" s="122"/>
      <c r="AJ572" s="122"/>
      <c r="AK572" s="122"/>
      <c r="AL572" s="122"/>
      <c r="AM572" s="122"/>
      <c r="AN572" s="122"/>
      <c r="AO572" s="122"/>
      <c r="AP572" s="166"/>
      <c r="AQ572" s="122"/>
      <c r="AR572" s="167"/>
      <c r="AS572" s="122"/>
      <c r="AT572" s="122"/>
      <c r="AU572" s="122"/>
      <c r="AV572" s="122"/>
      <c r="AW572" s="122"/>
      <c r="AX572" s="122"/>
      <c r="AY572" s="122"/>
      <c r="AZ572" s="122"/>
      <c r="BA572" s="122"/>
      <c r="BB572" s="122"/>
      <c r="BC572" s="122"/>
      <c r="BD572" s="122"/>
      <c r="BE572" s="122"/>
      <c r="BF572" s="122"/>
      <c r="BG572" s="122"/>
      <c r="BH572" s="122"/>
      <c r="BI572" s="122"/>
      <c r="BJ572" s="122"/>
    </row>
    <row r="573" spans="1:62">
      <c r="A573" s="122"/>
      <c r="B573" s="122"/>
      <c r="C573" s="122"/>
      <c r="D573" s="122"/>
      <c r="E573" s="122"/>
      <c r="F573" s="122"/>
      <c r="G573" s="122"/>
      <c r="H573" s="122"/>
      <c r="I573" s="122"/>
      <c r="J573" s="122"/>
      <c r="K573" s="122"/>
      <c r="L573" s="122"/>
      <c r="M573" s="122"/>
      <c r="N573" s="122"/>
      <c r="O573" s="122"/>
      <c r="P573" s="122"/>
      <c r="Q573" s="122"/>
      <c r="R573" s="122"/>
      <c r="S573" s="122"/>
      <c r="T573" s="122"/>
      <c r="U573" s="122"/>
      <c r="V573" s="122"/>
      <c r="W573" s="122"/>
      <c r="X573" s="122"/>
      <c r="Y573" s="122"/>
      <c r="Z573" s="122"/>
      <c r="AA573" s="122"/>
      <c r="AB573" s="122"/>
      <c r="AC573" s="122"/>
      <c r="AD573" s="122"/>
      <c r="AE573" s="122"/>
      <c r="AF573" s="122"/>
      <c r="AG573" s="122"/>
      <c r="AH573" s="122"/>
      <c r="AI573" s="122"/>
      <c r="AJ573" s="122"/>
      <c r="AK573" s="122"/>
      <c r="AL573" s="122"/>
      <c r="AM573" s="122"/>
      <c r="AN573" s="122"/>
      <c r="AO573" s="122"/>
      <c r="AP573" s="166"/>
      <c r="AQ573" s="122"/>
      <c r="AR573" s="167"/>
      <c r="AS573" s="122"/>
      <c r="AT573" s="122"/>
      <c r="AU573" s="122"/>
      <c r="AV573" s="122"/>
      <c r="AW573" s="122"/>
      <c r="AX573" s="122"/>
      <c r="AY573" s="122"/>
      <c r="AZ573" s="122"/>
      <c r="BA573" s="122"/>
      <c r="BB573" s="122"/>
      <c r="BC573" s="122"/>
      <c r="BD573" s="122"/>
      <c r="BE573" s="122"/>
      <c r="BF573" s="122"/>
      <c r="BG573" s="122"/>
      <c r="BH573" s="122"/>
      <c r="BI573" s="122"/>
      <c r="BJ573" s="122"/>
    </row>
    <row r="574" spans="1:62">
      <c r="A574" s="122"/>
      <c r="B574" s="122"/>
      <c r="C574" s="122"/>
      <c r="D574" s="122"/>
      <c r="E574" s="122"/>
      <c r="F574" s="122"/>
      <c r="G574" s="122"/>
      <c r="H574" s="122"/>
      <c r="I574" s="122"/>
      <c r="J574" s="122"/>
      <c r="K574" s="122"/>
      <c r="L574" s="122"/>
      <c r="M574" s="122"/>
      <c r="N574" s="122"/>
      <c r="O574" s="122"/>
      <c r="P574" s="122"/>
      <c r="Q574" s="122"/>
      <c r="R574" s="122"/>
      <c r="S574" s="122"/>
      <c r="T574" s="122"/>
      <c r="U574" s="122"/>
      <c r="V574" s="122"/>
      <c r="W574" s="122"/>
      <c r="X574" s="122"/>
      <c r="Y574" s="122"/>
      <c r="Z574" s="122"/>
      <c r="AA574" s="122"/>
      <c r="AB574" s="122"/>
      <c r="AC574" s="122"/>
      <c r="AD574" s="122"/>
      <c r="AE574" s="122"/>
      <c r="AF574" s="122"/>
      <c r="AG574" s="122"/>
      <c r="AH574" s="122"/>
      <c r="AI574" s="122"/>
      <c r="AJ574" s="122"/>
      <c r="AK574" s="122"/>
      <c r="AL574" s="122"/>
      <c r="AM574" s="122"/>
      <c r="AN574" s="122"/>
      <c r="AO574" s="122"/>
      <c r="AP574" s="166"/>
      <c r="AQ574" s="122"/>
      <c r="AR574" s="167"/>
      <c r="AS574" s="122"/>
      <c r="AT574" s="122"/>
      <c r="AU574" s="122"/>
      <c r="AV574" s="122"/>
      <c r="AW574" s="122"/>
      <c r="AX574" s="122"/>
      <c r="AY574" s="122"/>
      <c r="AZ574" s="122"/>
      <c r="BA574" s="122"/>
      <c r="BB574" s="122"/>
      <c r="BC574" s="122"/>
      <c r="BD574" s="122"/>
      <c r="BE574" s="122"/>
      <c r="BF574" s="122"/>
      <c r="BG574" s="122"/>
      <c r="BH574" s="122"/>
      <c r="BI574" s="122"/>
      <c r="BJ574" s="122"/>
    </row>
    <row r="575" spans="1:62">
      <c r="A575" s="122"/>
      <c r="B575" s="122"/>
      <c r="C575" s="122"/>
      <c r="D575" s="122"/>
      <c r="E575" s="122"/>
      <c r="F575" s="122"/>
      <c r="G575" s="122"/>
      <c r="H575" s="122"/>
      <c r="I575" s="122"/>
      <c r="J575" s="122"/>
      <c r="K575" s="122"/>
      <c r="L575" s="122"/>
      <c r="M575" s="122"/>
      <c r="N575" s="122"/>
      <c r="O575" s="122"/>
      <c r="P575" s="122"/>
      <c r="Q575" s="122"/>
      <c r="R575" s="122"/>
      <c r="S575" s="122"/>
      <c r="T575" s="122"/>
      <c r="U575" s="122"/>
      <c r="V575" s="122"/>
      <c r="W575" s="122"/>
      <c r="X575" s="122"/>
      <c r="Y575" s="122"/>
      <c r="Z575" s="122"/>
      <c r="AA575" s="122"/>
      <c r="AB575" s="122"/>
      <c r="AC575" s="122"/>
      <c r="AD575" s="122"/>
      <c r="AE575" s="122"/>
      <c r="AF575" s="122"/>
      <c r="AG575" s="122"/>
      <c r="AH575" s="122"/>
      <c r="AI575" s="122"/>
      <c r="AJ575" s="122"/>
      <c r="AK575" s="122"/>
      <c r="AL575" s="122"/>
      <c r="AM575" s="122"/>
      <c r="AN575" s="122"/>
      <c r="AO575" s="122"/>
      <c r="AP575" s="166"/>
      <c r="AQ575" s="122"/>
      <c r="AR575" s="167"/>
      <c r="AS575" s="122"/>
      <c r="AT575" s="122"/>
      <c r="AU575" s="122"/>
      <c r="AV575" s="122"/>
      <c r="AW575" s="122"/>
      <c r="AX575" s="122"/>
      <c r="AY575" s="122"/>
      <c r="AZ575" s="122"/>
      <c r="BA575" s="122"/>
      <c r="BB575" s="122"/>
      <c r="BC575" s="122"/>
      <c r="BD575" s="122"/>
      <c r="BE575" s="122"/>
      <c r="BF575" s="122"/>
      <c r="BG575" s="122"/>
      <c r="BH575" s="122"/>
      <c r="BI575" s="122"/>
      <c r="BJ575" s="122"/>
    </row>
    <row r="576" spans="1:62">
      <c r="A576" s="122"/>
      <c r="B576" s="122"/>
      <c r="C576" s="122"/>
      <c r="D576" s="122"/>
      <c r="E576" s="122"/>
      <c r="F576" s="122"/>
      <c r="G576" s="122"/>
      <c r="H576" s="122"/>
      <c r="I576" s="122"/>
      <c r="J576" s="122"/>
      <c r="K576" s="122"/>
      <c r="L576" s="122"/>
      <c r="M576" s="122"/>
      <c r="N576" s="122"/>
      <c r="O576" s="122"/>
      <c r="P576" s="122"/>
      <c r="Q576" s="122"/>
      <c r="R576" s="122"/>
      <c r="S576" s="122"/>
      <c r="T576" s="122"/>
      <c r="U576" s="122"/>
      <c r="V576" s="122"/>
      <c r="W576" s="122"/>
      <c r="X576" s="122"/>
      <c r="Y576" s="122"/>
      <c r="Z576" s="122"/>
      <c r="AA576" s="122"/>
      <c r="AB576" s="122"/>
      <c r="AC576" s="122"/>
      <c r="AD576" s="122"/>
      <c r="AE576" s="122"/>
      <c r="AF576" s="122"/>
      <c r="AG576" s="122"/>
      <c r="AH576" s="122"/>
      <c r="AI576" s="122"/>
      <c r="AJ576" s="122"/>
      <c r="AK576" s="122"/>
      <c r="AL576" s="122"/>
      <c r="AM576" s="122"/>
      <c r="AN576" s="122"/>
      <c r="AO576" s="122"/>
      <c r="AP576" s="166"/>
      <c r="AQ576" s="122"/>
      <c r="AR576" s="167"/>
      <c r="AS576" s="122"/>
      <c r="AT576" s="122"/>
      <c r="AU576" s="122"/>
      <c r="AV576" s="122"/>
      <c r="AW576" s="122"/>
      <c r="AX576" s="122"/>
      <c r="AY576" s="122"/>
      <c r="AZ576" s="122"/>
      <c r="BA576" s="122"/>
      <c r="BB576" s="122"/>
      <c r="BC576" s="122"/>
      <c r="BD576" s="122"/>
      <c r="BE576" s="122"/>
      <c r="BF576" s="122"/>
      <c r="BG576" s="122"/>
      <c r="BH576" s="122"/>
      <c r="BI576" s="122"/>
      <c r="BJ576" s="122"/>
    </row>
    <row r="577" spans="1:62">
      <c r="A577" s="122"/>
      <c r="B577" s="122"/>
      <c r="C577" s="122"/>
      <c r="D577" s="122"/>
      <c r="E577" s="122"/>
      <c r="F577" s="122"/>
      <c r="G577" s="122"/>
      <c r="H577" s="122"/>
      <c r="I577" s="122"/>
      <c r="J577" s="122"/>
      <c r="K577" s="122"/>
      <c r="L577" s="122"/>
      <c r="M577" s="122"/>
      <c r="N577" s="122"/>
      <c r="O577" s="122"/>
      <c r="P577" s="122"/>
      <c r="Q577" s="122"/>
      <c r="R577" s="122"/>
      <c r="S577" s="122"/>
      <c r="T577" s="122"/>
      <c r="U577" s="122"/>
      <c r="V577" s="122"/>
      <c r="W577" s="122"/>
      <c r="X577" s="122"/>
      <c r="Y577" s="122"/>
      <c r="Z577" s="122"/>
      <c r="AA577" s="122"/>
      <c r="AB577" s="122"/>
      <c r="AC577" s="122"/>
      <c r="AD577" s="122"/>
      <c r="AE577" s="122"/>
      <c r="AF577" s="122"/>
      <c r="AG577" s="122"/>
      <c r="AH577" s="122"/>
      <c r="AI577" s="122"/>
      <c r="AJ577" s="122"/>
      <c r="AK577" s="122"/>
      <c r="AL577" s="122"/>
      <c r="AM577" s="122"/>
      <c r="AN577" s="122"/>
      <c r="AO577" s="122"/>
      <c r="AP577" s="166"/>
      <c r="AQ577" s="122"/>
      <c r="AR577" s="167"/>
      <c r="AS577" s="122"/>
      <c r="AT577" s="122"/>
      <c r="AU577" s="122"/>
      <c r="AV577" s="122"/>
      <c r="AW577" s="122"/>
      <c r="AX577" s="122"/>
      <c r="AY577" s="122"/>
      <c r="AZ577" s="122"/>
      <c r="BA577" s="122"/>
      <c r="BB577" s="122"/>
      <c r="BC577" s="122"/>
      <c r="BD577" s="122"/>
      <c r="BE577" s="122"/>
      <c r="BF577" s="122"/>
      <c r="BG577" s="122"/>
      <c r="BH577" s="122"/>
      <c r="BI577" s="122"/>
      <c r="BJ577" s="122"/>
    </row>
    <row r="578" spans="1:62">
      <c r="A578" s="122"/>
      <c r="B578" s="122"/>
      <c r="C578" s="122"/>
      <c r="D578" s="122"/>
      <c r="E578" s="122"/>
      <c r="F578" s="122"/>
      <c r="G578" s="122"/>
      <c r="H578" s="122"/>
      <c r="I578" s="122"/>
      <c r="J578" s="122"/>
      <c r="K578" s="122"/>
      <c r="L578" s="122"/>
      <c r="M578" s="122"/>
      <c r="N578" s="122"/>
      <c r="O578" s="122"/>
      <c r="P578" s="122"/>
      <c r="Q578" s="122"/>
      <c r="R578" s="122"/>
      <c r="S578" s="122"/>
      <c r="T578" s="122"/>
      <c r="U578" s="122"/>
      <c r="V578" s="122"/>
      <c r="W578" s="122"/>
      <c r="X578" s="122"/>
      <c r="Y578" s="122"/>
      <c r="Z578" s="122"/>
      <c r="AA578" s="122"/>
      <c r="AB578" s="122"/>
      <c r="AC578" s="122"/>
      <c r="AD578" s="122"/>
      <c r="AE578" s="122"/>
      <c r="AF578" s="122"/>
      <c r="AG578" s="122"/>
      <c r="AH578" s="122"/>
      <c r="AI578" s="122"/>
      <c r="AJ578" s="122"/>
      <c r="AK578" s="122"/>
      <c r="AL578" s="122"/>
      <c r="AM578" s="122"/>
      <c r="AN578" s="122"/>
      <c r="AO578" s="122"/>
      <c r="AP578" s="166"/>
      <c r="AQ578" s="122"/>
      <c r="AR578" s="167"/>
      <c r="AS578" s="122"/>
      <c r="AT578" s="122"/>
      <c r="AU578" s="122"/>
      <c r="AV578" s="122"/>
      <c r="AW578" s="122"/>
      <c r="AX578" s="122"/>
      <c r="AY578" s="122"/>
      <c r="AZ578" s="122"/>
      <c r="BA578" s="122"/>
      <c r="BB578" s="122"/>
      <c r="BC578" s="122"/>
      <c r="BD578" s="122"/>
      <c r="BE578" s="122"/>
      <c r="BF578" s="122"/>
      <c r="BG578" s="122"/>
      <c r="BH578" s="122"/>
      <c r="BI578" s="122"/>
      <c r="BJ578" s="122"/>
    </row>
    <row r="579" spans="1:62">
      <c r="A579" s="122"/>
      <c r="B579" s="122"/>
      <c r="C579" s="122"/>
      <c r="D579" s="122"/>
      <c r="E579" s="122"/>
      <c r="F579" s="122"/>
      <c r="G579" s="122"/>
      <c r="H579" s="122"/>
      <c r="I579" s="122"/>
      <c r="J579" s="122"/>
      <c r="K579" s="122"/>
      <c r="L579" s="122"/>
      <c r="M579" s="122"/>
      <c r="N579" s="122"/>
      <c r="O579" s="122"/>
      <c r="P579" s="122"/>
      <c r="Q579" s="122"/>
      <c r="R579" s="122"/>
      <c r="S579" s="122"/>
      <c r="T579" s="122"/>
      <c r="U579" s="122"/>
      <c r="V579" s="122"/>
      <c r="W579" s="122"/>
      <c r="X579" s="122"/>
      <c r="Y579" s="122"/>
      <c r="Z579" s="122"/>
      <c r="AA579" s="122"/>
      <c r="AB579" s="122"/>
      <c r="AC579" s="122"/>
      <c r="AD579" s="122"/>
      <c r="AE579" s="122"/>
      <c r="AF579" s="122"/>
      <c r="AG579" s="122"/>
      <c r="AH579" s="122"/>
      <c r="AI579" s="122"/>
      <c r="AJ579" s="122"/>
      <c r="AK579" s="122"/>
      <c r="AL579" s="122"/>
      <c r="AM579" s="122"/>
      <c r="AN579" s="122"/>
      <c r="AO579" s="122"/>
      <c r="AP579" s="166"/>
      <c r="AQ579" s="122"/>
      <c r="AR579" s="167"/>
      <c r="AS579" s="122"/>
      <c r="AT579" s="122"/>
      <c r="AU579" s="122"/>
      <c r="AV579" s="122"/>
      <c r="AW579" s="122"/>
      <c r="AX579" s="122"/>
      <c r="AY579" s="122"/>
      <c r="AZ579" s="122"/>
      <c r="BA579" s="122"/>
      <c r="BB579" s="122"/>
      <c r="BC579" s="122"/>
      <c r="BD579" s="122"/>
      <c r="BE579" s="122"/>
      <c r="BF579" s="122"/>
      <c r="BG579" s="122"/>
      <c r="BH579" s="122"/>
      <c r="BI579" s="122"/>
      <c r="BJ579" s="122"/>
    </row>
    <row r="580" spans="1:62">
      <c r="A580" s="122"/>
      <c r="B580" s="122"/>
      <c r="C580" s="122"/>
      <c r="D580" s="122"/>
      <c r="E580" s="122"/>
      <c r="F580" s="122"/>
      <c r="G580" s="122"/>
      <c r="H580" s="122"/>
      <c r="I580" s="122"/>
      <c r="J580" s="122"/>
      <c r="K580" s="122"/>
      <c r="L580" s="122"/>
      <c r="M580" s="122"/>
      <c r="N580" s="122"/>
      <c r="O580" s="122"/>
      <c r="P580" s="122"/>
      <c r="Q580" s="122"/>
      <c r="R580" s="122"/>
      <c r="S580" s="122"/>
      <c r="T580" s="122"/>
      <c r="U580" s="122"/>
      <c r="V580" s="122"/>
      <c r="W580" s="122"/>
      <c r="X580" s="122"/>
      <c r="Y580" s="122"/>
      <c r="Z580" s="122"/>
      <c r="AA580" s="122"/>
      <c r="AB580" s="122"/>
      <c r="AC580" s="122"/>
      <c r="AD580" s="122"/>
      <c r="AE580" s="122"/>
      <c r="AF580" s="122"/>
      <c r="AG580" s="122"/>
      <c r="AH580" s="122"/>
      <c r="AI580" s="122"/>
      <c r="AJ580" s="122"/>
      <c r="AK580" s="122"/>
      <c r="AL580" s="122"/>
      <c r="AM580" s="122"/>
      <c r="AN580" s="122"/>
      <c r="AO580" s="122"/>
      <c r="AP580" s="166"/>
      <c r="AQ580" s="122"/>
      <c r="AR580" s="167"/>
      <c r="AS580" s="122"/>
      <c r="AT580" s="122"/>
      <c r="AU580" s="122"/>
      <c r="AV580" s="122"/>
      <c r="AW580" s="122"/>
      <c r="AX580" s="122"/>
      <c r="AY580" s="122"/>
      <c r="AZ580" s="122"/>
      <c r="BA580" s="122"/>
      <c r="BB580" s="122"/>
      <c r="BC580" s="122"/>
      <c r="BD580" s="122"/>
      <c r="BE580" s="122"/>
      <c r="BF580" s="122"/>
      <c r="BG580" s="122"/>
      <c r="BH580" s="122"/>
      <c r="BI580" s="122"/>
      <c r="BJ580" s="122"/>
    </row>
    <row r="581" spans="1:62">
      <c r="A581" s="122"/>
      <c r="B581" s="122"/>
      <c r="C581" s="122"/>
      <c r="D581" s="122"/>
      <c r="E581" s="122"/>
      <c r="F581" s="122"/>
      <c r="G581" s="122"/>
      <c r="H581" s="122"/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  <c r="S581" s="122"/>
      <c r="T581" s="122"/>
      <c r="U581" s="122"/>
      <c r="V581" s="122"/>
      <c r="W581" s="122"/>
      <c r="X581" s="122"/>
      <c r="Y581" s="122"/>
      <c r="Z581" s="122"/>
      <c r="AA581" s="122"/>
      <c r="AB581" s="122"/>
      <c r="AC581" s="122"/>
      <c r="AD581" s="122"/>
      <c r="AE581" s="122"/>
      <c r="AF581" s="122"/>
      <c r="AG581" s="122"/>
      <c r="AH581" s="122"/>
      <c r="AI581" s="122"/>
      <c r="AJ581" s="122"/>
      <c r="AK581" s="122"/>
      <c r="AL581" s="122"/>
      <c r="AM581" s="122"/>
      <c r="AN581" s="122"/>
      <c r="AO581" s="122"/>
      <c r="AP581" s="166"/>
      <c r="AQ581" s="122"/>
      <c r="AR581" s="167"/>
      <c r="AS581" s="122"/>
      <c r="AT581" s="122"/>
      <c r="AU581" s="122"/>
      <c r="AV581" s="122"/>
      <c r="AW581" s="122"/>
      <c r="AX581" s="122"/>
      <c r="AY581" s="122"/>
      <c r="AZ581" s="122"/>
      <c r="BA581" s="122"/>
      <c r="BB581" s="122"/>
      <c r="BC581" s="122"/>
      <c r="BD581" s="122"/>
      <c r="BE581" s="122"/>
      <c r="BF581" s="122"/>
      <c r="BG581" s="122"/>
      <c r="BH581" s="122"/>
      <c r="BI581" s="122"/>
      <c r="BJ581" s="122"/>
    </row>
    <row r="582" spans="1:62">
      <c r="A582" s="122"/>
      <c r="B582" s="122"/>
      <c r="C582" s="122"/>
      <c r="D582" s="122"/>
      <c r="E582" s="122"/>
      <c r="F582" s="122"/>
      <c r="G582" s="122"/>
      <c r="H582" s="122"/>
      <c r="I582" s="122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2"/>
      <c r="W582" s="122"/>
      <c r="X582" s="122"/>
      <c r="Y582" s="122"/>
      <c r="Z582" s="122"/>
      <c r="AA582" s="122"/>
      <c r="AB582" s="122"/>
      <c r="AC582" s="122"/>
      <c r="AD582" s="122"/>
      <c r="AE582" s="122"/>
      <c r="AF582" s="122"/>
      <c r="AG582" s="122"/>
      <c r="AH582" s="122"/>
      <c r="AI582" s="122"/>
      <c r="AJ582" s="122"/>
      <c r="AK582" s="122"/>
      <c r="AL582" s="122"/>
      <c r="AM582" s="122"/>
      <c r="AN582" s="122"/>
      <c r="AO582" s="122"/>
      <c r="AP582" s="166"/>
      <c r="AQ582" s="122"/>
      <c r="AR582" s="167"/>
      <c r="AS582" s="122"/>
      <c r="AT582" s="122"/>
      <c r="AU582" s="122"/>
      <c r="AV582" s="122"/>
      <c r="AW582" s="122"/>
      <c r="AX582" s="122"/>
      <c r="AY582" s="122"/>
      <c r="AZ582" s="122"/>
      <c r="BA582" s="122"/>
      <c r="BB582" s="122"/>
      <c r="BC582" s="122"/>
      <c r="BD582" s="122"/>
      <c r="BE582" s="122"/>
      <c r="BF582" s="122"/>
      <c r="BG582" s="122"/>
      <c r="BH582" s="122"/>
      <c r="BI582" s="122"/>
      <c r="BJ582" s="122"/>
    </row>
    <row r="583" spans="1:62">
      <c r="A583" s="122"/>
      <c r="B583" s="122"/>
      <c r="C583" s="122"/>
      <c r="D583" s="122"/>
      <c r="E583" s="122"/>
      <c r="F583" s="122"/>
      <c r="G583" s="122"/>
      <c r="H583" s="122"/>
      <c r="I583" s="122"/>
      <c r="J583" s="122"/>
      <c r="K583" s="122"/>
      <c r="L583" s="122"/>
      <c r="M583" s="122"/>
      <c r="N583" s="122"/>
      <c r="O583" s="122"/>
      <c r="P583" s="122"/>
      <c r="Q583" s="122"/>
      <c r="R583" s="122"/>
      <c r="S583" s="122"/>
      <c r="T583" s="122"/>
      <c r="U583" s="122"/>
      <c r="V583" s="122"/>
      <c r="W583" s="122"/>
      <c r="X583" s="122"/>
      <c r="Y583" s="122"/>
      <c r="Z583" s="122"/>
      <c r="AA583" s="122"/>
      <c r="AB583" s="122"/>
      <c r="AC583" s="122"/>
      <c r="AD583" s="122"/>
      <c r="AE583" s="122"/>
      <c r="AF583" s="122"/>
      <c r="AG583" s="122"/>
      <c r="AH583" s="122"/>
      <c r="AI583" s="122"/>
      <c r="AJ583" s="122"/>
      <c r="AK583" s="122"/>
      <c r="AL583" s="122"/>
      <c r="AM583" s="122"/>
      <c r="AN583" s="122"/>
      <c r="AO583" s="122"/>
      <c r="AP583" s="166"/>
      <c r="AQ583" s="122"/>
      <c r="AR583" s="167"/>
      <c r="AS583" s="122"/>
      <c r="AT583" s="122"/>
      <c r="AU583" s="122"/>
      <c r="AV583" s="122"/>
      <c r="AW583" s="122"/>
      <c r="AX583" s="122"/>
      <c r="AY583" s="122"/>
      <c r="AZ583" s="122"/>
      <c r="BA583" s="122"/>
      <c r="BB583" s="122"/>
      <c r="BC583" s="122"/>
      <c r="BD583" s="122"/>
      <c r="BE583" s="122"/>
      <c r="BF583" s="122"/>
      <c r="BG583" s="122"/>
      <c r="BH583" s="122"/>
      <c r="BI583" s="122"/>
      <c r="BJ583" s="122"/>
    </row>
    <row r="584" spans="1:62">
      <c r="A584" s="122"/>
      <c r="B584" s="122"/>
      <c r="C584" s="122"/>
      <c r="D584" s="122"/>
      <c r="E584" s="122"/>
      <c r="F584" s="122"/>
      <c r="G584" s="122"/>
      <c r="H584" s="122"/>
      <c r="I584" s="122"/>
      <c r="J584" s="122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2"/>
      <c r="W584" s="122"/>
      <c r="X584" s="122"/>
      <c r="Y584" s="122"/>
      <c r="Z584" s="122"/>
      <c r="AA584" s="122"/>
      <c r="AB584" s="122"/>
      <c r="AC584" s="122"/>
      <c r="AD584" s="122"/>
      <c r="AE584" s="122"/>
      <c r="AF584" s="122"/>
      <c r="AG584" s="122"/>
      <c r="AH584" s="122"/>
      <c r="AI584" s="122"/>
      <c r="AJ584" s="122"/>
      <c r="AK584" s="122"/>
      <c r="AL584" s="122"/>
      <c r="AM584" s="122"/>
      <c r="AN584" s="122"/>
      <c r="AO584" s="122"/>
      <c r="AP584" s="166"/>
      <c r="AQ584" s="122"/>
      <c r="AR584" s="167"/>
      <c r="AS584" s="122"/>
      <c r="AT584" s="122"/>
      <c r="AU584" s="122"/>
      <c r="AV584" s="122"/>
      <c r="AW584" s="122"/>
      <c r="AX584" s="122"/>
      <c r="AY584" s="122"/>
      <c r="AZ584" s="122"/>
      <c r="BA584" s="122"/>
      <c r="BB584" s="122"/>
      <c r="BC584" s="122"/>
      <c r="BD584" s="122"/>
      <c r="BE584" s="122"/>
      <c r="BF584" s="122"/>
      <c r="BG584" s="122"/>
      <c r="BH584" s="122"/>
      <c r="BI584" s="122"/>
      <c r="BJ584" s="122"/>
    </row>
    <row r="585" spans="1:62">
      <c r="A585" s="122"/>
      <c r="B585" s="122"/>
      <c r="C585" s="122"/>
      <c r="D585" s="122"/>
      <c r="E585" s="122"/>
      <c r="F585" s="122"/>
      <c r="G585" s="122"/>
      <c r="H585" s="122"/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2"/>
      <c r="X585" s="122"/>
      <c r="Y585" s="122"/>
      <c r="Z585" s="122"/>
      <c r="AA585" s="122"/>
      <c r="AB585" s="122"/>
      <c r="AC585" s="122"/>
      <c r="AD585" s="122"/>
      <c r="AE585" s="122"/>
      <c r="AF585" s="122"/>
      <c r="AG585" s="122"/>
      <c r="AH585" s="122"/>
      <c r="AI585" s="122"/>
      <c r="AJ585" s="122"/>
      <c r="AK585" s="122"/>
      <c r="AL585" s="122"/>
      <c r="AM585" s="122"/>
      <c r="AN585" s="122"/>
      <c r="AO585" s="122"/>
      <c r="AP585" s="166"/>
      <c r="AQ585" s="122"/>
      <c r="AR585" s="167"/>
      <c r="AS585" s="122"/>
      <c r="AT585" s="122"/>
      <c r="AU585" s="122"/>
      <c r="AV585" s="122"/>
      <c r="AW585" s="122"/>
      <c r="AX585" s="122"/>
      <c r="AY585" s="122"/>
      <c r="AZ585" s="122"/>
      <c r="BA585" s="122"/>
      <c r="BB585" s="122"/>
      <c r="BC585" s="122"/>
      <c r="BD585" s="122"/>
      <c r="BE585" s="122"/>
      <c r="BF585" s="122"/>
      <c r="BG585" s="122"/>
      <c r="BH585" s="122"/>
      <c r="BI585" s="122"/>
      <c r="BJ585" s="122"/>
    </row>
    <row r="586" spans="1:62">
      <c r="A586" s="122"/>
      <c r="B586" s="122"/>
      <c r="C586" s="122"/>
      <c r="D586" s="122"/>
      <c r="E586" s="122"/>
      <c r="F586" s="122"/>
      <c r="G586" s="122"/>
      <c r="H586" s="122"/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2"/>
      <c r="X586" s="122"/>
      <c r="Y586" s="122"/>
      <c r="Z586" s="122"/>
      <c r="AA586" s="122"/>
      <c r="AB586" s="122"/>
      <c r="AC586" s="122"/>
      <c r="AD586" s="122"/>
      <c r="AE586" s="122"/>
      <c r="AF586" s="122"/>
      <c r="AG586" s="122"/>
      <c r="AH586" s="122"/>
      <c r="AI586" s="122"/>
      <c r="AJ586" s="122"/>
      <c r="AK586" s="122"/>
      <c r="AL586" s="122"/>
      <c r="AM586" s="122"/>
      <c r="AN586" s="122"/>
      <c r="AO586" s="122"/>
      <c r="AP586" s="166"/>
      <c r="AQ586" s="122"/>
      <c r="AR586" s="167"/>
      <c r="AS586" s="122"/>
      <c r="AT586" s="122"/>
      <c r="AU586" s="122"/>
      <c r="AV586" s="122"/>
      <c r="AW586" s="122"/>
      <c r="AX586" s="122"/>
      <c r="AY586" s="122"/>
      <c r="AZ586" s="122"/>
      <c r="BA586" s="122"/>
      <c r="BB586" s="122"/>
      <c r="BC586" s="122"/>
      <c r="BD586" s="122"/>
      <c r="BE586" s="122"/>
      <c r="BF586" s="122"/>
      <c r="BG586" s="122"/>
      <c r="BH586" s="122"/>
      <c r="BI586" s="122"/>
      <c r="BJ586" s="122"/>
    </row>
    <row r="587" spans="1:62">
      <c r="A587" s="122"/>
      <c r="B587" s="122"/>
      <c r="C587" s="122"/>
      <c r="D587" s="122"/>
      <c r="E587" s="122"/>
      <c r="F587" s="122"/>
      <c r="G587" s="122"/>
      <c r="H587" s="122"/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2"/>
      <c r="X587" s="122"/>
      <c r="Y587" s="122"/>
      <c r="Z587" s="122"/>
      <c r="AA587" s="122"/>
      <c r="AB587" s="122"/>
      <c r="AC587" s="122"/>
      <c r="AD587" s="122"/>
      <c r="AE587" s="122"/>
      <c r="AF587" s="122"/>
      <c r="AG587" s="122"/>
      <c r="AH587" s="122"/>
      <c r="AI587" s="122"/>
      <c r="AJ587" s="122"/>
      <c r="AK587" s="122"/>
      <c r="AL587" s="122"/>
      <c r="AM587" s="122"/>
      <c r="AN587" s="122"/>
      <c r="AO587" s="122"/>
      <c r="AP587" s="166"/>
      <c r="AQ587" s="122"/>
      <c r="AR587" s="167"/>
      <c r="AS587" s="122"/>
      <c r="AT587" s="122"/>
      <c r="AU587" s="122"/>
      <c r="AV587" s="122"/>
      <c r="AW587" s="122"/>
      <c r="AX587" s="122"/>
      <c r="AY587" s="122"/>
      <c r="AZ587" s="122"/>
      <c r="BA587" s="122"/>
      <c r="BB587" s="122"/>
      <c r="BC587" s="122"/>
      <c r="BD587" s="122"/>
      <c r="BE587" s="122"/>
      <c r="BF587" s="122"/>
      <c r="BG587" s="122"/>
      <c r="BH587" s="122"/>
      <c r="BI587" s="122"/>
      <c r="BJ587" s="122"/>
    </row>
    <row r="588" spans="1:62">
      <c r="A588" s="122"/>
      <c r="B588" s="122"/>
      <c r="C588" s="122"/>
      <c r="D588" s="122"/>
      <c r="E588" s="122"/>
      <c r="F588" s="122"/>
      <c r="G588" s="122"/>
      <c r="H588" s="122"/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2"/>
      <c r="X588" s="122"/>
      <c r="Y588" s="122"/>
      <c r="Z588" s="122"/>
      <c r="AA588" s="122"/>
      <c r="AB588" s="122"/>
      <c r="AC588" s="122"/>
      <c r="AD588" s="122"/>
      <c r="AE588" s="122"/>
      <c r="AF588" s="122"/>
      <c r="AG588" s="122"/>
      <c r="AH588" s="122"/>
      <c r="AI588" s="122"/>
      <c r="AJ588" s="122"/>
      <c r="AK588" s="122"/>
      <c r="AL588" s="122"/>
      <c r="AM588" s="122"/>
      <c r="AN588" s="122"/>
      <c r="AO588" s="122"/>
      <c r="AP588" s="166"/>
      <c r="AQ588" s="122"/>
      <c r="AR588" s="167"/>
      <c r="AS588" s="122"/>
      <c r="AT588" s="122"/>
      <c r="AU588" s="122"/>
      <c r="AV588" s="122"/>
      <c r="AW588" s="122"/>
      <c r="AX588" s="122"/>
      <c r="AY588" s="122"/>
      <c r="AZ588" s="122"/>
      <c r="BA588" s="122"/>
      <c r="BB588" s="122"/>
      <c r="BC588" s="122"/>
      <c r="BD588" s="122"/>
      <c r="BE588" s="122"/>
      <c r="BF588" s="122"/>
      <c r="BG588" s="122"/>
      <c r="BH588" s="122"/>
      <c r="BI588" s="122"/>
      <c r="BJ588" s="122"/>
    </row>
    <row r="589" spans="1:62">
      <c r="A589" s="122"/>
      <c r="B589" s="122"/>
      <c r="C589" s="122"/>
      <c r="D589" s="122"/>
      <c r="E589" s="122"/>
      <c r="F589" s="122"/>
      <c r="G589" s="122"/>
      <c r="H589" s="122"/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2"/>
      <c r="X589" s="122"/>
      <c r="Y589" s="122"/>
      <c r="Z589" s="122"/>
      <c r="AA589" s="122"/>
      <c r="AB589" s="122"/>
      <c r="AC589" s="122"/>
      <c r="AD589" s="122"/>
      <c r="AE589" s="122"/>
      <c r="AF589" s="122"/>
      <c r="AG589" s="122"/>
      <c r="AH589" s="122"/>
      <c r="AI589" s="122"/>
      <c r="AJ589" s="122"/>
      <c r="AK589" s="122"/>
      <c r="AL589" s="122"/>
      <c r="AM589" s="122"/>
      <c r="AN589" s="122"/>
      <c r="AO589" s="122"/>
      <c r="AP589" s="166"/>
      <c r="AQ589" s="122"/>
      <c r="AR589" s="167"/>
      <c r="AS589" s="122"/>
      <c r="AT589" s="122"/>
      <c r="AU589" s="122"/>
      <c r="AV589" s="122"/>
      <c r="AW589" s="122"/>
      <c r="AX589" s="122"/>
      <c r="AY589" s="122"/>
      <c r="AZ589" s="122"/>
      <c r="BA589" s="122"/>
      <c r="BB589" s="122"/>
      <c r="BC589" s="122"/>
      <c r="BD589" s="122"/>
      <c r="BE589" s="122"/>
      <c r="BF589" s="122"/>
      <c r="BG589" s="122"/>
      <c r="BH589" s="122"/>
      <c r="BI589" s="122"/>
      <c r="BJ589" s="122"/>
    </row>
    <row r="590" spans="1:62">
      <c r="A590" s="122"/>
      <c r="B590" s="122"/>
      <c r="C590" s="122"/>
      <c r="D590" s="122"/>
      <c r="E590" s="122"/>
      <c r="F590" s="122"/>
      <c r="G590" s="122"/>
      <c r="H590" s="122"/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2"/>
      <c r="X590" s="122"/>
      <c r="Y590" s="122"/>
      <c r="Z590" s="122"/>
      <c r="AA590" s="122"/>
      <c r="AB590" s="122"/>
      <c r="AC590" s="122"/>
      <c r="AD590" s="122"/>
      <c r="AE590" s="122"/>
      <c r="AF590" s="122"/>
      <c r="AG590" s="122"/>
      <c r="AH590" s="122"/>
      <c r="AI590" s="122"/>
      <c r="AJ590" s="122"/>
      <c r="AK590" s="122"/>
      <c r="AL590" s="122"/>
      <c r="AM590" s="122"/>
      <c r="AN590" s="122"/>
      <c r="AO590" s="122"/>
      <c r="AP590" s="166"/>
      <c r="AQ590" s="122"/>
      <c r="AR590" s="167"/>
      <c r="AS590" s="122"/>
      <c r="AT590" s="122"/>
      <c r="AU590" s="122"/>
      <c r="AV590" s="122"/>
      <c r="AW590" s="122"/>
      <c r="AX590" s="122"/>
      <c r="AY590" s="122"/>
      <c r="AZ590" s="122"/>
      <c r="BA590" s="122"/>
      <c r="BB590" s="122"/>
      <c r="BC590" s="122"/>
      <c r="BD590" s="122"/>
      <c r="BE590" s="122"/>
      <c r="BF590" s="122"/>
      <c r="BG590" s="122"/>
      <c r="BH590" s="122"/>
      <c r="BI590" s="122"/>
      <c r="BJ590" s="122"/>
    </row>
    <row r="591" spans="1:62">
      <c r="A591" s="122"/>
      <c r="B591" s="122"/>
      <c r="C591" s="122"/>
      <c r="D591" s="122"/>
      <c r="E591" s="122"/>
      <c r="F591" s="122"/>
      <c r="G591" s="122"/>
      <c r="H591" s="122"/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  <c r="Z591" s="122"/>
      <c r="AA591" s="122"/>
      <c r="AB591" s="122"/>
      <c r="AC591" s="122"/>
      <c r="AD591" s="122"/>
      <c r="AE591" s="122"/>
      <c r="AF591" s="122"/>
      <c r="AG591" s="122"/>
      <c r="AH591" s="122"/>
      <c r="AI591" s="122"/>
      <c r="AJ591" s="122"/>
      <c r="AK591" s="122"/>
      <c r="AL591" s="122"/>
      <c r="AM591" s="122"/>
      <c r="AN591" s="122"/>
      <c r="AO591" s="122"/>
      <c r="AP591" s="166"/>
      <c r="AQ591" s="122"/>
      <c r="AR591" s="167"/>
      <c r="AS591" s="122"/>
      <c r="AT591" s="122"/>
      <c r="AU591" s="122"/>
      <c r="AV591" s="122"/>
      <c r="AW591" s="122"/>
      <c r="AX591" s="122"/>
      <c r="AY591" s="122"/>
      <c r="AZ591" s="122"/>
      <c r="BA591" s="122"/>
      <c r="BB591" s="122"/>
      <c r="BC591" s="122"/>
      <c r="BD591" s="122"/>
      <c r="BE591" s="122"/>
      <c r="BF591" s="122"/>
      <c r="BG591" s="122"/>
      <c r="BH591" s="122"/>
      <c r="BI591" s="122"/>
      <c r="BJ591" s="122"/>
    </row>
    <row r="592" spans="1:62">
      <c r="A592" s="122"/>
      <c r="B592" s="122"/>
      <c r="C592" s="122"/>
      <c r="D592" s="122"/>
      <c r="E592" s="122"/>
      <c r="F592" s="122"/>
      <c r="G592" s="122"/>
      <c r="H592" s="122"/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2"/>
      <c r="X592" s="122"/>
      <c r="Y592" s="122"/>
      <c r="Z592" s="122"/>
      <c r="AA592" s="122"/>
      <c r="AB592" s="122"/>
      <c r="AC592" s="122"/>
      <c r="AD592" s="122"/>
      <c r="AE592" s="122"/>
      <c r="AF592" s="122"/>
      <c r="AG592" s="122"/>
      <c r="AH592" s="122"/>
      <c r="AI592" s="122"/>
      <c r="AJ592" s="122"/>
      <c r="AK592" s="122"/>
      <c r="AL592" s="122"/>
      <c r="AM592" s="122"/>
      <c r="AN592" s="122"/>
      <c r="AO592" s="122"/>
      <c r="AP592" s="166"/>
      <c r="AQ592" s="122"/>
      <c r="AR592" s="167"/>
      <c r="AS592" s="122"/>
      <c r="AT592" s="122"/>
      <c r="AU592" s="122"/>
      <c r="AV592" s="122"/>
      <c r="AW592" s="122"/>
      <c r="AX592" s="122"/>
      <c r="AY592" s="122"/>
      <c r="AZ592" s="122"/>
      <c r="BA592" s="122"/>
      <c r="BB592" s="122"/>
      <c r="BC592" s="122"/>
      <c r="BD592" s="122"/>
      <c r="BE592" s="122"/>
      <c r="BF592" s="122"/>
      <c r="BG592" s="122"/>
      <c r="BH592" s="122"/>
      <c r="BI592" s="122"/>
      <c r="BJ592" s="122"/>
    </row>
    <row r="593" spans="1:62">
      <c r="A593" s="122"/>
      <c r="B593" s="122"/>
      <c r="C593" s="122"/>
      <c r="D593" s="122"/>
      <c r="E593" s="122"/>
      <c r="F593" s="122"/>
      <c r="G593" s="122"/>
      <c r="H593" s="122"/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  <c r="Z593" s="122"/>
      <c r="AA593" s="122"/>
      <c r="AB593" s="122"/>
      <c r="AC593" s="122"/>
      <c r="AD593" s="122"/>
      <c r="AE593" s="122"/>
      <c r="AF593" s="122"/>
      <c r="AG593" s="122"/>
      <c r="AH593" s="122"/>
      <c r="AI593" s="122"/>
      <c r="AJ593" s="122"/>
      <c r="AK593" s="122"/>
      <c r="AL593" s="122"/>
      <c r="AM593" s="122"/>
      <c r="AN593" s="122"/>
      <c r="AO593" s="122"/>
      <c r="AP593" s="166"/>
      <c r="AQ593" s="122"/>
      <c r="AR593" s="167"/>
      <c r="AS593" s="122"/>
      <c r="AT593" s="122"/>
      <c r="AU593" s="122"/>
      <c r="AV593" s="122"/>
      <c r="AW593" s="122"/>
      <c r="AX593" s="122"/>
      <c r="AY593" s="122"/>
      <c r="AZ593" s="122"/>
      <c r="BA593" s="122"/>
      <c r="BB593" s="122"/>
      <c r="BC593" s="122"/>
      <c r="BD593" s="122"/>
      <c r="BE593" s="122"/>
      <c r="BF593" s="122"/>
      <c r="BG593" s="122"/>
      <c r="BH593" s="122"/>
      <c r="BI593" s="122"/>
      <c r="BJ593" s="122"/>
    </row>
    <row r="594" spans="1:62">
      <c r="A594" s="122"/>
      <c r="B594" s="122"/>
      <c r="C594" s="122"/>
      <c r="D594" s="122"/>
      <c r="E594" s="122"/>
      <c r="F594" s="122"/>
      <c r="G594" s="122"/>
      <c r="H594" s="122"/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2"/>
      <c r="W594" s="122"/>
      <c r="X594" s="122"/>
      <c r="Y594" s="122"/>
      <c r="Z594" s="122"/>
      <c r="AA594" s="122"/>
      <c r="AB594" s="122"/>
      <c r="AC594" s="122"/>
      <c r="AD594" s="122"/>
      <c r="AE594" s="122"/>
      <c r="AF594" s="122"/>
      <c r="AG594" s="122"/>
      <c r="AH594" s="122"/>
      <c r="AI594" s="122"/>
      <c r="AJ594" s="122"/>
      <c r="AK594" s="122"/>
      <c r="AL594" s="122"/>
      <c r="AM594" s="122"/>
      <c r="AN594" s="122"/>
      <c r="AO594" s="122"/>
      <c r="AP594" s="166"/>
      <c r="AQ594" s="122"/>
      <c r="AR594" s="167"/>
      <c r="AS594" s="122"/>
      <c r="AT594" s="122"/>
      <c r="AU594" s="122"/>
      <c r="AV594" s="122"/>
      <c r="AW594" s="122"/>
      <c r="AX594" s="122"/>
      <c r="AY594" s="122"/>
      <c r="AZ594" s="122"/>
      <c r="BA594" s="122"/>
      <c r="BB594" s="122"/>
      <c r="BC594" s="122"/>
      <c r="BD594" s="122"/>
      <c r="BE594" s="122"/>
      <c r="BF594" s="122"/>
      <c r="BG594" s="122"/>
      <c r="BH594" s="122"/>
      <c r="BI594" s="122"/>
      <c r="BJ594" s="122"/>
    </row>
    <row r="595" spans="1:62">
      <c r="A595" s="122"/>
      <c r="B595" s="122"/>
      <c r="C595" s="122"/>
      <c r="D595" s="122"/>
      <c r="E595" s="122"/>
      <c r="F595" s="122"/>
      <c r="G595" s="122"/>
      <c r="H595" s="122"/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2"/>
      <c r="W595" s="122"/>
      <c r="X595" s="122"/>
      <c r="Y595" s="122"/>
      <c r="Z595" s="122"/>
      <c r="AA595" s="122"/>
      <c r="AB595" s="122"/>
      <c r="AC595" s="122"/>
      <c r="AD595" s="122"/>
      <c r="AE595" s="122"/>
      <c r="AF595" s="122"/>
      <c r="AG595" s="122"/>
      <c r="AH595" s="122"/>
      <c r="AI595" s="122"/>
      <c r="AJ595" s="122"/>
      <c r="AK595" s="122"/>
      <c r="AL595" s="122"/>
      <c r="AM595" s="122"/>
      <c r="AN595" s="122"/>
      <c r="AO595" s="122"/>
      <c r="AP595" s="166"/>
      <c r="AQ595" s="122"/>
      <c r="AR595" s="167"/>
      <c r="AS595" s="122"/>
      <c r="AT595" s="122"/>
      <c r="AU595" s="122"/>
      <c r="AV595" s="122"/>
      <c r="AW595" s="122"/>
      <c r="AX595" s="122"/>
      <c r="AY595" s="122"/>
      <c r="AZ595" s="122"/>
      <c r="BA595" s="122"/>
      <c r="BB595" s="122"/>
      <c r="BC595" s="122"/>
      <c r="BD595" s="122"/>
      <c r="BE595" s="122"/>
      <c r="BF595" s="122"/>
      <c r="BG595" s="122"/>
      <c r="BH595" s="122"/>
      <c r="BI595" s="122"/>
      <c r="BJ595" s="122"/>
    </row>
    <row r="596" spans="1:62">
      <c r="A596" s="122"/>
      <c r="B596" s="122"/>
      <c r="C596" s="122"/>
      <c r="D596" s="122"/>
      <c r="E596" s="122"/>
      <c r="F596" s="122"/>
      <c r="G596" s="122"/>
      <c r="H596" s="122"/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2"/>
      <c r="X596" s="122"/>
      <c r="Y596" s="122"/>
      <c r="Z596" s="122"/>
      <c r="AA596" s="122"/>
      <c r="AB596" s="122"/>
      <c r="AC596" s="122"/>
      <c r="AD596" s="122"/>
      <c r="AE596" s="122"/>
      <c r="AF596" s="122"/>
      <c r="AG596" s="122"/>
      <c r="AH596" s="122"/>
      <c r="AI596" s="122"/>
      <c r="AJ596" s="122"/>
      <c r="AK596" s="122"/>
      <c r="AL596" s="122"/>
      <c r="AM596" s="122"/>
      <c r="AN596" s="122"/>
      <c r="AO596" s="122"/>
      <c r="AP596" s="166"/>
      <c r="AQ596" s="122"/>
      <c r="AR596" s="167"/>
      <c r="AS596" s="122"/>
      <c r="AT596" s="122"/>
      <c r="AU596" s="122"/>
      <c r="AV596" s="122"/>
      <c r="AW596" s="122"/>
      <c r="AX596" s="122"/>
      <c r="AY596" s="122"/>
      <c r="AZ596" s="122"/>
      <c r="BA596" s="122"/>
      <c r="BB596" s="122"/>
      <c r="BC596" s="122"/>
      <c r="BD596" s="122"/>
      <c r="BE596" s="122"/>
      <c r="BF596" s="122"/>
      <c r="BG596" s="122"/>
      <c r="BH596" s="122"/>
      <c r="BI596" s="122"/>
      <c r="BJ596" s="122"/>
    </row>
    <row r="597" spans="1:62">
      <c r="A597" s="122"/>
      <c r="B597" s="122"/>
      <c r="C597" s="122"/>
      <c r="D597" s="122"/>
      <c r="E597" s="122"/>
      <c r="F597" s="122"/>
      <c r="G597" s="122"/>
      <c r="H597" s="122"/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2"/>
      <c r="W597" s="122"/>
      <c r="X597" s="122"/>
      <c r="Y597" s="122"/>
      <c r="Z597" s="122"/>
      <c r="AA597" s="122"/>
      <c r="AB597" s="122"/>
      <c r="AC597" s="122"/>
      <c r="AD597" s="122"/>
      <c r="AE597" s="122"/>
      <c r="AF597" s="122"/>
      <c r="AG597" s="122"/>
      <c r="AH597" s="122"/>
      <c r="AI597" s="122"/>
      <c r="AJ597" s="122"/>
      <c r="AK597" s="122"/>
      <c r="AL597" s="122"/>
      <c r="AM597" s="122"/>
      <c r="AN597" s="122"/>
      <c r="AO597" s="122"/>
      <c r="AP597" s="166"/>
      <c r="AQ597" s="122"/>
      <c r="AR597" s="167"/>
      <c r="AS597" s="122"/>
      <c r="AT597" s="122"/>
      <c r="AU597" s="122"/>
      <c r="AV597" s="122"/>
      <c r="AW597" s="122"/>
      <c r="AX597" s="122"/>
      <c r="AY597" s="122"/>
      <c r="AZ597" s="122"/>
      <c r="BA597" s="122"/>
      <c r="BB597" s="122"/>
      <c r="BC597" s="122"/>
      <c r="BD597" s="122"/>
      <c r="BE597" s="122"/>
      <c r="BF597" s="122"/>
      <c r="BG597" s="122"/>
      <c r="BH597" s="122"/>
      <c r="BI597" s="122"/>
      <c r="BJ597" s="122"/>
    </row>
    <row r="598" spans="1:62">
      <c r="A598" s="122"/>
      <c r="B598" s="122"/>
      <c r="C598" s="122"/>
      <c r="D598" s="122"/>
      <c r="E598" s="122"/>
      <c r="F598" s="122"/>
      <c r="G598" s="122"/>
      <c r="H598" s="122"/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2"/>
      <c r="W598" s="122"/>
      <c r="X598" s="122"/>
      <c r="Y598" s="122"/>
      <c r="Z598" s="122"/>
      <c r="AA598" s="122"/>
      <c r="AB598" s="122"/>
      <c r="AC598" s="122"/>
      <c r="AD598" s="122"/>
      <c r="AE598" s="122"/>
      <c r="AF598" s="122"/>
      <c r="AG598" s="122"/>
      <c r="AH598" s="122"/>
      <c r="AI598" s="122"/>
      <c r="AJ598" s="122"/>
      <c r="AK598" s="122"/>
      <c r="AL598" s="122"/>
      <c r="AM598" s="122"/>
      <c r="AN598" s="122"/>
      <c r="AO598" s="122"/>
      <c r="AP598" s="166"/>
      <c r="AQ598" s="122"/>
      <c r="AR598" s="167"/>
      <c r="AS598" s="122"/>
      <c r="AT598" s="122"/>
      <c r="AU598" s="122"/>
      <c r="AV598" s="122"/>
      <c r="AW598" s="122"/>
      <c r="AX598" s="122"/>
      <c r="AY598" s="122"/>
      <c r="AZ598" s="122"/>
      <c r="BA598" s="122"/>
      <c r="BB598" s="122"/>
      <c r="BC598" s="122"/>
      <c r="BD598" s="122"/>
      <c r="BE598" s="122"/>
      <c r="BF598" s="122"/>
      <c r="BG598" s="122"/>
      <c r="BH598" s="122"/>
      <c r="BI598" s="122"/>
      <c r="BJ598" s="122"/>
    </row>
    <row r="599" spans="1:62">
      <c r="A599" s="122"/>
      <c r="B599" s="122"/>
      <c r="C599" s="122"/>
      <c r="D599" s="122"/>
      <c r="E599" s="122"/>
      <c r="F599" s="122"/>
      <c r="G599" s="122"/>
      <c r="H599" s="122"/>
      <c r="I599" s="122"/>
      <c r="J599" s="122"/>
      <c r="K599" s="122"/>
      <c r="L599" s="122"/>
      <c r="M599" s="122"/>
      <c r="N599" s="122"/>
      <c r="O599" s="122"/>
      <c r="P599" s="122"/>
      <c r="Q599" s="122"/>
      <c r="R599" s="122"/>
      <c r="S599" s="122"/>
      <c r="T599" s="122"/>
      <c r="U599" s="122"/>
      <c r="V599" s="122"/>
      <c r="W599" s="122"/>
      <c r="X599" s="122"/>
      <c r="Y599" s="122"/>
      <c r="Z599" s="122"/>
      <c r="AA599" s="122"/>
      <c r="AB599" s="122"/>
      <c r="AC599" s="122"/>
      <c r="AD599" s="122"/>
      <c r="AE599" s="122"/>
      <c r="AF599" s="122"/>
      <c r="AG599" s="122"/>
      <c r="AH599" s="122"/>
      <c r="AI599" s="122"/>
      <c r="AJ599" s="122"/>
      <c r="AK599" s="122"/>
      <c r="AL599" s="122"/>
      <c r="AM599" s="122"/>
      <c r="AN599" s="122"/>
      <c r="AO599" s="122"/>
      <c r="AP599" s="166"/>
      <c r="AQ599" s="122"/>
      <c r="AR599" s="167"/>
      <c r="AS599" s="122"/>
      <c r="AT599" s="122"/>
      <c r="AU599" s="122"/>
      <c r="AV599" s="122"/>
      <c r="AW599" s="122"/>
      <c r="AX599" s="122"/>
      <c r="AY599" s="122"/>
      <c r="AZ599" s="122"/>
      <c r="BA599" s="122"/>
      <c r="BB599" s="122"/>
      <c r="BC599" s="122"/>
      <c r="BD599" s="122"/>
      <c r="BE599" s="122"/>
      <c r="BF599" s="122"/>
      <c r="BG599" s="122"/>
      <c r="BH599" s="122"/>
      <c r="BI599" s="122"/>
      <c r="BJ599" s="122"/>
    </row>
    <row r="600" spans="1:62">
      <c r="A600" s="122"/>
      <c r="B600" s="122"/>
      <c r="C600" s="122"/>
      <c r="D600" s="122"/>
      <c r="E600" s="122"/>
      <c r="F600" s="122"/>
      <c r="G600" s="122"/>
      <c r="H600" s="122"/>
      <c r="I600" s="122"/>
      <c r="J600" s="122"/>
      <c r="K600" s="122"/>
      <c r="L600" s="122"/>
      <c r="M600" s="122"/>
      <c r="N600" s="122"/>
      <c r="O600" s="122"/>
      <c r="P600" s="122"/>
      <c r="Q600" s="122"/>
      <c r="R600" s="122"/>
      <c r="S600" s="122"/>
      <c r="T600" s="122"/>
      <c r="U600" s="122"/>
      <c r="V600" s="122"/>
      <c r="W600" s="122"/>
      <c r="X600" s="122"/>
      <c r="Y600" s="122"/>
      <c r="Z600" s="122"/>
      <c r="AA600" s="122"/>
      <c r="AB600" s="122"/>
      <c r="AC600" s="122"/>
      <c r="AD600" s="122"/>
      <c r="AE600" s="122"/>
      <c r="AF600" s="122"/>
      <c r="AG600" s="122"/>
      <c r="AH600" s="122"/>
      <c r="AI600" s="122"/>
      <c r="AJ600" s="122"/>
      <c r="AK600" s="122"/>
      <c r="AL600" s="122"/>
      <c r="AM600" s="122"/>
      <c r="AN600" s="122"/>
      <c r="AO600" s="122"/>
      <c r="AP600" s="166"/>
      <c r="AQ600" s="122"/>
      <c r="AR600" s="167"/>
      <c r="AS600" s="122"/>
      <c r="AT600" s="122"/>
      <c r="AU600" s="122"/>
      <c r="AV600" s="122"/>
      <c r="AW600" s="122"/>
      <c r="AX600" s="122"/>
      <c r="AY600" s="122"/>
      <c r="AZ600" s="122"/>
      <c r="BA600" s="122"/>
      <c r="BB600" s="122"/>
      <c r="BC600" s="122"/>
      <c r="BD600" s="122"/>
      <c r="BE600" s="122"/>
      <c r="BF600" s="122"/>
      <c r="BG600" s="122"/>
      <c r="BH600" s="122"/>
      <c r="BI600" s="122"/>
      <c r="BJ600" s="122"/>
    </row>
    <row r="601" spans="1:62">
      <c r="A601" s="122"/>
      <c r="B601" s="122"/>
      <c r="C601" s="122"/>
      <c r="D601" s="122"/>
      <c r="E601" s="122"/>
      <c r="F601" s="122"/>
      <c r="G601" s="122"/>
      <c r="H601" s="122"/>
      <c r="I601" s="122"/>
      <c r="J601" s="122"/>
      <c r="K601" s="122"/>
      <c r="L601" s="122"/>
      <c r="M601" s="122"/>
      <c r="N601" s="122"/>
      <c r="O601" s="122"/>
      <c r="P601" s="122"/>
      <c r="Q601" s="122"/>
      <c r="R601" s="122"/>
      <c r="S601" s="122"/>
      <c r="T601" s="122"/>
      <c r="U601" s="122"/>
      <c r="V601" s="122"/>
      <c r="W601" s="122"/>
      <c r="X601" s="122"/>
      <c r="Y601" s="122"/>
      <c r="Z601" s="122"/>
      <c r="AA601" s="122"/>
      <c r="AB601" s="122"/>
      <c r="AC601" s="122"/>
      <c r="AD601" s="122"/>
      <c r="AE601" s="122"/>
      <c r="AF601" s="122"/>
      <c r="AG601" s="122"/>
      <c r="AH601" s="122"/>
      <c r="AI601" s="122"/>
      <c r="AJ601" s="122"/>
      <c r="AK601" s="122"/>
      <c r="AL601" s="122"/>
      <c r="AM601" s="122"/>
      <c r="AN601" s="122"/>
      <c r="AO601" s="122"/>
      <c r="AP601" s="166"/>
      <c r="AQ601" s="122"/>
      <c r="AR601" s="167"/>
      <c r="AS601" s="122"/>
      <c r="AT601" s="122"/>
      <c r="AU601" s="122"/>
      <c r="AV601" s="122"/>
      <c r="AW601" s="122"/>
      <c r="AX601" s="122"/>
      <c r="AY601" s="122"/>
      <c r="AZ601" s="122"/>
      <c r="BA601" s="122"/>
      <c r="BB601" s="122"/>
      <c r="BC601" s="122"/>
      <c r="BD601" s="122"/>
      <c r="BE601" s="122"/>
      <c r="BF601" s="122"/>
      <c r="BG601" s="122"/>
      <c r="BH601" s="122"/>
      <c r="BI601" s="122"/>
      <c r="BJ601" s="122"/>
    </row>
    <row r="602" spans="1:62">
      <c r="A602" s="122"/>
      <c r="B602" s="122"/>
      <c r="C602" s="122"/>
      <c r="D602" s="122"/>
      <c r="E602" s="122"/>
      <c r="F602" s="122"/>
      <c r="G602" s="122"/>
      <c r="H602" s="122"/>
      <c r="I602" s="122"/>
      <c r="J602" s="122"/>
      <c r="K602" s="122"/>
      <c r="L602" s="122"/>
      <c r="M602" s="122"/>
      <c r="N602" s="122"/>
      <c r="O602" s="122"/>
      <c r="P602" s="122"/>
      <c r="Q602" s="122"/>
      <c r="R602" s="122"/>
      <c r="S602" s="122"/>
      <c r="T602" s="122"/>
      <c r="U602" s="122"/>
      <c r="V602" s="122"/>
      <c r="W602" s="122"/>
      <c r="X602" s="122"/>
      <c r="Y602" s="122"/>
      <c r="Z602" s="122"/>
      <c r="AA602" s="122"/>
      <c r="AB602" s="122"/>
      <c r="AC602" s="122"/>
      <c r="AD602" s="122"/>
      <c r="AE602" s="122"/>
      <c r="AF602" s="122"/>
      <c r="AG602" s="122"/>
      <c r="AH602" s="122"/>
      <c r="AI602" s="122"/>
      <c r="AJ602" s="122"/>
      <c r="AK602" s="122"/>
      <c r="AL602" s="122"/>
      <c r="AM602" s="122"/>
      <c r="AN602" s="122"/>
      <c r="AO602" s="122"/>
      <c r="AP602" s="166"/>
      <c r="AQ602" s="122"/>
      <c r="AR602" s="167"/>
      <c r="AS602" s="122"/>
      <c r="AT602" s="122"/>
      <c r="AU602" s="122"/>
      <c r="AV602" s="122"/>
      <c r="AW602" s="122"/>
      <c r="AX602" s="122"/>
      <c r="AY602" s="122"/>
      <c r="AZ602" s="122"/>
      <c r="BA602" s="122"/>
      <c r="BB602" s="122"/>
      <c r="BC602" s="122"/>
      <c r="BD602" s="122"/>
      <c r="BE602" s="122"/>
      <c r="BF602" s="122"/>
      <c r="BG602" s="122"/>
      <c r="BH602" s="122"/>
      <c r="BI602" s="122"/>
      <c r="BJ602" s="122"/>
    </row>
    <row r="603" spans="1:62">
      <c r="A603" s="122"/>
      <c r="B603" s="122"/>
      <c r="C603" s="122"/>
      <c r="D603" s="122"/>
      <c r="E603" s="122"/>
      <c r="F603" s="122"/>
      <c r="G603" s="122"/>
      <c r="H603" s="122"/>
      <c r="I603" s="122"/>
      <c r="J603" s="122"/>
      <c r="K603" s="122"/>
      <c r="L603" s="122"/>
      <c r="M603" s="122"/>
      <c r="N603" s="122"/>
      <c r="O603" s="122"/>
      <c r="P603" s="122"/>
      <c r="Q603" s="122"/>
      <c r="R603" s="122"/>
      <c r="S603" s="122"/>
      <c r="T603" s="122"/>
      <c r="U603" s="122"/>
      <c r="V603" s="122"/>
      <c r="W603" s="122"/>
      <c r="X603" s="122"/>
      <c r="Y603" s="122"/>
      <c r="Z603" s="122"/>
      <c r="AA603" s="122"/>
      <c r="AB603" s="122"/>
      <c r="AC603" s="122"/>
      <c r="AD603" s="122"/>
      <c r="AE603" s="122"/>
      <c r="AF603" s="122"/>
      <c r="AG603" s="122"/>
      <c r="AH603" s="122"/>
      <c r="AI603" s="122"/>
      <c r="AJ603" s="122"/>
      <c r="AK603" s="122"/>
      <c r="AL603" s="122"/>
      <c r="AM603" s="122"/>
      <c r="AN603" s="122"/>
      <c r="AO603" s="122"/>
      <c r="AP603" s="166"/>
      <c r="AQ603" s="122"/>
      <c r="AR603" s="167"/>
      <c r="AS603" s="122"/>
      <c r="AT603" s="122"/>
      <c r="AU603" s="122"/>
      <c r="AV603" s="122"/>
      <c r="AW603" s="122"/>
      <c r="AX603" s="122"/>
      <c r="AY603" s="122"/>
      <c r="AZ603" s="122"/>
      <c r="BA603" s="122"/>
      <c r="BB603" s="122"/>
      <c r="BC603" s="122"/>
      <c r="BD603" s="122"/>
      <c r="BE603" s="122"/>
      <c r="BF603" s="122"/>
      <c r="BG603" s="122"/>
      <c r="BH603" s="122"/>
      <c r="BI603" s="122"/>
      <c r="BJ603" s="122"/>
    </row>
    <row r="604" spans="1:62">
      <c r="A604" s="122"/>
      <c r="B604" s="122"/>
      <c r="C604" s="122"/>
      <c r="D604" s="122"/>
      <c r="E604" s="122"/>
      <c r="F604" s="122"/>
      <c r="G604" s="122"/>
      <c r="H604" s="122"/>
      <c r="I604" s="122"/>
      <c r="J604" s="122"/>
      <c r="K604" s="122"/>
      <c r="L604" s="122"/>
      <c r="M604" s="122"/>
      <c r="N604" s="122"/>
      <c r="O604" s="122"/>
      <c r="P604" s="122"/>
      <c r="Q604" s="122"/>
      <c r="R604" s="122"/>
      <c r="S604" s="122"/>
      <c r="T604" s="122"/>
      <c r="U604" s="122"/>
      <c r="V604" s="122"/>
      <c r="W604" s="122"/>
      <c r="X604" s="122"/>
      <c r="Y604" s="122"/>
      <c r="Z604" s="122"/>
      <c r="AA604" s="122"/>
      <c r="AB604" s="122"/>
      <c r="AC604" s="122"/>
      <c r="AD604" s="122"/>
      <c r="AE604" s="122"/>
      <c r="AF604" s="122"/>
      <c r="AG604" s="122"/>
      <c r="AH604" s="122"/>
      <c r="AI604" s="122"/>
      <c r="AJ604" s="122"/>
      <c r="AK604" s="122"/>
      <c r="AL604" s="122"/>
      <c r="AM604" s="122"/>
      <c r="AN604" s="122"/>
      <c r="AO604" s="122"/>
      <c r="AP604" s="166"/>
      <c r="AQ604" s="122"/>
      <c r="AR604" s="167"/>
      <c r="AS604" s="122"/>
      <c r="AT604" s="122"/>
      <c r="AU604" s="122"/>
      <c r="AV604" s="122"/>
      <c r="AW604" s="122"/>
      <c r="AX604" s="122"/>
      <c r="AY604" s="122"/>
      <c r="AZ604" s="122"/>
      <c r="BA604" s="122"/>
      <c r="BB604" s="122"/>
      <c r="BC604" s="122"/>
      <c r="BD604" s="122"/>
      <c r="BE604" s="122"/>
      <c r="BF604" s="122"/>
      <c r="BG604" s="122"/>
      <c r="BH604" s="122"/>
      <c r="BI604" s="122"/>
      <c r="BJ604" s="122"/>
    </row>
    <row r="605" spans="1:62">
      <c r="A605" s="122"/>
      <c r="B605" s="122"/>
      <c r="C605" s="122"/>
      <c r="D605" s="122"/>
      <c r="E605" s="122"/>
      <c r="F605" s="122"/>
      <c r="G605" s="122"/>
      <c r="H605" s="122"/>
      <c r="I605" s="122"/>
      <c r="J605" s="122"/>
      <c r="K605" s="122"/>
      <c r="L605" s="122"/>
      <c r="M605" s="122"/>
      <c r="N605" s="122"/>
      <c r="O605" s="122"/>
      <c r="P605" s="122"/>
      <c r="Q605" s="122"/>
      <c r="R605" s="122"/>
      <c r="S605" s="122"/>
      <c r="T605" s="122"/>
      <c r="U605" s="122"/>
      <c r="V605" s="122"/>
      <c r="W605" s="122"/>
      <c r="X605" s="122"/>
      <c r="Y605" s="122"/>
      <c r="Z605" s="122"/>
      <c r="AA605" s="122"/>
      <c r="AB605" s="122"/>
      <c r="AC605" s="122"/>
      <c r="AD605" s="122"/>
      <c r="AE605" s="122"/>
      <c r="AF605" s="122"/>
      <c r="AG605" s="122"/>
      <c r="AH605" s="122"/>
      <c r="AI605" s="122"/>
      <c r="AJ605" s="122"/>
      <c r="AK605" s="122"/>
      <c r="AL605" s="122"/>
      <c r="AM605" s="122"/>
      <c r="AN605" s="122"/>
      <c r="AO605" s="122"/>
      <c r="AP605" s="166"/>
      <c r="AQ605" s="122"/>
      <c r="AR605" s="167"/>
      <c r="AS605" s="122"/>
      <c r="AT605" s="122"/>
      <c r="AU605" s="122"/>
      <c r="AV605" s="122"/>
      <c r="AW605" s="122"/>
      <c r="AX605" s="122"/>
      <c r="AY605" s="122"/>
      <c r="AZ605" s="122"/>
      <c r="BA605" s="122"/>
      <c r="BB605" s="122"/>
      <c r="BC605" s="122"/>
      <c r="BD605" s="122"/>
      <c r="BE605" s="122"/>
      <c r="BF605" s="122"/>
      <c r="BG605" s="122"/>
      <c r="BH605" s="122"/>
      <c r="BI605" s="122"/>
      <c r="BJ605" s="122"/>
    </row>
    <row r="606" spans="1:62">
      <c r="A606" s="122"/>
      <c r="B606" s="122"/>
      <c r="C606" s="122"/>
      <c r="D606" s="122"/>
      <c r="E606" s="122"/>
      <c r="F606" s="122"/>
      <c r="G606" s="122"/>
      <c r="H606" s="122"/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  <c r="AA606" s="122"/>
      <c r="AB606" s="122"/>
      <c r="AC606" s="122"/>
      <c r="AD606" s="122"/>
      <c r="AE606" s="122"/>
      <c r="AF606" s="122"/>
      <c r="AG606" s="122"/>
      <c r="AH606" s="122"/>
      <c r="AI606" s="122"/>
      <c r="AJ606" s="122"/>
      <c r="AK606" s="122"/>
      <c r="AL606" s="122"/>
      <c r="AM606" s="122"/>
      <c r="AN606" s="122"/>
      <c r="AO606" s="122"/>
      <c r="AP606" s="166"/>
      <c r="AQ606" s="122"/>
      <c r="AR606" s="167"/>
      <c r="AS606" s="122"/>
      <c r="AT606" s="122"/>
      <c r="AU606" s="122"/>
      <c r="AV606" s="122"/>
      <c r="AW606" s="122"/>
      <c r="AX606" s="122"/>
      <c r="AY606" s="122"/>
      <c r="AZ606" s="122"/>
      <c r="BA606" s="122"/>
      <c r="BB606" s="122"/>
      <c r="BC606" s="122"/>
      <c r="BD606" s="122"/>
      <c r="BE606" s="122"/>
      <c r="BF606" s="122"/>
      <c r="BG606" s="122"/>
      <c r="BH606" s="122"/>
      <c r="BI606" s="122"/>
      <c r="BJ606" s="122"/>
    </row>
    <row r="607" spans="1:62">
      <c r="A607" s="122"/>
      <c r="B607" s="122"/>
      <c r="C607" s="122"/>
      <c r="D607" s="122"/>
      <c r="E607" s="122"/>
      <c r="F607" s="122"/>
      <c r="G607" s="122"/>
      <c r="H607" s="122"/>
      <c r="I607" s="122"/>
      <c r="J607" s="122"/>
      <c r="K607" s="122"/>
      <c r="L607" s="122"/>
      <c r="M607" s="122"/>
      <c r="N607" s="122"/>
      <c r="O607" s="122"/>
      <c r="P607" s="122"/>
      <c r="Q607" s="122"/>
      <c r="R607" s="122"/>
      <c r="S607" s="122"/>
      <c r="T607" s="122"/>
      <c r="U607" s="122"/>
      <c r="V607" s="122"/>
      <c r="W607" s="122"/>
      <c r="X607" s="122"/>
      <c r="Y607" s="122"/>
      <c r="Z607" s="122"/>
      <c r="AA607" s="122"/>
      <c r="AB607" s="122"/>
      <c r="AC607" s="122"/>
      <c r="AD607" s="122"/>
      <c r="AE607" s="122"/>
      <c r="AF607" s="122"/>
      <c r="AG607" s="122"/>
      <c r="AH607" s="122"/>
      <c r="AI607" s="122"/>
      <c r="AJ607" s="122"/>
      <c r="AK607" s="122"/>
      <c r="AL607" s="122"/>
      <c r="AM607" s="122"/>
      <c r="AN607" s="122"/>
      <c r="AO607" s="122"/>
      <c r="AP607" s="166"/>
      <c r="AQ607" s="122"/>
      <c r="AR607" s="167"/>
      <c r="AS607" s="122"/>
      <c r="AT607" s="122"/>
      <c r="AU607" s="122"/>
      <c r="AV607" s="122"/>
      <c r="AW607" s="122"/>
      <c r="AX607" s="122"/>
      <c r="AY607" s="122"/>
      <c r="AZ607" s="122"/>
      <c r="BA607" s="122"/>
      <c r="BB607" s="122"/>
      <c r="BC607" s="122"/>
      <c r="BD607" s="122"/>
      <c r="BE607" s="122"/>
      <c r="BF607" s="122"/>
      <c r="BG607" s="122"/>
      <c r="BH607" s="122"/>
      <c r="BI607" s="122"/>
      <c r="BJ607" s="122"/>
    </row>
    <row r="608" spans="1:62">
      <c r="A608" s="122"/>
      <c r="B608" s="122"/>
      <c r="C608" s="122"/>
      <c r="D608" s="122"/>
      <c r="E608" s="122"/>
      <c r="F608" s="122"/>
      <c r="G608" s="122"/>
      <c r="H608" s="122"/>
      <c r="I608" s="122"/>
      <c r="J608" s="122"/>
      <c r="K608" s="122"/>
      <c r="L608" s="122"/>
      <c r="M608" s="122"/>
      <c r="N608" s="122"/>
      <c r="O608" s="122"/>
      <c r="P608" s="122"/>
      <c r="Q608" s="122"/>
      <c r="R608" s="122"/>
      <c r="S608" s="122"/>
      <c r="T608" s="122"/>
      <c r="U608" s="122"/>
      <c r="V608" s="122"/>
      <c r="W608" s="122"/>
      <c r="X608" s="122"/>
      <c r="Y608" s="122"/>
      <c r="Z608" s="122"/>
      <c r="AA608" s="122"/>
      <c r="AB608" s="122"/>
      <c r="AC608" s="122"/>
      <c r="AD608" s="122"/>
      <c r="AE608" s="122"/>
      <c r="AF608" s="122"/>
      <c r="AG608" s="122"/>
      <c r="AH608" s="122"/>
      <c r="AI608" s="122"/>
      <c r="AJ608" s="122"/>
      <c r="AK608" s="122"/>
      <c r="AL608" s="122"/>
      <c r="AM608" s="122"/>
      <c r="AN608" s="122"/>
      <c r="AO608" s="122"/>
      <c r="AP608" s="166"/>
      <c r="AQ608" s="122"/>
      <c r="AR608" s="167"/>
      <c r="AS608" s="122"/>
      <c r="AT608" s="122"/>
      <c r="AU608" s="122"/>
      <c r="AV608" s="122"/>
      <c r="AW608" s="122"/>
      <c r="AX608" s="122"/>
      <c r="AY608" s="122"/>
      <c r="AZ608" s="122"/>
      <c r="BA608" s="122"/>
      <c r="BB608" s="122"/>
      <c r="BC608" s="122"/>
      <c r="BD608" s="122"/>
      <c r="BE608" s="122"/>
      <c r="BF608" s="122"/>
      <c r="BG608" s="122"/>
      <c r="BH608" s="122"/>
      <c r="BI608" s="122"/>
      <c r="BJ608" s="122"/>
    </row>
    <row r="609" spans="1:62">
      <c r="A609" s="122"/>
      <c r="B609" s="122"/>
      <c r="C609" s="122"/>
      <c r="D609" s="122"/>
      <c r="E609" s="122"/>
      <c r="F609" s="122"/>
      <c r="G609" s="122"/>
      <c r="H609" s="122"/>
      <c r="I609" s="122"/>
      <c r="J609" s="122"/>
      <c r="K609" s="122"/>
      <c r="L609" s="122"/>
      <c r="M609" s="122"/>
      <c r="N609" s="122"/>
      <c r="O609" s="122"/>
      <c r="P609" s="122"/>
      <c r="Q609" s="122"/>
      <c r="R609" s="122"/>
      <c r="S609" s="122"/>
      <c r="T609" s="122"/>
      <c r="U609" s="122"/>
      <c r="V609" s="122"/>
      <c r="W609" s="122"/>
      <c r="X609" s="122"/>
      <c r="Y609" s="122"/>
      <c r="Z609" s="122"/>
      <c r="AA609" s="122"/>
      <c r="AB609" s="122"/>
      <c r="AC609" s="122"/>
      <c r="AD609" s="122"/>
      <c r="AE609" s="122"/>
      <c r="AF609" s="122"/>
      <c r="AG609" s="122"/>
      <c r="AH609" s="122"/>
      <c r="AI609" s="122"/>
      <c r="AJ609" s="122"/>
      <c r="AK609" s="122"/>
      <c r="AL609" s="122"/>
      <c r="AM609" s="122"/>
      <c r="AN609" s="122"/>
      <c r="AO609" s="122"/>
      <c r="AP609" s="166"/>
      <c r="AQ609" s="122"/>
      <c r="AR609" s="167"/>
      <c r="AS609" s="122"/>
      <c r="AT609" s="122"/>
      <c r="AU609" s="122"/>
      <c r="AV609" s="122"/>
      <c r="AW609" s="122"/>
      <c r="AX609" s="122"/>
      <c r="AY609" s="122"/>
      <c r="AZ609" s="122"/>
      <c r="BA609" s="122"/>
      <c r="BB609" s="122"/>
      <c r="BC609" s="122"/>
      <c r="BD609" s="122"/>
      <c r="BE609" s="122"/>
      <c r="BF609" s="122"/>
      <c r="BG609" s="122"/>
      <c r="BH609" s="122"/>
      <c r="BI609" s="122"/>
      <c r="BJ609" s="122"/>
    </row>
    <row r="610" spans="1:62">
      <c r="A610" s="122"/>
      <c r="B610" s="122"/>
      <c r="C610" s="122"/>
      <c r="D610" s="122"/>
      <c r="E610" s="122"/>
      <c r="F610" s="122"/>
      <c r="G610" s="122"/>
      <c r="H610" s="122"/>
      <c r="I610" s="122"/>
      <c r="J610" s="122"/>
      <c r="K610" s="122"/>
      <c r="L610" s="122"/>
      <c r="M610" s="122"/>
      <c r="N610" s="122"/>
      <c r="O610" s="122"/>
      <c r="P610" s="122"/>
      <c r="Q610" s="122"/>
      <c r="R610" s="122"/>
      <c r="S610" s="122"/>
      <c r="T610" s="122"/>
      <c r="U610" s="122"/>
      <c r="V610" s="122"/>
      <c r="W610" s="122"/>
      <c r="X610" s="122"/>
      <c r="Y610" s="122"/>
      <c r="Z610" s="122"/>
      <c r="AA610" s="122"/>
      <c r="AB610" s="122"/>
      <c r="AC610" s="122"/>
      <c r="AD610" s="122"/>
      <c r="AE610" s="122"/>
      <c r="AF610" s="122"/>
      <c r="AG610" s="122"/>
      <c r="AH610" s="122"/>
      <c r="AI610" s="122"/>
      <c r="AJ610" s="122"/>
      <c r="AK610" s="122"/>
      <c r="AL610" s="122"/>
      <c r="AM610" s="122"/>
      <c r="AN610" s="122"/>
      <c r="AO610" s="122"/>
      <c r="AP610" s="166"/>
      <c r="AQ610" s="122"/>
      <c r="AR610" s="167"/>
      <c r="AS610" s="122"/>
      <c r="AT610" s="122"/>
      <c r="AU610" s="122"/>
      <c r="AV610" s="122"/>
      <c r="AW610" s="122"/>
      <c r="AX610" s="122"/>
      <c r="AY610" s="122"/>
      <c r="AZ610" s="122"/>
      <c r="BA610" s="122"/>
      <c r="BB610" s="122"/>
      <c r="BC610" s="122"/>
      <c r="BD610" s="122"/>
      <c r="BE610" s="122"/>
      <c r="BF610" s="122"/>
      <c r="BG610" s="122"/>
      <c r="BH610" s="122"/>
      <c r="BI610" s="122"/>
      <c r="BJ610" s="122"/>
    </row>
    <row r="611" spans="1:62">
      <c r="A611" s="122"/>
      <c r="B611" s="122"/>
      <c r="C611" s="122"/>
      <c r="D611" s="122"/>
      <c r="E611" s="122"/>
      <c r="F611" s="122"/>
      <c r="G611" s="122"/>
      <c r="H611" s="122"/>
      <c r="I611" s="122"/>
      <c r="J611" s="122"/>
      <c r="K611" s="122"/>
      <c r="L611" s="122"/>
      <c r="M611" s="122"/>
      <c r="N611" s="122"/>
      <c r="O611" s="122"/>
      <c r="P611" s="122"/>
      <c r="Q611" s="122"/>
      <c r="R611" s="122"/>
      <c r="S611" s="122"/>
      <c r="T611" s="122"/>
      <c r="U611" s="122"/>
      <c r="V611" s="122"/>
      <c r="W611" s="122"/>
      <c r="X611" s="122"/>
      <c r="Y611" s="122"/>
      <c r="Z611" s="122"/>
      <c r="AA611" s="122"/>
      <c r="AB611" s="122"/>
      <c r="AC611" s="122"/>
      <c r="AD611" s="122"/>
      <c r="AE611" s="122"/>
      <c r="AF611" s="122"/>
      <c r="AG611" s="122"/>
      <c r="AH611" s="122"/>
      <c r="AI611" s="122"/>
      <c r="AJ611" s="122"/>
      <c r="AK611" s="122"/>
      <c r="AL611" s="122"/>
      <c r="AM611" s="122"/>
      <c r="AN611" s="122"/>
      <c r="AO611" s="122"/>
      <c r="AP611" s="166"/>
      <c r="AQ611" s="122"/>
      <c r="AR611" s="167"/>
      <c r="AS611" s="122"/>
      <c r="AT611" s="122"/>
      <c r="AU611" s="122"/>
      <c r="AV611" s="122"/>
      <c r="AW611" s="122"/>
      <c r="AX611" s="122"/>
      <c r="AY611" s="122"/>
      <c r="AZ611" s="122"/>
      <c r="BA611" s="122"/>
      <c r="BB611" s="122"/>
      <c r="BC611" s="122"/>
      <c r="BD611" s="122"/>
      <c r="BE611" s="122"/>
      <c r="BF611" s="122"/>
      <c r="BG611" s="122"/>
      <c r="BH611" s="122"/>
      <c r="BI611" s="122"/>
      <c r="BJ611" s="122"/>
    </row>
    <row r="612" spans="1:62">
      <c r="A612" s="122"/>
      <c r="B612" s="122"/>
      <c r="C612" s="122"/>
      <c r="D612" s="122"/>
      <c r="E612" s="122"/>
      <c r="F612" s="122"/>
      <c r="G612" s="122"/>
      <c r="H612" s="122"/>
      <c r="I612" s="122"/>
      <c r="J612" s="122"/>
      <c r="K612" s="122"/>
      <c r="L612" s="122"/>
      <c r="M612" s="122"/>
      <c r="N612" s="122"/>
      <c r="O612" s="122"/>
      <c r="P612" s="122"/>
      <c r="Q612" s="122"/>
      <c r="R612" s="122"/>
      <c r="S612" s="122"/>
      <c r="T612" s="122"/>
      <c r="U612" s="122"/>
      <c r="V612" s="122"/>
      <c r="W612" s="122"/>
      <c r="X612" s="122"/>
      <c r="Y612" s="122"/>
      <c r="Z612" s="122"/>
      <c r="AA612" s="122"/>
      <c r="AB612" s="122"/>
      <c r="AC612" s="122"/>
      <c r="AD612" s="122"/>
      <c r="AE612" s="122"/>
      <c r="AF612" s="122"/>
      <c r="AG612" s="122"/>
      <c r="AH612" s="122"/>
      <c r="AI612" s="122"/>
      <c r="AJ612" s="122"/>
      <c r="AK612" s="122"/>
      <c r="AL612" s="122"/>
      <c r="AM612" s="122"/>
      <c r="AN612" s="122"/>
      <c r="AO612" s="122"/>
      <c r="AP612" s="166"/>
      <c r="AQ612" s="122"/>
      <c r="AR612" s="167"/>
      <c r="AS612" s="122"/>
      <c r="AT612" s="122"/>
      <c r="AU612" s="122"/>
      <c r="AV612" s="122"/>
      <c r="AW612" s="122"/>
      <c r="AX612" s="122"/>
      <c r="AY612" s="122"/>
      <c r="AZ612" s="122"/>
      <c r="BA612" s="122"/>
      <c r="BB612" s="122"/>
      <c r="BC612" s="122"/>
      <c r="BD612" s="122"/>
      <c r="BE612" s="122"/>
      <c r="BF612" s="122"/>
      <c r="BG612" s="122"/>
      <c r="BH612" s="122"/>
      <c r="BI612" s="122"/>
      <c r="BJ612" s="122"/>
    </row>
    <row r="613" spans="1:62">
      <c r="A613" s="122"/>
      <c r="B613" s="122"/>
      <c r="C613" s="122"/>
      <c r="D613" s="122"/>
      <c r="E613" s="122"/>
      <c r="F613" s="122"/>
      <c r="G613" s="122"/>
      <c r="H613" s="122"/>
      <c r="I613" s="122"/>
      <c r="J613" s="122"/>
      <c r="K613" s="122"/>
      <c r="L613" s="122"/>
      <c r="M613" s="122"/>
      <c r="N613" s="122"/>
      <c r="O613" s="122"/>
      <c r="P613" s="122"/>
      <c r="Q613" s="122"/>
      <c r="R613" s="122"/>
      <c r="S613" s="122"/>
      <c r="T613" s="122"/>
      <c r="U613" s="122"/>
      <c r="V613" s="122"/>
      <c r="W613" s="122"/>
      <c r="X613" s="122"/>
      <c r="Y613" s="122"/>
      <c r="Z613" s="122"/>
      <c r="AA613" s="122"/>
      <c r="AB613" s="122"/>
      <c r="AC613" s="122"/>
      <c r="AD613" s="122"/>
      <c r="AE613" s="122"/>
      <c r="AF613" s="122"/>
      <c r="AG613" s="122"/>
      <c r="AH613" s="122"/>
      <c r="AI613" s="122"/>
      <c r="AJ613" s="122"/>
      <c r="AK613" s="122"/>
      <c r="AL613" s="122"/>
      <c r="AM613" s="122"/>
      <c r="AN613" s="122"/>
      <c r="AO613" s="122"/>
      <c r="AP613" s="166"/>
      <c r="AQ613" s="122"/>
      <c r="AR613" s="167"/>
      <c r="AS613" s="122"/>
      <c r="AT613" s="122"/>
      <c r="AU613" s="122"/>
      <c r="AV613" s="122"/>
      <c r="AW613" s="122"/>
      <c r="AX613" s="122"/>
      <c r="AY613" s="122"/>
      <c r="AZ613" s="122"/>
      <c r="BA613" s="122"/>
      <c r="BB613" s="122"/>
      <c r="BC613" s="122"/>
      <c r="BD613" s="122"/>
      <c r="BE613" s="122"/>
      <c r="BF613" s="122"/>
      <c r="BG613" s="122"/>
      <c r="BH613" s="122"/>
      <c r="BI613" s="122"/>
      <c r="BJ613" s="122"/>
    </row>
    <row r="614" spans="1:62">
      <c r="A614" s="122"/>
      <c r="B614" s="122"/>
      <c r="C614" s="122"/>
      <c r="D614" s="122"/>
      <c r="E614" s="122"/>
      <c r="F614" s="122"/>
      <c r="G614" s="122"/>
      <c r="H614" s="122"/>
      <c r="I614" s="122"/>
      <c r="J614" s="122"/>
      <c r="K614" s="122"/>
      <c r="L614" s="122"/>
      <c r="M614" s="122"/>
      <c r="N614" s="122"/>
      <c r="O614" s="122"/>
      <c r="P614" s="122"/>
      <c r="Q614" s="122"/>
      <c r="R614" s="122"/>
      <c r="S614" s="122"/>
      <c r="T614" s="122"/>
      <c r="U614" s="122"/>
      <c r="V614" s="122"/>
      <c r="W614" s="122"/>
      <c r="X614" s="122"/>
      <c r="Y614" s="122"/>
      <c r="Z614" s="122"/>
      <c r="AA614" s="122"/>
      <c r="AB614" s="122"/>
      <c r="AC614" s="122"/>
      <c r="AD614" s="122"/>
      <c r="AE614" s="122"/>
      <c r="AF614" s="122"/>
      <c r="AG614" s="122"/>
      <c r="AH614" s="122"/>
      <c r="AI614" s="122"/>
      <c r="AJ614" s="122"/>
      <c r="AK614" s="122"/>
      <c r="AL614" s="122"/>
      <c r="AM614" s="122"/>
      <c r="AN614" s="122"/>
      <c r="AO614" s="122"/>
      <c r="AP614" s="166"/>
      <c r="AQ614" s="122"/>
      <c r="AR614" s="167"/>
      <c r="AS614" s="122"/>
      <c r="AT614" s="122"/>
      <c r="AU614" s="122"/>
      <c r="AV614" s="122"/>
      <c r="AW614" s="122"/>
      <c r="AX614" s="122"/>
      <c r="AY614" s="122"/>
      <c r="AZ614" s="122"/>
      <c r="BA614" s="122"/>
      <c r="BB614" s="122"/>
      <c r="BC614" s="122"/>
      <c r="BD614" s="122"/>
      <c r="BE614" s="122"/>
      <c r="BF614" s="122"/>
      <c r="BG614" s="122"/>
      <c r="BH614" s="122"/>
      <c r="BI614" s="122"/>
      <c r="BJ614" s="122"/>
    </row>
    <row r="615" spans="1:62">
      <c r="A615" s="122"/>
      <c r="B615" s="122"/>
      <c r="C615" s="122"/>
      <c r="D615" s="122"/>
      <c r="E615" s="122"/>
      <c r="F615" s="122"/>
      <c r="G615" s="122"/>
      <c r="H615" s="122"/>
      <c r="I615" s="122"/>
      <c r="J615" s="122"/>
      <c r="K615" s="122"/>
      <c r="L615" s="122"/>
      <c r="M615" s="122"/>
      <c r="N615" s="122"/>
      <c r="O615" s="122"/>
      <c r="P615" s="122"/>
      <c r="Q615" s="122"/>
      <c r="R615" s="122"/>
      <c r="S615" s="122"/>
      <c r="T615" s="122"/>
      <c r="U615" s="122"/>
      <c r="V615" s="122"/>
      <c r="W615" s="122"/>
      <c r="X615" s="122"/>
      <c r="Y615" s="122"/>
      <c r="Z615" s="122"/>
      <c r="AA615" s="122"/>
      <c r="AB615" s="122"/>
      <c r="AC615" s="122"/>
      <c r="AD615" s="122"/>
      <c r="AE615" s="122"/>
      <c r="AF615" s="122"/>
      <c r="AG615" s="122"/>
      <c r="AH615" s="122"/>
      <c r="AI615" s="122"/>
      <c r="AJ615" s="122"/>
      <c r="AK615" s="122"/>
      <c r="AL615" s="122"/>
      <c r="AM615" s="122"/>
      <c r="AN615" s="122"/>
      <c r="AO615" s="122"/>
      <c r="AP615" s="166"/>
      <c r="AQ615" s="122"/>
      <c r="AR615" s="167"/>
      <c r="AS615" s="122"/>
      <c r="AT615" s="122"/>
      <c r="AU615" s="122"/>
      <c r="AV615" s="122"/>
      <c r="AW615" s="122"/>
      <c r="AX615" s="122"/>
      <c r="AY615" s="122"/>
      <c r="AZ615" s="122"/>
      <c r="BA615" s="122"/>
      <c r="BB615" s="122"/>
      <c r="BC615" s="122"/>
      <c r="BD615" s="122"/>
      <c r="BE615" s="122"/>
      <c r="BF615" s="122"/>
      <c r="BG615" s="122"/>
      <c r="BH615" s="122"/>
      <c r="BI615" s="122"/>
      <c r="BJ615" s="122"/>
    </row>
    <row r="616" spans="1:62">
      <c r="A616" s="122"/>
      <c r="B616" s="122"/>
      <c r="C616" s="122"/>
      <c r="D616" s="122"/>
      <c r="E616" s="122"/>
      <c r="F616" s="122"/>
      <c r="G616" s="122"/>
      <c r="H616" s="122"/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2"/>
      <c r="W616" s="122"/>
      <c r="X616" s="122"/>
      <c r="Y616" s="122"/>
      <c r="Z616" s="122"/>
      <c r="AA616" s="122"/>
      <c r="AB616" s="122"/>
      <c r="AC616" s="122"/>
      <c r="AD616" s="122"/>
      <c r="AE616" s="122"/>
      <c r="AF616" s="122"/>
      <c r="AG616" s="122"/>
      <c r="AH616" s="122"/>
      <c r="AI616" s="122"/>
      <c r="AJ616" s="122"/>
      <c r="AK616" s="122"/>
      <c r="AL616" s="122"/>
      <c r="AM616" s="122"/>
      <c r="AN616" s="122"/>
      <c r="AO616" s="122"/>
      <c r="AP616" s="166"/>
      <c r="AQ616" s="122"/>
      <c r="AR616" s="167"/>
      <c r="AS616" s="122"/>
      <c r="AT616" s="122"/>
      <c r="AU616" s="122"/>
      <c r="AV616" s="122"/>
      <c r="AW616" s="122"/>
      <c r="AX616" s="122"/>
      <c r="AY616" s="122"/>
      <c r="AZ616" s="122"/>
      <c r="BA616" s="122"/>
      <c r="BB616" s="122"/>
      <c r="BC616" s="122"/>
      <c r="BD616" s="122"/>
      <c r="BE616" s="122"/>
      <c r="BF616" s="122"/>
      <c r="BG616" s="122"/>
      <c r="BH616" s="122"/>
      <c r="BI616" s="122"/>
      <c r="BJ616" s="122"/>
    </row>
    <row r="617" spans="1:62">
      <c r="A617" s="122"/>
      <c r="B617" s="122"/>
      <c r="C617" s="122"/>
      <c r="D617" s="122"/>
      <c r="E617" s="122"/>
      <c r="F617" s="122"/>
      <c r="G617" s="122"/>
      <c r="H617" s="122"/>
      <c r="I617" s="122"/>
      <c r="J617" s="122"/>
      <c r="K617" s="122"/>
      <c r="L617" s="122"/>
      <c r="M617" s="122"/>
      <c r="N617" s="122"/>
      <c r="O617" s="122"/>
      <c r="P617" s="122"/>
      <c r="Q617" s="122"/>
      <c r="R617" s="122"/>
      <c r="S617" s="122"/>
      <c r="T617" s="122"/>
      <c r="U617" s="122"/>
      <c r="V617" s="122"/>
      <c r="W617" s="122"/>
      <c r="X617" s="122"/>
      <c r="Y617" s="122"/>
      <c r="Z617" s="122"/>
      <c r="AA617" s="122"/>
      <c r="AB617" s="122"/>
      <c r="AC617" s="122"/>
      <c r="AD617" s="122"/>
      <c r="AE617" s="122"/>
      <c r="AF617" s="122"/>
      <c r="AG617" s="122"/>
      <c r="AH617" s="122"/>
      <c r="AI617" s="122"/>
      <c r="AJ617" s="122"/>
      <c r="AK617" s="122"/>
      <c r="AL617" s="122"/>
      <c r="AM617" s="122"/>
      <c r="AN617" s="122"/>
      <c r="AO617" s="122"/>
      <c r="AP617" s="166"/>
      <c r="AQ617" s="122"/>
      <c r="AR617" s="167"/>
      <c r="AS617" s="122"/>
      <c r="AT617" s="122"/>
      <c r="AU617" s="122"/>
      <c r="AV617" s="122"/>
      <c r="AW617" s="122"/>
      <c r="AX617" s="122"/>
      <c r="AY617" s="122"/>
      <c r="AZ617" s="122"/>
      <c r="BA617" s="122"/>
      <c r="BB617" s="122"/>
      <c r="BC617" s="122"/>
      <c r="BD617" s="122"/>
      <c r="BE617" s="122"/>
      <c r="BF617" s="122"/>
      <c r="BG617" s="122"/>
      <c r="BH617" s="122"/>
      <c r="BI617" s="122"/>
      <c r="BJ617" s="122"/>
    </row>
    <row r="618" spans="1:62">
      <c r="A618" s="122"/>
      <c r="B618" s="122"/>
      <c r="C618" s="122"/>
      <c r="D618" s="122"/>
      <c r="E618" s="122"/>
      <c r="F618" s="122"/>
      <c r="G618" s="122"/>
      <c r="H618" s="122"/>
      <c r="I618" s="122"/>
      <c r="J618" s="122"/>
      <c r="K618" s="122"/>
      <c r="L618" s="122"/>
      <c r="M618" s="122"/>
      <c r="N618" s="122"/>
      <c r="O618" s="122"/>
      <c r="P618" s="122"/>
      <c r="Q618" s="122"/>
      <c r="R618" s="122"/>
      <c r="S618" s="122"/>
      <c r="T618" s="122"/>
      <c r="U618" s="122"/>
      <c r="V618" s="122"/>
      <c r="W618" s="122"/>
      <c r="X618" s="122"/>
      <c r="Y618" s="122"/>
      <c r="Z618" s="122"/>
      <c r="AA618" s="122"/>
      <c r="AB618" s="122"/>
      <c r="AC618" s="122"/>
      <c r="AD618" s="122"/>
      <c r="AE618" s="122"/>
      <c r="AF618" s="122"/>
      <c r="AG618" s="122"/>
      <c r="AH618" s="122"/>
      <c r="AI618" s="122"/>
      <c r="AJ618" s="122"/>
      <c r="AK618" s="122"/>
      <c r="AL618" s="122"/>
      <c r="AM618" s="122"/>
      <c r="AN618" s="122"/>
      <c r="AO618" s="122"/>
      <c r="AP618" s="166"/>
      <c r="AQ618" s="122"/>
      <c r="AR618" s="167"/>
      <c r="AS618" s="122"/>
      <c r="AT618" s="122"/>
      <c r="AU618" s="122"/>
      <c r="AV618" s="122"/>
      <c r="AW618" s="122"/>
      <c r="AX618" s="122"/>
      <c r="AY618" s="122"/>
      <c r="AZ618" s="122"/>
      <c r="BA618" s="122"/>
      <c r="BB618" s="122"/>
      <c r="BC618" s="122"/>
      <c r="BD618" s="122"/>
      <c r="BE618" s="122"/>
      <c r="BF618" s="122"/>
      <c r="BG618" s="122"/>
      <c r="BH618" s="122"/>
      <c r="BI618" s="122"/>
      <c r="BJ618" s="122"/>
    </row>
    <row r="619" spans="1:62">
      <c r="A619" s="122"/>
      <c r="B619" s="122"/>
      <c r="C619" s="122"/>
      <c r="D619" s="122"/>
      <c r="E619" s="122"/>
      <c r="F619" s="122"/>
      <c r="G619" s="122"/>
      <c r="H619" s="122"/>
      <c r="I619" s="122"/>
      <c r="J619" s="122"/>
      <c r="K619" s="122"/>
      <c r="L619" s="122"/>
      <c r="M619" s="122"/>
      <c r="N619" s="122"/>
      <c r="O619" s="122"/>
      <c r="P619" s="122"/>
      <c r="Q619" s="122"/>
      <c r="R619" s="122"/>
      <c r="S619" s="122"/>
      <c r="T619" s="122"/>
      <c r="U619" s="122"/>
      <c r="V619" s="122"/>
      <c r="W619" s="122"/>
      <c r="X619" s="122"/>
      <c r="Y619" s="122"/>
      <c r="Z619" s="122"/>
      <c r="AA619" s="122"/>
      <c r="AB619" s="122"/>
      <c r="AC619" s="122"/>
      <c r="AD619" s="122"/>
      <c r="AE619" s="122"/>
      <c r="AF619" s="122"/>
      <c r="AG619" s="122"/>
      <c r="AH619" s="122"/>
      <c r="AI619" s="122"/>
      <c r="AJ619" s="122"/>
      <c r="AK619" s="122"/>
      <c r="AL619" s="122"/>
      <c r="AM619" s="122"/>
      <c r="AN619" s="122"/>
      <c r="AO619" s="122"/>
      <c r="AP619" s="166"/>
      <c r="AQ619" s="122"/>
      <c r="AR619" s="167"/>
      <c r="AS619" s="122"/>
      <c r="AT619" s="122"/>
      <c r="AU619" s="122"/>
      <c r="AV619" s="122"/>
      <c r="AW619" s="122"/>
      <c r="AX619" s="122"/>
      <c r="AY619" s="122"/>
      <c r="AZ619" s="122"/>
      <c r="BA619" s="122"/>
      <c r="BB619" s="122"/>
      <c r="BC619" s="122"/>
      <c r="BD619" s="122"/>
      <c r="BE619" s="122"/>
      <c r="BF619" s="122"/>
      <c r="BG619" s="122"/>
      <c r="BH619" s="122"/>
      <c r="BI619" s="122"/>
      <c r="BJ619" s="122"/>
    </row>
    <row r="620" spans="1:62">
      <c r="A620" s="122"/>
      <c r="B620" s="122"/>
      <c r="C620" s="122"/>
      <c r="D620" s="122"/>
      <c r="E620" s="122"/>
      <c r="F620" s="122"/>
      <c r="G620" s="122"/>
      <c r="H620" s="122"/>
      <c r="I620" s="122"/>
      <c r="J620" s="122"/>
      <c r="K620" s="122"/>
      <c r="L620" s="122"/>
      <c r="M620" s="122"/>
      <c r="N620" s="122"/>
      <c r="O620" s="122"/>
      <c r="P620" s="122"/>
      <c r="Q620" s="122"/>
      <c r="R620" s="122"/>
      <c r="S620" s="122"/>
      <c r="T620" s="122"/>
      <c r="U620" s="122"/>
      <c r="V620" s="122"/>
      <c r="W620" s="122"/>
      <c r="X620" s="122"/>
      <c r="Y620" s="122"/>
      <c r="Z620" s="122"/>
      <c r="AA620" s="122"/>
      <c r="AB620" s="122"/>
      <c r="AC620" s="122"/>
      <c r="AD620" s="122"/>
      <c r="AE620" s="122"/>
      <c r="AF620" s="122"/>
      <c r="AG620" s="122"/>
      <c r="AH620" s="122"/>
      <c r="AI620" s="122"/>
      <c r="AJ620" s="122"/>
      <c r="AK620" s="122"/>
      <c r="AL620" s="122"/>
      <c r="AM620" s="122"/>
      <c r="AN620" s="122"/>
      <c r="AO620" s="122"/>
      <c r="AP620" s="166"/>
      <c r="AQ620" s="122"/>
      <c r="AR620" s="167"/>
      <c r="AS620" s="122"/>
      <c r="AT620" s="122"/>
      <c r="AU620" s="122"/>
      <c r="AV620" s="122"/>
      <c r="AW620" s="122"/>
      <c r="AX620" s="122"/>
      <c r="AY620" s="122"/>
      <c r="AZ620" s="122"/>
      <c r="BA620" s="122"/>
      <c r="BB620" s="122"/>
      <c r="BC620" s="122"/>
      <c r="BD620" s="122"/>
      <c r="BE620" s="122"/>
      <c r="BF620" s="122"/>
      <c r="BG620" s="122"/>
      <c r="BH620" s="122"/>
      <c r="BI620" s="122"/>
      <c r="BJ620" s="122"/>
    </row>
    <row r="621" spans="1:62">
      <c r="A621" s="122"/>
      <c r="B621" s="122"/>
      <c r="C621" s="122"/>
      <c r="D621" s="122"/>
      <c r="E621" s="122"/>
      <c r="F621" s="122"/>
      <c r="G621" s="122"/>
      <c r="H621" s="122"/>
      <c r="I621" s="122"/>
      <c r="J621" s="122"/>
      <c r="K621" s="122"/>
      <c r="L621" s="122"/>
      <c r="M621" s="122"/>
      <c r="N621" s="122"/>
      <c r="O621" s="122"/>
      <c r="P621" s="122"/>
      <c r="Q621" s="122"/>
      <c r="R621" s="122"/>
      <c r="S621" s="122"/>
      <c r="T621" s="122"/>
      <c r="U621" s="122"/>
      <c r="V621" s="122"/>
      <c r="W621" s="122"/>
      <c r="X621" s="122"/>
      <c r="Y621" s="122"/>
      <c r="Z621" s="122"/>
      <c r="AA621" s="122"/>
      <c r="AB621" s="122"/>
      <c r="AC621" s="122"/>
      <c r="AD621" s="122"/>
      <c r="AE621" s="122"/>
      <c r="AF621" s="122"/>
      <c r="AG621" s="122"/>
      <c r="AH621" s="122"/>
      <c r="AI621" s="122"/>
      <c r="AJ621" s="122"/>
      <c r="AK621" s="122"/>
      <c r="AL621" s="122"/>
      <c r="AM621" s="122"/>
      <c r="AN621" s="122"/>
      <c r="AO621" s="122"/>
      <c r="AP621" s="166"/>
      <c r="AQ621" s="122"/>
      <c r="AR621" s="167"/>
      <c r="AS621" s="122"/>
      <c r="AT621" s="122"/>
      <c r="AU621" s="122"/>
      <c r="AV621" s="122"/>
      <c r="AW621" s="122"/>
      <c r="AX621" s="122"/>
      <c r="AY621" s="122"/>
      <c r="AZ621" s="122"/>
      <c r="BA621" s="122"/>
      <c r="BB621" s="122"/>
      <c r="BC621" s="122"/>
      <c r="BD621" s="122"/>
      <c r="BE621" s="122"/>
      <c r="BF621" s="122"/>
      <c r="BG621" s="122"/>
      <c r="BH621" s="122"/>
      <c r="BI621" s="122"/>
      <c r="BJ621" s="122"/>
    </row>
    <row r="622" spans="1:62">
      <c r="A622" s="122"/>
      <c r="B622" s="122"/>
      <c r="C622" s="122"/>
      <c r="D622" s="122"/>
      <c r="E622" s="122"/>
      <c r="F622" s="122"/>
      <c r="G622" s="122"/>
      <c r="H622" s="122"/>
      <c r="I622" s="122"/>
      <c r="J622" s="122"/>
      <c r="K622" s="122"/>
      <c r="L622" s="122"/>
      <c r="M622" s="122"/>
      <c r="N622" s="122"/>
      <c r="O622" s="122"/>
      <c r="P622" s="122"/>
      <c r="Q622" s="122"/>
      <c r="R622" s="122"/>
      <c r="S622" s="122"/>
      <c r="T622" s="122"/>
      <c r="U622" s="122"/>
      <c r="V622" s="122"/>
      <c r="W622" s="122"/>
      <c r="X622" s="122"/>
      <c r="Y622" s="122"/>
      <c r="Z622" s="122"/>
      <c r="AA622" s="122"/>
      <c r="AB622" s="122"/>
      <c r="AC622" s="122"/>
      <c r="AD622" s="122"/>
      <c r="AE622" s="122"/>
      <c r="AF622" s="122"/>
      <c r="AG622" s="122"/>
      <c r="AH622" s="122"/>
      <c r="AI622" s="122"/>
      <c r="AJ622" s="122"/>
      <c r="AK622" s="122"/>
      <c r="AL622" s="122"/>
      <c r="AM622" s="122"/>
      <c r="AN622" s="122"/>
      <c r="AO622" s="122"/>
      <c r="AP622" s="166"/>
      <c r="AQ622" s="122"/>
      <c r="AR622" s="167"/>
      <c r="AS622" s="122"/>
      <c r="AT622" s="122"/>
      <c r="AU622" s="122"/>
      <c r="AV622" s="122"/>
      <c r="AW622" s="122"/>
      <c r="AX622" s="122"/>
      <c r="AY622" s="122"/>
      <c r="AZ622" s="122"/>
      <c r="BA622" s="122"/>
      <c r="BB622" s="122"/>
      <c r="BC622" s="122"/>
      <c r="BD622" s="122"/>
      <c r="BE622" s="122"/>
      <c r="BF622" s="122"/>
      <c r="BG622" s="122"/>
      <c r="BH622" s="122"/>
      <c r="BI622" s="122"/>
      <c r="BJ622" s="122"/>
    </row>
    <row r="623" spans="1:62">
      <c r="A623" s="122"/>
      <c r="B623" s="122"/>
      <c r="C623" s="122"/>
      <c r="D623" s="122"/>
      <c r="E623" s="122"/>
      <c r="F623" s="122"/>
      <c r="G623" s="122"/>
      <c r="H623" s="122"/>
      <c r="I623" s="122"/>
      <c r="J623" s="122"/>
      <c r="K623" s="122"/>
      <c r="L623" s="122"/>
      <c r="M623" s="122"/>
      <c r="N623" s="122"/>
      <c r="O623" s="122"/>
      <c r="P623" s="122"/>
      <c r="Q623" s="122"/>
      <c r="R623" s="122"/>
      <c r="S623" s="122"/>
      <c r="T623" s="122"/>
      <c r="U623" s="122"/>
      <c r="V623" s="122"/>
      <c r="W623" s="122"/>
      <c r="X623" s="122"/>
      <c r="Y623" s="122"/>
      <c r="Z623" s="122"/>
      <c r="AA623" s="122"/>
      <c r="AB623" s="122"/>
      <c r="AC623" s="122"/>
      <c r="AD623" s="122"/>
      <c r="AE623" s="122"/>
      <c r="AF623" s="122"/>
      <c r="AG623" s="122"/>
      <c r="AH623" s="122"/>
      <c r="AI623" s="122"/>
      <c r="AJ623" s="122"/>
      <c r="AK623" s="122"/>
      <c r="AL623" s="122"/>
      <c r="AM623" s="122"/>
      <c r="AN623" s="122"/>
      <c r="AO623" s="122"/>
      <c r="AP623" s="166"/>
      <c r="AQ623" s="122"/>
      <c r="AR623" s="167"/>
      <c r="AS623" s="122"/>
      <c r="AT623" s="122"/>
      <c r="AU623" s="122"/>
      <c r="AV623" s="122"/>
      <c r="AW623" s="122"/>
      <c r="AX623" s="122"/>
      <c r="AY623" s="122"/>
      <c r="AZ623" s="122"/>
      <c r="BA623" s="122"/>
      <c r="BB623" s="122"/>
      <c r="BC623" s="122"/>
      <c r="BD623" s="122"/>
      <c r="BE623" s="122"/>
      <c r="BF623" s="122"/>
      <c r="BG623" s="122"/>
      <c r="BH623" s="122"/>
      <c r="BI623" s="122"/>
      <c r="BJ623" s="122"/>
    </row>
    <row r="624" spans="1:62">
      <c r="A624" s="122"/>
      <c r="B624" s="122"/>
      <c r="C624" s="122"/>
      <c r="D624" s="122"/>
      <c r="E624" s="122"/>
      <c r="F624" s="122"/>
      <c r="G624" s="122"/>
      <c r="H624" s="122"/>
      <c r="I624" s="122"/>
      <c r="J624" s="122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2"/>
      <c r="W624" s="122"/>
      <c r="X624" s="122"/>
      <c r="Y624" s="122"/>
      <c r="Z624" s="122"/>
      <c r="AA624" s="122"/>
      <c r="AB624" s="122"/>
      <c r="AC624" s="122"/>
      <c r="AD624" s="122"/>
      <c r="AE624" s="122"/>
      <c r="AF624" s="122"/>
      <c r="AG624" s="122"/>
      <c r="AH624" s="122"/>
      <c r="AI624" s="122"/>
      <c r="AJ624" s="122"/>
      <c r="AK624" s="122"/>
      <c r="AL624" s="122"/>
      <c r="AM624" s="122"/>
      <c r="AN624" s="122"/>
      <c r="AO624" s="122"/>
      <c r="AP624" s="166"/>
      <c r="AQ624" s="122"/>
      <c r="AR624" s="167"/>
      <c r="AS624" s="122"/>
      <c r="AT624" s="122"/>
      <c r="AU624" s="122"/>
      <c r="AV624" s="122"/>
      <c r="AW624" s="122"/>
      <c r="AX624" s="122"/>
      <c r="AY624" s="122"/>
      <c r="AZ624" s="122"/>
      <c r="BA624" s="122"/>
      <c r="BB624" s="122"/>
      <c r="BC624" s="122"/>
      <c r="BD624" s="122"/>
      <c r="BE624" s="122"/>
      <c r="BF624" s="122"/>
      <c r="BG624" s="122"/>
      <c r="BH624" s="122"/>
      <c r="BI624" s="122"/>
      <c r="BJ624" s="122"/>
    </row>
    <row r="625" spans="1:62">
      <c r="A625" s="122"/>
      <c r="B625" s="122"/>
      <c r="C625" s="122"/>
      <c r="D625" s="122"/>
      <c r="E625" s="122"/>
      <c r="F625" s="122"/>
      <c r="G625" s="122"/>
      <c r="H625" s="122"/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2"/>
      <c r="W625" s="122"/>
      <c r="X625" s="122"/>
      <c r="Y625" s="122"/>
      <c r="Z625" s="122"/>
      <c r="AA625" s="122"/>
      <c r="AB625" s="122"/>
      <c r="AC625" s="122"/>
      <c r="AD625" s="122"/>
      <c r="AE625" s="122"/>
      <c r="AF625" s="122"/>
      <c r="AG625" s="122"/>
      <c r="AH625" s="122"/>
      <c r="AI625" s="122"/>
      <c r="AJ625" s="122"/>
      <c r="AK625" s="122"/>
      <c r="AL625" s="122"/>
      <c r="AM625" s="122"/>
      <c r="AN625" s="122"/>
      <c r="AO625" s="122"/>
      <c r="AP625" s="166"/>
      <c r="AQ625" s="122"/>
      <c r="AR625" s="167"/>
      <c r="AS625" s="122"/>
      <c r="AT625" s="122"/>
      <c r="AU625" s="122"/>
      <c r="AV625" s="122"/>
      <c r="AW625" s="122"/>
      <c r="AX625" s="122"/>
      <c r="AY625" s="122"/>
      <c r="AZ625" s="122"/>
      <c r="BA625" s="122"/>
      <c r="BB625" s="122"/>
      <c r="BC625" s="122"/>
      <c r="BD625" s="122"/>
      <c r="BE625" s="122"/>
      <c r="BF625" s="122"/>
      <c r="BG625" s="122"/>
      <c r="BH625" s="122"/>
      <c r="BI625" s="122"/>
      <c r="BJ625" s="122"/>
    </row>
    <row r="626" spans="1:62">
      <c r="A626" s="122"/>
      <c r="B626" s="122"/>
      <c r="C626" s="122"/>
      <c r="D626" s="122"/>
      <c r="E626" s="122"/>
      <c r="F626" s="122"/>
      <c r="G626" s="122"/>
      <c r="H626" s="122"/>
      <c r="I626" s="122"/>
      <c r="J626" s="122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2"/>
      <c r="W626" s="122"/>
      <c r="X626" s="122"/>
      <c r="Y626" s="122"/>
      <c r="Z626" s="122"/>
      <c r="AA626" s="122"/>
      <c r="AB626" s="122"/>
      <c r="AC626" s="122"/>
      <c r="AD626" s="122"/>
      <c r="AE626" s="122"/>
      <c r="AF626" s="122"/>
      <c r="AG626" s="122"/>
      <c r="AH626" s="122"/>
      <c r="AI626" s="122"/>
      <c r="AJ626" s="122"/>
      <c r="AK626" s="122"/>
      <c r="AL626" s="122"/>
      <c r="AM626" s="122"/>
      <c r="AN626" s="122"/>
      <c r="AO626" s="122"/>
      <c r="AP626" s="166"/>
      <c r="AQ626" s="122"/>
      <c r="AR626" s="167"/>
      <c r="AS626" s="122"/>
      <c r="AT626" s="122"/>
      <c r="AU626" s="122"/>
      <c r="AV626" s="122"/>
      <c r="AW626" s="122"/>
      <c r="AX626" s="122"/>
      <c r="AY626" s="122"/>
      <c r="AZ626" s="122"/>
      <c r="BA626" s="122"/>
      <c r="BB626" s="122"/>
      <c r="BC626" s="122"/>
      <c r="BD626" s="122"/>
      <c r="BE626" s="122"/>
      <c r="BF626" s="122"/>
      <c r="BG626" s="122"/>
      <c r="BH626" s="122"/>
      <c r="BI626" s="122"/>
      <c r="BJ626" s="122"/>
    </row>
    <row r="627" spans="1:62">
      <c r="A627" s="122"/>
      <c r="B627" s="122"/>
      <c r="C627" s="122"/>
      <c r="D627" s="122"/>
      <c r="E627" s="122"/>
      <c r="F627" s="122"/>
      <c r="G627" s="122"/>
      <c r="H627" s="122"/>
      <c r="I627" s="122"/>
      <c r="J627" s="122"/>
      <c r="K627" s="122"/>
      <c r="L627" s="122"/>
      <c r="M627" s="122"/>
      <c r="N627" s="122"/>
      <c r="O627" s="122"/>
      <c r="P627" s="122"/>
      <c r="Q627" s="122"/>
      <c r="R627" s="122"/>
      <c r="S627" s="122"/>
      <c r="T627" s="122"/>
      <c r="U627" s="122"/>
      <c r="V627" s="122"/>
      <c r="W627" s="122"/>
      <c r="X627" s="122"/>
      <c r="Y627" s="122"/>
      <c r="Z627" s="122"/>
      <c r="AA627" s="122"/>
      <c r="AB627" s="122"/>
      <c r="AC627" s="122"/>
      <c r="AD627" s="122"/>
      <c r="AE627" s="122"/>
      <c r="AF627" s="122"/>
      <c r="AG627" s="122"/>
      <c r="AH627" s="122"/>
      <c r="AI627" s="122"/>
      <c r="AJ627" s="122"/>
      <c r="AK627" s="122"/>
      <c r="AL627" s="122"/>
      <c r="AM627" s="122"/>
      <c r="AN627" s="122"/>
      <c r="AO627" s="122"/>
      <c r="AP627" s="166"/>
      <c r="AQ627" s="122"/>
      <c r="AR627" s="167"/>
      <c r="AS627" s="122"/>
      <c r="AT627" s="122"/>
      <c r="AU627" s="122"/>
      <c r="AV627" s="122"/>
      <c r="AW627" s="122"/>
      <c r="AX627" s="122"/>
      <c r="AY627" s="122"/>
      <c r="AZ627" s="122"/>
      <c r="BA627" s="122"/>
      <c r="BB627" s="122"/>
      <c r="BC627" s="122"/>
      <c r="BD627" s="122"/>
      <c r="BE627" s="122"/>
      <c r="BF627" s="122"/>
      <c r="BG627" s="122"/>
      <c r="BH627" s="122"/>
      <c r="BI627" s="122"/>
      <c r="BJ627" s="122"/>
    </row>
    <row r="628" spans="1:62">
      <c r="A628" s="122"/>
      <c r="B628" s="122"/>
      <c r="C628" s="122"/>
      <c r="D628" s="122"/>
      <c r="E628" s="122"/>
      <c r="F628" s="122"/>
      <c r="G628" s="122"/>
      <c r="H628" s="122"/>
      <c r="I628" s="122"/>
      <c r="J628" s="122"/>
      <c r="K628" s="122"/>
      <c r="L628" s="122"/>
      <c r="M628" s="122"/>
      <c r="N628" s="122"/>
      <c r="O628" s="122"/>
      <c r="P628" s="122"/>
      <c r="Q628" s="122"/>
      <c r="R628" s="122"/>
      <c r="S628" s="122"/>
      <c r="T628" s="122"/>
      <c r="U628" s="122"/>
      <c r="V628" s="122"/>
      <c r="W628" s="122"/>
      <c r="X628" s="122"/>
      <c r="Y628" s="122"/>
      <c r="Z628" s="122"/>
      <c r="AA628" s="122"/>
      <c r="AB628" s="122"/>
      <c r="AC628" s="122"/>
      <c r="AD628" s="122"/>
      <c r="AE628" s="122"/>
      <c r="AF628" s="122"/>
      <c r="AG628" s="122"/>
      <c r="AH628" s="122"/>
      <c r="AI628" s="122"/>
      <c r="AJ628" s="122"/>
      <c r="AK628" s="122"/>
      <c r="AL628" s="122"/>
      <c r="AM628" s="122"/>
      <c r="AN628" s="122"/>
      <c r="AO628" s="122"/>
      <c r="AP628" s="166"/>
      <c r="AQ628" s="122"/>
      <c r="AR628" s="167"/>
      <c r="AS628" s="122"/>
      <c r="AT628" s="122"/>
      <c r="AU628" s="122"/>
      <c r="AV628" s="122"/>
      <c r="AW628" s="122"/>
      <c r="AX628" s="122"/>
      <c r="AY628" s="122"/>
      <c r="AZ628" s="122"/>
      <c r="BA628" s="122"/>
      <c r="BB628" s="122"/>
      <c r="BC628" s="122"/>
      <c r="BD628" s="122"/>
      <c r="BE628" s="122"/>
      <c r="BF628" s="122"/>
      <c r="BG628" s="122"/>
      <c r="BH628" s="122"/>
      <c r="BI628" s="122"/>
      <c r="BJ628" s="122"/>
    </row>
    <row r="629" spans="1:62">
      <c r="A629" s="122"/>
      <c r="B629" s="122"/>
      <c r="C629" s="122"/>
      <c r="D629" s="122"/>
      <c r="E629" s="122"/>
      <c r="F629" s="122"/>
      <c r="G629" s="122"/>
      <c r="H629" s="122"/>
      <c r="I629" s="122"/>
      <c r="J629" s="122"/>
      <c r="K629" s="122"/>
      <c r="L629" s="122"/>
      <c r="M629" s="122"/>
      <c r="N629" s="122"/>
      <c r="O629" s="122"/>
      <c r="P629" s="122"/>
      <c r="Q629" s="122"/>
      <c r="R629" s="122"/>
      <c r="S629" s="122"/>
      <c r="T629" s="122"/>
      <c r="U629" s="122"/>
      <c r="V629" s="122"/>
      <c r="W629" s="122"/>
      <c r="X629" s="122"/>
      <c r="Y629" s="122"/>
      <c r="Z629" s="122"/>
      <c r="AA629" s="122"/>
      <c r="AB629" s="122"/>
      <c r="AC629" s="122"/>
      <c r="AD629" s="122"/>
      <c r="AE629" s="122"/>
      <c r="AF629" s="122"/>
      <c r="AG629" s="122"/>
      <c r="AH629" s="122"/>
      <c r="AI629" s="122"/>
      <c r="AJ629" s="122"/>
      <c r="AK629" s="122"/>
      <c r="AL629" s="122"/>
      <c r="AM629" s="122"/>
      <c r="AN629" s="122"/>
      <c r="AO629" s="122"/>
      <c r="AP629" s="166"/>
      <c r="AQ629" s="122"/>
      <c r="AR629" s="167"/>
      <c r="AS629" s="122"/>
      <c r="AT629" s="122"/>
      <c r="AU629" s="122"/>
      <c r="AV629" s="122"/>
      <c r="AW629" s="122"/>
      <c r="AX629" s="122"/>
      <c r="AY629" s="122"/>
      <c r="AZ629" s="122"/>
      <c r="BA629" s="122"/>
      <c r="BB629" s="122"/>
      <c r="BC629" s="122"/>
      <c r="BD629" s="122"/>
      <c r="BE629" s="122"/>
      <c r="BF629" s="122"/>
      <c r="BG629" s="122"/>
      <c r="BH629" s="122"/>
      <c r="BI629" s="122"/>
      <c r="BJ629" s="122"/>
    </row>
    <row r="630" spans="1:62">
      <c r="A630" s="122"/>
      <c r="B630" s="122"/>
      <c r="C630" s="122"/>
      <c r="D630" s="122"/>
      <c r="E630" s="122"/>
      <c r="F630" s="122"/>
      <c r="G630" s="122"/>
      <c r="H630" s="122"/>
      <c r="I630" s="122"/>
      <c r="J630" s="122"/>
      <c r="K630" s="122"/>
      <c r="L630" s="122"/>
      <c r="M630" s="122"/>
      <c r="N630" s="122"/>
      <c r="O630" s="122"/>
      <c r="P630" s="122"/>
      <c r="Q630" s="122"/>
      <c r="R630" s="122"/>
      <c r="S630" s="122"/>
      <c r="T630" s="122"/>
      <c r="U630" s="122"/>
      <c r="V630" s="122"/>
      <c r="W630" s="122"/>
      <c r="X630" s="122"/>
      <c r="Y630" s="122"/>
      <c r="Z630" s="122"/>
      <c r="AA630" s="122"/>
      <c r="AB630" s="122"/>
      <c r="AC630" s="122"/>
      <c r="AD630" s="122"/>
      <c r="AE630" s="122"/>
      <c r="AF630" s="122"/>
      <c r="AG630" s="122"/>
      <c r="AH630" s="122"/>
      <c r="AI630" s="122"/>
      <c r="AJ630" s="122"/>
      <c r="AK630" s="122"/>
      <c r="AL630" s="122"/>
      <c r="AM630" s="122"/>
      <c r="AN630" s="122"/>
      <c r="AO630" s="122"/>
      <c r="AP630" s="166"/>
      <c r="AQ630" s="122"/>
      <c r="AR630" s="167"/>
      <c r="AS630" s="122"/>
      <c r="AT630" s="122"/>
      <c r="AU630" s="122"/>
      <c r="AV630" s="122"/>
      <c r="AW630" s="122"/>
      <c r="AX630" s="122"/>
      <c r="AY630" s="122"/>
      <c r="AZ630" s="122"/>
      <c r="BA630" s="122"/>
      <c r="BB630" s="122"/>
      <c r="BC630" s="122"/>
      <c r="BD630" s="122"/>
      <c r="BE630" s="122"/>
      <c r="BF630" s="122"/>
      <c r="BG630" s="122"/>
      <c r="BH630" s="122"/>
      <c r="BI630" s="122"/>
      <c r="BJ630" s="122"/>
    </row>
    <row r="631" spans="1:62">
      <c r="A631" s="122"/>
      <c r="B631" s="122"/>
      <c r="C631" s="122"/>
      <c r="D631" s="122"/>
      <c r="E631" s="122"/>
      <c r="F631" s="122"/>
      <c r="G631" s="122"/>
      <c r="H631" s="122"/>
      <c r="I631" s="122"/>
      <c r="J631" s="122"/>
      <c r="K631" s="122"/>
      <c r="L631" s="122"/>
      <c r="M631" s="122"/>
      <c r="N631" s="122"/>
      <c r="O631" s="122"/>
      <c r="P631" s="122"/>
      <c r="Q631" s="122"/>
      <c r="R631" s="122"/>
      <c r="S631" s="122"/>
      <c r="T631" s="122"/>
      <c r="U631" s="122"/>
      <c r="V631" s="122"/>
      <c r="W631" s="122"/>
      <c r="X631" s="122"/>
      <c r="Y631" s="122"/>
      <c r="Z631" s="122"/>
      <c r="AA631" s="122"/>
      <c r="AB631" s="122"/>
      <c r="AC631" s="122"/>
      <c r="AD631" s="122"/>
      <c r="AE631" s="122"/>
      <c r="AF631" s="122"/>
      <c r="AG631" s="122"/>
      <c r="AH631" s="122"/>
      <c r="AI631" s="122"/>
      <c r="AJ631" s="122"/>
      <c r="AK631" s="122"/>
      <c r="AL631" s="122"/>
      <c r="AM631" s="122"/>
      <c r="AN631" s="122"/>
      <c r="AO631" s="122"/>
      <c r="AP631" s="166"/>
      <c r="AQ631" s="122"/>
      <c r="AR631" s="167"/>
      <c r="AS631" s="122"/>
      <c r="AT631" s="122"/>
      <c r="AU631" s="122"/>
      <c r="AV631" s="122"/>
      <c r="AW631" s="122"/>
      <c r="AX631" s="122"/>
      <c r="AY631" s="122"/>
      <c r="AZ631" s="122"/>
      <c r="BA631" s="122"/>
      <c r="BB631" s="122"/>
      <c r="BC631" s="122"/>
      <c r="BD631" s="122"/>
      <c r="BE631" s="122"/>
      <c r="BF631" s="122"/>
      <c r="BG631" s="122"/>
      <c r="BH631" s="122"/>
      <c r="BI631" s="122"/>
      <c r="BJ631" s="122"/>
    </row>
    <row r="632" spans="1:62">
      <c r="A632" s="122"/>
      <c r="B632" s="122"/>
      <c r="C632" s="122"/>
      <c r="D632" s="122"/>
      <c r="E632" s="122"/>
      <c r="F632" s="122"/>
      <c r="G632" s="122"/>
      <c r="H632" s="122"/>
      <c r="I632" s="122"/>
      <c r="J632" s="122"/>
      <c r="K632" s="122"/>
      <c r="L632" s="122"/>
      <c r="M632" s="122"/>
      <c r="N632" s="122"/>
      <c r="O632" s="122"/>
      <c r="P632" s="122"/>
      <c r="Q632" s="122"/>
      <c r="R632" s="122"/>
      <c r="S632" s="122"/>
      <c r="T632" s="122"/>
      <c r="U632" s="122"/>
      <c r="V632" s="122"/>
      <c r="W632" s="122"/>
      <c r="X632" s="122"/>
      <c r="Y632" s="122"/>
      <c r="Z632" s="122"/>
      <c r="AA632" s="122"/>
      <c r="AB632" s="122"/>
      <c r="AC632" s="122"/>
      <c r="AD632" s="122"/>
      <c r="AE632" s="122"/>
      <c r="AF632" s="122"/>
      <c r="AG632" s="122"/>
      <c r="AH632" s="122"/>
      <c r="AI632" s="122"/>
      <c r="AJ632" s="122"/>
      <c r="AK632" s="122"/>
      <c r="AL632" s="122"/>
      <c r="AM632" s="122"/>
      <c r="AN632" s="122"/>
      <c r="AO632" s="122"/>
      <c r="AP632" s="166"/>
      <c r="AQ632" s="122"/>
      <c r="AR632" s="167"/>
      <c r="AS632" s="122"/>
      <c r="AT632" s="122"/>
      <c r="AU632" s="122"/>
      <c r="AV632" s="122"/>
      <c r="AW632" s="122"/>
      <c r="AX632" s="122"/>
      <c r="AY632" s="122"/>
      <c r="AZ632" s="122"/>
      <c r="BA632" s="122"/>
      <c r="BB632" s="122"/>
      <c r="BC632" s="122"/>
      <c r="BD632" s="122"/>
      <c r="BE632" s="122"/>
      <c r="BF632" s="122"/>
      <c r="BG632" s="122"/>
      <c r="BH632" s="122"/>
      <c r="BI632" s="122"/>
      <c r="BJ632" s="122"/>
    </row>
    <row r="633" spans="1:62">
      <c r="A633" s="122"/>
      <c r="B633" s="122"/>
      <c r="C633" s="122"/>
      <c r="D633" s="122"/>
      <c r="E633" s="122"/>
      <c r="F633" s="122"/>
      <c r="G633" s="122"/>
      <c r="H633" s="122"/>
      <c r="I633" s="122"/>
      <c r="J633" s="122"/>
      <c r="K633" s="122"/>
      <c r="L633" s="122"/>
      <c r="M633" s="122"/>
      <c r="N633" s="122"/>
      <c r="O633" s="122"/>
      <c r="P633" s="122"/>
      <c r="Q633" s="122"/>
      <c r="R633" s="122"/>
      <c r="S633" s="122"/>
      <c r="T633" s="122"/>
      <c r="U633" s="122"/>
      <c r="V633" s="122"/>
      <c r="W633" s="122"/>
      <c r="X633" s="122"/>
      <c r="Y633" s="122"/>
      <c r="Z633" s="122"/>
      <c r="AA633" s="122"/>
      <c r="AB633" s="122"/>
      <c r="AC633" s="122"/>
      <c r="AD633" s="122"/>
      <c r="AE633" s="122"/>
      <c r="AF633" s="122"/>
      <c r="AG633" s="122"/>
      <c r="AH633" s="122"/>
      <c r="AI633" s="122"/>
      <c r="AJ633" s="122"/>
      <c r="AK633" s="122"/>
      <c r="AL633" s="122"/>
      <c r="AM633" s="122"/>
      <c r="AN633" s="122"/>
      <c r="AO633" s="122"/>
      <c r="AP633" s="166"/>
      <c r="AQ633" s="122"/>
      <c r="AR633" s="167"/>
      <c r="AS633" s="122"/>
      <c r="AT633" s="122"/>
      <c r="AU633" s="122"/>
      <c r="AV633" s="122"/>
      <c r="AW633" s="122"/>
      <c r="AX633" s="122"/>
      <c r="AY633" s="122"/>
      <c r="AZ633" s="122"/>
      <c r="BA633" s="122"/>
      <c r="BB633" s="122"/>
      <c r="BC633" s="122"/>
      <c r="BD633" s="122"/>
      <c r="BE633" s="122"/>
      <c r="BF633" s="122"/>
      <c r="BG633" s="122"/>
      <c r="BH633" s="122"/>
      <c r="BI633" s="122"/>
      <c r="BJ633" s="122"/>
    </row>
    <row r="634" spans="1:62">
      <c r="A634" s="122"/>
      <c r="B634" s="122"/>
      <c r="C634" s="122"/>
      <c r="D634" s="122"/>
      <c r="E634" s="122"/>
      <c r="F634" s="122"/>
      <c r="G634" s="122"/>
      <c r="H634" s="122"/>
      <c r="I634" s="122"/>
      <c r="J634" s="122"/>
      <c r="K634" s="122"/>
      <c r="L634" s="122"/>
      <c r="M634" s="122"/>
      <c r="N634" s="122"/>
      <c r="O634" s="122"/>
      <c r="P634" s="122"/>
      <c r="Q634" s="122"/>
      <c r="R634" s="122"/>
      <c r="S634" s="122"/>
      <c r="T634" s="122"/>
      <c r="U634" s="122"/>
      <c r="V634" s="122"/>
      <c r="W634" s="122"/>
      <c r="X634" s="122"/>
      <c r="Y634" s="122"/>
      <c r="Z634" s="122"/>
      <c r="AA634" s="122"/>
      <c r="AB634" s="122"/>
      <c r="AC634" s="122"/>
      <c r="AD634" s="122"/>
      <c r="AE634" s="122"/>
      <c r="AF634" s="122"/>
      <c r="AG634" s="122"/>
      <c r="AH634" s="122"/>
      <c r="AI634" s="122"/>
      <c r="AJ634" s="122"/>
      <c r="AK634" s="122"/>
      <c r="AL634" s="122"/>
      <c r="AM634" s="122"/>
      <c r="AN634" s="122"/>
      <c r="AO634" s="122"/>
      <c r="AP634" s="166"/>
      <c r="AQ634" s="122"/>
      <c r="AR634" s="167"/>
      <c r="AS634" s="122"/>
      <c r="AT634" s="122"/>
      <c r="AU634" s="122"/>
      <c r="AV634" s="122"/>
      <c r="AW634" s="122"/>
      <c r="AX634" s="122"/>
      <c r="AY634" s="122"/>
      <c r="AZ634" s="122"/>
      <c r="BA634" s="122"/>
      <c r="BB634" s="122"/>
      <c r="BC634" s="122"/>
      <c r="BD634" s="122"/>
      <c r="BE634" s="122"/>
      <c r="BF634" s="122"/>
      <c r="BG634" s="122"/>
      <c r="BH634" s="122"/>
      <c r="BI634" s="122"/>
      <c r="BJ634" s="122"/>
    </row>
    <row r="635" spans="1:62">
      <c r="A635" s="122"/>
      <c r="B635" s="122"/>
      <c r="C635" s="122"/>
      <c r="D635" s="122"/>
      <c r="E635" s="122"/>
      <c r="F635" s="122"/>
      <c r="G635" s="122"/>
      <c r="H635" s="122"/>
      <c r="I635" s="122"/>
      <c r="J635" s="122"/>
      <c r="K635" s="122"/>
      <c r="L635" s="122"/>
      <c r="M635" s="122"/>
      <c r="N635" s="122"/>
      <c r="O635" s="122"/>
      <c r="P635" s="122"/>
      <c r="Q635" s="122"/>
      <c r="R635" s="122"/>
      <c r="S635" s="122"/>
      <c r="T635" s="122"/>
      <c r="U635" s="122"/>
      <c r="V635" s="122"/>
      <c r="W635" s="122"/>
      <c r="X635" s="122"/>
      <c r="Y635" s="122"/>
      <c r="Z635" s="122"/>
      <c r="AA635" s="122"/>
      <c r="AB635" s="122"/>
      <c r="AC635" s="122"/>
      <c r="AD635" s="122"/>
      <c r="AE635" s="122"/>
      <c r="AF635" s="122"/>
      <c r="AG635" s="122"/>
      <c r="AH635" s="122"/>
      <c r="AI635" s="122"/>
      <c r="AJ635" s="122"/>
      <c r="AK635" s="122"/>
      <c r="AL635" s="122"/>
      <c r="AM635" s="122"/>
      <c r="AN635" s="122"/>
      <c r="AO635" s="122"/>
      <c r="AP635" s="166"/>
      <c r="AQ635" s="122"/>
      <c r="AR635" s="167"/>
      <c r="AS635" s="122"/>
      <c r="AT635" s="122"/>
      <c r="AU635" s="122"/>
      <c r="AV635" s="122"/>
      <c r="AW635" s="122"/>
      <c r="AX635" s="122"/>
      <c r="AY635" s="122"/>
      <c r="AZ635" s="122"/>
      <c r="BA635" s="122"/>
      <c r="BB635" s="122"/>
      <c r="BC635" s="122"/>
      <c r="BD635" s="122"/>
      <c r="BE635" s="122"/>
      <c r="BF635" s="122"/>
      <c r="BG635" s="122"/>
      <c r="BH635" s="122"/>
      <c r="BI635" s="122"/>
      <c r="BJ635" s="122"/>
    </row>
    <row r="636" spans="1:62">
      <c r="A636" s="122"/>
      <c r="B636" s="122"/>
      <c r="C636" s="122"/>
      <c r="D636" s="122"/>
      <c r="E636" s="122"/>
      <c r="F636" s="122"/>
      <c r="G636" s="122"/>
      <c r="H636" s="122"/>
      <c r="I636" s="122"/>
      <c r="J636" s="122"/>
      <c r="K636" s="122"/>
      <c r="L636" s="122"/>
      <c r="M636" s="122"/>
      <c r="N636" s="122"/>
      <c r="O636" s="122"/>
      <c r="P636" s="122"/>
      <c r="Q636" s="122"/>
      <c r="R636" s="122"/>
      <c r="S636" s="122"/>
      <c r="T636" s="122"/>
      <c r="U636" s="122"/>
      <c r="V636" s="122"/>
      <c r="W636" s="122"/>
      <c r="X636" s="122"/>
      <c r="Y636" s="122"/>
      <c r="Z636" s="122"/>
      <c r="AA636" s="122"/>
      <c r="AB636" s="122"/>
      <c r="AC636" s="122"/>
      <c r="AD636" s="122"/>
      <c r="AE636" s="122"/>
      <c r="AF636" s="122"/>
      <c r="AG636" s="122"/>
      <c r="AH636" s="122"/>
      <c r="AI636" s="122"/>
      <c r="AJ636" s="122"/>
      <c r="AK636" s="122"/>
      <c r="AL636" s="122"/>
      <c r="AM636" s="122"/>
      <c r="AN636" s="122"/>
      <c r="AO636" s="122"/>
      <c r="AP636" s="166"/>
      <c r="AQ636" s="122"/>
      <c r="AR636" s="167"/>
      <c r="AS636" s="122"/>
      <c r="AT636" s="122"/>
      <c r="AU636" s="122"/>
      <c r="AV636" s="122"/>
      <c r="AW636" s="122"/>
      <c r="AX636" s="122"/>
      <c r="AY636" s="122"/>
      <c r="AZ636" s="122"/>
      <c r="BA636" s="122"/>
      <c r="BB636" s="122"/>
      <c r="BC636" s="122"/>
      <c r="BD636" s="122"/>
      <c r="BE636" s="122"/>
      <c r="BF636" s="122"/>
      <c r="BG636" s="122"/>
      <c r="BH636" s="122"/>
      <c r="BI636" s="122"/>
      <c r="BJ636" s="122"/>
    </row>
    <row r="637" spans="1:62">
      <c r="A637" s="122"/>
      <c r="B637" s="122"/>
      <c r="C637" s="122"/>
      <c r="D637" s="122"/>
      <c r="E637" s="122"/>
      <c r="F637" s="122"/>
      <c r="G637" s="122"/>
      <c r="H637" s="122"/>
      <c r="I637" s="122"/>
      <c r="J637" s="122"/>
      <c r="K637" s="122"/>
      <c r="L637" s="122"/>
      <c r="M637" s="122"/>
      <c r="N637" s="122"/>
      <c r="O637" s="122"/>
      <c r="P637" s="122"/>
      <c r="Q637" s="122"/>
      <c r="R637" s="122"/>
      <c r="S637" s="122"/>
      <c r="T637" s="122"/>
      <c r="U637" s="122"/>
      <c r="V637" s="122"/>
      <c r="W637" s="122"/>
      <c r="X637" s="122"/>
      <c r="Y637" s="122"/>
      <c r="Z637" s="122"/>
      <c r="AA637" s="122"/>
      <c r="AB637" s="122"/>
      <c r="AC637" s="122"/>
      <c r="AD637" s="122"/>
      <c r="AE637" s="122"/>
      <c r="AF637" s="122"/>
      <c r="AG637" s="122"/>
      <c r="AH637" s="122"/>
      <c r="AI637" s="122"/>
      <c r="AJ637" s="122"/>
      <c r="AK637" s="122"/>
      <c r="AL637" s="122"/>
      <c r="AM637" s="122"/>
      <c r="AN637" s="122"/>
      <c r="AO637" s="122"/>
      <c r="AP637" s="166"/>
      <c r="AQ637" s="122"/>
      <c r="AR637" s="167"/>
      <c r="AS637" s="122"/>
      <c r="AT637" s="122"/>
      <c r="AU637" s="122"/>
      <c r="AV637" s="122"/>
      <c r="AW637" s="122"/>
      <c r="AX637" s="122"/>
      <c r="AY637" s="122"/>
      <c r="AZ637" s="122"/>
      <c r="BA637" s="122"/>
      <c r="BB637" s="122"/>
      <c r="BC637" s="122"/>
      <c r="BD637" s="122"/>
      <c r="BE637" s="122"/>
      <c r="BF637" s="122"/>
      <c r="BG637" s="122"/>
      <c r="BH637" s="122"/>
      <c r="BI637" s="122"/>
      <c r="BJ637" s="122"/>
    </row>
    <row r="638" spans="1:62">
      <c r="A638" s="122"/>
      <c r="B638" s="122"/>
      <c r="C638" s="122"/>
      <c r="D638" s="122"/>
      <c r="E638" s="122"/>
      <c r="F638" s="122"/>
      <c r="G638" s="122"/>
      <c r="H638" s="122"/>
      <c r="I638" s="122"/>
      <c r="J638" s="122"/>
      <c r="K638" s="122"/>
      <c r="L638" s="122"/>
      <c r="M638" s="122"/>
      <c r="N638" s="122"/>
      <c r="O638" s="122"/>
      <c r="P638" s="122"/>
      <c r="Q638" s="122"/>
      <c r="R638" s="122"/>
      <c r="S638" s="122"/>
      <c r="T638" s="122"/>
      <c r="U638" s="122"/>
      <c r="V638" s="122"/>
      <c r="W638" s="122"/>
      <c r="X638" s="122"/>
      <c r="Y638" s="122"/>
      <c r="Z638" s="122"/>
      <c r="AA638" s="122"/>
      <c r="AB638" s="122"/>
      <c r="AC638" s="122"/>
      <c r="AD638" s="122"/>
      <c r="AE638" s="122"/>
      <c r="AF638" s="122"/>
      <c r="AG638" s="122"/>
      <c r="AH638" s="122"/>
      <c r="AI638" s="122"/>
      <c r="AJ638" s="122"/>
      <c r="AK638" s="122"/>
      <c r="AL638" s="122"/>
      <c r="AM638" s="122"/>
      <c r="AN638" s="122"/>
      <c r="AO638" s="122"/>
      <c r="AP638" s="166"/>
      <c r="AQ638" s="122"/>
      <c r="AR638" s="167"/>
      <c r="AS638" s="122"/>
      <c r="AT638" s="122"/>
      <c r="AU638" s="122"/>
      <c r="AV638" s="122"/>
      <c r="AW638" s="122"/>
      <c r="AX638" s="122"/>
      <c r="AY638" s="122"/>
      <c r="AZ638" s="122"/>
      <c r="BA638" s="122"/>
      <c r="BB638" s="122"/>
      <c r="BC638" s="122"/>
      <c r="BD638" s="122"/>
      <c r="BE638" s="122"/>
      <c r="BF638" s="122"/>
      <c r="BG638" s="122"/>
      <c r="BH638" s="122"/>
      <c r="BI638" s="122"/>
      <c r="BJ638" s="122"/>
    </row>
    <row r="639" spans="1:62">
      <c r="A639" s="122"/>
      <c r="B639" s="122"/>
      <c r="C639" s="122"/>
      <c r="D639" s="122"/>
      <c r="E639" s="122"/>
      <c r="F639" s="122"/>
      <c r="G639" s="122"/>
      <c r="H639" s="122"/>
      <c r="I639" s="122"/>
      <c r="J639" s="122"/>
      <c r="K639" s="122"/>
      <c r="L639" s="122"/>
      <c r="M639" s="122"/>
      <c r="N639" s="122"/>
      <c r="O639" s="122"/>
      <c r="P639" s="122"/>
      <c r="Q639" s="122"/>
      <c r="R639" s="122"/>
      <c r="S639" s="122"/>
      <c r="T639" s="122"/>
      <c r="U639" s="122"/>
      <c r="V639" s="122"/>
      <c r="W639" s="122"/>
      <c r="X639" s="122"/>
      <c r="Y639" s="122"/>
      <c r="Z639" s="122"/>
      <c r="AA639" s="122"/>
      <c r="AB639" s="122"/>
      <c r="AC639" s="122"/>
      <c r="AD639" s="122"/>
      <c r="AE639" s="122"/>
      <c r="AF639" s="122"/>
      <c r="AG639" s="122"/>
      <c r="AH639" s="122"/>
      <c r="AI639" s="122"/>
      <c r="AJ639" s="122"/>
      <c r="AK639" s="122"/>
      <c r="AL639" s="122"/>
      <c r="AM639" s="122"/>
      <c r="AN639" s="122"/>
      <c r="AO639" s="122"/>
      <c r="AP639" s="166"/>
      <c r="AQ639" s="122"/>
      <c r="AR639" s="167"/>
      <c r="AS639" s="122"/>
      <c r="AT639" s="122"/>
      <c r="AU639" s="122"/>
      <c r="AV639" s="122"/>
      <c r="AW639" s="122"/>
      <c r="AX639" s="122"/>
      <c r="AY639" s="122"/>
      <c r="AZ639" s="122"/>
      <c r="BA639" s="122"/>
      <c r="BB639" s="122"/>
      <c r="BC639" s="122"/>
      <c r="BD639" s="122"/>
      <c r="BE639" s="122"/>
      <c r="BF639" s="122"/>
      <c r="BG639" s="122"/>
      <c r="BH639" s="122"/>
      <c r="BI639" s="122"/>
      <c r="BJ639" s="122"/>
    </row>
    <row r="640" spans="1:62">
      <c r="A640" s="122"/>
      <c r="B640" s="122"/>
      <c r="C640" s="122"/>
      <c r="D640" s="122"/>
      <c r="E640" s="122"/>
      <c r="F640" s="122"/>
      <c r="G640" s="122"/>
      <c r="H640" s="122"/>
      <c r="I640" s="122"/>
      <c r="J640" s="122"/>
      <c r="K640" s="122"/>
      <c r="L640" s="122"/>
      <c r="M640" s="122"/>
      <c r="N640" s="122"/>
      <c r="O640" s="122"/>
      <c r="P640" s="122"/>
      <c r="Q640" s="122"/>
      <c r="R640" s="122"/>
      <c r="S640" s="122"/>
      <c r="T640" s="122"/>
      <c r="U640" s="122"/>
      <c r="V640" s="122"/>
      <c r="W640" s="122"/>
      <c r="X640" s="122"/>
      <c r="Y640" s="122"/>
      <c r="Z640" s="122"/>
      <c r="AA640" s="122"/>
      <c r="AB640" s="122"/>
      <c r="AC640" s="122"/>
      <c r="AD640" s="122"/>
      <c r="AE640" s="122"/>
      <c r="AF640" s="122"/>
      <c r="AG640" s="122"/>
      <c r="AH640" s="122"/>
      <c r="AI640" s="122"/>
      <c r="AJ640" s="122"/>
      <c r="AK640" s="122"/>
      <c r="AL640" s="122"/>
      <c r="AM640" s="122"/>
      <c r="AN640" s="122"/>
      <c r="AO640" s="122"/>
      <c r="AP640" s="166"/>
      <c r="AQ640" s="122"/>
      <c r="AR640" s="167"/>
      <c r="AS640" s="122"/>
      <c r="AT640" s="122"/>
      <c r="AU640" s="122"/>
      <c r="AV640" s="122"/>
      <c r="AW640" s="122"/>
      <c r="AX640" s="122"/>
      <c r="AY640" s="122"/>
      <c r="AZ640" s="122"/>
      <c r="BA640" s="122"/>
      <c r="BB640" s="122"/>
      <c r="BC640" s="122"/>
      <c r="BD640" s="122"/>
      <c r="BE640" s="122"/>
      <c r="BF640" s="122"/>
      <c r="BG640" s="122"/>
      <c r="BH640" s="122"/>
      <c r="BI640" s="122"/>
      <c r="BJ640" s="122"/>
    </row>
    <row r="641" spans="1:62">
      <c r="A641" s="122"/>
      <c r="B641" s="122"/>
      <c r="C641" s="122"/>
      <c r="D641" s="122"/>
      <c r="E641" s="122"/>
      <c r="F641" s="122"/>
      <c r="G641" s="122"/>
      <c r="H641" s="122"/>
      <c r="I641" s="122"/>
      <c r="J641" s="122"/>
      <c r="K641" s="122"/>
      <c r="L641" s="122"/>
      <c r="M641" s="122"/>
      <c r="N641" s="122"/>
      <c r="O641" s="122"/>
      <c r="P641" s="122"/>
      <c r="Q641" s="122"/>
      <c r="R641" s="122"/>
      <c r="S641" s="122"/>
      <c r="T641" s="122"/>
      <c r="U641" s="122"/>
      <c r="V641" s="122"/>
      <c r="W641" s="122"/>
      <c r="X641" s="122"/>
      <c r="Y641" s="122"/>
      <c r="Z641" s="122"/>
      <c r="AA641" s="122"/>
      <c r="AB641" s="122"/>
      <c r="AC641" s="122"/>
      <c r="AD641" s="122"/>
      <c r="AE641" s="122"/>
      <c r="AF641" s="122"/>
      <c r="AG641" s="122"/>
      <c r="AH641" s="122"/>
      <c r="AI641" s="122"/>
      <c r="AJ641" s="122"/>
      <c r="AK641" s="122"/>
      <c r="AL641" s="122"/>
      <c r="AM641" s="122"/>
      <c r="AN641" s="122"/>
      <c r="AO641" s="122"/>
      <c r="AP641" s="166"/>
      <c r="AQ641" s="122"/>
      <c r="AR641" s="167"/>
      <c r="AS641" s="122"/>
      <c r="AT641" s="122"/>
      <c r="AU641" s="122"/>
      <c r="AV641" s="122"/>
      <c r="AW641" s="122"/>
      <c r="AX641" s="122"/>
      <c r="AY641" s="122"/>
      <c r="AZ641" s="122"/>
      <c r="BA641" s="122"/>
      <c r="BB641" s="122"/>
      <c r="BC641" s="122"/>
      <c r="BD641" s="122"/>
      <c r="BE641" s="122"/>
      <c r="BF641" s="122"/>
      <c r="BG641" s="122"/>
      <c r="BH641" s="122"/>
      <c r="BI641" s="122"/>
      <c r="BJ641" s="122"/>
    </row>
    <row r="642" spans="1:62">
      <c r="A642" s="122"/>
      <c r="B642" s="122"/>
      <c r="C642" s="122"/>
      <c r="D642" s="122"/>
      <c r="E642" s="122"/>
      <c r="F642" s="122"/>
      <c r="G642" s="122"/>
      <c r="H642" s="122"/>
      <c r="I642" s="122"/>
      <c r="J642" s="122"/>
      <c r="K642" s="122"/>
      <c r="L642" s="122"/>
      <c r="M642" s="122"/>
      <c r="N642" s="122"/>
      <c r="O642" s="122"/>
      <c r="P642" s="122"/>
      <c r="Q642" s="122"/>
      <c r="R642" s="122"/>
      <c r="S642" s="122"/>
      <c r="T642" s="122"/>
      <c r="U642" s="122"/>
      <c r="V642" s="122"/>
      <c r="W642" s="122"/>
      <c r="X642" s="122"/>
      <c r="Y642" s="122"/>
      <c r="Z642" s="122"/>
      <c r="AA642" s="122"/>
      <c r="AB642" s="122"/>
      <c r="AC642" s="122"/>
      <c r="AD642" s="122"/>
      <c r="AE642" s="122"/>
      <c r="AF642" s="122"/>
      <c r="AG642" s="122"/>
      <c r="AH642" s="122"/>
      <c r="AI642" s="122"/>
      <c r="AJ642" s="122"/>
      <c r="AK642" s="122"/>
      <c r="AL642" s="122"/>
      <c r="AM642" s="122"/>
      <c r="AN642" s="122"/>
      <c r="AO642" s="122"/>
      <c r="AP642" s="166"/>
      <c r="AQ642" s="122"/>
      <c r="AR642" s="167"/>
      <c r="AS642" s="122"/>
      <c r="AT642" s="122"/>
      <c r="AU642" s="122"/>
      <c r="AV642" s="122"/>
      <c r="AW642" s="122"/>
      <c r="AX642" s="122"/>
      <c r="AY642" s="122"/>
      <c r="AZ642" s="122"/>
      <c r="BA642" s="122"/>
      <c r="BB642" s="122"/>
      <c r="BC642" s="122"/>
      <c r="BD642" s="122"/>
      <c r="BE642" s="122"/>
      <c r="BF642" s="122"/>
      <c r="BG642" s="122"/>
      <c r="BH642" s="122"/>
      <c r="BI642" s="122"/>
      <c r="BJ642" s="122"/>
    </row>
    <row r="643" spans="1:62">
      <c r="A643" s="122"/>
      <c r="B643" s="122"/>
      <c r="C643" s="122"/>
      <c r="D643" s="122"/>
      <c r="E643" s="122"/>
      <c r="F643" s="122"/>
      <c r="G643" s="122"/>
      <c r="H643" s="122"/>
      <c r="I643" s="122"/>
      <c r="J643" s="122"/>
      <c r="K643" s="122"/>
      <c r="L643" s="122"/>
      <c r="M643" s="122"/>
      <c r="N643" s="122"/>
      <c r="O643" s="122"/>
      <c r="P643" s="122"/>
      <c r="Q643" s="122"/>
      <c r="R643" s="122"/>
      <c r="S643" s="122"/>
      <c r="T643" s="122"/>
      <c r="U643" s="122"/>
      <c r="V643" s="122"/>
      <c r="W643" s="122"/>
      <c r="X643" s="122"/>
      <c r="Y643" s="122"/>
      <c r="Z643" s="122"/>
      <c r="AA643" s="122"/>
      <c r="AB643" s="122"/>
      <c r="AC643" s="122"/>
      <c r="AD643" s="122"/>
      <c r="AE643" s="122"/>
      <c r="AF643" s="122"/>
      <c r="AG643" s="122"/>
      <c r="AH643" s="122"/>
      <c r="AI643" s="122"/>
      <c r="AJ643" s="122"/>
      <c r="AK643" s="122"/>
      <c r="AL643" s="122"/>
      <c r="AM643" s="122"/>
      <c r="AN643" s="122"/>
      <c r="AO643" s="122"/>
      <c r="AP643" s="166"/>
      <c r="AQ643" s="122"/>
      <c r="AR643" s="167"/>
      <c r="AS643" s="122"/>
      <c r="AT643" s="122"/>
      <c r="AU643" s="122"/>
      <c r="AV643" s="122"/>
      <c r="AW643" s="122"/>
      <c r="AX643" s="122"/>
      <c r="AY643" s="122"/>
      <c r="AZ643" s="122"/>
      <c r="BA643" s="122"/>
      <c r="BB643" s="122"/>
      <c r="BC643" s="122"/>
      <c r="BD643" s="122"/>
      <c r="BE643" s="122"/>
      <c r="BF643" s="122"/>
      <c r="BG643" s="122"/>
      <c r="BH643" s="122"/>
      <c r="BI643" s="122"/>
      <c r="BJ643" s="122"/>
    </row>
    <row r="644" spans="1:62">
      <c r="A644" s="122"/>
      <c r="B644" s="122"/>
      <c r="C644" s="122"/>
      <c r="D644" s="122"/>
      <c r="E644" s="122"/>
      <c r="F644" s="122"/>
      <c r="G644" s="122"/>
      <c r="H644" s="122"/>
      <c r="I644" s="122"/>
      <c r="J644" s="122"/>
      <c r="K644" s="122"/>
      <c r="L644" s="122"/>
      <c r="M644" s="122"/>
      <c r="N644" s="122"/>
      <c r="O644" s="122"/>
      <c r="P644" s="122"/>
      <c r="Q644" s="122"/>
      <c r="R644" s="122"/>
      <c r="S644" s="122"/>
      <c r="T644" s="122"/>
      <c r="U644" s="122"/>
      <c r="V644" s="122"/>
      <c r="W644" s="122"/>
      <c r="X644" s="122"/>
      <c r="Y644" s="122"/>
      <c r="Z644" s="122"/>
      <c r="AA644" s="122"/>
      <c r="AB644" s="122"/>
      <c r="AC644" s="122"/>
      <c r="AD644" s="122"/>
      <c r="AE644" s="122"/>
      <c r="AF644" s="122"/>
      <c r="AG644" s="122"/>
      <c r="AH644" s="122"/>
      <c r="AI644" s="122"/>
      <c r="AJ644" s="122"/>
      <c r="AK644" s="122"/>
      <c r="AL644" s="122"/>
      <c r="AM644" s="122"/>
      <c r="AN644" s="122"/>
      <c r="AO644" s="122"/>
      <c r="AP644" s="166"/>
      <c r="AQ644" s="122"/>
      <c r="AR644" s="167"/>
      <c r="AS644" s="122"/>
      <c r="AT644" s="122"/>
      <c r="AU644" s="122"/>
      <c r="AV644" s="122"/>
      <c r="AW644" s="122"/>
      <c r="AX644" s="122"/>
      <c r="AY644" s="122"/>
      <c r="AZ644" s="122"/>
      <c r="BA644" s="122"/>
      <c r="BB644" s="122"/>
      <c r="BC644" s="122"/>
      <c r="BD644" s="122"/>
      <c r="BE644" s="122"/>
      <c r="BF644" s="122"/>
      <c r="BG644" s="122"/>
      <c r="BH644" s="122"/>
      <c r="BI644" s="122"/>
      <c r="BJ644" s="122"/>
    </row>
    <row r="645" spans="1:62">
      <c r="A645" s="122"/>
      <c r="B645" s="122"/>
      <c r="C645" s="122"/>
      <c r="D645" s="122"/>
      <c r="E645" s="122"/>
      <c r="F645" s="122"/>
      <c r="G645" s="122"/>
      <c r="H645" s="122"/>
      <c r="I645" s="122"/>
      <c r="J645" s="122"/>
      <c r="K645" s="122"/>
      <c r="L645" s="122"/>
      <c r="M645" s="122"/>
      <c r="N645" s="122"/>
      <c r="O645" s="122"/>
      <c r="P645" s="122"/>
      <c r="Q645" s="122"/>
      <c r="R645" s="122"/>
      <c r="S645" s="122"/>
      <c r="T645" s="122"/>
      <c r="U645" s="122"/>
      <c r="V645" s="122"/>
      <c r="W645" s="122"/>
      <c r="X645" s="122"/>
      <c r="Y645" s="122"/>
      <c r="Z645" s="122"/>
      <c r="AA645" s="122"/>
      <c r="AB645" s="122"/>
      <c r="AC645" s="122"/>
      <c r="AD645" s="122"/>
      <c r="AE645" s="122"/>
      <c r="AF645" s="122"/>
      <c r="AG645" s="122"/>
      <c r="AH645" s="122"/>
      <c r="AI645" s="122"/>
      <c r="AJ645" s="122"/>
      <c r="AK645" s="122"/>
      <c r="AL645" s="122"/>
      <c r="AM645" s="122"/>
      <c r="AN645" s="122"/>
      <c r="AO645" s="122"/>
      <c r="AP645" s="166"/>
      <c r="AQ645" s="122"/>
      <c r="AR645" s="167"/>
      <c r="AS645" s="122"/>
      <c r="AT645" s="122"/>
      <c r="AU645" s="122"/>
      <c r="AV645" s="122"/>
      <c r="AW645" s="122"/>
      <c r="AX645" s="122"/>
      <c r="AY645" s="122"/>
      <c r="AZ645" s="122"/>
      <c r="BA645" s="122"/>
      <c r="BB645" s="122"/>
      <c r="BC645" s="122"/>
      <c r="BD645" s="122"/>
      <c r="BE645" s="122"/>
      <c r="BF645" s="122"/>
      <c r="BG645" s="122"/>
      <c r="BH645" s="122"/>
      <c r="BI645" s="122"/>
      <c r="BJ645" s="122"/>
    </row>
    <row r="646" spans="1:62">
      <c r="A646" s="122"/>
      <c r="B646" s="122"/>
      <c r="C646" s="122"/>
      <c r="D646" s="122"/>
      <c r="E646" s="122"/>
      <c r="F646" s="122"/>
      <c r="G646" s="122"/>
      <c r="H646" s="122"/>
      <c r="I646" s="122"/>
      <c r="J646" s="122"/>
      <c r="K646" s="122"/>
      <c r="L646" s="122"/>
      <c r="M646" s="122"/>
      <c r="N646" s="122"/>
      <c r="O646" s="122"/>
      <c r="P646" s="122"/>
      <c r="Q646" s="122"/>
      <c r="R646" s="122"/>
      <c r="S646" s="122"/>
      <c r="T646" s="122"/>
      <c r="U646" s="122"/>
      <c r="V646" s="122"/>
      <c r="W646" s="122"/>
      <c r="X646" s="122"/>
      <c r="Y646" s="122"/>
      <c r="Z646" s="122"/>
      <c r="AA646" s="122"/>
      <c r="AB646" s="122"/>
      <c r="AC646" s="122"/>
      <c r="AD646" s="122"/>
      <c r="AE646" s="122"/>
      <c r="AF646" s="122"/>
      <c r="AG646" s="122"/>
      <c r="AH646" s="122"/>
      <c r="AI646" s="122"/>
      <c r="AJ646" s="122"/>
      <c r="AK646" s="122"/>
      <c r="AL646" s="122"/>
      <c r="AM646" s="122"/>
      <c r="AN646" s="122"/>
      <c r="AO646" s="122"/>
      <c r="AP646" s="166"/>
      <c r="AQ646" s="122"/>
      <c r="AR646" s="167"/>
      <c r="AS646" s="122"/>
      <c r="AT646" s="122"/>
      <c r="AU646" s="122"/>
      <c r="AV646" s="122"/>
      <c r="AW646" s="122"/>
      <c r="AX646" s="122"/>
      <c r="AY646" s="122"/>
      <c r="AZ646" s="122"/>
      <c r="BA646" s="122"/>
      <c r="BB646" s="122"/>
      <c r="BC646" s="122"/>
      <c r="BD646" s="122"/>
      <c r="BE646" s="122"/>
      <c r="BF646" s="122"/>
      <c r="BG646" s="122"/>
      <c r="BH646" s="122"/>
      <c r="BI646" s="122"/>
      <c r="BJ646" s="122"/>
    </row>
    <row r="647" spans="1:62">
      <c r="A647" s="122"/>
      <c r="B647" s="122"/>
      <c r="C647" s="122"/>
      <c r="D647" s="122"/>
      <c r="E647" s="122"/>
      <c r="F647" s="122"/>
      <c r="G647" s="122"/>
      <c r="H647" s="122"/>
      <c r="I647" s="122"/>
      <c r="J647" s="122"/>
      <c r="K647" s="122"/>
      <c r="L647" s="122"/>
      <c r="M647" s="122"/>
      <c r="N647" s="122"/>
      <c r="O647" s="122"/>
      <c r="P647" s="122"/>
      <c r="Q647" s="122"/>
      <c r="R647" s="122"/>
      <c r="S647" s="122"/>
      <c r="T647" s="122"/>
      <c r="U647" s="122"/>
      <c r="V647" s="122"/>
      <c r="W647" s="122"/>
      <c r="X647" s="122"/>
      <c r="Y647" s="122"/>
      <c r="Z647" s="122"/>
      <c r="AA647" s="122"/>
      <c r="AB647" s="122"/>
      <c r="AC647" s="122"/>
      <c r="AD647" s="122"/>
      <c r="AE647" s="122"/>
      <c r="AF647" s="122"/>
      <c r="AG647" s="122"/>
      <c r="AH647" s="122"/>
      <c r="AI647" s="122"/>
      <c r="AJ647" s="122"/>
      <c r="AK647" s="122"/>
      <c r="AL647" s="122"/>
      <c r="AM647" s="122"/>
      <c r="AN647" s="122"/>
      <c r="AO647" s="122"/>
      <c r="AP647" s="166"/>
      <c r="AQ647" s="122"/>
      <c r="AR647" s="167"/>
      <c r="AS647" s="122"/>
      <c r="AT647" s="122"/>
      <c r="AU647" s="122"/>
      <c r="AV647" s="122"/>
      <c r="AW647" s="122"/>
      <c r="AX647" s="122"/>
      <c r="AY647" s="122"/>
      <c r="AZ647" s="122"/>
      <c r="BA647" s="122"/>
      <c r="BB647" s="122"/>
      <c r="BC647" s="122"/>
      <c r="BD647" s="122"/>
      <c r="BE647" s="122"/>
      <c r="BF647" s="122"/>
      <c r="BG647" s="122"/>
      <c r="BH647" s="122"/>
      <c r="BI647" s="122"/>
      <c r="BJ647" s="122"/>
    </row>
    <row r="648" spans="1:62">
      <c r="A648" s="122"/>
      <c r="B648" s="122"/>
      <c r="C648" s="122"/>
      <c r="D648" s="122"/>
      <c r="E648" s="122"/>
      <c r="F648" s="122"/>
      <c r="G648" s="122"/>
      <c r="H648" s="122"/>
      <c r="I648" s="122"/>
      <c r="J648" s="122"/>
      <c r="K648" s="122"/>
      <c r="L648" s="122"/>
      <c r="M648" s="122"/>
      <c r="N648" s="122"/>
      <c r="O648" s="122"/>
      <c r="P648" s="122"/>
      <c r="Q648" s="122"/>
      <c r="R648" s="122"/>
      <c r="S648" s="122"/>
      <c r="T648" s="122"/>
      <c r="U648" s="122"/>
      <c r="V648" s="122"/>
      <c r="W648" s="122"/>
      <c r="X648" s="122"/>
      <c r="Y648" s="122"/>
      <c r="Z648" s="122"/>
      <c r="AA648" s="122"/>
      <c r="AB648" s="122"/>
      <c r="AC648" s="122"/>
      <c r="AD648" s="122"/>
      <c r="AE648" s="122"/>
      <c r="AF648" s="122"/>
      <c r="AG648" s="122"/>
      <c r="AH648" s="122"/>
      <c r="AI648" s="122"/>
      <c r="AJ648" s="122"/>
      <c r="AK648" s="122"/>
      <c r="AL648" s="122"/>
      <c r="AM648" s="122"/>
      <c r="AN648" s="122"/>
      <c r="AO648" s="122"/>
      <c r="AP648" s="166"/>
      <c r="AQ648" s="122"/>
      <c r="AR648" s="167"/>
      <c r="AS648" s="122"/>
      <c r="AT648" s="122"/>
      <c r="AU648" s="122"/>
      <c r="AV648" s="122"/>
      <c r="AW648" s="122"/>
      <c r="AX648" s="122"/>
      <c r="AY648" s="122"/>
      <c r="AZ648" s="122"/>
      <c r="BA648" s="122"/>
      <c r="BB648" s="122"/>
      <c r="BC648" s="122"/>
      <c r="BD648" s="122"/>
      <c r="BE648" s="122"/>
      <c r="BF648" s="122"/>
      <c r="BG648" s="122"/>
      <c r="BH648" s="122"/>
      <c r="BI648" s="122"/>
      <c r="BJ648" s="122"/>
    </row>
    <row r="649" spans="1:62">
      <c r="A649" s="122"/>
      <c r="B649" s="122"/>
      <c r="C649" s="122"/>
      <c r="D649" s="122"/>
      <c r="E649" s="122"/>
      <c r="F649" s="122"/>
      <c r="G649" s="122"/>
      <c r="H649" s="122"/>
      <c r="I649" s="122"/>
      <c r="J649" s="122"/>
      <c r="K649" s="122"/>
      <c r="L649" s="122"/>
      <c r="M649" s="122"/>
      <c r="N649" s="122"/>
      <c r="O649" s="122"/>
      <c r="P649" s="122"/>
      <c r="Q649" s="122"/>
      <c r="R649" s="122"/>
      <c r="S649" s="122"/>
      <c r="T649" s="122"/>
      <c r="U649" s="122"/>
      <c r="V649" s="122"/>
      <c r="W649" s="122"/>
      <c r="X649" s="122"/>
      <c r="Y649" s="122"/>
      <c r="Z649" s="122"/>
      <c r="AA649" s="122"/>
      <c r="AB649" s="122"/>
      <c r="AC649" s="122"/>
      <c r="AD649" s="122"/>
      <c r="AE649" s="122"/>
      <c r="AF649" s="122"/>
      <c r="AG649" s="122"/>
      <c r="AH649" s="122"/>
      <c r="AI649" s="122"/>
      <c r="AJ649" s="122"/>
      <c r="AK649" s="122"/>
      <c r="AL649" s="122"/>
      <c r="AM649" s="122"/>
      <c r="AN649" s="122"/>
      <c r="AO649" s="122"/>
      <c r="AP649" s="166"/>
      <c r="AQ649" s="122"/>
      <c r="AR649" s="167"/>
      <c r="AS649" s="122"/>
      <c r="AT649" s="122"/>
      <c r="AU649" s="122"/>
      <c r="AV649" s="122"/>
      <c r="AW649" s="122"/>
      <c r="AX649" s="122"/>
      <c r="AY649" s="122"/>
      <c r="AZ649" s="122"/>
      <c r="BA649" s="122"/>
      <c r="BB649" s="122"/>
      <c r="BC649" s="122"/>
      <c r="BD649" s="122"/>
      <c r="BE649" s="122"/>
      <c r="BF649" s="122"/>
      <c r="BG649" s="122"/>
      <c r="BH649" s="122"/>
      <c r="BI649" s="122"/>
      <c r="BJ649" s="122"/>
    </row>
    <row r="650" spans="1:62">
      <c r="A650" s="122"/>
      <c r="B650" s="122"/>
      <c r="C650" s="122"/>
      <c r="D650" s="122"/>
      <c r="E650" s="122"/>
      <c r="F650" s="122"/>
      <c r="G650" s="122"/>
      <c r="H650" s="122"/>
      <c r="I650" s="122"/>
      <c r="J650" s="122"/>
      <c r="K650" s="122"/>
      <c r="L650" s="122"/>
      <c r="M650" s="122"/>
      <c r="N650" s="122"/>
      <c r="O650" s="122"/>
      <c r="P650" s="122"/>
      <c r="Q650" s="122"/>
      <c r="R650" s="122"/>
      <c r="S650" s="122"/>
      <c r="T650" s="122"/>
      <c r="U650" s="122"/>
      <c r="V650" s="122"/>
      <c r="W650" s="122"/>
      <c r="X650" s="122"/>
      <c r="Y650" s="122"/>
      <c r="Z650" s="122"/>
      <c r="AA650" s="122"/>
      <c r="AB650" s="122"/>
      <c r="AC650" s="122"/>
      <c r="AD650" s="122"/>
      <c r="AE650" s="122"/>
      <c r="AF650" s="122"/>
      <c r="AG650" s="122"/>
      <c r="AH650" s="122"/>
      <c r="AI650" s="122"/>
      <c r="AJ650" s="122"/>
      <c r="AK650" s="122"/>
      <c r="AL650" s="122"/>
      <c r="AM650" s="122"/>
      <c r="AN650" s="122"/>
      <c r="AO650" s="122"/>
      <c r="AP650" s="166"/>
      <c r="AQ650" s="122"/>
      <c r="AR650" s="167"/>
      <c r="AS650" s="122"/>
      <c r="AT650" s="122"/>
      <c r="AU650" s="122"/>
      <c r="AV650" s="122"/>
      <c r="AW650" s="122"/>
      <c r="AX650" s="122"/>
      <c r="AY650" s="122"/>
      <c r="AZ650" s="122"/>
      <c r="BA650" s="122"/>
      <c r="BB650" s="122"/>
      <c r="BC650" s="122"/>
      <c r="BD650" s="122"/>
      <c r="BE650" s="122"/>
      <c r="BF650" s="122"/>
      <c r="BG650" s="122"/>
      <c r="BH650" s="122"/>
      <c r="BI650" s="122"/>
      <c r="BJ650" s="122"/>
    </row>
    <row r="651" spans="1:62">
      <c r="A651" s="122"/>
      <c r="B651" s="122"/>
      <c r="C651" s="122"/>
      <c r="D651" s="122"/>
      <c r="E651" s="122"/>
      <c r="F651" s="122"/>
      <c r="G651" s="122"/>
      <c r="H651" s="122"/>
      <c r="I651" s="122"/>
      <c r="J651" s="122"/>
      <c r="K651" s="122"/>
      <c r="L651" s="122"/>
      <c r="M651" s="122"/>
      <c r="N651" s="122"/>
      <c r="O651" s="122"/>
      <c r="P651" s="122"/>
      <c r="Q651" s="122"/>
      <c r="R651" s="122"/>
      <c r="S651" s="122"/>
      <c r="T651" s="122"/>
      <c r="U651" s="122"/>
      <c r="V651" s="122"/>
      <c r="W651" s="122"/>
      <c r="X651" s="122"/>
      <c r="Y651" s="122"/>
      <c r="Z651" s="122"/>
      <c r="AA651" s="122"/>
      <c r="AB651" s="122"/>
      <c r="AC651" s="122"/>
      <c r="AD651" s="122"/>
      <c r="AE651" s="122"/>
      <c r="AF651" s="122"/>
      <c r="AG651" s="122"/>
      <c r="AH651" s="122"/>
      <c r="AI651" s="122"/>
      <c r="AJ651" s="122"/>
      <c r="AK651" s="122"/>
      <c r="AL651" s="122"/>
      <c r="AM651" s="122"/>
      <c r="AN651" s="122"/>
      <c r="AO651" s="122"/>
      <c r="AP651" s="166"/>
      <c r="AQ651" s="122"/>
      <c r="AR651" s="167"/>
      <c r="AS651" s="122"/>
      <c r="AT651" s="122"/>
      <c r="AU651" s="122"/>
      <c r="AV651" s="122"/>
      <c r="AW651" s="122"/>
      <c r="AX651" s="122"/>
      <c r="AY651" s="122"/>
      <c r="AZ651" s="122"/>
      <c r="BA651" s="122"/>
      <c r="BB651" s="122"/>
      <c r="BC651" s="122"/>
      <c r="BD651" s="122"/>
      <c r="BE651" s="122"/>
      <c r="BF651" s="122"/>
      <c r="BG651" s="122"/>
      <c r="BH651" s="122"/>
      <c r="BI651" s="122"/>
      <c r="BJ651" s="122"/>
    </row>
    <row r="652" spans="1:62">
      <c r="A652" s="122"/>
      <c r="B652" s="122"/>
      <c r="C652" s="122"/>
      <c r="D652" s="122"/>
      <c r="E652" s="122"/>
      <c r="F652" s="122"/>
      <c r="G652" s="122"/>
      <c r="H652" s="122"/>
      <c r="I652" s="122"/>
      <c r="J652" s="122"/>
      <c r="K652" s="122"/>
      <c r="L652" s="122"/>
      <c r="M652" s="122"/>
      <c r="N652" s="122"/>
      <c r="O652" s="122"/>
      <c r="P652" s="122"/>
      <c r="Q652" s="122"/>
      <c r="R652" s="122"/>
      <c r="S652" s="122"/>
      <c r="T652" s="122"/>
      <c r="U652" s="122"/>
      <c r="V652" s="122"/>
      <c r="W652" s="122"/>
      <c r="X652" s="122"/>
      <c r="Y652" s="122"/>
      <c r="Z652" s="122"/>
      <c r="AA652" s="122"/>
      <c r="AB652" s="122"/>
      <c r="AC652" s="122"/>
      <c r="AD652" s="122"/>
      <c r="AE652" s="122"/>
      <c r="AF652" s="122"/>
      <c r="AG652" s="122"/>
      <c r="AH652" s="122"/>
      <c r="AI652" s="122"/>
      <c r="AJ652" s="122"/>
      <c r="AK652" s="122"/>
      <c r="AL652" s="122"/>
      <c r="AM652" s="122"/>
      <c r="AN652" s="122"/>
      <c r="AO652" s="122"/>
      <c r="AP652" s="166"/>
      <c r="AQ652" s="122"/>
      <c r="AR652" s="167"/>
      <c r="AS652" s="122"/>
      <c r="AT652" s="122"/>
      <c r="AU652" s="122"/>
      <c r="AV652" s="122"/>
      <c r="AW652" s="122"/>
      <c r="AX652" s="122"/>
      <c r="AY652" s="122"/>
      <c r="AZ652" s="122"/>
      <c r="BA652" s="122"/>
      <c r="BB652" s="122"/>
      <c r="BC652" s="122"/>
      <c r="BD652" s="122"/>
      <c r="BE652" s="122"/>
      <c r="BF652" s="122"/>
      <c r="BG652" s="122"/>
      <c r="BH652" s="122"/>
      <c r="BI652" s="122"/>
      <c r="BJ652" s="122"/>
    </row>
    <row r="653" spans="1:62">
      <c r="A653" s="122"/>
      <c r="B653" s="122"/>
      <c r="C653" s="122"/>
      <c r="D653" s="122"/>
      <c r="E653" s="122"/>
      <c r="F653" s="122"/>
      <c r="G653" s="122"/>
      <c r="H653" s="122"/>
      <c r="I653" s="122"/>
      <c r="J653" s="122"/>
      <c r="K653" s="122"/>
      <c r="L653" s="122"/>
      <c r="M653" s="122"/>
      <c r="N653" s="122"/>
      <c r="O653" s="122"/>
      <c r="P653" s="122"/>
      <c r="Q653" s="122"/>
      <c r="R653" s="122"/>
      <c r="S653" s="122"/>
      <c r="T653" s="122"/>
      <c r="U653" s="122"/>
      <c r="V653" s="122"/>
      <c r="W653" s="122"/>
      <c r="X653" s="122"/>
      <c r="Y653" s="122"/>
      <c r="Z653" s="122"/>
      <c r="AA653" s="122"/>
      <c r="AB653" s="122"/>
      <c r="AC653" s="122"/>
      <c r="AD653" s="122"/>
      <c r="AE653" s="122"/>
      <c r="AF653" s="122"/>
      <c r="AG653" s="122"/>
      <c r="AH653" s="122"/>
      <c r="AI653" s="122"/>
      <c r="AJ653" s="122"/>
      <c r="AK653" s="122"/>
      <c r="AL653" s="122"/>
      <c r="AM653" s="122"/>
      <c r="AN653" s="122"/>
      <c r="AO653" s="122"/>
      <c r="AP653" s="166"/>
      <c r="AQ653" s="122"/>
      <c r="AR653" s="167"/>
      <c r="AS653" s="122"/>
      <c r="AT653" s="122"/>
      <c r="AU653" s="122"/>
      <c r="AV653" s="122"/>
      <c r="AW653" s="122"/>
      <c r="AX653" s="122"/>
      <c r="AY653" s="122"/>
      <c r="AZ653" s="122"/>
      <c r="BA653" s="122"/>
      <c r="BB653" s="122"/>
      <c r="BC653" s="122"/>
      <c r="BD653" s="122"/>
      <c r="BE653" s="122"/>
      <c r="BF653" s="122"/>
      <c r="BG653" s="122"/>
      <c r="BH653" s="122"/>
      <c r="BI653" s="122"/>
      <c r="BJ653" s="122"/>
    </row>
    <row r="654" spans="1:62">
      <c r="A654" s="122"/>
      <c r="B654" s="122"/>
      <c r="C654" s="122"/>
      <c r="D654" s="122"/>
      <c r="E654" s="122"/>
      <c r="F654" s="122"/>
      <c r="G654" s="122"/>
      <c r="H654" s="122"/>
      <c r="I654" s="122"/>
      <c r="J654" s="122"/>
      <c r="K654" s="122"/>
      <c r="L654" s="122"/>
      <c r="M654" s="122"/>
      <c r="N654" s="122"/>
      <c r="O654" s="122"/>
      <c r="P654" s="122"/>
      <c r="Q654" s="122"/>
      <c r="R654" s="122"/>
      <c r="S654" s="122"/>
      <c r="T654" s="122"/>
      <c r="U654" s="122"/>
      <c r="V654" s="122"/>
      <c r="W654" s="122"/>
      <c r="X654" s="122"/>
      <c r="Y654" s="122"/>
      <c r="Z654" s="122"/>
      <c r="AA654" s="122"/>
      <c r="AB654" s="122"/>
      <c r="AC654" s="122"/>
      <c r="AD654" s="122"/>
      <c r="AE654" s="122"/>
      <c r="AF654" s="122"/>
      <c r="AG654" s="122"/>
      <c r="AH654" s="122"/>
      <c r="AI654" s="122"/>
      <c r="AJ654" s="122"/>
      <c r="AK654" s="122"/>
      <c r="AL654" s="122"/>
      <c r="AM654" s="122"/>
      <c r="AN654" s="122"/>
      <c r="AO654" s="122"/>
      <c r="AP654" s="166"/>
      <c r="AQ654" s="122"/>
      <c r="AR654" s="167"/>
      <c r="AS654" s="122"/>
      <c r="AT654" s="122"/>
      <c r="AU654" s="122"/>
      <c r="AV654" s="122"/>
      <c r="AW654" s="122"/>
      <c r="AX654" s="122"/>
      <c r="AY654" s="122"/>
      <c r="AZ654" s="122"/>
      <c r="BA654" s="122"/>
      <c r="BB654" s="122"/>
      <c r="BC654" s="122"/>
      <c r="BD654" s="122"/>
      <c r="BE654" s="122"/>
      <c r="BF654" s="122"/>
      <c r="BG654" s="122"/>
      <c r="BH654" s="122"/>
      <c r="BI654" s="122"/>
      <c r="BJ654" s="122"/>
    </row>
    <row r="655" spans="1:62">
      <c r="A655" s="122"/>
      <c r="B655" s="122"/>
      <c r="C655" s="122"/>
      <c r="D655" s="122"/>
      <c r="E655" s="122"/>
      <c r="F655" s="122"/>
      <c r="G655" s="122"/>
      <c r="H655" s="122"/>
      <c r="I655" s="122"/>
      <c r="J655" s="122"/>
      <c r="K655" s="122"/>
      <c r="L655" s="122"/>
      <c r="M655" s="122"/>
      <c r="N655" s="122"/>
      <c r="O655" s="122"/>
      <c r="P655" s="122"/>
      <c r="Q655" s="122"/>
      <c r="R655" s="122"/>
      <c r="S655" s="122"/>
      <c r="T655" s="122"/>
      <c r="U655" s="122"/>
      <c r="V655" s="122"/>
      <c r="W655" s="122"/>
      <c r="X655" s="122"/>
      <c r="Y655" s="122"/>
      <c r="Z655" s="122"/>
      <c r="AA655" s="122"/>
      <c r="AB655" s="122"/>
      <c r="AC655" s="122"/>
      <c r="AD655" s="122"/>
      <c r="AE655" s="122"/>
      <c r="AF655" s="122"/>
      <c r="AG655" s="122"/>
      <c r="AH655" s="122"/>
      <c r="AI655" s="122"/>
      <c r="AJ655" s="122"/>
      <c r="AK655" s="122"/>
      <c r="AL655" s="122"/>
      <c r="AM655" s="122"/>
      <c r="AN655" s="122"/>
      <c r="AO655" s="122"/>
      <c r="AP655" s="166"/>
      <c r="AQ655" s="122"/>
      <c r="AR655" s="167"/>
      <c r="AS655" s="122"/>
      <c r="AT655" s="122"/>
      <c r="AU655" s="122"/>
      <c r="AV655" s="122"/>
      <c r="AW655" s="122"/>
      <c r="AX655" s="122"/>
      <c r="AY655" s="122"/>
      <c r="AZ655" s="122"/>
      <c r="BA655" s="122"/>
      <c r="BB655" s="122"/>
      <c r="BC655" s="122"/>
      <c r="BD655" s="122"/>
      <c r="BE655" s="122"/>
      <c r="BF655" s="122"/>
      <c r="BG655" s="122"/>
      <c r="BH655" s="122"/>
      <c r="BI655" s="122"/>
      <c r="BJ655" s="122"/>
    </row>
    <row r="656" spans="1:62">
      <c r="A656" s="122"/>
      <c r="B656" s="122"/>
      <c r="C656" s="122"/>
      <c r="D656" s="122"/>
      <c r="E656" s="122"/>
      <c r="F656" s="122"/>
      <c r="G656" s="122"/>
      <c r="H656" s="122"/>
      <c r="I656" s="122"/>
      <c r="J656" s="122"/>
      <c r="K656" s="122"/>
      <c r="L656" s="122"/>
      <c r="M656" s="122"/>
      <c r="N656" s="122"/>
      <c r="O656" s="122"/>
      <c r="P656" s="122"/>
      <c r="Q656" s="122"/>
      <c r="R656" s="122"/>
      <c r="S656" s="122"/>
      <c r="T656" s="122"/>
      <c r="U656" s="122"/>
      <c r="V656" s="122"/>
      <c r="W656" s="122"/>
      <c r="X656" s="122"/>
      <c r="Y656" s="122"/>
      <c r="Z656" s="122"/>
      <c r="AA656" s="122"/>
      <c r="AB656" s="122"/>
      <c r="AC656" s="122"/>
      <c r="AD656" s="122"/>
      <c r="AE656" s="122"/>
      <c r="AF656" s="122"/>
      <c r="AG656" s="122"/>
      <c r="AH656" s="122"/>
      <c r="AI656" s="122"/>
      <c r="AJ656" s="122"/>
      <c r="AK656" s="122"/>
      <c r="AL656" s="122"/>
      <c r="AM656" s="122"/>
      <c r="AN656" s="122"/>
      <c r="AO656" s="122"/>
      <c r="AP656" s="166"/>
      <c r="AQ656" s="122"/>
      <c r="AR656" s="167"/>
      <c r="AS656" s="122"/>
      <c r="AT656" s="122"/>
      <c r="AU656" s="122"/>
      <c r="AV656" s="122"/>
      <c r="AW656" s="122"/>
      <c r="AX656" s="122"/>
      <c r="AY656" s="122"/>
      <c r="AZ656" s="122"/>
      <c r="BA656" s="122"/>
      <c r="BB656" s="122"/>
      <c r="BC656" s="122"/>
      <c r="BD656" s="122"/>
      <c r="BE656" s="122"/>
      <c r="BF656" s="122"/>
      <c r="BG656" s="122"/>
      <c r="BH656" s="122"/>
      <c r="BI656" s="122"/>
      <c r="BJ656" s="122"/>
    </row>
    <row r="657" spans="1:62">
      <c r="A657" s="122"/>
      <c r="B657" s="122"/>
      <c r="C657" s="122"/>
      <c r="D657" s="122"/>
      <c r="E657" s="122"/>
      <c r="F657" s="122"/>
      <c r="G657" s="122"/>
      <c r="H657" s="122"/>
      <c r="I657" s="122"/>
      <c r="J657" s="122"/>
      <c r="K657" s="122"/>
      <c r="L657" s="122"/>
      <c r="M657" s="122"/>
      <c r="N657" s="122"/>
      <c r="O657" s="122"/>
      <c r="P657" s="122"/>
      <c r="Q657" s="122"/>
      <c r="R657" s="122"/>
      <c r="S657" s="122"/>
      <c r="T657" s="122"/>
      <c r="U657" s="122"/>
      <c r="V657" s="122"/>
      <c r="W657" s="122"/>
      <c r="X657" s="122"/>
      <c r="Y657" s="122"/>
      <c r="Z657" s="122"/>
      <c r="AA657" s="122"/>
      <c r="AB657" s="122"/>
      <c r="AC657" s="122"/>
      <c r="AD657" s="122"/>
      <c r="AE657" s="122"/>
      <c r="AF657" s="122"/>
      <c r="AG657" s="122"/>
      <c r="AH657" s="122"/>
      <c r="AI657" s="122"/>
      <c r="AJ657" s="122"/>
      <c r="AK657" s="122"/>
      <c r="AL657" s="122"/>
      <c r="AM657" s="122"/>
      <c r="AN657" s="122"/>
      <c r="AO657" s="122"/>
      <c r="AP657" s="166"/>
      <c r="AQ657" s="122"/>
      <c r="AR657" s="167"/>
      <c r="AS657" s="122"/>
      <c r="AT657" s="122"/>
      <c r="AU657" s="122"/>
      <c r="AV657" s="122"/>
      <c r="AW657" s="122"/>
      <c r="AX657" s="122"/>
      <c r="AY657" s="122"/>
      <c r="AZ657" s="122"/>
      <c r="BA657" s="122"/>
      <c r="BB657" s="122"/>
      <c r="BC657" s="122"/>
      <c r="BD657" s="122"/>
      <c r="BE657" s="122"/>
      <c r="BF657" s="122"/>
      <c r="BG657" s="122"/>
      <c r="BH657" s="122"/>
      <c r="BI657" s="122"/>
      <c r="BJ657" s="122"/>
    </row>
    <row r="658" spans="1:62">
      <c r="A658" s="122"/>
      <c r="B658" s="122"/>
      <c r="C658" s="122"/>
      <c r="D658" s="122"/>
      <c r="E658" s="122"/>
      <c r="F658" s="122"/>
      <c r="G658" s="122"/>
      <c r="H658" s="122"/>
      <c r="I658" s="122"/>
      <c r="J658" s="122"/>
      <c r="K658" s="122"/>
      <c r="L658" s="122"/>
      <c r="M658" s="122"/>
      <c r="N658" s="122"/>
      <c r="O658" s="122"/>
      <c r="P658" s="122"/>
      <c r="Q658" s="122"/>
      <c r="R658" s="122"/>
      <c r="S658" s="122"/>
      <c r="T658" s="122"/>
      <c r="U658" s="122"/>
      <c r="V658" s="122"/>
      <c r="W658" s="122"/>
      <c r="X658" s="122"/>
      <c r="Y658" s="122"/>
      <c r="Z658" s="122"/>
      <c r="AA658" s="122"/>
      <c r="AB658" s="122"/>
      <c r="AC658" s="122"/>
      <c r="AD658" s="122"/>
      <c r="AE658" s="122"/>
      <c r="AF658" s="122"/>
      <c r="AG658" s="122"/>
      <c r="AH658" s="122"/>
      <c r="AI658" s="122"/>
      <c r="AJ658" s="122"/>
      <c r="AK658" s="122"/>
      <c r="AL658" s="122"/>
      <c r="AM658" s="122"/>
      <c r="AN658" s="122"/>
      <c r="AO658" s="122"/>
      <c r="AP658" s="166"/>
      <c r="AQ658" s="122"/>
      <c r="AR658" s="167"/>
      <c r="AS658" s="122"/>
      <c r="AT658" s="122"/>
      <c r="AU658" s="122"/>
      <c r="AV658" s="122"/>
      <c r="AW658" s="122"/>
      <c r="AX658" s="122"/>
      <c r="AY658" s="122"/>
      <c r="AZ658" s="122"/>
      <c r="BA658" s="122"/>
      <c r="BB658" s="122"/>
      <c r="BC658" s="122"/>
      <c r="BD658" s="122"/>
      <c r="BE658" s="122"/>
      <c r="BF658" s="122"/>
      <c r="BG658" s="122"/>
      <c r="BH658" s="122"/>
      <c r="BI658" s="122"/>
      <c r="BJ658" s="122"/>
    </row>
    <row r="659" spans="1:62">
      <c r="A659" s="122"/>
      <c r="B659" s="122"/>
      <c r="C659" s="122"/>
      <c r="D659" s="122"/>
      <c r="E659" s="122"/>
      <c r="F659" s="122"/>
      <c r="G659" s="122"/>
      <c r="H659" s="122"/>
      <c r="I659" s="122"/>
      <c r="J659" s="122"/>
      <c r="K659" s="122"/>
      <c r="L659" s="122"/>
      <c r="M659" s="122"/>
      <c r="N659" s="122"/>
      <c r="O659" s="122"/>
      <c r="P659" s="122"/>
      <c r="Q659" s="122"/>
      <c r="R659" s="122"/>
      <c r="S659" s="122"/>
      <c r="T659" s="122"/>
      <c r="U659" s="122"/>
      <c r="V659" s="122"/>
      <c r="W659" s="122"/>
      <c r="X659" s="122"/>
      <c r="Y659" s="122"/>
      <c r="Z659" s="122"/>
      <c r="AA659" s="122"/>
      <c r="AB659" s="122"/>
      <c r="AC659" s="122"/>
      <c r="AD659" s="122"/>
      <c r="AE659" s="122"/>
      <c r="AF659" s="122"/>
      <c r="AG659" s="122"/>
      <c r="AH659" s="122"/>
      <c r="AI659" s="122"/>
      <c r="AJ659" s="122"/>
      <c r="AK659" s="122"/>
      <c r="AL659" s="122"/>
      <c r="AM659" s="122"/>
      <c r="AN659" s="122"/>
      <c r="AO659" s="122"/>
      <c r="AP659" s="166"/>
      <c r="AQ659" s="122"/>
      <c r="AR659" s="167"/>
      <c r="AS659" s="122"/>
      <c r="AT659" s="122"/>
      <c r="AU659" s="122"/>
      <c r="AV659" s="122"/>
      <c r="AW659" s="122"/>
      <c r="AX659" s="122"/>
      <c r="AY659" s="122"/>
      <c r="AZ659" s="122"/>
      <c r="BA659" s="122"/>
      <c r="BB659" s="122"/>
      <c r="BC659" s="122"/>
      <c r="BD659" s="122"/>
      <c r="BE659" s="122"/>
      <c r="BF659" s="122"/>
      <c r="BG659" s="122"/>
      <c r="BH659" s="122"/>
      <c r="BI659" s="122"/>
      <c r="BJ659" s="122"/>
    </row>
    <row r="660" spans="1:62">
      <c r="A660" s="122"/>
      <c r="B660" s="122"/>
      <c r="C660" s="122"/>
      <c r="D660" s="122"/>
      <c r="E660" s="122"/>
      <c r="F660" s="122"/>
      <c r="G660" s="122"/>
      <c r="H660" s="122"/>
      <c r="I660" s="122"/>
      <c r="J660" s="122"/>
      <c r="K660" s="122"/>
      <c r="L660" s="122"/>
      <c r="M660" s="122"/>
      <c r="N660" s="122"/>
      <c r="O660" s="122"/>
      <c r="P660" s="122"/>
      <c r="Q660" s="122"/>
      <c r="R660" s="122"/>
      <c r="S660" s="122"/>
      <c r="T660" s="122"/>
      <c r="U660" s="122"/>
      <c r="V660" s="122"/>
      <c r="W660" s="122"/>
      <c r="X660" s="122"/>
      <c r="Y660" s="122"/>
      <c r="Z660" s="122"/>
      <c r="AA660" s="122"/>
      <c r="AB660" s="122"/>
      <c r="AC660" s="122"/>
      <c r="AD660" s="122"/>
      <c r="AE660" s="122"/>
      <c r="AF660" s="122"/>
      <c r="AG660" s="122"/>
      <c r="AH660" s="122"/>
      <c r="AI660" s="122"/>
      <c r="AJ660" s="122"/>
      <c r="AK660" s="122"/>
      <c r="AL660" s="122"/>
      <c r="AM660" s="122"/>
      <c r="AN660" s="122"/>
      <c r="AO660" s="122"/>
      <c r="AP660" s="166"/>
      <c r="AQ660" s="122"/>
      <c r="AR660" s="167"/>
      <c r="AS660" s="122"/>
      <c r="AT660" s="122"/>
      <c r="AU660" s="122"/>
      <c r="AV660" s="122"/>
      <c r="AW660" s="122"/>
      <c r="AX660" s="122"/>
      <c r="AY660" s="122"/>
      <c r="AZ660" s="122"/>
      <c r="BA660" s="122"/>
      <c r="BB660" s="122"/>
      <c r="BC660" s="122"/>
      <c r="BD660" s="122"/>
      <c r="BE660" s="122"/>
      <c r="BF660" s="122"/>
      <c r="BG660" s="122"/>
      <c r="BH660" s="122"/>
      <c r="BI660" s="122"/>
      <c r="BJ660" s="122"/>
    </row>
    <row r="661" spans="1:62">
      <c r="A661" s="122"/>
      <c r="B661" s="122"/>
      <c r="C661" s="122"/>
      <c r="D661" s="122"/>
      <c r="E661" s="122"/>
      <c r="F661" s="122"/>
      <c r="G661" s="122"/>
      <c r="H661" s="122"/>
      <c r="I661" s="122"/>
      <c r="J661" s="122"/>
      <c r="K661" s="122"/>
      <c r="L661" s="122"/>
      <c r="M661" s="122"/>
      <c r="N661" s="122"/>
      <c r="O661" s="122"/>
      <c r="P661" s="122"/>
      <c r="Q661" s="122"/>
      <c r="R661" s="122"/>
      <c r="S661" s="122"/>
      <c r="T661" s="122"/>
      <c r="U661" s="122"/>
      <c r="V661" s="122"/>
      <c r="W661" s="122"/>
      <c r="X661" s="122"/>
      <c r="Y661" s="122"/>
      <c r="Z661" s="122"/>
      <c r="AA661" s="122"/>
      <c r="AB661" s="122"/>
      <c r="AC661" s="122"/>
      <c r="AD661" s="122"/>
      <c r="AE661" s="122"/>
      <c r="AF661" s="122"/>
      <c r="AG661" s="122"/>
      <c r="AH661" s="122"/>
      <c r="AI661" s="122"/>
      <c r="AJ661" s="122"/>
      <c r="AK661" s="122"/>
      <c r="AL661" s="122"/>
      <c r="AM661" s="122"/>
      <c r="AN661" s="122"/>
      <c r="AO661" s="122"/>
      <c r="AP661" s="166"/>
      <c r="AQ661" s="122"/>
      <c r="AR661" s="167"/>
      <c r="AS661" s="122"/>
      <c r="AT661" s="122"/>
      <c r="AU661" s="122"/>
      <c r="AV661" s="122"/>
      <c r="AW661" s="122"/>
      <c r="AX661" s="122"/>
      <c r="AY661" s="122"/>
      <c r="AZ661" s="122"/>
      <c r="BA661" s="122"/>
      <c r="BB661" s="122"/>
      <c r="BC661" s="122"/>
      <c r="BD661" s="122"/>
      <c r="BE661" s="122"/>
      <c r="BF661" s="122"/>
      <c r="BG661" s="122"/>
      <c r="BH661" s="122"/>
      <c r="BI661" s="122"/>
      <c r="BJ661" s="122"/>
    </row>
    <row r="662" spans="1:62">
      <c r="A662" s="122"/>
      <c r="B662" s="122"/>
      <c r="C662" s="122"/>
      <c r="D662" s="122"/>
      <c r="E662" s="122"/>
      <c r="F662" s="122"/>
      <c r="G662" s="122"/>
      <c r="H662" s="122"/>
      <c r="I662" s="122"/>
      <c r="J662" s="122"/>
      <c r="K662" s="122"/>
      <c r="L662" s="122"/>
      <c r="M662" s="122"/>
      <c r="N662" s="122"/>
      <c r="O662" s="122"/>
      <c r="P662" s="122"/>
      <c r="Q662" s="122"/>
      <c r="R662" s="122"/>
      <c r="S662" s="122"/>
      <c r="T662" s="122"/>
      <c r="U662" s="122"/>
      <c r="V662" s="122"/>
      <c r="W662" s="122"/>
      <c r="X662" s="122"/>
      <c r="Y662" s="122"/>
      <c r="Z662" s="122"/>
      <c r="AA662" s="122"/>
      <c r="AB662" s="122"/>
      <c r="AC662" s="122"/>
      <c r="AD662" s="122"/>
      <c r="AE662" s="122"/>
      <c r="AF662" s="122"/>
      <c r="AG662" s="122"/>
      <c r="AH662" s="122"/>
      <c r="AI662" s="122"/>
      <c r="AJ662" s="122"/>
      <c r="AK662" s="122"/>
      <c r="AL662" s="122"/>
      <c r="AM662" s="122"/>
      <c r="AN662" s="122"/>
      <c r="AO662" s="122"/>
      <c r="AP662" s="166"/>
      <c r="AQ662" s="122"/>
      <c r="AR662" s="167"/>
      <c r="AS662" s="122"/>
      <c r="AT662" s="122"/>
      <c r="AU662" s="122"/>
      <c r="AV662" s="122"/>
      <c r="AW662" s="122"/>
      <c r="AX662" s="122"/>
      <c r="AY662" s="122"/>
      <c r="AZ662" s="122"/>
      <c r="BA662" s="122"/>
      <c r="BB662" s="122"/>
      <c r="BC662" s="122"/>
      <c r="BD662" s="122"/>
      <c r="BE662" s="122"/>
      <c r="BF662" s="122"/>
      <c r="BG662" s="122"/>
      <c r="BH662" s="122"/>
      <c r="BI662" s="122"/>
      <c r="BJ662" s="122"/>
    </row>
    <row r="663" spans="1:62">
      <c r="A663" s="122"/>
      <c r="B663" s="122"/>
      <c r="C663" s="122"/>
      <c r="D663" s="122"/>
      <c r="E663" s="122"/>
      <c r="F663" s="122"/>
      <c r="G663" s="122"/>
      <c r="H663" s="122"/>
      <c r="I663" s="122"/>
      <c r="J663" s="122"/>
      <c r="K663" s="122"/>
      <c r="L663" s="122"/>
      <c r="M663" s="122"/>
      <c r="N663" s="122"/>
      <c r="O663" s="122"/>
      <c r="P663" s="122"/>
      <c r="Q663" s="122"/>
      <c r="R663" s="122"/>
      <c r="S663" s="122"/>
      <c r="T663" s="122"/>
      <c r="U663" s="122"/>
      <c r="V663" s="122"/>
      <c r="W663" s="122"/>
      <c r="X663" s="122"/>
      <c r="Y663" s="122"/>
      <c r="Z663" s="122"/>
      <c r="AA663" s="122"/>
      <c r="AB663" s="122"/>
      <c r="AC663" s="122"/>
      <c r="AD663" s="122"/>
      <c r="AE663" s="122"/>
      <c r="AF663" s="122"/>
      <c r="AG663" s="122"/>
      <c r="AH663" s="122"/>
      <c r="AI663" s="122"/>
      <c r="AJ663" s="122"/>
      <c r="AK663" s="122"/>
      <c r="AL663" s="122"/>
      <c r="AM663" s="122"/>
      <c r="AN663" s="122"/>
      <c r="AO663" s="122"/>
      <c r="AP663" s="166"/>
      <c r="AQ663" s="122"/>
      <c r="AR663" s="167"/>
      <c r="AS663" s="122"/>
      <c r="AT663" s="122"/>
      <c r="AU663" s="122"/>
      <c r="AV663" s="122"/>
      <c r="AW663" s="122"/>
      <c r="AX663" s="122"/>
      <c r="AY663" s="122"/>
      <c r="AZ663" s="122"/>
      <c r="BA663" s="122"/>
      <c r="BB663" s="122"/>
      <c r="BC663" s="122"/>
      <c r="BD663" s="122"/>
      <c r="BE663" s="122"/>
      <c r="BF663" s="122"/>
      <c r="BG663" s="122"/>
      <c r="BH663" s="122"/>
      <c r="BI663" s="122"/>
      <c r="BJ663" s="122"/>
    </row>
    <row r="664" spans="1:62">
      <c r="A664" s="122"/>
      <c r="B664" s="122"/>
      <c r="C664" s="122"/>
      <c r="D664" s="122"/>
      <c r="E664" s="122"/>
      <c r="F664" s="122"/>
      <c r="G664" s="122"/>
      <c r="H664" s="122"/>
      <c r="I664" s="122"/>
      <c r="J664" s="122"/>
      <c r="K664" s="122"/>
      <c r="L664" s="122"/>
      <c r="M664" s="122"/>
      <c r="N664" s="122"/>
      <c r="O664" s="122"/>
      <c r="P664" s="122"/>
      <c r="Q664" s="122"/>
      <c r="R664" s="122"/>
      <c r="S664" s="122"/>
      <c r="T664" s="122"/>
      <c r="U664" s="122"/>
      <c r="V664" s="122"/>
      <c r="W664" s="122"/>
      <c r="X664" s="122"/>
      <c r="Y664" s="122"/>
      <c r="Z664" s="122"/>
      <c r="AA664" s="122"/>
      <c r="AB664" s="122"/>
      <c r="AC664" s="122"/>
      <c r="AD664" s="122"/>
      <c r="AE664" s="122"/>
      <c r="AF664" s="122"/>
      <c r="AG664" s="122"/>
      <c r="AH664" s="122"/>
      <c r="AI664" s="122"/>
      <c r="AJ664" s="122"/>
      <c r="AK664" s="122"/>
      <c r="AL664" s="122"/>
      <c r="AM664" s="122"/>
      <c r="AN664" s="122"/>
      <c r="AO664" s="122"/>
      <c r="AP664" s="166"/>
      <c r="AQ664" s="122"/>
      <c r="AR664" s="167"/>
      <c r="AS664" s="122"/>
      <c r="AT664" s="122"/>
      <c r="AU664" s="122"/>
      <c r="AV664" s="122"/>
      <c r="AW664" s="122"/>
      <c r="AX664" s="122"/>
      <c r="AY664" s="122"/>
      <c r="AZ664" s="122"/>
      <c r="BA664" s="122"/>
      <c r="BB664" s="122"/>
      <c r="BC664" s="122"/>
      <c r="BD664" s="122"/>
      <c r="BE664" s="122"/>
      <c r="BF664" s="122"/>
      <c r="BG664" s="122"/>
      <c r="BH664" s="122"/>
      <c r="BI664" s="122"/>
      <c r="BJ664" s="122"/>
    </row>
    <row r="665" spans="1:62">
      <c r="A665" s="122"/>
      <c r="B665" s="122"/>
      <c r="C665" s="122"/>
      <c r="D665" s="122"/>
      <c r="E665" s="122"/>
      <c r="F665" s="122"/>
      <c r="G665" s="122"/>
      <c r="H665" s="122"/>
      <c r="I665" s="122"/>
      <c r="J665" s="122"/>
      <c r="K665" s="122"/>
      <c r="L665" s="122"/>
      <c r="M665" s="122"/>
      <c r="N665" s="122"/>
      <c r="O665" s="122"/>
      <c r="P665" s="122"/>
      <c r="Q665" s="122"/>
      <c r="R665" s="122"/>
      <c r="S665" s="122"/>
      <c r="T665" s="122"/>
      <c r="U665" s="122"/>
      <c r="V665" s="122"/>
      <c r="W665" s="122"/>
      <c r="X665" s="122"/>
      <c r="Y665" s="122"/>
      <c r="Z665" s="122"/>
      <c r="AA665" s="122"/>
      <c r="AB665" s="122"/>
      <c r="AC665" s="122"/>
      <c r="AD665" s="122"/>
      <c r="AE665" s="122"/>
      <c r="AF665" s="122"/>
      <c r="AG665" s="122"/>
      <c r="AH665" s="122"/>
      <c r="AI665" s="122"/>
      <c r="AJ665" s="122"/>
      <c r="AK665" s="122"/>
      <c r="AL665" s="122"/>
      <c r="AM665" s="122"/>
      <c r="AN665" s="122"/>
      <c r="AO665" s="122"/>
      <c r="AP665" s="166"/>
      <c r="AQ665" s="122"/>
      <c r="AR665" s="167"/>
      <c r="AS665" s="122"/>
      <c r="AT665" s="122"/>
      <c r="AU665" s="122"/>
      <c r="AV665" s="122"/>
      <c r="AW665" s="122"/>
      <c r="AX665" s="122"/>
      <c r="AY665" s="122"/>
      <c r="AZ665" s="122"/>
      <c r="BA665" s="122"/>
      <c r="BB665" s="122"/>
      <c r="BC665" s="122"/>
      <c r="BD665" s="122"/>
      <c r="BE665" s="122"/>
      <c r="BF665" s="122"/>
      <c r="BG665" s="122"/>
      <c r="BH665" s="122"/>
      <c r="BI665" s="122"/>
      <c r="BJ665" s="122"/>
    </row>
    <row r="666" spans="1:62">
      <c r="A666" s="122"/>
      <c r="B666" s="122"/>
      <c r="C666" s="122"/>
      <c r="D666" s="122"/>
      <c r="E666" s="122"/>
      <c r="F666" s="122"/>
      <c r="G666" s="122"/>
      <c r="H666" s="122"/>
      <c r="I666" s="122"/>
      <c r="J666" s="122"/>
      <c r="K666" s="122"/>
      <c r="L666" s="122"/>
      <c r="M666" s="122"/>
      <c r="N666" s="122"/>
      <c r="O666" s="122"/>
      <c r="P666" s="122"/>
      <c r="Q666" s="122"/>
      <c r="R666" s="122"/>
      <c r="S666" s="122"/>
      <c r="T666" s="122"/>
      <c r="U666" s="122"/>
      <c r="V666" s="122"/>
      <c r="W666" s="122"/>
      <c r="X666" s="122"/>
      <c r="Y666" s="122"/>
      <c r="Z666" s="122"/>
      <c r="AA666" s="122"/>
      <c r="AB666" s="122"/>
      <c r="AC666" s="122"/>
      <c r="AD666" s="122"/>
      <c r="AE666" s="122"/>
      <c r="AF666" s="122"/>
      <c r="AG666" s="122"/>
      <c r="AH666" s="122"/>
      <c r="AI666" s="122"/>
      <c r="AJ666" s="122"/>
      <c r="AK666" s="122"/>
      <c r="AL666" s="122"/>
      <c r="AM666" s="122"/>
      <c r="AN666" s="122"/>
      <c r="AO666" s="122"/>
      <c r="AP666" s="166"/>
      <c r="AQ666" s="122"/>
      <c r="AR666" s="167"/>
      <c r="AS666" s="122"/>
      <c r="AT666" s="122"/>
      <c r="AU666" s="122"/>
      <c r="AV666" s="122"/>
      <c r="AW666" s="122"/>
      <c r="AX666" s="122"/>
      <c r="AY666" s="122"/>
      <c r="AZ666" s="122"/>
      <c r="BA666" s="122"/>
      <c r="BB666" s="122"/>
      <c r="BC666" s="122"/>
      <c r="BD666" s="122"/>
      <c r="BE666" s="122"/>
      <c r="BF666" s="122"/>
      <c r="BG666" s="122"/>
      <c r="BH666" s="122"/>
      <c r="BI666" s="122"/>
      <c r="BJ666" s="122"/>
    </row>
    <row r="667" spans="1:62">
      <c r="A667" s="122"/>
      <c r="B667" s="122"/>
      <c r="C667" s="122"/>
      <c r="D667" s="122"/>
      <c r="E667" s="122"/>
      <c r="F667" s="122"/>
      <c r="G667" s="122"/>
      <c r="H667" s="122"/>
      <c r="I667" s="122"/>
      <c r="J667" s="122"/>
      <c r="K667" s="122"/>
      <c r="L667" s="122"/>
      <c r="M667" s="122"/>
      <c r="N667" s="122"/>
      <c r="O667" s="122"/>
      <c r="P667" s="122"/>
      <c r="Q667" s="122"/>
      <c r="R667" s="122"/>
      <c r="S667" s="122"/>
      <c r="T667" s="122"/>
      <c r="U667" s="122"/>
      <c r="V667" s="122"/>
      <c r="W667" s="122"/>
      <c r="X667" s="122"/>
      <c r="Y667" s="122"/>
      <c r="Z667" s="122"/>
      <c r="AA667" s="122"/>
      <c r="AB667" s="122"/>
      <c r="AC667" s="122"/>
      <c r="AD667" s="122"/>
      <c r="AE667" s="122"/>
      <c r="AF667" s="122"/>
      <c r="AG667" s="122"/>
      <c r="AH667" s="122"/>
      <c r="AI667" s="122"/>
      <c r="AJ667" s="122"/>
      <c r="AK667" s="122"/>
      <c r="AL667" s="122"/>
      <c r="AM667" s="122"/>
      <c r="AN667" s="122"/>
      <c r="AO667" s="122"/>
      <c r="AP667" s="166"/>
      <c r="AQ667" s="122"/>
      <c r="AR667" s="167"/>
      <c r="AS667" s="122"/>
      <c r="AT667" s="122"/>
      <c r="AU667" s="122"/>
      <c r="AV667" s="122"/>
      <c r="AW667" s="122"/>
      <c r="AX667" s="122"/>
      <c r="AY667" s="122"/>
      <c r="AZ667" s="122"/>
      <c r="BA667" s="122"/>
      <c r="BB667" s="122"/>
      <c r="BC667" s="122"/>
      <c r="BD667" s="122"/>
      <c r="BE667" s="122"/>
      <c r="BF667" s="122"/>
      <c r="BG667" s="122"/>
      <c r="BH667" s="122"/>
      <c r="BI667" s="122"/>
      <c r="BJ667" s="122"/>
    </row>
    <row r="668" spans="1:62">
      <c r="A668" s="122"/>
      <c r="B668" s="122"/>
      <c r="C668" s="122"/>
      <c r="D668" s="122"/>
      <c r="E668" s="122"/>
      <c r="F668" s="122"/>
      <c r="G668" s="122"/>
      <c r="H668" s="122"/>
      <c r="I668" s="122"/>
      <c r="J668" s="122"/>
      <c r="K668" s="122"/>
      <c r="L668" s="122"/>
      <c r="M668" s="122"/>
      <c r="N668" s="122"/>
      <c r="O668" s="122"/>
      <c r="P668" s="122"/>
      <c r="Q668" s="122"/>
      <c r="R668" s="122"/>
      <c r="S668" s="122"/>
      <c r="T668" s="122"/>
      <c r="U668" s="122"/>
      <c r="V668" s="122"/>
      <c r="W668" s="122"/>
      <c r="X668" s="122"/>
      <c r="Y668" s="122"/>
      <c r="Z668" s="122"/>
      <c r="AA668" s="122"/>
      <c r="AB668" s="122"/>
      <c r="AC668" s="122"/>
      <c r="AD668" s="122"/>
      <c r="AE668" s="122"/>
      <c r="AF668" s="122"/>
      <c r="AG668" s="122"/>
      <c r="AH668" s="122"/>
      <c r="AI668" s="122"/>
      <c r="AJ668" s="122"/>
      <c r="AK668" s="122"/>
      <c r="AL668" s="122"/>
      <c r="AM668" s="122"/>
      <c r="AN668" s="122"/>
      <c r="AO668" s="122"/>
      <c r="AP668" s="166"/>
      <c r="AQ668" s="122"/>
      <c r="AR668" s="167"/>
      <c r="AS668" s="122"/>
      <c r="AT668" s="122"/>
      <c r="AU668" s="122"/>
      <c r="AV668" s="122"/>
      <c r="AW668" s="122"/>
      <c r="AX668" s="122"/>
      <c r="AY668" s="122"/>
      <c r="AZ668" s="122"/>
      <c r="BA668" s="122"/>
      <c r="BB668" s="122"/>
      <c r="BC668" s="122"/>
      <c r="BD668" s="122"/>
      <c r="BE668" s="122"/>
      <c r="BF668" s="122"/>
      <c r="BG668" s="122"/>
      <c r="BH668" s="122"/>
      <c r="BI668" s="122"/>
      <c r="BJ668" s="122"/>
    </row>
    <row r="669" spans="1:62">
      <c r="A669" s="122"/>
      <c r="B669" s="122"/>
      <c r="C669" s="122"/>
      <c r="D669" s="122"/>
      <c r="E669" s="122"/>
      <c r="F669" s="122"/>
      <c r="G669" s="122"/>
      <c r="H669" s="122"/>
      <c r="I669" s="122"/>
      <c r="J669" s="122"/>
      <c r="K669" s="122"/>
      <c r="L669" s="122"/>
      <c r="M669" s="122"/>
      <c r="N669" s="122"/>
      <c r="O669" s="122"/>
      <c r="P669" s="122"/>
      <c r="Q669" s="122"/>
      <c r="R669" s="122"/>
      <c r="S669" s="122"/>
      <c r="T669" s="122"/>
      <c r="U669" s="122"/>
      <c r="V669" s="122"/>
      <c r="W669" s="122"/>
      <c r="X669" s="122"/>
      <c r="Y669" s="122"/>
      <c r="Z669" s="122"/>
      <c r="AA669" s="122"/>
      <c r="AB669" s="122"/>
      <c r="AC669" s="122"/>
      <c r="AD669" s="122"/>
      <c r="AE669" s="122"/>
      <c r="AF669" s="122"/>
      <c r="AG669" s="122"/>
      <c r="AH669" s="122"/>
      <c r="AI669" s="122"/>
      <c r="AJ669" s="122"/>
      <c r="AK669" s="122"/>
      <c r="AL669" s="122"/>
      <c r="AM669" s="122"/>
      <c r="AN669" s="122"/>
      <c r="AO669" s="122"/>
      <c r="AP669" s="166"/>
      <c r="AQ669" s="122"/>
      <c r="AR669" s="167"/>
      <c r="AS669" s="122"/>
      <c r="AT669" s="122"/>
      <c r="AU669" s="122"/>
      <c r="AV669" s="122"/>
      <c r="AW669" s="122"/>
      <c r="AX669" s="122"/>
      <c r="AY669" s="122"/>
      <c r="AZ669" s="122"/>
      <c r="BA669" s="122"/>
      <c r="BB669" s="122"/>
      <c r="BC669" s="122"/>
      <c r="BD669" s="122"/>
      <c r="BE669" s="122"/>
      <c r="BF669" s="122"/>
      <c r="BG669" s="122"/>
      <c r="BH669" s="122"/>
      <c r="BI669" s="122"/>
      <c r="BJ669" s="122"/>
    </row>
    <row r="670" spans="1:62">
      <c r="A670" s="122"/>
      <c r="B670" s="122"/>
      <c r="C670" s="122"/>
      <c r="D670" s="122"/>
      <c r="E670" s="122"/>
      <c r="F670" s="122"/>
      <c r="G670" s="122"/>
      <c r="H670" s="122"/>
      <c r="I670" s="122"/>
      <c r="J670" s="122"/>
      <c r="K670" s="122"/>
      <c r="L670" s="122"/>
      <c r="M670" s="122"/>
      <c r="N670" s="122"/>
      <c r="O670" s="122"/>
      <c r="P670" s="122"/>
      <c r="Q670" s="122"/>
      <c r="R670" s="122"/>
      <c r="S670" s="122"/>
      <c r="T670" s="122"/>
      <c r="U670" s="122"/>
      <c r="V670" s="122"/>
      <c r="W670" s="122"/>
      <c r="X670" s="122"/>
      <c r="Y670" s="122"/>
      <c r="Z670" s="122"/>
      <c r="AA670" s="122"/>
      <c r="AB670" s="122"/>
      <c r="AC670" s="122"/>
      <c r="AD670" s="122"/>
      <c r="AE670" s="122"/>
      <c r="AF670" s="122"/>
      <c r="AG670" s="122"/>
      <c r="AH670" s="122"/>
      <c r="AI670" s="122"/>
      <c r="AJ670" s="122"/>
      <c r="AK670" s="122"/>
      <c r="AL670" s="122"/>
      <c r="AM670" s="122"/>
      <c r="AN670" s="122"/>
      <c r="AO670" s="122"/>
      <c r="AP670" s="166"/>
      <c r="AQ670" s="122"/>
      <c r="AR670" s="167"/>
      <c r="AS670" s="122"/>
      <c r="AT670" s="122"/>
      <c r="AU670" s="122"/>
      <c r="AV670" s="122"/>
      <c r="AW670" s="122"/>
      <c r="AX670" s="122"/>
      <c r="AY670" s="122"/>
      <c r="AZ670" s="122"/>
      <c r="BA670" s="122"/>
      <c r="BB670" s="122"/>
      <c r="BC670" s="122"/>
      <c r="BD670" s="122"/>
      <c r="BE670" s="122"/>
      <c r="BF670" s="122"/>
      <c r="BG670" s="122"/>
      <c r="BH670" s="122"/>
      <c r="BI670" s="122"/>
      <c r="BJ670" s="122"/>
    </row>
    <row r="671" spans="1:62">
      <c r="A671" s="122"/>
      <c r="B671" s="122"/>
      <c r="C671" s="122"/>
      <c r="D671" s="122"/>
      <c r="E671" s="122"/>
      <c r="F671" s="122"/>
      <c r="G671" s="122"/>
      <c r="H671" s="122"/>
      <c r="I671" s="122"/>
      <c r="J671" s="122"/>
      <c r="K671" s="122"/>
      <c r="L671" s="122"/>
      <c r="M671" s="122"/>
      <c r="N671" s="122"/>
      <c r="O671" s="122"/>
      <c r="P671" s="122"/>
      <c r="Q671" s="122"/>
      <c r="R671" s="122"/>
      <c r="S671" s="122"/>
      <c r="T671" s="122"/>
      <c r="U671" s="122"/>
      <c r="V671" s="122"/>
      <c r="W671" s="122"/>
      <c r="X671" s="122"/>
      <c r="Y671" s="122"/>
      <c r="Z671" s="122"/>
      <c r="AA671" s="122"/>
      <c r="AB671" s="122"/>
      <c r="AC671" s="122"/>
      <c r="AD671" s="122"/>
      <c r="AE671" s="122"/>
      <c r="AF671" s="122"/>
      <c r="AG671" s="122"/>
      <c r="AH671" s="122"/>
      <c r="AI671" s="122"/>
      <c r="AJ671" s="122"/>
      <c r="AK671" s="122"/>
      <c r="AL671" s="122"/>
      <c r="AM671" s="122"/>
      <c r="AN671" s="122"/>
      <c r="AO671" s="122"/>
      <c r="AP671" s="166"/>
      <c r="AQ671" s="122"/>
      <c r="AR671" s="167"/>
      <c r="AS671" s="122"/>
      <c r="AT671" s="122"/>
      <c r="AU671" s="122"/>
      <c r="AV671" s="122"/>
      <c r="AW671" s="122"/>
      <c r="AX671" s="122"/>
      <c r="AY671" s="122"/>
      <c r="AZ671" s="122"/>
      <c r="BA671" s="122"/>
      <c r="BB671" s="122"/>
      <c r="BC671" s="122"/>
      <c r="BD671" s="122"/>
      <c r="BE671" s="122"/>
      <c r="BF671" s="122"/>
      <c r="BG671" s="122"/>
      <c r="BH671" s="122"/>
      <c r="BI671" s="122"/>
      <c r="BJ671" s="122"/>
    </row>
    <row r="672" spans="1:62">
      <c r="A672" s="122"/>
      <c r="B672" s="122"/>
      <c r="C672" s="122"/>
      <c r="D672" s="122"/>
      <c r="E672" s="122"/>
      <c r="F672" s="122"/>
      <c r="G672" s="122"/>
      <c r="H672" s="122"/>
      <c r="I672" s="122"/>
      <c r="J672" s="122"/>
      <c r="K672" s="122"/>
      <c r="L672" s="122"/>
      <c r="M672" s="122"/>
      <c r="N672" s="122"/>
      <c r="O672" s="122"/>
      <c r="P672" s="122"/>
      <c r="Q672" s="122"/>
      <c r="R672" s="122"/>
      <c r="S672" s="122"/>
      <c r="T672" s="122"/>
      <c r="U672" s="122"/>
      <c r="V672" s="122"/>
      <c r="W672" s="122"/>
      <c r="X672" s="122"/>
      <c r="Y672" s="122"/>
      <c r="Z672" s="122"/>
      <c r="AA672" s="122"/>
      <c r="AB672" s="122"/>
      <c r="AC672" s="122"/>
      <c r="AD672" s="122"/>
      <c r="AE672" s="122"/>
      <c r="AF672" s="122"/>
      <c r="AG672" s="122"/>
      <c r="AH672" s="122"/>
      <c r="AI672" s="122"/>
      <c r="AJ672" s="122"/>
      <c r="AK672" s="122"/>
      <c r="AL672" s="122"/>
      <c r="AM672" s="122"/>
      <c r="AN672" s="122"/>
      <c r="AO672" s="122"/>
      <c r="AP672" s="166"/>
      <c r="AQ672" s="122"/>
      <c r="AR672" s="167"/>
      <c r="AS672" s="122"/>
      <c r="AT672" s="122"/>
      <c r="AU672" s="122"/>
      <c r="AV672" s="122"/>
      <c r="AW672" s="122"/>
      <c r="AX672" s="122"/>
      <c r="AY672" s="122"/>
      <c r="AZ672" s="122"/>
      <c r="BA672" s="122"/>
      <c r="BB672" s="122"/>
      <c r="BC672" s="122"/>
      <c r="BD672" s="122"/>
      <c r="BE672" s="122"/>
      <c r="BF672" s="122"/>
      <c r="BG672" s="122"/>
      <c r="BH672" s="122"/>
      <c r="BI672" s="122"/>
      <c r="BJ672" s="122"/>
    </row>
    <row r="673" spans="1:62">
      <c r="A673" s="122"/>
      <c r="B673" s="122"/>
      <c r="C673" s="122"/>
      <c r="D673" s="122"/>
      <c r="E673" s="122"/>
      <c r="F673" s="122"/>
      <c r="G673" s="122"/>
      <c r="H673" s="122"/>
      <c r="I673" s="122"/>
      <c r="J673" s="122"/>
      <c r="K673" s="122"/>
      <c r="L673" s="122"/>
      <c r="M673" s="122"/>
      <c r="N673" s="122"/>
      <c r="O673" s="122"/>
      <c r="P673" s="122"/>
      <c r="Q673" s="122"/>
      <c r="R673" s="122"/>
      <c r="S673" s="122"/>
      <c r="T673" s="122"/>
      <c r="U673" s="122"/>
      <c r="V673" s="122"/>
      <c r="W673" s="122"/>
      <c r="X673" s="122"/>
      <c r="Y673" s="122"/>
      <c r="Z673" s="122"/>
      <c r="AA673" s="122"/>
      <c r="AB673" s="122"/>
      <c r="AC673" s="122"/>
      <c r="AD673" s="122"/>
      <c r="AE673" s="122"/>
      <c r="AF673" s="122"/>
      <c r="AG673" s="122"/>
      <c r="AH673" s="122"/>
      <c r="AI673" s="122"/>
      <c r="AJ673" s="122"/>
      <c r="AK673" s="122"/>
      <c r="AL673" s="122"/>
      <c r="AM673" s="122"/>
      <c r="AN673" s="122"/>
      <c r="AO673" s="122"/>
      <c r="AP673" s="166"/>
      <c r="AQ673" s="122"/>
      <c r="AR673" s="167"/>
      <c r="AS673" s="122"/>
      <c r="AT673" s="122"/>
      <c r="AU673" s="122"/>
      <c r="AV673" s="122"/>
      <c r="AW673" s="122"/>
      <c r="AX673" s="122"/>
      <c r="AY673" s="122"/>
      <c r="AZ673" s="122"/>
      <c r="BA673" s="122"/>
      <c r="BB673" s="122"/>
      <c r="BC673" s="122"/>
      <c r="BD673" s="122"/>
      <c r="BE673" s="122"/>
      <c r="BF673" s="122"/>
      <c r="BG673" s="122"/>
      <c r="BH673" s="122"/>
      <c r="BI673" s="122"/>
      <c r="BJ673" s="122"/>
    </row>
    <row r="674" spans="1:62">
      <c r="A674" s="122"/>
      <c r="B674" s="122"/>
      <c r="C674" s="122"/>
      <c r="D674" s="122"/>
      <c r="E674" s="122"/>
      <c r="F674" s="122"/>
      <c r="G674" s="122"/>
      <c r="H674" s="122"/>
      <c r="I674" s="122"/>
      <c r="J674" s="122"/>
      <c r="K674" s="122"/>
      <c r="L674" s="122"/>
      <c r="M674" s="122"/>
      <c r="N674" s="122"/>
      <c r="O674" s="122"/>
      <c r="P674" s="122"/>
      <c r="Q674" s="122"/>
      <c r="R674" s="122"/>
      <c r="S674" s="122"/>
      <c r="T674" s="122"/>
      <c r="U674" s="122"/>
      <c r="V674" s="122"/>
      <c r="W674" s="122"/>
      <c r="X674" s="122"/>
      <c r="Y674" s="122"/>
      <c r="Z674" s="122"/>
      <c r="AA674" s="122"/>
      <c r="AB674" s="122"/>
      <c r="AC674" s="122"/>
      <c r="AD674" s="122"/>
      <c r="AE674" s="122"/>
      <c r="AF674" s="122"/>
      <c r="AG674" s="122"/>
      <c r="AH674" s="122"/>
      <c r="AI674" s="122"/>
      <c r="AJ674" s="122"/>
      <c r="AK674" s="122"/>
      <c r="AL674" s="122"/>
      <c r="AM674" s="122"/>
      <c r="AN674" s="122"/>
      <c r="AO674" s="122"/>
      <c r="AP674" s="166"/>
      <c r="AQ674" s="122"/>
      <c r="AR674" s="167"/>
      <c r="AS674" s="122"/>
      <c r="AT674" s="122"/>
      <c r="AU674" s="122"/>
      <c r="AV674" s="122"/>
      <c r="AW674" s="122"/>
      <c r="AX674" s="122"/>
      <c r="AY674" s="122"/>
      <c r="AZ674" s="122"/>
      <c r="BA674" s="122"/>
      <c r="BB674" s="122"/>
      <c r="BC674" s="122"/>
      <c r="BD674" s="122"/>
      <c r="BE674" s="122"/>
      <c r="BF674" s="122"/>
      <c r="BG674" s="122"/>
      <c r="BH674" s="122"/>
      <c r="BI674" s="122"/>
      <c r="BJ674" s="122"/>
    </row>
    <row r="675" spans="1:62">
      <c r="A675" s="122"/>
      <c r="B675" s="122"/>
      <c r="C675" s="122"/>
      <c r="D675" s="122"/>
      <c r="E675" s="122"/>
      <c r="F675" s="122"/>
      <c r="G675" s="122"/>
      <c r="H675" s="122"/>
      <c r="I675" s="122"/>
      <c r="J675" s="122"/>
      <c r="K675" s="122"/>
      <c r="L675" s="122"/>
      <c r="M675" s="122"/>
      <c r="N675" s="122"/>
      <c r="O675" s="122"/>
      <c r="P675" s="122"/>
      <c r="Q675" s="122"/>
      <c r="R675" s="122"/>
      <c r="S675" s="122"/>
      <c r="T675" s="122"/>
      <c r="U675" s="122"/>
      <c r="V675" s="122"/>
      <c r="W675" s="122"/>
      <c r="X675" s="122"/>
      <c r="Y675" s="122"/>
      <c r="Z675" s="122"/>
      <c r="AA675" s="122"/>
      <c r="AB675" s="122"/>
      <c r="AC675" s="122"/>
      <c r="AD675" s="122"/>
      <c r="AE675" s="122"/>
      <c r="AF675" s="122"/>
      <c r="AG675" s="122"/>
      <c r="AH675" s="122"/>
      <c r="AI675" s="122"/>
      <c r="AJ675" s="122"/>
      <c r="AK675" s="122"/>
      <c r="AL675" s="122"/>
      <c r="AM675" s="122"/>
      <c r="AN675" s="122"/>
      <c r="AO675" s="122"/>
      <c r="AP675" s="166"/>
      <c r="AQ675" s="122"/>
      <c r="AR675" s="167"/>
      <c r="AS675" s="122"/>
      <c r="AT675" s="122"/>
      <c r="AU675" s="122"/>
      <c r="AV675" s="122"/>
      <c r="AW675" s="122"/>
      <c r="AX675" s="122"/>
      <c r="AY675" s="122"/>
      <c r="AZ675" s="122"/>
      <c r="BA675" s="122"/>
      <c r="BB675" s="122"/>
      <c r="BC675" s="122"/>
      <c r="BD675" s="122"/>
      <c r="BE675" s="122"/>
      <c r="BF675" s="122"/>
      <c r="BG675" s="122"/>
      <c r="BH675" s="122"/>
      <c r="BI675" s="122"/>
      <c r="BJ675" s="122"/>
    </row>
    <row r="676" spans="1:62">
      <c r="A676" s="122"/>
      <c r="B676" s="122"/>
      <c r="C676" s="122"/>
      <c r="D676" s="122"/>
      <c r="E676" s="122"/>
      <c r="F676" s="122"/>
      <c r="G676" s="122"/>
      <c r="H676" s="122"/>
      <c r="I676" s="122"/>
      <c r="J676" s="122"/>
      <c r="K676" s="122"/>
      <c r="L676" s="122"/>
      <c r="M676" s="122"/>
      <c r="N676" s="122"/>
      <c r="O676" s="122"/>
      <c r="P676" s="122"/>
      <c r="Q676" s="122"/>
      <c r="R676" s="122"/>
      <c r="S676" s="122"/>
      <c r="T676" s="122"/>
      <c r="U676" s="122"/>
      <c r="V676" s="122"/>
      <c r="W676" s="122"/>
      <c r="X676" s="122"/>
      <c r="Y676" s="122"/>
      <c r="Z676" s="122"/>
      <c r="AA676" s="122"/>
      <c r="AB676" s="122"/>
      <c r="AC676" s="122"/>
      <c r="AD676" s="122"/>
      <c r="AE676" s="122"/>
      <c r="AF676" s="122"/>
      <c r="AG676" s="122"/>
      <c r="AH676" s="122"/>
      <c r="AI676" s="122"/>
      <c r="AJ676" s="122"/>
      <c r="AK676" s="122"/>
      <c r="AL676" s="122"/>
      <c r="AM676" s="122"/>
      <c r="AN676" s="122"/>
      <c r="AO676" s="122"/>
      <c r="AP676" s="166"/>
      <c r="AQ676" s="122"/>
      <c r="AR676" s="167"/>
      <c r="AS676" s="122"/>
      <c r="AT676" s="122"/>
      <c r="AU676" s="122"/>
      <c r="AV676" s="122"/>
      <c r="AW676" s="122"/>
      <c r="AX676" s="122"/>
      <c r="AY676" s="122"/>
      <c r="AZ676" s="122"/>
      <c r="BA676" s="122"/>
      <c r="BB676" s="122"/>
      <c r="BC676" s="122"/>
      <c r="BD676" s="122"/>
      <c r="BE676" s="122"/>
      <c r="BF676" s="122"/>
      <c r="BG676" s="122"/>
      <c r="BH676" s="122"/>
      <c r="BI676" s="122"/>
      <c r="BJ676" s="122"/>
    </row>
    <row r="677" spans="1:62">
      <c r="A677" s="122"/>
      <c r="B677" s="122"/>
      <c r="C677" s="122"/>
      <c r="D677" s="122"/>
      <c r="E677" s="122"/>
      <c r="F677" s="122"/>
      <c r="G677" s="122"/>
      <c r="H677" s="122"/>
      <c r="I677" s="122"/>
      <c r="J677" s="122"/>
      <c r="K677" s="122"/>
      <c r="L677" s="122"/>
      <c r="M677" s="122"/>
      <c r="N677" s="122"/>
      <c r="O677" s="122"/>
      <c r="P677" s="122"/>
      <c r="Q677" s="122"/>
      <c r="R677" s="122"/>
      <c r="S677" s="122"/>
      <c r="T677" s="122"/>
      <c r="U677" s="122"/>
      <c r="V677" s="122"/>
      <c r="W677" s="122"/>
      <c r="X677" s="122"/>
      <c r="Y677" s="122"/>
      <c r="Z677" s="122"/>
      <c r="AA677" s="122"/>
      <c r="AB677" s="122"/>
      <c r="AC677" s="122"/>
      <c r="AD677" s="122"/>
      <c r="AE677" s="122"/>
      <c r="AF677" s="122"/>
      <c r="AG677" s="122"/>
      <c r="AH677" s="122"/>
      <c r="AI677" s="122"/>
      <c r="AJ677" s="122"/>
      <c r="AK677" s="122"/>
      <c r="AL677" s="122"/>
      <c r="AM677" s="122"/>
      <c r="AN677" s="122"/>
      <c r="AO677" s="122"/>
      <c r="AP677" s="166"/>
      <c r="AQ677" s="122"/>
      <c r="AR677" s="167"/>
      <c r="AS677" s="122"/>
      <c r="AT677" s="122"/>
      <c r="AU677" s="122"/>
      <c r="AV677" s="122"/>
      <c r="AW677" s="122"/>
      <c r="AX677" s="122"/>
      <c r="AY677" s="122"/>
      <c r="AZ677" s="122"/>
      <c r="BA677" s="122"/>
      <c r="BB677" s="122"/>
      <c r="BC677" s="122"/>
      <c r="BD677" s="122"/>
      <c r="BE677" s="122"/>
      <c r="BF677" s="122"/>
      <c r="BG677" s="122"/>
      <c r="BH677" s="122"/>
      <c r="BI677" s="122"/>
      <c r="BJ677" s="122"/>
    </row>
    <row r="678" spans="1:62">
      <c r="A678" s="122"/>
      <c r="B678" s="122"/>
      <c r="C678" s="122"/>
      <c r="D678" s="122"/>
      <c r="E678" s="122"/>
      <c r="F678" s="122"/>
      <c r="G678" s="122"/>
      <c r="H678" s="122"/>
      <c r="I678" s="122"/>
      <c r="J678" s="122"/>
      <c r="K678" s="122"/>
      <c r="L678" s="122"/>
      <c r="M678" s="122"/>
      <c r="N678" s="122"/>
      <c r="O678" s="122"/>
      <c r="P678" s="122"/>
      <c r="Q678" s="122"/>
      <c r="R678" s="122"/>
      <c r="S678" s="122"/>
      <c r="T678" s="122"/>
      <c r="U678" s="122"/>
      <c r="V678" s="122"/>
      <c r="W678" s="122"/>
      <c r="X678" s="122"/>
      <c r="Y678" s="122"/>
      <c r="Z678" s="122"/>
      <c r="AA678" s="122"/>
      <c r="AB678" s="122"/>
      <c r="AC678" s="122"/>
      <c r="AD678" s="122"/>
      <c r="AE678" s="122"/>
      <c r="AF678" s="122"/>
      <c r="AG678" s="122"/>
      <c r="AH678" s="122"/>
      <c r="AI678" s="122"/>
      <c r="AJ678" s="122"/>
      <c r="AK678" s="122"/>
      <c r="AL678" s="122"/>
      <c r="AM678" s="122"/>
      <c r="AN678" s="122"/>
      <c r="AO678" s="122"/>
      <c r="AP678" s="166"/>
      <c r="AQ678" s="122"/>
      <c r="AR678" s="167"/>
      <c r="AS678" s="122"/>
      <c r="AT678" s="122"/>
      <c r="AU678" s="122"/>
      <c r="AV678" s="122"/>
      <c r="AW678" s="122"/>
      <c r="AX678" s="122"/>
      <c r="AY678" s="122"/>
      <c r="AZ678" s="122"/>
      <c r="BA678" s="122"/>
      <c r="BB678" s="122"/>
      <c r="BC678" s="122"/>
      <c r="BD678" s="122"/>
      <c r="BE678" s="122"/>
      <c r="BF678" s="122"/>
      <c r="BG678" s="122"/>
      <c r="BH678" s="122"/>
      <c r="BI678" s="122"/>
      <c r="BJ678" s="122"/>
    </row>
    <row r="679" spans="1:62">
      <c r="A679" s="122"/>
      <c r="B679" s="122"/>
      <c r="C679" s="122"/>
      <c r="D679" s="122"/>
      <c r="E679" s="122"/>
      <c r="F679" s="122"/>
      <c r="G679" s="122"/>
      <c r="H679" s="122"/>
      <c r="I679" s="122"/>
      <c r="J679" s="122"/>
      <c r="K679" s="122"/>
      <c r="L679" s="122"/>
      <c r="M679" s="122"/>
      <c r="N679" s="122"/>
      <c r="O679" s="122"/>
      <c r="P679" s="122"/>
      <c r="Q679" s="122"/>
      <c r="R679" s="122"/>
      <c r="S679" s="122"/>
      <c r="T679" s="122"/>
      <c r="U679" s="122"/>
      <c r="V679" s="122"/>
      <c r="W679" s="122"/>
      <c r="X679" s="122"/>
      <c r="Y679" s="122"/>
      <c r="Z679" s="122"/>
      <c r="AA679" s="122"/>
      <c r="AB679" s="122"/>
      <c r="AC679" s="122"/>
      <c r="AD679" s="122"/>
      <c r="AE679" s="122"/>
      <c r="AF679" s="122"/>
      <c r="AG679" s="122"/>
      <c r="AH679" s="122"/>
      <c r="AI679" s="122"/>
      <c r="AJ679" s="122"/>
      <c r="AK679" s="122"/>
      <c r="AL679" s="122"/>
      <c r="AM679" s="122"/>
      <c r="AN679" s="122"/>
      <c r="AO679" s="122"/>
      <c r="AP679" s="166"/>
      <c r="AQ679" s="122"/>
      <c r="AR679" s="167"/>
      <c r="AS679" s="122"/>
      <c r="AT679" s="122"/>
      <c r="AU679" s="122"/>
      <c r="AV679" s="122"/>
      <c r="AW679" s="122"/>
      <c r="AX679" s="122"/>
      <c r="AY679" s="122"/>
      <c r="AZ679" s="122"/>
      <c r="BA679" s="122"/>
      <c r="BB679" s="122"/>
      <c r="BC679" s="122"/>
      <c r="BD679" s="122"/>
      <c r="BE679" s="122"/>
      <c r="BF679" s="122"/>
      <c r="BG679" s="122"/>
      <c r="BH679" s="122"/>
      <c r="BI679" s="122"/>
      <c r="BJ679" s="122"/>
    </row>
    <row r="680" spans="1:62">
      <c r="A680" s="122"/>
      <c r="B680" s="122"/>
      <c r="C680" s="122"/>
      <c r="D680" s="122"/>
      <c r="E680" s="122"/>
      <c r="F680" s="122"/>
      <c r="G680" s="122"/>
      <c r="H680" s="122"/>
      <c r="I680" s="122"/>
      <c r="J680" s="122"/>
      <c r="K680" s="122"/>
      <c r="L680" s="122"/>
      <c r="M680" s="122"/>
      <c r="N680" s="122"/>
      <c r="O680" s="122"/>
      <c r="P680" s="122"/>
      <c r="Q680" s="122"/>
      <c r="R680" s="122"/>
      <c r="S680" s="122"/>
      <c r="T680" s="122"/>
      <c r="U680" s="122"/>
      <c r="V680" s="122"/>
      <c r="W680" s="122"/>
      <c r="X680" s="122"/>
      <c r="Y680" s="122"/>
      <c r="Z680" s="122"/>
      <c r="AA680" s="122"/>
      <c r="AB680" s="122"/>
      <c r="AC680" s="122"/>
      <c r="AD680" s="122"/>
      <c r="AE680" s="122"/>
      <c r="AF680" s="122"/>
      <c r="AG680" s="122"/>
      <c r="AH680" s="122"/>
      <c r="AI680" s="122"/>
      <c r="AJ680" s="122"/>
      <c r="AK680" s="122"/>
      <c r="AL680" s="122"/>
      <c r="AM680" s="122"/>
      <c r="AN680" s="122"/>
      <c r="AO680" s="122"/>
      <c r="AP680" s="166"/>
      <c r="AQ680" s="122"/>
      <c r="AR680" s="167"/>
      <c r="AS680" s="122"/>
      <c r="AT680" s="122"/>
      <c r="AU680" s="122"/>
      <c r="AV680" s="122"/>
      <c r="AW680" s="122"/>
      <c r="AX680" s="122"/>
      <c r="AY680" s="122"/>
      <c r="AZ680" s="122"/>
      <c r="BA680" s="122"/>
      <c r="BB680" s="122"/>
      <c r="BC680" s="122"/>
      <c r="BD680" s="122"/>
      <c r="BE680" s="122"/>
      <c r="BF680" s="122"/>
      <c r="BG680" s="122"/>
      <c r="BH680" s="122"/>
      <c r="BI680" s="122"/>
      <c r="BJ680" s="122"/>
    </row>
    <row r="681" spans="1:62">
      <c r="A681" s="122"/>
      <c r="B681" s="122"/>
      <c r="C681" s="122"/>
      <c r="D681" s="122"/>
      <c r="E681" s="122"/>
      <c r="F681" s="122"/>
      <c r="G681" s="122"/>
      <c r="H681" s="122"/>
      <c r="I681" s="122"/>
      <c r="J681" s="122"/>
      <c r="K681" s="122"/>
      <c r="L681" s="122"/>
      <c r="M681" s="122"/>
      <c r="N681" s="122"/>
      <c r="O681" s="122"/>
      <c r="P681" s="122"/>
      <c r="Q681" s="122"/>
      <c r="R681" s="122"/>
      <c r="S681" s="122"/>
      <c r="T681" s="122"/>
      <c r="U681" s="122"/>
      <c r="V681" s="122"/>
      <c r="W681" s="122"/>
      <c r="X681" s="122"/>
      <c r="Y681" s="122"/>
      <c r="Z681" s="122"/>
      <c r="AA681" s="122"/>
      <c r="AB681" s="122"/>
      <c r="AC681" s="122"/>
      <c r="AD681" s="122"/>
      <c r="AE681" s="122"/>
      <c r="AF681" s="122"/>
      <c r="AG681" s="122"/>
      <c r="AH681" s="122"/>
      <c r="AI681" s="122"/>
      <c r="AJ681" s="122"/>
      <c r="AK681" s="122"/>
      <c r="AL681" s="122"/>
      <c r="AM681" s="122"/>
      <c r="AN681" s="122"/>
      <c r="AO681" s="122"/>
      <c r="AP681" s="166"/>
      <c r="AQ681" s="122"/>
      <c r="AR681" s="167"/>
      <c r="AS681" s="122"/>
      <c r="AT681" s="122"/>
      <c r="AU681" s="122"/>
      <c r="AV681" s="122"/>
      <c r="AW681" s="122"/>
      <c r="AX681" s="122"/>
      <c r="AY681" s="122"/>
      <c r="AZ681" s="122"/>
      <c r="BA681" s="122"/>
      <c r="BB681" s="122"/>
      <c r="BC681" s="122"/>
      <c r="BD681" s="122"/>
      <c r="BE681" s="122"/>
      <c r="BF681" s="122"/>
      <c r="BG681" s="122"/>
      <c r="BH681" s="122"/>
      <c r="BI681" s="122"/>
      <c r="BJ681" s="122"/>
    </row>
    <row r="682" spans="1:62">
      <c r="A682" s="122"/>
      <c r="B682" s="122"/>
      <c r="C682" s="122"/>
      <c r="D682" s="122"/>
      <c r="E682" s="122"/>
      <c r="F682" s="122"/>
      <c r="G682" s="122"/>
      <c r="H682" s="122"/>
      <c r="I682" s="122"/>
      <c r="J682" s="122"/>
      <c r="K682" s="122"/>
      <c r="L682" s="122"/>
      <c r="M682" s="122"/>
      <c r="N682" s="122"/>
      <c r="O682" s="122"/>
      <c r="P682" s="122"/>
      <c r="Q682" s="122"/>
      <c r="R682" s="122"/>
      <c r="S682" s="122"/>
      <c r="T682" s="122"/>
      <c r="U682" s="122"/>
      <c r="V682" s="122"/>
      <c r="W682" s="122"/>
      <c r="X682" s="122"/>
      <c r="Y682" s="122"/>
      <c r="Z682" s="122"/>
      <c r="AA682" s="122"/>
      <c r="AB682" s="122"/>
      <c r="AC682" s="122"/>
      <c r="AD682" s="122"/>
      <c r="AE682" s="122"/>
      <c r="AF682" s="122"/>
      <c r="AG682" s="122"/>
      <c r="AH682" s="122"/>
      <c r="AI682" s="122"/>
      <c r="AJ682" s="122"/>
      <c r="AK682" s="122"/>
      <c r="AL682" s="122"/>
      <c r="AM682" s="122"/>
      <c r="AN682" s="122"/>
      <c r="AO682" s="122"/>
      <c r="AP682" s="166"/>
      <c r="AQ682" s="122"/>
      <c r="AR682" s="167"/>
      <c r="AS682" s="122"/>
      <c r="AT682" s="122"/>
      <c r="AU682" s="122"/>
      <c r="AV682" s="122"/>
      <c r="AW682" s="122"/>
      <c r="AX682" s="122"/>
      <c r="AY682" s="122"/>
      <c r="AZ682" s="122"/>
      <c r="BA682" s="122"/>
      <c r="BB682" s="122"/>
      <c r="BC682" s="122"/>
      <c r="BD682" s="122"/>
      <c r="BE682" s="122"/>
      <c r="BF682" s="122"/>
      <c r="BG682" s="122"/>
      <c r="BH682" s="122"/>
      <c r="BI682" s="122"/>
      <c r="BJ682" s="122"/>
    </row>
    <row r="683" spans="1:62">
      <c r="A683" s="122"/>
      <c r="B683" s="122"/>
      <c r="C683" s="122"/>
      <c r="D683" s="122"/>
      <c r="E683" s="122"/>
      <c r="F683" s="122"/>
      <c r="G683" s="122"/>
      <c r="H683" s="122"/>
      <c r="I683" s="122"/>
      <c r="J683" s="122"/>
      <c r="K683" s="122"/>
      <c r="L683" s="122"/>
      <c r="M683" s="122"/>
      <c r="N683" s="122"/>
      <c r="O683" s="122"/>
      <c r="P683" s="122"/>
      <c r="Q683" s="122"/>
      <c r="R683" s="122"/>
      <c r="S683" s="122"/>
      <c r="T683" s="122"/>
      <c r="U683" s="122"/>
      <c r="V683" s="122"/>
      <c r="W683" s="122"/>
      <c r="X683" s="122"/>
      <c r="Y683" s="122"/>
      <c r="Z683" s="122"/>
      <c r="AA683" s="122"/>
      <c r="AB683" s="122"/>
      <c r="AC683" s="122"/>
      <c r="AD683" s="122"/>
      <c r="AE683" s="122"/>
      <c r="AF683" s="122"/>
      <c r="AG683" s="122"/>
      <c r="AH683" s="122"/>
      <c r="AI683" s="122"/>
      <c r="AJ683" s="122"/>
      <c r="AK683" s="122"/>
      <c r="AL683" s="122"/>
      <c r="AM683" s="122"/>
      <c r="AN683" s="122"/>
      <c r="AO683" s="122"/>
      <c r="AP683" s="166"/>
      <c r="AQ683" s="122"/>
      <c r="AR683" s="167"/>
      <c r="AS683" s="122"/>
      <c r="AT683" s="122"/>
      <c r="AU683" s="122"/>
      <c r="AV683" s="122"/>
      <c r="AW683" s="122"/>
      <c r="AX683" s="122"/>
      <c r="AY683" s="122"/>
      <c r="AZ683" s="122"/>
      <c r="BA683" s="122"/>
      <c r="BB683" s="122"/>
      <c r="BC683" s="122"/>
      <c r="BD683" s="122"/>
      <c r="BE683" s="122"/>
      <c r="BF683" s="122"/>
      <c r="BG683" s="122"/>
      <c r="BH683" s="122"/>
      <c r="BI683" s="122"/>
      <c r="BJ683" s="122"/>
    </row>
    <row r="684" spans="1:62">
      <c r="A684" s="122"/>
      <c r="B684" s="122"/>
      <c r="C684" s="122"/>
      <c r="D684" s="122"/>
      <c r="E684" s="122"/>
      <c r="F684" s="122"/>
      <c r="G684" s="122"/>
      <c r="H684" s="122"/>
      <c r="I684" s="122"/>
      <c r="J684" s="122"/>
      <c r="K684" s="122"/>
      <c r="L684" s="122"/>
      <c r="M684" s="122"/>
      <c r="N684" s="122"/>
      <c r="O684" s="122"/>
      <c r="P684" s="122"/>
      <c r="Q684" s="122"/>
      <c r="R684" s="122"/>
      <c r="S684" s="122"/>
      <c r="T684" s="122"/>
      <c r="U684" s="122"/>
      <c r="V684" s="122"/>
      <c r="W684" s="122"/>
      <c r="X684" s="122"/>
      <c r="Y684" s="122"/>
      <c r="Z684" s="122"/>
      <c r="AA684" s="122"/>
      <c r="AB684" s="122"/>
      <c r="AC684" s="122"/>
      <c r="AD684" s="122"/>
      <c r="AE684" s="122"/>
      <c r="AF684" s="122"/>
      <c r="AG684" s="122"/>
      <c r="AH684" s="122"/>
      <c r="AI684" s="122"/>
      <c r="AJ684" s="122"/>
      <c r="AK684" s="122"/>
      <c r="AL684" s="122"/>
      <c r="AM684" s="122"/>
      <c r="AN684" s="122"/>
      <c r="AO684" s="122"/>
      <c r="AP684" s="166"/>
      <c r="AQ684" s="122"/>
      <c r="AR684" s="167"/>
      <c r="AS684" s="122"/>
      <c r="AT684" s="122"/>
      <c r="AU684" s="122"/>
      <c r="AV684" s="122"/>
      <c r="AW684" s="122"/>
      <c r="AX684" s="122"/>
      <c r="AY684" s="122"/>
      <c r="AZ684" s="122"/>
      <c r="BA684" s="122"/>
      <c r="BB684" s="122"/>
      <c r="BC684" s="122"/>
      <c r="BD684" s="122"/>
      <c r="BE684" s="122"/>
      <c r="BF684" s="122"/>
      <c r="BG684" s="122"/>
      <c r="BH684" s="122"/>
      <c r="BI684" s="122"/>
      <c r="BJ684" s="122"/>
    </row>
    <row r="685" spans="1:62">
      <c r="A685" s="122"/>
      <c r="B685" s="122"/>
      <c r="C685" s="122"/>
      <c r="D685" s="122"/>
      <c r="E685" s="122"/>
      <c r="F685" s="122"/>
      <c r="G685" s="122"/>
      <c r="H685" s="122"/>
      <c r="I685" s="122"/>
      <c r="J685" s="122"/>
      <c r="K685" s="122"/>
      <c r="L685" s="122"/>
      <c r="M685" s="122"/>
      <c r="N685" s="122"/>
      <c r="O685" s="122"/>
      <c r="P685" s="122"/>
      <c r="Q685" s="122"/>
      <c r="R685" s="122"/>
      <c r="S685" s="122"/>
      <c r="T685" s="122"/>
      <c r="U685" s="122"/>
      <c r="V685" s="122"/>
      <c r="W685" s="122"/>
      <c r="X685" s="122"/>
      <c r="Y685" s="122"/>
      <c r="Z685" s="122"/>
      <c r="AA685" s="122"/>
      <c r="AB685" s="122"/>
      <c r="AC685" s="122"/>
      <c r="AD685" s="122"/>
      <c r="AE685" s="122"/>
      <c r="AF685" s="122"/>
      <c r="AG685" s="122"/>
      <c r="AH685" s="122"/>
      <c r="AI685" s="122"/>
      <c r="AJ685" s="122"/>
      <c r="AK685" s="122"/>
      <c r="AL685" s="122"/>
      <c r="AM685" s="122"/>
      <c r="AN685" s="122"/>
      <c r="AO685" s="122"/>
      <c r="AP685" s="166"/>
      <c r="AQ685" s="122"/>
      <c r="AR685" s="167"/>
      <c r="AS685" s="122"/>
      <c r="AT685" s="122"/>
      <c r="AU685" s="122"/>
      <c r="AV685" s="122"/>
      <c r="AW685" s="122"/>
      <c r="AX685" s="122"/>
      <c r="AY685" s="122"/>
      <c r="AZ685" s="122"/>
      <c r="BA685" s="122"/>
      <c r="BB685" s="122"/>
      <c r="BC685" s="122"/>
      <c r="BD685" s="122"/>
      <c r="BE685" s="122"/>
      <c r="BF685" s="122"/>
      <c r="BG685" s="122"/>
      <c r="BH685" s="122"/>
      <c r="BI685" s="122"/>
      <c r="BJ685" s="122"/>
    </row>
    <row r="686" spans="1:62">
      <c r="A686" s="122"/>
      <c r="B686" s="122"/>
      <c r="C686" s="122"/>
      <c r="D686" s="122"/>
      <c r="E686" s="122"/>
      <c r="F686" s="122"/>
      <c r="G686" s="122"/>
      <c r="H686" s="122"/>
      <c r="I686" s="122"/>
      <c r="J686" s="122"/>
      <c r="K686" s="122"/>
      <c r="L686" s="122"/>
      <c r="M686" s="122"/>
      <c r="N686" s="122"/>
      <c r="O686" s="122"/>
      <c r="P686" s="122"/>
      <c r="Q686" s="122"/>
      <c r="R686" s="122"/>
      <c r="S686" s="122"/>
      <c r="T686" s="122"/>
      <c r="U686" s="122"/>
      <c r="V686" s="122"/>
      <c r="W686" s="122"/>
      <c r="X686" s="122"/>
      <c r="Y686" s="122"/>
      <c r="Z686" s="122"/>
      <c r="AA686" s="122"/>
      <c r="AB686" s="122"/>
      <c r="AC686" s="122"/>
      <c r="AD686" s="122"/>
      <c r="AE686" s="122"/>
      <c r="AF686" s="122"/>
      <c r="AG686" s="122"/>
      <c r="AH686" s="122"/>
      <c r="AI686" s="122"/>
      <c r="AJ686" s="122"/>
      <c r="AK686" s="122"/>
      <c r="AL686" s="122"/>
      <c r="AM686" s="122"/>
      <c r="AN686" s="122"/>
      <c r="AO686" s="122"/>
      <c r="AP686" s="166"/>
      <c r="AQ686" s="122"/>
      <c r="AR686" s="167"/>
      <c r="AS686" s="122"/>
      <c r="AT686" s="122"/>
      <c r="AU686" s="122"/>
      <c r="AV686" s="122"/>
      <c r="AW686" s="122"/>
      <c r="AX686" s="122"/>
      <c r="AY686" s="122"/>
      <c r="AZ686" s="122"/>
      <c r="BA686" s="122"/>
      <c r="BB686" s="122"/>
      <c r="BC686" s="122"/>
      <c r="BD686" s="122"/>
      <c r="BE686" s="122"/>
      <c r="BF686" s="122"/>
      <c r="BG686" s="122"/>
      <c r="BH686" s="122"/>
      <c r="BI686" s="122"/>
      <c r="BJ686" s="122"/>
    </row>
    <row r="687" spans="1:62">
      <c r="A687" s="122"/>
      <c r="B687" s="122"/>
      <c r="C687" s="122"/>
      <c r="D687" s="122"/>
      <c r="E687" s="122"/>
      <c r="F687" s="122"/>
      <c r="G687" s="122"/>
      <c r="H687" s="122"/>
      <c r="I687" s="122"/>
      <c r="J687" s="122"/>
      <c r="K687" s="122"/>
      <c r="L687" s="122"/>
      <c r="M687" s="122"/>
      <c r="N687" s="122"/>
      <c r="O687" s="122"/>
      <c r="P687" s="122"/>
      <c r="Q687" s="122"/>
      <c r="R687" s="122"/>
      <c r="S687" s="122"/>
      <c r="T687" s="122"/>
      <c r="U687" s="122"/>
      <c r="V687" s="122"/>
      <c r="W687" s="122"/>
      <c r="X687" s="122"/>
      <c r="Y687" s="122"/>
      <c r="Z687" s="122"/>
      <c r="AA687" s="122"/>
      <c r="AB687" s="122"/>
      <c r="AC687" s="122"/>
      <c r="AD687" s="122"/>
      <c r="AE687" s="122"/>
      <c r="AF687" s="122"/>
      <c r="AG687" s="122"/>
      <c r="AH687" s="122"/>
      <c r="AI687" s="122"/>
      <c r="AJ687" s="122"/>
      <c r="AK687" s="122"/>
      <c r="AL687" s="122"/>
      <c r="AM687" s="122"/>
      <c r="AN687" s="122"/>
      <c r="AO687" s="122"/>
      <c r="AP687" s="166"/>
      <c r="AQ687" s="122"/>
      <c r="AR687" s="167"/>
      <c r="AS687" s="122"/>
      <c r="AT687" s="122"/>
      <c r="AU687" s="122"/>
      <c r="AV687" s="122"/>
      <c r="AW687" s="122"/>
      <c r="AX687" s="122"/>
      <c r="AY687" s="122"/>
      <c r="AZ687" s="122"/>
      <c r="BA687" s="122"/>
      <c r="BB687" s="122"/>
      <c r="BC687" s="122"/>
      <c r="BD687" s="122"/>
      <c r="BE687" s="122"/>
      <c r="BF687" s="122"/>
      <c r="BG687" s="122"/>
      <c r="BH687" s="122"/>
      <c r="BI687" s="122"/>
      <c r="BJ687" s="122"/>
    </row>
    <row r="688" spans="1:62">
      <c r="A688" s="122"/>
      <c r="B688" s="122"/>
      <c r="C688" s="122"/>
      <c r="D688" s="122"/>
      <c r="E688" s="122"/>
      <c r="F688" s="122"/>
      <c r="G688" s="122"/>
      <c r="H688" s="122"/>
      <c r="I688" s="122"/>
      <c r="J688" s="122"/>
      <c r="K688" s="122"/>
      <c r="L688" s="122"/>
      <c r="M688" s="122"/>
      <c r="N688" s="122"/>
      <c r="O688" s="122"/>
      <c r="P688" s="122"/>
      <c r="Q688" s="122"/>
      <c r="R688" s="122"/>
      <c r="S688" s="122"/>
      <c r="T688" s="122"/>
      <c r="U688" s="122"/>
      <c r="V688" s="122"/>
      <c r="W688" s="122"/>
      <c r="X688" s="122"/>
      <c r="Y688" s="122"/>
      <c r="Z688" s="122"/>
      <c r="AA688" s="122"/>
      <c r="AB688" s="122"/>
      <c r="AC688" s="122"/>
      <c r="AD688" s="122"/>
      <c r="AE688" s="122"/>
      <c r="AF688" s="122"/>
      <c r="AG688" s="122"/>
      <c r="AH688" s="122"/>
      <c r="AI688" s="122"/>
      <c r="AJ688" s="122"/>
      <c r="AK688" s="122"/>
      <c r="AL688" s="122"/>
      <c r="AM688" s="122"/>
      <c r="AN688" s="122"/>
      <c r="AO688" s="122"/>
      <c r="AP688" s="166"/>
      <c r="AQ688" s="122"/>
      <c r="AR688" s="167"/>
      <c r="AS688" s="122"/>
      <c r="AT688" s="122"/>
      <c r="AU688" s="122"/>
      <c r="AV688" s="122"/>
      <c r="AW688" s="122"/>
      <c r="AX688" s="122"/>
      <c r="AY688" s="122"/>
      <c r="AZ688" s="122"/>
      <c r="BA688" s="122"/>
      <c r="BB688" s="122"/>
      <c r="BC688" s="122"/>
      <c r="BD688" s="122"/>
      <c r="BE688" s="122"/>
      <c r="BF688" s="122"/>
      <c r="BG688" s="122"/>
      <c r="BH688" s="122"/>
      <c r="BI688" s="122"/>
      <c r="BJ688" s="122"/>
    </row>
    <row r="689" spans="1:62">
      <c r="A689" s="122"/>
      <c r="B689" s="122"/>
      <c r="C689" s="122"/>
      <c r="D689" s="122"/>
      <c r="E689" s="122"/>
      <c r="F689" s="122"/>
      <c r="G689" s="122"/>
      <c r="H689" s="122"/>
      <c r="I689" s="122"/>
      <c r="J689" s="122"/>
      <c r="K689" s="122"/>
      <c r="L689" s="122"/>
      <c r="M689" s="122"/>
      <c r="N689" s="122"/>
      <c r="O689" s="122"/>
      <c r="P689" s="122"/>
      <c r="Q689" s="122"/>
      <c r="R689" s="122"/>
      <c r="S689" s="122"/>
      <c r="T689" s="122"/>
      <c r="U689" s="122"/>
      <c r="V689" s="122"/>
      <c r="W689" s="122"/>
      <c r="X689" s="122"/>
      <c r="Y689" s="122"/>
      <c r="Z689" s="122"/>
      <c r="AA689" s="122"/>
      <c r="AB689" s="122"/>
      <c r="AC689" s="122"/>
      <c r="AD689" s="122"/>
      <c r="AE689" s="122"/>
      <c r="AF689" s="122"/>
      <c r="AG689" s="122"/>
      <c r="AH689" s="122"/>
      <c r="AI689" s="122"/>
      <c r="AJ689" s="122"/>
      <c r="AK689" s="122"/>
      <c r="AL689" s="122"/>
      <c r="AM689" s="122"/>
      <c r="AN689" s="122"/>
      <c r="AO689" s="122"/>
      <c r="AP689" s="166"/>
      <c r="AQ689" s="122"/>
      <c r="AR689" s="167"/>
      <c r="AS689" s="122"/>
      <c r="AT689" s="122"/>
      <c r="AU689" s="122"/>
      <c r="AV689" s="122"/>
      <c r="AW689" s="122"/>
      <c r="AX689" s="122"/>
      <c r="AY689" s="122"/>
      <c r="AZ689" s="122"/>
      <c r="BA689" s="122"/>
      <c r="BB689" s="122"/>
      <c r="BC689" s="122"/>
      <c r="BD689" s="122"/>
      <c r="BE689" s="122"/>
      <c r="BF689" s="122"/>
      <c r="BG689" s="122"/>
      <c r="BH689" s="122"/>
      <c r="BI689" s="122"/>
      <c r="BJ689" s="122"/>
    </row>
    <row r="690" spans="1:62">
      <c r="A690" s="122"/>
      <c r="B690" s="122"/>
      <c r="C690" s="122"/>
      <c r="D690" s="122"/>
      <c r="E690" s="122"/>
      <c r="F690" s="122"/>
      <c r="G690" s="122"/>
      <c r="H690" s="122"/>
      <c r="I690" s="122"/>
      <c r="J690" s="122"/>
      <c r="K690" s="122"/>
      <c r="L690" s="122"/>
      <c r="M690" s="122"/>
      <c r="N690" s="122"/>
      <c r="O690" s="122"/>
      <c r="P690" s="122"/>
      <c r="Q690" s="122"/>
      <c r="R690" s="122"/>
      <c r="S690" s="122"/>
      <c r="T690" s="122"/>
      <c r="U690" s="122"/>
      <c r="V690" s="122"/>
      <c r="W690" s="122"/>
      <c r="X690" s="122"/>
      <c r="Y690" s="122"/>
      <c r="Z690" s="122"/>
      <c r="AA690" s="122"/>
      <c r="AB690" s="122"/>
      <c r="AC690" s="122"/>
      <c r="AD690" s="122"/>
      <c r="AE690" s="122"/>
      <c r="AF690" s="122"/>
      <c r="AG690" s="122"/>
      <c r="AH690" s="122"/>
      <c r="AI690" s="122"/>
      <c r="AJ690" s="122"/>
      <c r="AK690" s="122"/>
      <c r="AL690" s="122"/>
      <c r="AM690" s="122"/>
      <c r="AN690" s="122"/>
      <c r="AO690" s="122"/>
      <c r="AP690" s="166"/>
      <c r="AQ690" s="122"/>
      <c r="AR690" s="167"/>
      <c r="AS690" s="122"/>
      <c r="AT690" s="122"/>
      <c r="AU690" s="122"/>
      <c r="AV690" s="122"/>
      <c r="AW690" s="122"/>
      <c r="AX690" s="122"/>
      <c r="AY690" s="122"/>
      <c r="AZ690" s="122"/>
      <c r="BA690" s="122"/>
      <c r="BB690" s="122"/>
      <c r="BC690" s="122"/>
      <c r="BD690" s="122"/>
      <c r="BE690" s="122"/>
      <c r="BF690" s="122"/>
      <c r="BG690" s="122"/>
      <c r="BH690" s="122"/>
      <c r="BI690" s="122"/>
      <c r="BJ690" s="122"/>
    </row>
    <row r="691" spans="1:62">
      <c r="A691" s="122"/>
      <c r="B691" s="122"/>
      <c r="C691" s="122"/>
      <c r="D691" s="122"/>
      <c r="E691" s="122"/>
      <c r="F691" s="122"/>
      <c r="G691" s="122"/>
      <c r="H691" s="122"/>
      <c r="I691" s="122"/>
      <c r="J691" s="122"/>
      <c r="K691" s="122"/>
      <c r="L691" s="122"/>
      <c r="M691" s="122"/>
      <c r="N691" s="122"/>
      <c r="O691" s="122"/>
      <c r="P691" s="122"/>
      <c r="Q691" s="122"/>
      <c r="R691" s="122"/>
      <c r="S691" s="122"/>
      <c r="T691" s="122"/>
      <c r="U691" s="122"/>
      <c r="V691" s="122"/>
      <c r="W691" s="122"/>
      <c r="X691" s="122"/>
      <c r="Y691" s="122"/>
      <c r="Z691" s="122"/>
      <c r="AA691" s="122"/>
      <c r="AB691" s="122"/>
      <c r="AC691" s="122"/>
      <c r="AD691" s="122"/>
      <c r="AE691" s="122"/>
      <c r="AF691" s="122"/>
      <c r="AG691" s="122"/>
      <c r="AH691" s="122"/>
      <c r="AI691" s="122"/>
      <c r="AJ691" s="122"/>
      <c r="AK691" s="122"/>
      <c r="AL691" s="122"/>
      <c r="AM691" s="122"/>
      <c r="AN691" s="122"/>
      <c r="AO691" s="122"/>
      <c r="AP691" s="166"/>
      <c r="AQ691" s="122"/>
      <c r="AR691" s="167"/>
      <c r="AS691" s="122"/>
      <c r="AT691" s="122"/>
      <c r="AU691" s="122"/>
      <c r="AV691" s="122"/>
      <c r="AW691" s="122"/>
      <c r="AX691" s="122"/>
      <c r="AY691" s="122"/>
      <c r="AZ691" s="122"/>
      <c r="BA691" s="122"/>
      <c r="BB691" s="122"/>
      <c r="BC691" s="122"/>
      <c r="BD691" s="122"/>
      <c r="BE691" s="122"/>
      <c r="BF691" s="122"/>
      <c r="BG691" s="122"/>
      <c r="BH691" s="122"/>
      <c r="BI691" s="122"/>
      <c r="BJ691" s="122"/>
    </row>
    <row r="692" spans="1:62">
      <c r="A692" s="122"/>
      <c r="B692" s="122"/>
      <c r="C692" s="122"/>
      <c r="D692" s="122"/>
      <c r="E692" s="122"/>
      <c r="F692" s="122"/>
      <c r="G692" s="122"/>
      <c r="H692" s="122"/>
      <c r="I692" s="122"/>
      <c r="J692" s="122"/>
      <c r="K692" s="122"/>
      <c r="L692" s="122"/>
      <c r="M692" s="122"/>
      <c r="N692" s="122"/>
      <c r="O692" s="122"/>
      <c r="P692" s="122"/>
      <c r="Q692" s="122"/>
      <c r="R692" s="122"/>
      <c r="S692" s="122"/>
      <c r="T692" s="122"/>
      <c r="U692" s="122"/>
      <c r="V692" s="122"/>
      <c r="W692" s="122"/>
      <c r="X692" s="122"/>
      <c r="Y692" s="122"/>
      <c r="Z692" s="122"/>
      <c r="AA692" s="122"/>
      <c r="AB692" s="122"/>
      <c r="AC692" s="122"/>
      <c r="AD692" s="122"/>
      <c r="AE692" s="122"/>
      <c r="AF692" s="122"/>
      <c r="AG692" s="122"/>
      <c r="AH692" s="122"/>
      <c r="AI692" s="122"/>
      <c r="AJ692" s="122"/>
      <c r="AK692" s="122"/>
      <c r="AL692" s="122"/>
      <c r="AM692" s="122"/>
      <c r="AN692" s="122"/>
      <c r="AO692" s="122"/>
      <c r="AP692" s="166"/>
      <c r="AQ692" s="122"/>
      <c r="AR692" s="167"/>
      <c r="AS692" s="122"/>
      <c r="AT692" s="122"/>
      <c r="AU692" s="122"/>
      <c r="AV692" s="122"/>
      <c r="AW692" s="122"/>
      <c r="AX692" s="122"/>
      <c r="AY692" s="122"/>
      <c r="AZ692" s="122"/>
      <c r="BA692" s="122"/>
      <c r="BB692" s="122"/>
      <c r="BC692" s="122"/>
      <c r="BD692" s="122"/>
      <c r="BE692" s="122"/>
      <c r="BF692" s="122"/>
      <c r="BG692" s="122"/>
      <c r="BH692" s="122"/>
      <c r="BI692" s="122"/>
      <c r="BJ692" s="122"/>
    </row>
    <row r="693" spans="1:62">
      <c r="A693" s="122"/>
      <c r="B693" s="122"/>
      <c r="C693" s="122"/>
      <c r="D693" s="122"/>
      <c r="E693" s="122"/>
      <c r="F693" s="122"/>
      <c r="G693" s="122"/>
      <c r="H693" s="122"/>
      <c r="I693" s="122"/>
      <c r="J693" s="122"/>
      <c r="K693" s="122"/>
      <c r="L693" s="122"/>
      <c r="M693" s="122"/>
      <c r="N693" s="122"/>
      <c r="O693" s="122"/>
      <c r="P693" s="122"/>
      <c r="Q693" s="122"/>
      <c r="R693" s="122"/>
      <c r="S693" s="122"/>
      <c r="T693" s="122"/>
      <c r="U693" s="122"/>
      <c r="V693" s="122"/>
      <c r="W693" s="122"/>
      <c r="X693" s="122"/>
      <c r="Y693" s="122"/>
      <c r="Z693" s="122"/>
      <c r="AA693" s="122"/>
      <c r="AB693" s="122"/>
      <c r="AC693" s="122"/>
      <c r="AD693" s="122"/>
      <c r="AE693" s="122"/>
      <c r="AF693" s="122"/>
      <c r="AG693" s="122"/>
      <c r="AH693" s="122"/>
      <c r="AI693" s="122"/>
      <c r="AJ693" s="122"/>
      <c r="AK693" s="122"/>
      <c r="AL693" s="122"/>
      <c r="AM693" s="122"/>
      <c r="AN693" s="122"/>
      <c r="AO693" s="122"/>
      <c r="AP693" s="166"/>
      <c r="AQ693" s="122"/>
      <c r="AR693" s="167"/>
      <c r="AS693" s="122"/>
      <c r="AT693" s="122"/>
      <c r="AU693" s="122"/>
      <c r="AV693" s="122"/>
      <c r="AW693" s="122"/>
      <c r="AX693" s="122"/>
      <c r="AY693" s="122"/>
      <c r="AZ693" s="122"/>
      <c r="BA693" s="122"/>
      <c r="BB693" s="122"/>
      <c r="BC693" s="122"/>
      <c r="BD693" s="122"/>
      <c r="BE693" s="122"/>
      <c r="BF693" s="122"/>
      <c r="BG693" s="122"/>
      <c r="BH693" s="122"/>
      <c r="BI693" s="122"/>
      <c r="BJ693" s="122"/>
    </row>
    <row r="694" spans="1:62">
      <c r="A694" s="122"/>
      <c r="B694" s="122"/>
      <c r="C694" s="122"/>
      <c r="D694" s="122"/>
      <c r="E694" s="122"/>
      <c r="F694" s="122"/>
      <c r="G694" s="122"/>
      <c r="H694" s="122"/>
      <c r="I694" s="122"/>
      <c r="J694" s="122"/>
      <c r="K694" s="122"/>
      <c r="L694" s="122"/>
      <c r="M694" s="122"/>
      <c r="N694" s="122"/>
      <c r="O694" s="122"/>
      <c r="P694" s="122"/>
      <c r="Q694" s="122"/>
      <c r="R694" s="122"/>
      <c r="S694" s="122"/>
      <c r="T694" s="122"/>
      <c r="U694" s="122"/>
      <c r="V694" s="122"/>
      <c r="W694" s="122"/>
      <c r="X694" s="122"/>
      <c r="Y694" s="122"/>
      <c r="Z694" s="122"/>
      <c r="AA694" s="122"/>
      <c r="AB694" s="122"/>
      <c r="AC694" s="122"/>
      <c r="AD694" s="122"/>
      <c r="AE694" s="122"/>
      <c r="AF694" s="122"/>
      <c r="AG694" s="122"/>
      <c r="AH694" s="122"/>
      <c r="AI694" s="122"/>
      <c r="AJ694" s="122"/>
      <c r="AK694" s="122"/>
      <c r="AL694" s="122"/>
      <c r="AM694" s="122"/>
      <c r="AN694" s="122"/>
      <c r="AO694" s="122"/>
      <c r="AP694" s="166"/>
      <c r="AQ694" s="122"/>
      <c r="AR694" s="167"/>
      <c r="AS694" s="122"/>
      <c r="AT694" s="122"/>
      <c r="AU694" s="122"/>
      <c r="AV694" s="122"/>
      <c r="AW694" s="122"/>
      <c r="AX694" s="122"/>
      <c r="AY694" s="122"/>
      <c r="AZ694" s="122"/>
      <c r="BA694" s="122"/>
      <c r="BB694" s="122"/>
      <c r="BC694" s="122"/>
      <c r="BD694" s="122"/>
      <c r="BE694" s="122"/>
      <c r="BF694" s="122"/>
      <c r="BG694" s="122"/>
      <c r="BH694" s="122"/>
      <c r="BI694" s="122"/>
      <c r="BJ694" s="122"/>
    </row>
    <row r="695" spans="1:62">
      <c r="A695" s="122"/>
      <c r="B695" s="122"/>
      <c r="C695" s="122"/>
      <c r="D695" s="122"/>
      <c r="E695" s="122"/>
      <c r="F695" s="122"/>
      <c r="G695" s="122"/>
      <c r="H695" s="122"/>
      <c r="I695" s="122"/>
      <c r="J695" s="122"/>
      <c r="K695" s="122"/>
      <c r="L695" s="122"/>
      <c r="M695" s="122"/>
      <c r="N695" s="122"/>
      <c r="O695" s="122"/>
      <c r="P695" s="122"/>
      <c r="Q695" s="122"/>
      <c r="R695" s="122"/>
      <c r="S695" s="122"/>
      <c r="T695" s="122"/>
      <c r="U695" s="122"/>
      <c r="V695" s="122"/>
      <c r="W695" s="122"/>
      <c r="X695" s="122"/>
      <c r="Y695" s="122"/>
      <c r="Z695" s="122"/>
      <c r="AA695" s="122"/>
      <c r="AB695" s="122"/>
      <c r="AC695" s="122"/>
      <c r="AD695" s="122"/>
      <c r="AE695" s="122"/>
      <c r="AF695" s="122"/>
      <c r="AG695" s="122"/>
      <c r="AH695" s="122"/>
      <c r="AI695" s="122"/>
      <c r="AJ695" s="122"/>
      <c r="AK695" s="122"/>
      <c r="AL695" s="122"/>
      <c r="AM695" s="122"/>
      <c r="AN695" s="122"/>
      <c r="AO695" s="122"/>
      <c r="AP695" s="166"/>
      <c r="AQ695" s="122"/>
      <c r="AR695" s="167"/>
      <c r="AS695" s="122"/>
      <c r="AT695" s="122"/>
      <c r="AU695" s="122"/>
      <c r="AV695" s="122"/>
      <c r="AW695" s="122"/>
      <c r="AX695" s="122"/>
      <c r="AY695" s="122"/>
      <c r="AZ695" s="122"/>
      <c r="BA695" s="122"/>
      <c r="BB695" s="122"/>
      <c r="BC695" s="122"/>
      <c r="BD695" s="122"/>
      <c r="BE695" s="122"/>
      <c r="BF695" s="122"/>
      <c r="BG695" s="122"/>
      <c r="BH695" s="122"/>
      <c r="BI695" s="122"/>
      <c r="BJ695" s="122"/>
    </row>
    <row r="696" spans="1:62">
      <c r="A696" s="122"/>
      <c r="B696" s="122"/>
      <c r="C696" s="122"/>
      <c r="D696" s="122"/>
      <c r="E696" s="122"/>
      <c r="F696" s="122"/>
      <c r="G696" s="122"/>
      <c r="H696" s="122"/>
      <c r="I696" s="122"/>
      <c r="J696" s="122"/>
      <c r="K696" s="122"/>
      <c r="L696" s="122"/>
      <c r="M696" s="122"/>
      <c r="N696" s="122"/>
      <c r="O696" s="122"/>
      <c r="P696" s="122"/>
      <c r="Q696" s="122"/>
      <c r="R696" s="122"/>
      <c r="S696" s="122"/>
      <c r="T696" s="122"/>
      <c r="U696" s="122"/>
      <c r="V696" s="122"/>
      <c r="W696" s="122"/>
      <c r="X696" s="122"/>
      <c r="Y696" s="122"/>
      <c r="Z696" s="122"/>
      <c r="AA696" s="122"/>
      <c r="AB696" s="122"/>
      <c r="AC696" s="122"/>
      <c r="AD696" s="122"/>
      <c r="AE696" s="122"/>
      <c r="AF696" s="122"/>
      <c r="AG696" s="122"/>
      <c r="AH696" s="122"/>
      <c r="AI696" s="122"/>
      <c r="AJ696" s="122"/>
      <c r="AK696" s="122"/>
      <c r="AL696" s="122"/>
      <c r="AM696" s="122"/>
      <c r="AN696" s="122"/>
      <c r="AO696" s="122"/>
      <c r="AP696" s="166"/>
      <c r="AQ696" s="122"/>
      <c r="AR696" s="167"/>
      <c r="AS696" s="122"/>
      <c r="AT696" s="122"/>
      <c r="AU696" s="122"/>
      <c r="AV696" s="122"/>
      <c r="AW696" s="122"/>
      <c r="AX696" s="122"/>
      <c r="AY696" s="122"/>
      <c r="AZ696" s="122"/>
      <c r="BA696" s="122"/>
      <c r="BB696" s="122"/>
      <c r="BC696" s="122"/>
      <c r="BD696" s="122"/>
      <c r="BE696" s="122"/>
      <c r="BF696" s="122"/>
      <c r="BG696" s="122"/>
      <c r="BH696" s="122"/>
      <c r="BI696" s="122"/>
      <c r="BJ696" s="122"/>
    </row>
    <row r="697" spans="1:62">
      <c r="A697" s="122"/>
      <c r="B697" s="122"/>
      <c r="C697" s="122"/>
      <c r="D697" s="122"/>
      <c r="E697" s="122"/>
      <c r="F697" s="122"/>
      <c r="G697" s="122"/>
      <c r="H697" s="122"/>
      <c r="I697" s="122"/>
      <c r="J697" s="122"/>
      <c r="K697" s="122"/>
      <c r="L697" s="122"/>
      <c r="M697" s="122"/>
      <c r="N697" s="122"/>
      <c r="O697" s="122"/>
      <c r="P697" s="122"/>
      <c r="Q697" s="122"/>
      <c r="R697" s="122"/>
      <c r="S697" s="122"/>
      <c r="T697" s="122"/>
      <c r="U697" s="122"/>
      <c r="V697" s="122"/>
      <c r="W697" s="122"/>
      <c r="X697" s="122"/>
      <c r="Y697" s="122"/>
      <c r="Z697" s="122"/>
      <c r="AA697" s="122"/>
      <c r="AB697" s="122"/>
      <c r="AC697" s="122"/>
      <c r="AD697" s="122"/>
      <c r="AE697" s="122"/>
      <c r="AF697" s="122"/>
      <c r="AG697" s="122"/>
      <c r="AH697" s="122"/>
      <c r="AI697" s="122"/>
      <c r="AJ697" s="122"/>
      <c r="AK697" s="122"/>
      <c r="AL697" s="122"/>
      <c r="AM697" s="122"/>
      <c r="AN697" s="122"/>
      <c r="AO697" s="122"/>
      <c r="AP697" s="166"/>
      <c r="AQ697" s="122"/>
      <c r="AR697" s="167"/>
      <c r="AS697" s="122"/>
      <c r="AT697" s="122"/>
      <c r="AU697" s="122"/>
      <c r="AV697" s="122"/>
      <c r="AW697" s="122"/>
      <c r="AX697" s="122"/>
      <c r="AY697" s="122"/>
      <c r="AZ697" s="122"/>
      <c r="BA697" s="122"/>
      <c r="BB697" s="122"/>
      <c r="BC697" s="122"/>
      <c r="BD697" s="122"/>
      <c r="BE697" s="122"/>
      <c r="BF697" s="122"/>
      <c r="BG697" s="122"/>
      <c r="BH697" s="122"/>
      <c r="BI697" s="122"/>
      <c r="BJ697" s="122"/>
    </row>
    <row r="698" spans="1:62">
      <c r="A698" s="122"/>
      <c r="B698" s="122"/>
      <c r="C698" s="122"/>
      <c r="D698" s="122"/>
      <c r="E698" s="122"/>
      <c r="F698" s="122"/>
      <c r="G698" s="122"/>
      <c r="H698" s="122"/>
      <c r="I698" s="122"/>
      <c r="J698" s="122"/>
      <c r="K698" s="122"/>
      <c r="L698" s="122"/>
      <c r="M698" s="122"/>
      <c r="N698" s="122"/>
      <c r="O698" s="122"/>
      <c r="P698" s="122"/>
      <c r="Q698" s="122"/>
      <c r="R698" s="122"/>
      <c r="S698" s="122"/>
      <c r="T698" s="122"/>
      <c r="U698" s="122"/>
      <c r="V698" s="122"/>
      <c r="W698" s="122"/>
      <c r="X698" s="122"/>
      <c r="Y698" s="122"/>
      <c r="Z698" s="122"/>
      <c r="AA698" s="122"/>
      <c r="AB698" s="122"/>
      <c r="AC698" s="122"/>
      <c r="AD698" s="122"/>
      <c r="AE698" s="122"/>
      <c r="AF698" s="122"/>
      <c r="AG698" s="122"/>
      <c r="AH698" s="122"/>
      <c r="AI698" s="122"/>
      <c r="AJ698" s="122"/>
      <c r="AK698" s="122"/>
      <c r="AL698" s="122"/>
      <c r="AM698" s="122"/>
      <c r="AN698" s="122"/>
      <c r="AO698" s="122"/>
      <c r="AP698" s="166"/>
      <c r="AQ698" s="122"/>
      <c r="AR698" s="167"/>
      <c r="AS698" s="122"/>
      <c r="AT698" s="122"/>
      <c r="AU698" s="122"/>
      <c r="AV698" s="122"/>
      <c r="AW698" s="122"/>
      <c r="AX698" s="122"/>
      <c r="AY698" s="122"/>
      <c r="AZ698" s="122"/>
      <c r="BA698" s="122"/>
      <c r="BB698" s="122"/>
      <c r="BC698" s="122"/>
      <c r="BD698" s="122"/>
      <c r="BE698" s="122"/>
      <c r="BF698" s="122"/>
      <c r="BG698" s="122"/>
      <c r="BH698" s="122"/>
      <c r="BI698" s="122"/>
      <c r="BJ698" s="122"/>
    </row>
    <row r="699" spans="1:62">
      <c r="A699" s="122"/>
      <c r="B699" s="122"/>
      <c r="C699" s="122"/>
      <c r="D699" s="122"/>
      <c r="E699" s="122"/>
      <c r="F699" s="122"/>
      <c r="G699" s="122"/>
      <c r="H699" s="122"/>
      <c r="I699" s="122"/>
      <c r="J699" s="122"/>
      <c r="K699" s="122"/>
      <c r="L699" s="122"/>
      <c r="M699" s="122"/>
      <c r="N699" s="122"/>
      <c r="O699" s="122"/>
      <c r="P699" s="122"/>
      <c r="Q699" s="122"/>
      <c r="R699" s="122"/>
      <c r="S699" s="122"/>
      <c r="T699" s="122"/>
      <c r="U699" s="122"/>
      <c r="V699" s="122"/>
      <c r="W699" s="122"/>
      <c r="X699" s="122"/>
      <c r="Y699" s="122"/>
      <c r="Z699" s="122"/>
      <c r="AA699" s="122"/>
      <c r="AB699" s="122"/>
      <c r="AC699" s="122"/>
      <c r="AD699" s="122"/>
      <c r="AE699" s="122"/>
      <c r="AF699" s="122"/>
      <c r="AG699" s="122"/>
      <c r="AH699" s="122"/>
      <c r="AI699" s="122"/>
      <c r="AJ699" s="122"/>
      <c r="AK699" s="122"/>
      <c r="AL699" s="122"/>
      <c r="AM699" s="122"/>
      <c r="AN699" s="122"/>
      <c r="AO699" s="122"/>
      <c r="AP699" s="166"/>
      <c r="AQ699" s="122"/>
      <c r="AR699" s="167"/>
      <c r="AS699" s="122"/>
      <c r="AT699" s="122"/>
      <c r="AU699" s="122"/>
      <c r="AV699" s="122"/>
      <c r="AW699" s="122"/>
      <c r="AX699" s="122"/>
      <c r="AY699" s="122"/>
      <c r="AZ699" s="122"/>
      <c r="BA699" s="122"/>
      <c r="BB699" s="122"/>
      <c r="BC699" s="122"/>
      <c r="BD699" s="122"/>
      <c r="BE699" s="122"/>
      <c r="BF699" s="122"/>
      <c r="BG699" s="122"/>
      <c r="BH699" s="122"/>
      <c r="BI699" s="122"/>
      <c r="BJ699" s="122"/>
    </row>
    <row r="700" spans="1:62">
      <c r="A700" s="122"/>
      <c r="B700" s="122"/>
      <c r="C700" s="122"/>
      <c r="D700" s="122"/>
      <c r="E700" s="122"/>
      <c r="F700" s="122"/>
      <c r="G700" s="122"/>
      <c r="H700" s="122"/>
      <c r="I700" s="122"/>
      <c r="J700" s="122"/>
      <c r="K700" s="122"/>
      <c r="L700" s="122"/>
      <c r="M700" s="122"/>
      <c r="N700" s="122"/>
      <c r="O700" s="122"/>
      <c r="P700" s="122"/>
      <c r="Q700" s="122"/>
      <c r="R700" s="122"/>
      <c r="S700" s="122"/>
      <c r="T700" s="122"/>
      <c r="U700" s="122"/>
      <c r="V700" s="122"/>
      <c r="W700" s="122"/>
      <c r="X700" s="122"/>
      <c r="Y700" s="122"/>
      <c r="Z700" s="122"/>
      <c r="AA700" s="122"/>
      <c r="AB700" s="122"/>
      <c r="AC700" s="122"/>
      <c r="AD700" s="122"/>
      <c r="AE700" s="122"/>
      <c r="AF700" s="122"/>
      <c r="AG700" s="122"/>
      <c r="AH700" s="122"/>
      <c r="AI700" s="122"/>
      <c r="AJ700" s="122"/>
      <c r="AK700" s="122"/>
      <c r="AL700" s="122"/>
      <c r="AM700" s="122"/>
      <c r="AN700" s="122"/>
      <c r="AO700" s="122"/>
      <c r="AP700" s="166"/>
      <c r="AQ700" s="122"/>
      <c r="AR700" s="167"/>
      <c r="AS700" s="122"/>
      <c r="AT700" s="122"/>
      <c r="AU700" s="122"/>
      <c r="AV700" s="122"/>
      <c r="AW700" s="122"/>
      <c r="AX700" s="122"/>
      <c r="AY700" s="122"/>
      <c r="AZ700" s="122"/>
      <c r="BA700" s="122"/>
      <c r="BB700" s="122"/>
      <c r="BC700" s="122"/>
      <c r="BD700" s="122"/>
      <c r="BE700" s="122"/>
      <c r="BF700" s="122"/>
      <c r="BG700" s="122"/>
      <c r="BH700" s="122"/>
      <c r="BI700" s="122"/>
      <c r="BJ700" s="122"/>
    </row>
    <row r="701" spans="1:62">
      <c r="A701" s="122"/>
      <c r="B701" s="122"/>
      <c r="C701" s="122"/>
      <c r="D701" s="122"/>
      <c r="E701" s="122"/>
      <c r="F701" s="122"/>
      <c r="G701" s="122"/>
      <c r="H701" s="122"/>
      <c r="I701" s="122"/>
      <c r="J701" s="122"/>
      <c r="K701" s="122"/>
      <c r="L701" s="122"/>
      <c r="M701" s="122"/>
      <c r="N701" s="122"/>
      <c r="O701" s="122"/>
      <c r="P701" s="122"/>
      <c r="Q701" s="122"/>
      <c r="R701" s="122"/>
      <c r="S701" s="122"/>
      <c r="T701" s="122"/>
      <c r="U701" s="122"/>
      <c r="V701" s="122"/>
      <c r="W701" s="122"/>
      <c r="X701" s="122"/>
      <c r="Y701" s="122"/>
      <c r="Z701" s="122"/>
      <c r="AA701" s="122"/>
      <c r="AB701" s="122"/>
      <c r="AC701" s="122"/>
      <c r="AD701" s="122"/>
      <c r="AE701" s="122"/>
      <c r="AF701" s="122"/>
      <c r="AG701" s="122"/>
      <c r="AH701" s="122"/>
      <c r="AI701" s="122"/>
      <c r="AJ701" s="122"/>
      <c r="AK701" s="122"/>
      <c r="AL701" s="122"/>
      <c r="AM701" s="122"/>
      <c r="AN701" s="122"/>
      <c r="AO701" s="122"/>
      <c r="AP701" s="166"/>
      <c r="AQ701" s="122"/>
      <c r="AR701" s="167"/>
      <c r="AS701" s="122"/>
      <c r="AT701" s="122"/>
      <c r="AU701" s="122"/>
      <c r="AV701" s="122"/>
      <c r="AW701" s="122"/>
      <c r="AX701" s="122"/>
      <c r="AY701" s="122"/>
      <c r="AZ701" s="122"/>
      <c r="BA701" s="122"/>
      <c r="BB701" s="122"/>
      <c r="BC701" s="122"/>
      <c r="BD701" s="122"/>
      <c r="BE701" s="122"/>
      <c r="BF701" s="122"/>
      <c r="BG701" s="122"/>
      <c r="BH701" s="122"/>
      <c r="BI701" s="122"/>
      <c r="BJ701" s="122"/>
    </row>
    <row r="702" spans="1:62">
      <c r="A702" s="122"/>
      <c r="B702" s="122"/>
      <c r="C702" s="122"/>
      <c r="D702" s="122"/>
      <c r="E702" s="122"/>
      <c r="F702" s="122"/>
      <c r="G702" s="122"/>
      <c r="H702" s="122"/>
      <c r="I702" s="122"/>
      <c r="J702" s="122"/>
      <c r="K702" s="122"/>
      <c r="L702" s="122"/>
      <c r="M702" s="122"/>
      <c r="N702" s="122"/>
      <c r="O702" s="122"/>
      <c r="P702" s="122"/>
      <c r="Q702" s="122"/>
      <c r="R702" s="122"/>
      <c r="S702" s="122"/>
      <c r="T702" s="122"/>
      <c r="U702" s="122"/>
      <c r="V702" s="122"/>
      <c r="W702" s="122"/>
      <c r="X702" s="122"/>
      <c r="Y702" s="122"/>
      <c r="Z702" s="122"/>
      <c r="AA702" s="122"/>
      <c r="AB702" s="122"/>
      <c r="AC702" s="122"/>
      <c r="AD702" s="122"/>
      <c r="AE702" s="122"/>
      <c r="AF702" s="122"/>
      <c r="AG702" s="122"/>
      <c r="AH702" s="122"/>
      <c r="AI702" s="122"/>
      <c r="AJ702" s="122"/>
      <c r="AK702" s="122"/>
      <c r="AL702" s="122"/>
      <c r="AM702" s="122"/>
      <c r="AN702" s="122"/>
      <c r="AO702" s="122"/>
      <c r="AP702" s="166"/>
      <c r="AQ702" s="122"/>
      <c r="AR702" s="167"/>
      <c r="AS702" s="122"/>
      <c r="AT702" s="122"/>
      <c r="AU702" s="122"/>
      <c r="AV702" s="122"/>
      <c r="AW702" s="122"/>
      <c r="AX702" s="122"/>
      <c r="AY702" s="122"/>
      <c r="AZ702" s="122"/>
      <c r="BA702" s="122"/>
      <c r="BB702" s="122"/>
      <c r="BC702" s="122"/>
      <c r="BD702" s="122"/>
      <c r="BE702" s="122"/>
      <c r="BF702" s="122"/>
      <c r="BG702" s="122"/>
      <c r="BH702" s="122"/>
      <c r="BI702" s="122"/>
      <c r="BJ702" s="122"/>
    </row>
    <row r="703" spans="1:62">
      <c r="A703" s="122"/>
      <c r="B703" s="122"/>
      <c r="C703" s="122"/>
      <c r="D703" s="122"/>
      <c r="E703" s="122"/>
      <c r="F703" s="122"/>
      <c r="G703" s="122"/>
      <c r="H703" s="122"/>
      <c r="I703" s="122"/>
      <c r="J703" s="122"/>
      <c r="K703" s="122"/>
      <c r="L703" s="122"/>
      <c r="M703" s="122"/>
      <c r="N703" s="122"/>
      <c r="O703" s="122"/>
      <c r="P703" s="122"/>
      <c r="Q703" s="122"/>
      <c r="R703" s="122"/>
      <c r="S703" s="122"/>
      <c r="T703" s="122"/>
      <c r="U703" s="122"/>
      <c r="V703" s="122"/>
      <c r="W703" s="122"/>
      <c r="X703" s="122"/>
      <c r="Y703" s="122"/>
      <c r="Z703" s="122"/>
      <c r="AA703" s="122"/>
      <c r="AB703" s="122"/>
      <c r="AC703" s="122"/>
      <c r="AD703" s="122"/>
      <c r="AE703" s="122"/>
      <c r="AF703" s="122"/>
      <c r="AG703" s="122"/>
      <c r="AH703" s="122"/>
      <c r="AI703" s="122"/>
      <c r="AJ703" s="122"/>
      <c r="AK703" s="122"/>
      <c r="AL703" s="122"/>
      <c r="AM703" s="122"/>
      <c r="AN703" s="122"/>
      <c r="AO703" s="122"/>
      <c r="AP703" s="166"/>
      <c r="AQ703" s="122"/>
      <c r="AR703" s="167"/>
      <c r="AS703" s="122"/>
      <c r="AT703" s="122"/>
      <c r="AU703" s="122"/>
      <c r="AV703" s="122"/>
      <c r="AW703" s="122"/>
      <c r="AX703" s="122"/>
      <c r="AY703" s="122"/>
      <c r="AZ703" s="122"/>
      <c r="BA703" s="122"/>
      <c r="BB703" s="122"/>
      <c r="BC703" s="122"/>
      <c r="BD703" s="122"/>
      <c r="BE703" s="122"/>
      <c r="BF703" s="122"/>
      <c r="BG703" s="122"/>
      <c r="BH703" s="122"/>
      <c r="BI703" s="122"/>
      <c r="BJ703" s="122"/>
    </row>
    <row r="704" spans="1:62">
      <c r="A704" s="122"/>
      <c r="B704" s="122"/>
      <c r="C704" s="122"/>
      <c r="D704" s="122"/>
      <c r="E704" s="122"/>
      <c r="F704" s="122"/>
      <c r="G704" s="122"/>
      <c r="H704" s="122"/>
      <c r="I704" s="122"/>
      <c r="J704" s="122"/>
      <c r="K704" s="122"/>
      <c r="L704" s="122"/>
      <c r="M704" s="122"/>
      <c r="N704" s="122"/>
      <c r="O704" s="122"/>
      <c r="P704" s="122"/>
      <c r="Q704" s="122"/>
      <c r="R704" s="122"/>
      <c r="S704" s="122"/>
      <c r="T704" s="122"/>
      <c r="U704" s="122"/>
      <c r="V704" s="122"/>
      <c r="W704" s="122"/>
      <c r="X704" s="122"/>
      <c r="Y704" s="122"/>
      <c r="Z704" s="122"/>
      <c r="AA704" s="122"/>
      <c r="AB704" s="122"/>
      <c r="AC704" s="122"/>
      <c r="AD704" s="122"/>
      <c r="AE704" s="122"/>
      <c r="AF704" s="122"/>
      <c r="AG704" s="122"/>
      <c r="AH704" s="122"/>
      <c r="AI704" s="122"/>
      <c r="AJ704" s="122"/>
      <c r="AK704" s="122"/>
      <c r="AL704" s="122"/>
      <c r="AM704" s="122"/>
      <c r="AN704" s="122"/>
      <c r="AO704" s="122"/>
      <c r="AP704" s="166"/>
      <c r="AQ704" s="122"/>
      <c r="AR704" s="167"/>
      <c r="AS704" s="122"/>
      <c r="AT704" s="122"/>
      <c r="AU704" s="122"/>
      <c r="AV704" s="122"/>
      <c r="AW704" s="122"/>
      <c r="AX704" s="122"/>
      <c r="AY704" s="122"/>
      <c r="AZ704" s="122"/>
      <c r="BA704" s="122"/>
      <c r="BB704" s="122"/>
      <c r="BC704" s="122"/>
      <c r="BD704" s="122"/>
      <c r="BE704" s="122"/>
      <c r="BF704" s="122"/>
      <c r="BG704" s="122"/>
      <c r="BH704" s="122"/>
      <c r="BI704" s="122"/>
      <c r="BJ704" s="122"/>
    </row>
    <row r="705" spans="1:62">
      <c r="A705" s="122"/>
      <c r="B705" s="122"/>
      <c r="C705" s="122"/>
      <c r="D705" s="122"/>
      <c r="E705" s="122"/>
      <c r="F705" s="122"/>
      <c r="G705" s="122"/>
      <c r="H705" s="122"/>
      <c r="I705" s="122"/>
      <c r="J705" s="122"/>
      <c r="K705" s="122"/>
      <c r="L705" s="122"/>
      <c r="M705" s="122"/>
      <c r="N705" s="122"/>
      <c r="O705" s="122"/>
      <c r="P705" s="122"/>
      <c r="Q705" s="122"/>
      <c r="R705" s="122"/>
      <c r="S705" s="122"/>
      <c r="T705" s="122"/>
      <c r="U705" s="122"/>
      <c r="V705" s="122"/>
      <c r="W705" s="122"/>
      <c r="X705" s="122"/>
      <c r="Y705" s="122"/>
      <c r="Z705" s="122"/>
      <c r="AA705" s="122"/>
      <c r="AB705" s="122"/>
      <c r="AC705" s="122"/>
      <c r="AD705" s="122"/>
      <c r="AE705" s="122"/>
      <c r="AF705" s="122"/>
      <c r="AG705" s="122"/>
      <c r="AH705" s="122"/>
      <c r="AI705" s="122"/>
      <c r="AJ705" s="122"/>
      <c r="AK705" s="122"/>
      <c r="AL705" s="122"/>
      <c r="AM705" s="122"/>
      <c r="AN705" s="122"/>
      <c r="AO705" s="122"/>
      <c r="AP705" s="166"/>
      <c r="AQ705" s="122"/>
      <c r="AR705" s="167"/>
      <c r="AS705" s="122"/>
      <c r="AT705" s="122"/>
      <c r="AU705" s="122"/>
      <c r="AV705" s="122"/>
      <c r="AW705" s="122"/>
      <c r="AX705" s="122"/>
      <c r="AY705" s="122"/>
      <c r="AZ705" s="122"/>
      <c r="BA705" s="122"/>
      <c r="BB705" s="122"/>
      <c r="BC705" s="122"/>
      <c r="BD705" s="122"/>
      <c r="BE705" s="122"/>
      <c r="BF705" s="122"/>
      <c r="BG705" s="122"/>
      <c r="BH705" s="122"/>
      <c r="BI705" s="122"/>
      <c r="BJ705" s="122"/>
    </row>
    <row r="706" spans="1:62">
      <c r="A706" s="122"/>
      <c r="B706" s="122"/>
      <c r="C706" s="122"/>
      <c r="D706" s="122"/>
      <c r="E706" s="122"/>
      <c r="F706" s="122"/>
      <c r="G706" s="122"/>
      <c r="H706" s="122"/>
      <c r="I706" s="122"/>
      <c r="J706" s="122"/>
      <c r="K706" s="122"/>
      <c r="L706" s="122"/>
      <c r="M706" s="122"/>
      <c r="N706" s="122"/>
      <c r="O706" s="122"/>
      <c r="P706" s="122"/>
      <c r="Q706" s="122"/>
      <c r="R706" s="122"/>
      <c r="S706" s="122"/>
      <c r="T706" s="122"/>
      <c r="U706" s="122"/>
      <c r="V706" s="122"/>
      <c r="W706" s="122"/>
      <c r="X706" s="122"/>
      <c r="Y706" s="122"/>
      <c r="Z706" s="122"/>
      <c r="AA706" s="122"/>
      <c r="AB706" s="122"/>
      <c r="AC706" s="122"/>
      <c r="AD706" s="122"/>
      <c r="AE706" s="122"/>
      <c r="AF706" s="122"/>
      <c r="AG706" s="122"/>
      <c r="AH706" s="122"/>
      <c r="AI706" s="122"/>
      <c r="AJ706" s="122"/>
      <c r="AK706" s="122"/>
      <c r="AL706" s="122"/>
      <c r="AM706" s="122"/>
      <c r="AN706" s="122"/>
      <c r="AO706" s="122"/>
      <c r="AP706" s="166"/>
      <c r="AQ706" s="122"/>
      <c r="AR706" s="167"/>
      <c r="AS706" s="122"/>
      <c r="AT706" s="122"/>
      <c r="AU706" s="122"/>
      <c r="AV706" s="122"/>
      <c r="AW706" s="122"/>
      <c r="AX706" s="122"/>
      <c r="AY706" s="122"/>
      <c r="AZ706" s="122"/>
      <c r="BA706" s="122"/>
      <c r="BB706" s="122"/>
      <c r="BC706" s="122"/>
      <c r="BD706" s="122"/>
      <c r="BE706" s="122"/>
      <c r="BF706" s="122"/>
      <c r="BG706" s="122"/>
      <c r="BH706" s="122"/>
      <c r="BI706" s="122"/>
      <c r="BJ706" s="122"/>
    </row>
    <row r="707" spans="1:62">
      <c r="A707" s="122"/>
      <c r="B707" s="122"/>
      <c r="C707" s="122"/>
      <c r="D707" s="122"/>
      <c r="E707" s="122"/>
      <c r="F707" s="122"/>
      <c r="G707" s="122"/>
      <c r="H707" s="122"/>
      <c r="I707" s="122"/>
      <c r="J707" s="122"/>
      <c r="K707" s="122"/>
      <c r="L707" s="122"/>
      <c r="M707" s="122"/>
      <c r="N707" s="122"/>
      <c r="O707" s="122"/>
      <c r="P707" s="122"/>
      <c r="Q707" s="122"/>
      <c r="R707" s="122"/>
      <c r="S707" s="122"/>
      <c r="T707" s="122"/>
      <c r="U707" s="122"/>
      <c r="V707" s="122"/>
      <c r="W707" s="122"/>
      <c r="X707" s="122"/>
      <c r="Y707" s="122"/>
      <c r="Z707" s="122"/>
      <c r="AA707" s="122"/>
      <c r="AB707" s="122"/>
      <c r="AC707" s="122"/>
      <c r="AD707" s="122"/>
      <c r="AE707" s="122"/>
      <c r="AF707" s="122"/>
      <c r="AG707" s="122"/>
      <c r="AH707" s="122"/>
      <c r="AI707" s="122"/>
      <c r="AJ707" s="122"/>
      <c r="AK707" s="122"/>
      <c r="AL707" s="122"/>
      <c r="AM707" s="122"/>
      <c r="AN707" s="122"/>
      <c r="AO707" s="122"/>
      <c r="AP707" s="166"/>
      <c r="AQ707" s="122"/>
      <c r="AR707" s="167"/>
      <c r="AS707" s="122"/>
      <c r="AT707" s="122"/>
      <c r="AU707" s="122"/>
      <c r="AV707" s="122"/>
      <c r="AW707" s="122"/>
      <c r="AX707" s="122"/>
      <c r="AY707" s="122"/>
      <c r="AZ707" s="122"/>
      <c r="BA707" s="122"/>
      <c r="BB707" s="122"/>
      <c r="BC707" s="122"/>
      <c r="BD707" s="122"/>
      <c r="BE707" s="122"/>
      <c r="BF707" s="122"/>
      <c r="BG707" s="122"/>
      <c r="BH707" s="122"/>
      <c r="BI707" s="122"/>
      <c r="BJ707" s="122"/>
    </row>
    <row r="708" spans="1:62">
      <c r="A708" s="122"/>
      <c r="B708" s="122"/>
      <c r="C708" s="122"/>
      <c r="D708" s="122"/>
      <c r="E708" s="122"/>
      <c r="F708" s="122"/>
      <c r="G708" s="122"/>
      <c r="H708" s="122"/>
      <c r="I708" s="122"/>
      <c r="J708" s="122"/>
      <c r="K708" s="122"/>
      <c r="L708" s="122"/>
      <c r="M708" s="122"/>
      <c r="N708" s="122"/>
      <c r="O708" s="122"/>
      <c r="P708" s="122"/>
      <c r="Q708" s="122"/>
      <c r="R708" s="122"/>
      <c r="S708" s="122"/>
      <c r="T708" s="122"/>
      <c r="U708" s="122"/>
      <c r="V708" s="122"/>
      <c r="W708" s="122"/>
      <c r="X708" s="122"/>
      <c r="Y708" s="122"/>
      <c r="Z708" s="122"/>
      <c r="AA708" s="122"/>
      <c r="AB708" s="122"/>
      <c r="AC708" s="122"/>
      <c r="AD708" s="122"/>
      <c r="AE708" s="122"/>
      <c r="AF708" s="122"/>
      <c r="AG708" s="122"/>
      <c r="AH708" s="122"/>
      <c r="AI708" s="122"/>
      <c r="AJ708" s="122"/>
      <c r="AK708" s="122"/>
      <c r="AL708" s="122"/>
      <c r="AM708" s="122"/>
      <c r="AN708" s="122"/>
      <c r="AO708" s="122"/>
      <c r="AP708" s="166"/>
      <c r="AQ708" s="122"/>
      <c r="AR708" s="167"/>
      <c r="AS708" s="122"/>
      <c r="AT708" s="122"/>
      <c r="AU708" s="122"/>
      <c r="AV708" s="122"/>
      <c r="AW708" s="122"/>
      <c r="AX708" s="122"/>
      <c r="AY708" s="122"/>
      <c r="AZ708" s="122"/>
      <c r="BA708" s="122"/>
      <c r="BB708" s="122"/>
      <c r="BC708" s="122"/>
      <c r="BD708" s="122"/>
      <c r="BE708" s="122"/>
      <c r="BF708" s="122"/>
      <c r="BG708" s="122"/>
      <c r="BH708" s="122"/>
      <c r="BI708" s="122"/>
      <c r="BJ708" s="122"/>
    </row>
    <row r="709" spans="1:62">
      <c r="A709" s="122"/>
      <c r="B709" s="122"/>
      <c r="C709" s="122"/>
      <c r="D709" s="122"/>
      <c r="E709" s="122"/>
      <c r="F709" s="122"/>
      <c r="G709" s="122"/>
      <c r="H709" s="122"/>
      <c r="I709" s="122"/>
      <c r="J709" s="122"/>
      <c r="K709" s="122"/>
      <c r="L709" s="122"/>
      <c r="M709" s="122"/>
      <c r="N709" s="122"/>
      <c r="O709" s="122"/>
      <c r="P709" s="122"/>
      <c r="Q709" s="122"/>
      <c r="R709" s="122"/>
      <c r="S709" s="122"/>
      <c r="T709" s="122"/>
      <c r="U709" s="122"/>
      <c r="V709" s="122"/>
      <c r="W709" s="122"/>
      <c r="X709" s="122"/>
      <c r="Y709" s="122"/>
      <c r="Z709" s="122"/>
      <c r="AA709" s="122"/>
      <c r="AB709" s="122"/>
      <c r="AC709" s="122"/>
      <c r="AD709" s="122"/>
      <c r="AE709" s="122"/>
      <c r="AF709" s="122"/>
      <c r="AG709" s="122"/>
      <c r="AH709" s="122"/>
      <c r="AI709" s="122"/>
      <c r="AJ709" s="122"/>
      <c r="AK709" s="122"/>
      <c r="AL709" s="122"/>
      <c r="AM709" s="122"/>
      <c r="AN709" s="122"/>
      <c r="AO709" s="122"/>
      <c r="AP709" s="166"/>
      <c r="AQ709" s="122"/>
      <c r="AR709" s="167"/>
      <c r="AS709" s="122"/>
      <c r="AT709" s="122"/>
      <c r="AU709" s="122"/>
      <c r="AV709" s="122"/>
      <c r="AW709" s="122"/>
      <c r="AX709" s="122"/>
      <c r="AY709" s="122"/>
      <c r="AZ709" s="122"/>
      <c r="BA709" s="122"/>
      <c r="BB709" s="122"/>
      <c r="BC709" s="122"/>
      <c r="BD709" s="122"/>
      <c r="BE709" s="122"/>
      <c r="BF709" s="122"/>
      <c r="BG709" s="122"/>
      <c r="BH709" s="122"/>
      <c r="BI709" s="122"/>
      <c r="BJ709" s="122"/>
    </row>
    <row r="710" spans="1:62">
      <c r="A710" s="122"/>
      <c r="B710" s="122"/>
      <c r="C710" s="122"/>
      <c r="D710" s="122"/>
      <c r="E710" s="122"/>
      <c r="F710" s="122"/>
      <c r="G710" s="122"/>
      <c r="H710" s="122"/>
      <c r="I710" s="122"/>
      <c r="J710" s="122"/>
      <c r="K710" s="122"/>
      <c r="L710" s="122"/>
      <c r="M710" s="122"/>
      <c r="N710" s="122"/>
      <c r="O710" s="122"/>
      <c r="P710" s="122"/>
      <c r="Q710" s="122"/>
      <c r="R710" s="122"/>
      <c r="S710" s="122"/>
      <c r="T710" s="122"/>
      <c r="U710" s="122"/>
      <c r="V710" s="122"/>
      <c r="W710" s="122"/>
      <c r="X710" s="122"/>
      <c r="Y710" s="122"/>
      <c r="Z710" s="122"/>
      <c r="AA710" s="122"/>
      <c r="AB710" s="122"/>
      <c r="AC710" s="122"/>
      <c r="AD710" s="122"/>
      <c r="AE710" s="122"/>
      <c r="AF710" s="122"/>
      <c r="AG710" s="122"/>
      <c r="AH710" s="122"/>
      <c r="AI710" s="122"/>
      <c r="AJ710" s="122"/>
      <c r="AK710" s="122"/>
      <c r="AL710" s="122"/>
      <c r="AM710" s="122"/>
      <c r="AN710" s="122"/>
      <c r="AO710" s="122"/>
      <c r="AP710" s="166"/>
      <c r="AQ710" s="122"/>
      <c r="AR710" s="167"/>
      <c r="AS710" s="122"/>
      <c r="AT710" s="122"/>
      <c r="AU710" s="122"/>
      <c r="AV710" s="122"/>
      <c r="AW710" s="122"/>
      <c r="AX710" s="122"/>
      <c r="AY710" s="122"/>
      <c r="AZ710" s="122"/>
      <c r="BA710" s="122"/>
      <c r="BB710" s="122"/>
      <c r="BC710" s="122"/>
      <c r="BD710" s="122"/>
      <c r="BE710" s="122"/>
      <c r="BF710" s="122"/>
      <c r="BG710" s="122"/>
      <c r="BH710" s="122"/>
      <c r="BI710" s="122"/>
      <c r="BJ710" s="122"/>
    </row>
    <row r="711" spans="1:62">
      <c r="A711" s="122"/>
      <c r="B711" s="122"/>
      <c r="C711" s="122"/>
      <c r="D711" s="122"/>
      <c r="E711" s="122"/>
      <c r="F711" s="122"/>
      <c r="G711" s="122"/>
      <c r="H711" s="122"/>
      <c r="I711" s="122"/>
      <c r="J711" s="122"/>
      <c r="K711" s="122"/>
      <c r="L711" s="122"/>
      <c r="M711" s="122"/>
      <c r="N711" s="122"/>
      <c r="O711" s="122"/>
      <c r="P711" s="122"/>
      <c r="Q711" s="122"/>
      <c r="R711" s="122"/>
      <c r="S711" s="122"/>
      <c r="T711" s="122"/>
      <c r="U711" s="122"/>
      <c r="V711" s="122"/>
      <c r="W711" s="122"/>
      <c r="X711" s="122"/>
      <c r="Y711" s="122"/>
      <c r="Z711" s="122"/>
      <c r="AA711" s="122"/>
      <c r="AB711" s="122"/>
      <c r="AC711" s="122"/>
      <c r="AD711" s="122"/>
      <c r="AE711" s="122"/>
      <c r="AF711" s="122"/>
      <c r="AG711" s="122"/>
      <c r="AH711" s="122"/>
      <c r="AI711" s="122"/>
      <c r="AJ711" s="122"/>
      <c r="AK711" s="122"/>
      <c r="AL711" s="122"/>
      <c r="AM711" s="122"/>
      <c r="AN711" s="122"/>
      <c r="AO711" s="122"/>
      <c r="AP711" s="166"/>
      <c r="AQ711" s="122"/>
      <c r="AR711" s="167"/>
      <c r="AS711" s="122"/>
      <c r="AT711" s="122"/>
      <c r="AU711" s="122"/>
      <c r="AV711" s="122"/>
      <c r="AW711" s="122"/>
      <c r="AX711" s="122"/>
      <c r="AY711" s="122"/>
      <c r="AZ711" s="122"/>
      <c r="BA711" s="122"/>
      <c r="BB711" s="122"/>
      <c r="BC711" s="122"/>
      <c r="BD711" s="122"/>
      <c r="BE711" s="122"/>
      <c r="BF711" s="122"/>
      <c r="BG711" s="122"/>
      <c r="BH711" s="122"/>
      <c r="BI711" s="122"/>
      <c r="BJ711" s="122"/>
    </row>
    <row r="712" spans="1:62">
      <c r="A712" s="122"/>
      <c r="B712" s="122"/>
      <c r="C712" s="122"/>
      <c r="D712" s="122"/>
      <c r="E712" s="122"/>
      <c r="F712" s="122"/>
      <c r="G712" s="122"/>
      <c r="H712" s="122"/>
      <c r="I712" s="122"/>
      <c r="J712" s="122"/>
      <c r="K712" s="122"/>
      <c r="L712" s="122"/>
      <c r="M712" s="122"/>
      <c r="N712" s="122"/>
      <c r="O712" s="122"/>
      <c r="P712" s="122"/>
      <c r="Q712" s="122"/>
      <c r="R712" s="122"/>
      <c r="S712" s="122"/>
      <c r="T712" s="122"/>
      <c r="U712" s="122"/>
      <c r="V712" s="122"/>
      <c r="W712" s="122"/>
      <c r="X712" s="122"/>
      <c r="Y712" s="122"/>
      <c r="Z712" s="122"/>
      <c r="AA712" s="122"/>
      <c r="AB712" s="122"/>
      <c r="AC712" s="122"/>
      <c r="AD712" s="122"/>
      <c r="AE712" s="122"/>
      <c r="AF712" s="122"/>
      <c r="AG712" s="122"/>
      <c r="AH712" s="122"/>
      <c r="AI712" s="122"/>
      <c r="AJ712" s="122"/>
      <c r="AK712" s="122"/>
      <c r="AL712" s="122"/>
      <c r="AM712" s="122"/>
      <c r="AN712" s="122"/>
      <c r="AO712" s="122"/>
      <c r="AP712" s="166"/>
      <c r="AQ712" s="122"/>
      <c r="AR712" s="167"/>
      <c r="AS712" s="122"/>
      <c r="AT712" s="122"/>
      <c r="AU712" s="122"/>
      <c r="AV712" s="122"/>
      <c r="AW712" s="122"/>
      <c r="AX712" s="122"/>
      <c r="AY712" s="122"/>
      <c r="AZ712" s="122"/>
      <c r="BA712" s="122"/>
      <c r="BB712" s="122"/>
      <c r="BC712" s="122"/>
      <c r="BD712" s="122"/>
      <c r="BE712" s="122"/>
      <c r="BF712" s="122"/>
      <c r="BG712" s="122"/>
      <c r="BH712" s="122"/>
      <c r="BI712" s="122"/>
      <c r="BJ712" s="122"/>
    </row>
    <row r="713" spans="1:62">
      <c r="A713" s="122"/>
      <c r="B713" s="122"/>
      <c r="C713" s="122"/>
      <c r="D713" s="122"/>
      <c r="E713" s="122"/>
      <c r="F713" s="122"/>
      <c r="G713" s="122"/>
      <c r="H713" s="122"/>
      <c r="I713" s="122"/>
      <c r="J713" s="122"/>
      <c r="K713" s="122"/>
      <c r="L713" s="122"/>
      <c r="M713" s="122"/>
      <c r="N713" s="122"/>
      <c r="O713" s="122"/>
      <c r="P713" s="122"/>
      <c r="Q713" s="122"/>
      <c r="R713" s="122"/>
      <c r="S713" s="122"/>
      <c r="T713" s="122"/>
      <c r="U713" s="122"/>
      <c r="V713" s="122"/>
      <c r="W713" s="122"/>
      <c r="X713" s="122"/>
      <c r="Y713" s="122"/>
      <c r="Z713" s="122"/>
      <c r="AA713" s="122"/>
      <c r="AB713" s="122"/>
      <c r="AC713" s="122"/>
      <c r="AD713" s="122"/>
      <c r="AE713" s="122"/>
      <c r="AF713" s="122"/>
      <c r="AG713" s="122"/>
      <c r="AH713" s="122"/>
      <c r="AI713" s="122"/>
      <c r="AJ713" s="122"/>
      <c r="AK713" s="122"/>
      <c r="AL713" s="122"/>
      <c r="AM713" s="122"/>
      <c r="AN713" s="122"/>
      <c r="AO713" s="122"/>
      <c r="AP713" s="166"/>
      <c r="AQ713" s="122"/>
      <c r="AR713" s="167"/>
      <c r="AS713" s="122"/>
      <c r="AT713" s="122"/>
      <c r="AU713" s="122"/>
      <c r="AV713" s="122"/>
      <c r="AW713" s="122"/>
      <c r="AX713" s="122"/>
      <c r="AY713" s="122"/>
      <c r="AZ713" s="122"/>
      <c r="BA713" s="122"/>
      <c r="BB713" s="122"/>
      <c r="BC713" s="122"/>
      <c r="BD713" s="122"/>
      <c r="BE713" s="122"/>
      <c r="BF713" s="122"/>
      <c r="BG713" s="122"/>
      <c r="BH713" s="122"/>
      <c r="BI713" s="122"/>
      <c r="BJ713" s="122"/>
    </row>
    <row r="714" spans="1:62">
      <c r="A714" s="122"/>
      <c r="B714" s="122"/>
      <c r="C714" s="122"/>
      <c r="D714" s="122"/>
      <c r="E714" s="122"/>
      <c r="F714" s="122"/>
      <c r="G714" s="122"/>
      <c r="H714" s="122"/>
      <c r="I714" s="122"/>
      <c r="J714" s="122"/>
      <c r="K714" s="122"/>
      <c r="L714" s="122"/>
      <c r="M714" s="122"/>
      <c r="N714" s="122"/>
      <c r="O714" s="122"/>
      <c r="P714" s="122"/>
      <c r="Q714" s="122"/>
      <c r="R714" s="122"/>
      <c r="S714" s="122"/>
      <c r="T714" s="122"/>
      <c r="U714" s="122"/>
      <c r="V714" s="122"/>
      <c r="W714" s="122"/>
      <c r="X714" s="122"/>
      <c r="Y714" s="122"/>
      <c r="Z714" s="122"/>
      <c r="AA714" s="122"/>
      <c r="AB714" s="122"/>
      <c r="AC714" s="122"/>
      <c r="AD714" s="122"/>
      <c r="AE714" s="122"/>
      <c r="AF714" s="122"/>
      <c r="AG714" s="122"/>
      <c r="AH714" s="122"/>
      <c r="AI714" s="122"/>
      <c r="AJ714" s="122"/>
      <c r="AK714" s="122"/>
      <c r="AL714" s="122"/>
      <c r="AM714" s="122"/>
      <c r="AN714" s="122"/>
      <c r="AO714" s="122"/>
      <c r="AP714" s="166"/>
      <c r="AQ714" s="122"/>
      <c r="AR714" s="167"/>
      <c r="AS714" s="122"/>
      <c r="AT714" s="122"/>
      <c r="AU714" s="122"/>
      <c r="AV714" s="122"/>
      <c r="AW714" s="122"/>
      <c r="AX714" s="122"/>
      <c r="AY714" s="122"/>
      <c r="AZ714" s="122"/>
      <c r="BA714" s="122"/>
      <c r="BB714" s="122"/>
      <c r="BC714" s="122"/>
      <c r="BD714" s="122"/>
      <c r="BE714" s="122"/>
      <c r="BF714" s="122"/>
      <c r="BG714" s="122"/>
      <c r="BH714" s="122"/>
      <c r="BI714" s="122"/>
      <c r="BJ714" s="122"/>
    </row>
    <row r="715" spans="1:62">
      <c r="A715" s="122"/>
      <c r="B715" s="122"/>
      <c r="C715" s="122"/>
      <c r="D715" s="122"/>
      <c r="E715" s="122"/>
      <c r="F715" s="122"/>
      <c r="G715" s="122"/>
      <c r="H715" s="122"/>
      <c r="I715" s="122"/>
      <c r="J715" s="122"/>
      <c r="K715" s="122"/>
      <c r="L715" s="122"/>
      <c r="M715" s="122"/>
      <c r="N715" s="122"/>
      <c r="O715" s="122"/>
      <c r="P715" s="122"/>
      <c r="Q715" s="122"/>
      <c r="R715" s="122"/>
      <c r="S715" s="122"/>
      <c r="T715" s="122"/>
      <c r="U715" s="122"/>
      <c r="V715" s="122"/>
      <c r="W715" s="122"/>
      <c r="X715" s="122"/>
      <c r="Y715" s="122"/>
      <c r="Z715" s="122"/>
      <c r="AA715" s="122"/>
      <c r="AB715" s="122"/>
      <c r="AC715" s="122"/>
      <c r="AD715" s="122"/>
      <c r="AE715" s="122"/>
      <c r="AF715" s="122"/>
      <c r="AG715" s="122"/>
      <c r="AH715" s="122"/>
      <c r="AI715" s="122"/>
      <c r="AJ715" s="122"/>
      <c r="AK715" s="122"/>
      <c r="AL715" s="122"/>
      <c r="AM715" s="122"/>
      <c r="AN715" s="122"/>
      <c r="AO715" s="122"/>
      <c r="AP715" s="166"/>
      <c r="AQ715" s="122"/>
      <c r="AR715" s="167"/>
      <c r="AS715" s="122"/>
      <c r="AT715" s="122"/>
      <c r="AU715" s="122"/>
      <c r="AV715" s="122"/>
      <c r="AW715" s="122"/>
      <c r="AX715" s="122"/>
      <c r="AY715" s="122"/>
      <c r="AZ715" s="122"/>
      <c r="BA715" s="122"/>
      <c r="BB715" s="122"/>
      <c r="BC715" s="122"/>
      <c r="BD715" s="122"/>
      <c r="BE715" s="122"/>
      <c r="BF715" s="122"/>
      <c r="BG715" s="122"/>
      <c r="BH715" s="122"/>
      <c r="BI715" s="122"/>
      <c r="BJ715" s="122"/>
    </row>
    <row r="716" spans="1:62">
      <c r="A716" s="122"/>
      <c r="B716" s="122"/>
      <c r="C716" s="122"/>
      <c r="D716" s="122"/>
      <c r="E716" s="122"/>
      <c r="F716" s="122"/>
      <c r="G716" s="122"/>
      <c r="H716" s="122"/>
      <c r="I716" s="122"/>
      <c r="J716" s="122"/>
      <c r="K716" s="122"/>
      <c r="L716" s="122"/>
      <c r="M716" s="122"/>
      <c r="N716" s="122"/>
      <c r="O716" s="122"/>
      <c r="P716" s="122"/>
      <c r="Q716" s="122"/>
      <c r="R716" s="122"/>
      <c r="S716" s="122"/>
      <c r="T716" s="122"/>
      <c r="U716" s="122"/>
      <c r="V716" s="122"/>
      <c r="W716" s="122"/>
      <c r="X716" s="122"/>
      <c r="Y716" s="122"/>
      <c r="Z716" s="122"/>
      <c r="AA716" s="122"/>
      <c r="AB716" s="122"/>
      <c r="AC716" s="122"/>
      <c r="AD716" s="122"/>
      <c r="AE716" s="122"/>
      <c r="AF716" s="122"/>
      <c r="AG716" s="122"/>
      <c r="AH716" s="122"/>
      <c r="AI716" s="122"/>
      <c r="AJ716" s="122"/>
      <c r="AK716" s="122"/>
      <c r="AL716" s="122"/>
      <c r="AM716" s="122"/>
      <c r="AN716" s="122"/>
      <c r="AO716" s="122"/>
      <c r="AP716" s="166"/>
      <c r="AQ716" s="122"/>
      <c r="AR716" s="167"/>
      <c r="AS716" s="122"/>
      <c r="AT716" s="122"/>
      <c r="AU716" s="122"/>
      <c r="AV716" s="122"/>
      <c r="AW716" s="122"/>
      <c r="AX716" s="122"/>
      <c r="AY716" s="122"/>
      <c r="AZ716" s="122"/>
      <c r="BA716" s="122"/>
      <c r="BB716" s="122"/>
      <c r="BC716" s="122"/>
      <c r="BD716" s="122"/>
      <c r="BE716" s="122"/>
      <c r="BF716" s="122"/>
      <c r="BG716" s="122"/>
      <c r="BH716" s="122"/>
      <c r="BI716" s="122"/>
      <c r="BJ716" s="122"/>
    </row>
    <row r="717" spans="1:62">
      <c r="A717" s="122"/>
      <c r="B717" s="122"/>
      <c r="C717" s="122"/>
      <c r="D717" s="122"/>
      <c r="E717" s="122"/>
      <c r="F717" s="122"/>
      <c r="G717" s="122"/>
      <c r="H717" s="122"/>
      <c r="I717" s="122"/>
      <c r="J717" s="122"/>
      <c r="K717" s="122"/>
      <c r="L717" s="122"/>
      <c r="M717" s="122"/>
      <c r="N717" s="122"/>
      <c r="O717" s="122"/>
      <c r="P717" s="122"/>
      <c r="Q717" s="122"/>
      <c r="R717" s="122"/>
      <c r="S717" s="122"/>
      <c r="T717" s="122"/>
      <c r="U717" s="122"/>
      <c r="V717" s="122"/>
      <c r="W717" s="122"/>
      <c r="X717" s="122"/>
      <c r="Y717" s="122"/>
      <c r="Z717" s="122"/>
      <c r="AA717" s="122"/>
      <c r="AB717" s="122"/>
      <c r="AC717" s="122"/>
      <c r="AD717" s="122"/>
      <c r="AE717" s="122"/>
      <c r="AF717" s="122"/>
      <c r="AG717" s="122"/>
      <c r="AH717" s="122"/>
      <c r="AI717" s="122"/>
      <c r="AJ717" s="122"/>
      <c r="AK717" s="122"/>
      <c r="AL717" s="122"/>
      <c r="AM717" s="122"/>
      <c r="AN717" s="122"/>
      <c r="AO717" s="122"/>
      <c r="AP717" s="166"/>
      <c r="AQ717" s="122"/>
      <c r="AR717" s="167"/>
      <c r="AS717" s="122"/>
      <c r="AT717" s="122"/>
      <c r="AU717" s="122"/>
      <c r="AV717" s="122"/>
      <c r="AW717" s="122"/>
      <c r="AX717" s="122"/>
      <c r="AY717" s="122"/>
      <c r="AZ717" s="122"/>
      <c r="BA717" s="122"/>
      <c r="BB717" s="122"/>
      <c r="BC717" s="122"/>
      <c r="BD717" s="122"/>
      <c r="BE717" s="122"/>
      <c r="BF717" s="122"/>
      <c r="BG717" s="122"/>
      <c r="BH717" s="122"/>
      <c r="BI717" s="122"/>
      <c r="BJ717" s="122"/>
    </row>
    <row r="718" spans="1:62">
      <c r="A718" s="122"/>
      <c r="B718" s="122"/>
      <c r="C718" s="122"/>
      <c r="D718" s="122"/>
      <c r="E718" s="122"/>
      <c r="F718" s="122"/>
      <c r="G718" s="122"/>
      <c r="H718" s="122"/>
      <c r="I718" s="122"/>
      <c r="J718" s="122"/>
      <c r="K718" s="122"/>
      <c r="L718" s="122"/>
      <c r="M718" s="122"/>
      <c r="N718" s="122"/>
      <c r="O718" s="122"/>
      <c r="P718" s="122"/>
      <c r="Q718" s="122"/>
      <c r="R718" s="122"/>
      <c r="S718" s="122"/>
      <c r="T718" s="122"/>
      <c r="U718" s="122"/>
      <c r="V718" s="122"/>
      <c r="W718" s="122"/>
      <c r="X718" s="122"/>
      <c r="Y718" s="122"/>
      <c r="Z718" s="122"/>
      <c r="AA718" s="122"/>
      <c r="AB718" s="122"/>
      <c r="AC718" s="122"/>
      <c r="AD718" s="122"/>
      <c r="AE718" s="122"/>
      <c r="AF718" s="122"/>
      <c r="AG718" s="122"/>
      <c r="AH718" s="122"/>
      <c r="AI718" s="122"/>
      <c r="AJ718" s="122"/>
      <c r="AK718" s="122"/>
      <c r="AL718" s="122"/>
      <c r="AM718" s="122"/>
      <c r="AN718" s="122"/>
      <c r="AO718" s="122"/>
      <c r="AP718" s="166"/>
      <c r="AQ718" s="122"/>
      <c r="AR718" s="167"/>
      <c r="AS718" s="122"/>
      <c r="AT718" s="122"/>
      <c r="AU718" s="122"/>
      <c r="AV718" s="122"/>
      <c r="AW718" s="122"/>
      <c r="AX718" s="122"/>
      <c r="AY718" s="122"/>
      <c r="AZ718" s="122"/>
      <c r="BA718" s="122"/>
      <c r="BB718" s="122"/>
      <c r="BC718" s="122"/>
      <c r="BD718" s="122"/>
      <c r="BE718" s="122"/>
      <c r="BF718" s="122"/>
      <c r="BG718" s="122"/>
      <c r="BH718" s="122"/>
      <c r="BI718" s="122"/>
      <c r="BJ718" s="122"/>
    </row>
    <row r="719" spans="1:62">
      <c r="A719" s="122"/>
      <c r="B719" s="122"/>
      <c r="C719" s="122"/>
      <c r="D719" s="122"/>
      <c r="E719" s="122"/>
      <c r="F719" s="122"/>
      <c r="G719" s="122"/>
      <c r="H719" s="122"/>
      <c r="I719" s="122"/>
      <c r="J719" s="122"/>
      <c r="K719" s="122"/>
      <c r="L719" s="122"/>
      <c r="M719" s="122"/>
      <c r="N719" s="122"/>
      <c r="O719" s="122"/>
      <c r="P719" s="122"/>
      <c r="Q719" s="122"/>
      <c r="R719" s="122"/>
      <c r="S719" s="122"/>
      <c r="T719" s="122"/>
      <c r="U719" s="122"/>
      <c r="V719" s="122"/>
      <c r="W719" s="122"/>
      <c r="X719" s="122"/>
      <c r="Y719" s="122"/>
      <c r="Z719" s="122"/>
      <c r="AA719" s="122"/>
      <c r="AB719" s="122"/>
      <c r="AC719" s="122"/>
      <c r="AD719" s="122"/>
      <c r="AE719" s="122"/>
      <c r="AF719" s="122"/>
      <c r="AG719" s="122"/>
      <c r="AH719" s="122"/>
      <c r="AI719" s="122"/>
      <c r="AJ719" s="122"/>
      <c r="AK719" s="122"/>
      <c r="AL719" s="122"/>
      <c r="AM719" s="122"/>
      <c r="AN719" s="122"/>
      <c r="AO719" s="122"/>
      <c r="AP719" s="166"/>
      <c r="AQ719" s="122"/>
      <c r="AR719" s="167"/>
      <c r="AS719" s="122"/>
      <c r="AT719" s="122"/>
      <c r="AU719" s="122"/>
      <c r="AV719" s="122"/>
      <c r="AW719" s="122"/>
      <c r="AX719" s="122"/>
      <c r="AY719" s="122"/>
      <c r="AZ719" s="122"/>
      <c r="BA719" s="122"/>
      <c r="BB719" s="122"/>
      <c r="BC719" s="122"/>
      <c r="BD719" s="122"/>
      <c r="BE719" s="122"/>
      <c r="BF719" s="122"/>
      <c r="BG719" s="122"/>
      <c r="BH719" s="122"/>
      <c r="BI719" s="122"/>
      <c r="BJ719" s="122"/>
    </row>
    <row r="720" spans="1:62">
      <c r="A720" s="122"/>
      <c r="B720" s="122"/>
      <c r="C720" s="122"/>
      <c r="D720" s="122"/>
      <c r="E720" s="122"/>
      <c r="F720" s="122"/>
      <c r="G720" s="122"/>
      <c r="H720" s="122"/>
      <c r="I720" s="122"/>
      <c r="J720" s="122"/>
      <c r="K720" s="122"/>
      <c r="L720" s="122"/>
      <c r="M720" s="122"/>
      <c r="N720" s="122"/>
      <c r="O720" s="122"/>
      <c r="P720" s="122"/>
      <c r="Q720" s="122"/>
      <c r="R720" s="122"/>
      <c r="S720" s="122"/>
      <c r="T720" s="122"/>
      <c r="U720" s="122"/>
      <c r="V720" s="122"/>
      <c r="W720" s="122"/>
      <c r="X720" s="122"/>
      <c r="Y720" s="122"/>
      <c r="Z720" s="122"/>
      <c r="AA720" s="122"/>
      <c r="AB720" s="122"/>
      <c r="AC720" s="122"/>
      <c r="AD720" s="122"/>
      <c r="AE720" s="122"/>
      <c r="AF720" s="122"/>
      <c r="AG720" s="122"/>
      <c r="AH720" s="122"/>
      <c r="AI720" s="122"/>
      <c r="AJ720" s="122"/>
      <c r="AK720" s="122"/>
      <c r="AL720" s="122"/>
      <c r="AM720" s="122"/>
      <c r="AN720" s="122"/>
      <c r="AO720" s="122"/>
      <c r="AP720" s="166"/>
      <c r="AQ720" s="122"/>
      <c r="AR720" s="167"/>
      <c r="AS720" s="122"/>
      <c r="AT720" s="122"/>
      <c r="AU720" s="122"/>
      <c r="AV720" s="122"/>
      <c r="AW720" s="122"/>
      <c r="AX720" s="122"/>
      <c r="AY720" s="122"/>
      <c r="AZ720" s="122"/>
      <c r="BA720" s="122"/>
      <c r="BB720" s="122"/>
      <c r="BC720" s="122"/>
      <c r="BD720" s="122"/>
      <c r="BE720" s="122"/>
      <c r="BF720" s="122"/>
      <c r="BG720" s="122"/>
      <c r="BH720" s="122"/>
      <c r="BI720" s="122"/>
      <c r="BJ720" s="122"/>
    </row>
    <row r="721" spans="1:62">
      <c r="A721" s="122"/>
      <c r="B721" s="122"/>
      <c r="C721" s="122"/>
      <c r="D721" s="122"/>
      <c r="E721" s="122"/>
      <c r="F721" s="122"/>
      <c r="G721" s="122"/>
      <c r="H721" s="122"/>
      <c r="I721" s="122"/>
      <c r="J721" s="122"/>
      <c r="K721" s="122"/>
      <c r="L721" s="122"/>
      <c r="M721" s="122"/>
      <c r="N721" s="122"/>
      <c r="O721" s="122"/>
      <c r="P721" s="122"/>
      <c r="Q721" s="122"/>
      <c r="R721" s="122"/>
      <c r="S721" s="122"/>
      <c r="T721" s="122"/>
      <c r="U721" s="122"/>
      <c r="V721" s="122"/>
      <c r="W721" s="122"/>
      <c r="X721" s="122"/>
      <c r="Y721" s="122"/>
      <c r="Z721" s="122"/>
      <c r="AA721" s="122"/>
      <c r="AB721" s="122"/>
      <c r="AC721" s="122"/>
      <c r="AD721" s="122"/>
      <c r="AE721" s="122"/>
      <c r="AF721" s="122"/>
      <c r="AG721" s="122"/>
      <c r="AH721" s="122"/>
      <c r="AI721" s="122"/>
      <c r="AJ721" s="122"/>
      <c r="AK721" s="122"/>
      <c r="AL721" s="122"/>
      <c r="AM721" s="122"/>
      <c r="AN721" s="122"/>
      <c r="AO721" s="122"/>
      <c r="AP721" s="166"/>
      <c r="AQ721" s="122"/>
      <c r="AR721" s="167"/>
      <c r="AS721" s="122"/>
      <c r="AT721" s="122"/>
      <c r="AU721" s="122"/>
      <c r="AV721" s="122"/>
      <c r="AW721" s="122"/>
      <c r="AX721" s="122"/>
      <c r="AY721" s="122"/>
      <c r="AZ721" s="122"/>
      <c r="BA721" s="122"/>
      <c r="BB721" s="122"/>
      <c r="BC721" s="122"/>
      <c r="BD721" s="122"/>
      <c r="BE721" s="122"/>
      <c r="BF721" s="122"/>
      <c r="BG721" s="122"/>
      <c r="BH721" s="122"/>
      <c r="BI721" s="122"/>
      <c r="BJ721" s="122"/>
    </row>
    <row r="722" spans="1:62">
      <c r="A722" s="122"/>
      <c r="B722" s="122"/>
      <c r="C722" s="122"/>
      <c r="D722" s="122"/>
      <c r="E722" s="122"/>
      <c r="F722" s="122"/>
      <c r="G722" s="122"/>
      <c r="H722" s="122"/>
      <c r="I722" s="122"/>
      <c r="J722" s="122"/>
      <c r="K722" s="122"/>
      <c r="L722" s="122"/>
      <c r="M722" s="122"/>
      <c r="N722" s="122"/>
      <c r="O722" s="122"/>
      <c r="P722" s="122"/>
      <c r="Q722" s="122"/>
      <c r="R722" s="122"/>
      <c r="S722" s="122"/>
      <c r="T722" s="122"/>
      <c r="U722" s="122"/>
      <c r="V722" s="122"/>
      <c r="W722" s="122"/>
      <c r="X722" s="122"/>
      <c r="Y722" s="122"/>
      <c r="Z722" s="122"/>
      <c r="AA722" s="122"/>
      <c r="AB722" s="122"/>
      <c r="AC722" s="122"/>
      <c r="AD722" s="122"/>
      <c r="AE722" s="122"/>
      <c r="AF722" s="122"/>
      <c r="AG722" s="122"/>
      <c r="AH722" s="122"/>
      <c r="AI722" s="122"/>
      <c r="AJ722" s="122"/>
      <c r="AK722" s="122"/>
      <c r="AL722" s="122"/>
      <c r="AM722" s="122"/>
      <c r="AN722" s="122"/>
      <c r="AO722" s="122"/>
      <c r="AP722" s="166"/>
      <c r="AQ722" s="122"/>
      <c r="AR722" s="167"/>
      <c r="AS722" s="122"/>
      <c r="AT722" s="122"/>
      <c r="AU722" s="122"/>
      <c r="AV722" s="122"/>
      <c r="AW722" s="122"/>
      <c r="AX722" s="122"/>
      <c r="AY722" s="122"/>
      <c r="AZ722" s="122"/>
      <c r="BA722" s="122"/>
      <c r="BB722" s="122"/>
      <c r="BC722" s="122"/>
      <c r="BD722" s="122"/>
      <c r="BE722" s="122"/>
      <c r="BF722" s="122"/>
      <c r="BG722" s="122"/>
      <c r="BH722" s="122"/>
      <c r="BI722" s="122"/>
      <c r="BJ722" s="122"/>
    </row>
    <row r="723" spans="1:62">
      <c r="A723" s="122"/>
      <c r="B723" s="122"/>
      <c r="C723" s="122"/>
      <c r="D723" s="122"/>
      <c r="E723" s="122"/>
      <c r="F723" s="122"/>
      <c r="G723" s="122"/>
      <c r="H723" s="122"/>
      <c r="I723" s="122"/>
      <c r="J723" s="122"/>
      <c r="K723" s="122"/>
      <c r="L723" s="122"/>
      <c r="M723" s="122"/>
      <c r="N723" s="122"/>
      <c r="O723" s="122"/>
      <c r="P723" s="122"/>
      <c r="Q723" s="122"/>
      <c r="R723" s="122"/>
      <c r="S723" s="122"/>
      <c r="T723" s="122"/>
      <c r="U723" s="122"/>
      <c r="V723" s="122"/>
      <c r="W723" s="122"/>
      <c r="X723" s="122"/>
      <c r="Y723" s="122"/>
      <c r="Z723" s="122"/>
      <c r="AA723" s="122"/>
      <c r="AB723" s="122"/>
      <c r="AC723" s="122"/>
      <c r="AD723" s="122"/>
      <c r="AE723" s="122"/>
      <c r="AF723" s="122"/>
      <c r="AG723" s="122"/>
      <c r="AH723" s="122"/>
      <c r="AI723" s="122"/>
      <c r="AJ723" s="122"/>
      <c r="AK723" s="122"/>
      <c r="AL723" s="122"/>
      <c r="AM723" s="122"/>
      <c r="AN723" s="122"/>
      <c r="AO723" s="122"/>
      <c r="AP723" s="166"/>
      <c r="AQ723" s="122"/>
      <c r="AR723" s="167"/>
      <c r="AS723" s="122"/>
      <c r="AT723" s="122"/>
      <c r="AU723" s="122"/>
      <c r="AV723" s="122"/>
      <c r="AW723" s="122"/>
      <c r="AX723" s="122"/>
      <c r="AY723" s="122"/>
      <c r="AZ723" s="122"/>
      <c r="BA723" s="122"/>
      <c r="BB723" s="122"/>
      <c r="BC723" s="122"/>
      <c r="BD723" s="122"/>
      <c r="BE723" s="122"/>
      <c r="BF723" s="122"/>
      <c r="BG723" s="122"/>
      <c r="BH723" s="122"/>
      <c r="BI723" s="122"/>
      <c r="BJ723" s="122"/>
    </row>
    <row r="724" spans="1:62">
      <c r="A724" s="122"/>
      <c r="B724" s="122"/>
      <c r="C724" s="122"/>
      <c r="D724" s="122"/>
      <c r="E724" s="122"/>
      <c r="F724" s="122"/>
      <c r="G724" s="122"/>
      <c r="H724" s="122"/>
      <c r="I724" s="122"/>
      <c r="J724" s="122"/>
      <c r="K724" s="122"/>
      <c r="L724" s="122"/>
      <c r="M724" s="122"/>
      <c r="N724" s="122"/>
      <c r="O724" s="122"/>
      <c r="P724" s="122"/>
      <c r="Q724" s="122"/>
      <c r="R724" s="122"/>
      <c r="S724" s="122"/>
      <c r="T724" s="122"/>
      <c r="U724" s="122"/>
      <c r="V724" s="122"/>
      <c r="W724" s="122"/>
      <c r="X724" s="122"/>
      <c r="Y724" s="122"/>
      <c r="Z724" s="122"/>
      <c r="AA724" s="122"/>
      <c r="AB724" s="122"/>
      <c r="AC724" s="122"/>
      <c r="AD724" s="122"/>
      <c r="AE724" s="122"/>
      <c r="AF724" s="122"/>
      <c r="AG724" s="122"/>
      <c r="AH724" s="122"/>
      <c r="AI724" s="122"/>
      <c r="AJ724" s="122"/>
      <c r="AK724" s="122"/>
      <c r="AL724" s="122"/>
      <c r="AM724" s="122"/>
      <c r="AN724" s="122"/>
      <c r="AO724" s="122"/>
      <c r="AP724" s="166"/>
      <c r="AQ724" s="122"/>
      <c r="AR724" s="167"/>
      <c r="AS724" s="122"/>
      <c r="AT724" s="122"/>
      <c r="AU724" s="122"/>
      <c r="AV724" s="122"/>
      <c r="AW724" s="122"/>
      <c r="AX724" s="122"/>
      <c r="AY724" s="122"/>
      <c r="AZ724" s="122"/>
      <c r="BA724" s="122"/>
      <c r="BB724" s="122"/>
      <c r="BC724" s="122"/>
      <c r="BD724" s="122"/>
      <c r="BE724" s="122"/>
      <c r="BF724" s="122"/>
      <c r="BG724" s="122"/>
      <c r="BH724" s="122"/>
      <c r="BI724" s="122"/>
      <c r="BJ724" s="122"/>
    </row>
    <row r="725" spans="1:62">
      <c r="A725" s="122"/>
      <c r="B725" s="122"/>
      <c r="C725" s="122"/>
      <c r="D725" s="122"/>
      <c r="E725" s="122"/>
      <c r="F725" s="122"/>
      <c r="G725" s="122"/>
      <c r="H725" s="122"/>
      <c r="I725" s="122"/>
      <c r="J725" s="122"/>
      <c r="K725" s="122"/>
      <c r="L725" s="122"/>
      <c r="M725" s="122"/>
      <c r="N725" s="122"/>
      <c r="O725" s="122"/>
      <c r="P725" s="122"/>
      <c r="Q725" s="122"/>
      <c r="R725" s="122"/>
      <c r="S725" s="122"/>
      <c r="T725" s="122"/>
      <c r="U725" s="122"/>
      <c r="V725" s="122"/>
      <c r="W725" s="122"/>
      <c r="X725" s="122"/>
      <c r="Y725" s="122"/>
      <c r="Z725" s="122"/>
      <c r="AA725" s="122"/>
      <c r="AB725" s="122"/>
      <c r="AC725" s="122"/>
      <c r="AD725" s="122"/>
      <c r="AE725" s="122"/>
      <c r="AF725" s="122"/>
      <c r="AG725" s="122"/>
      <c r="AH725" s="122"/>
      <c r="AI725" s="122"/>
      <c r="AJ725" s="122"/>
      <c r="AK725" s="122"/>
      <c r="AL725" s="122"/>
      <c r="AM725" s="122"/>
      <c r="AN725" s="122"/>
      <c r="AO725" s="122"/>
      <c r="AP725" s="166"/>
      <c r="AQ725" s="122"/>
      <c r="AR725" s="167"/>
      <c r="AS725" s="122"/>
      <c r="AT725" s="122"/>
      <c r="AU725" s="122"/>
      <c r="AV725" s="122"/>
      <c r="AW725" s="122"/>
      <c r="AX725" s="122"/>
      <c r="AY725" s="122"/>
      <c r="AZ725" s="122"/>
      <c r="BA725" s="122"/>
      <c r="BB725" s="122"/>
      <c r="BC725" s="122"/>
      <c r="BD725" s="122"/>
      <c r="BE725" s="122"/>
      <c r="BF725" s="122"/>
      <c r="BG725" s="122"/>
      <c r="BH725" s="122"/>
      <c r="BI725" s="122"/>
      <c r="BJ725" s="122"/>
    </row>
    <row r="726" spans="1:62">
      <c r="A726" s="122"/>
      <c r="B726" s="122"/>
      <c r="C726" s="122"/>
      <c r="D726" s="122"/>
      <c r="E726" s="122"/>
      <c r="F726" s="122"/>
      <c r="G726" s="122"/>
      <c r="H726" s="122"/>
      <c r="I726" s="122"/>
      <c r="J726" s="122"/>
      <c r="K726" s="122"/>
      <c r="L726" s="122"/>
      <c r="M726" s="122"/>
      <c r="N726" s="122"/>
      <c r="O726" s="122"/>
      <c r="P726" s="122"/>
      <c r="Q726" s="122"/>
      <c r="R726" s="122"/>
      <c r="S726" s="122"/>
      <c r="T726" s="122"/>
      <c r="U726" s="122"/>
      <c r="V726" s="122"/>
      <c r="W726" s="122"/>
      <c r="X726" s="122"/>
      <c r="Y726" s="122"/>
      <c r="Z726" s="122"/>
      <c r="AA726" s="122"/>
      <c r="AB726" s="122"/>
      <c r="AC726" s="122"/>
      <c r="AD726" s="122"/>
      <c r="AE726" s="122"/>
      <c r="AF726" s="122"/>
      <c r="AG726" s="122"/>
      <c r="AH726" s="122"/>
      <c r="AI726" s="122"/>
      <c r="AJ726" s="122"/>
      <c r="AK726" s="122"/>
      <c r="AL726" s="122"/>
      <c r="AM726" s="122"/>
      <c r="AN726" s="122"/>
      <c r="AO726" s="122"/>
      <c r="AP726" s="166"/>
      <c r="AQ726" s="122"/>
      <c r="AR726" s="167"/>
      <c r="AS726" s="122"/>
      <c r="AT726" s="122"/>
      <c r="AU726" s="122"/>
      <c r="AV726" s="122"/>
      <c r="AW726" s="122"/>
      <c r="AX726" s="122"/>
      <c r="AY726" s="122"/>
      <c r="AZ726" s="122"/>
      <c r="BA726" s="122"/>
      <c r="BB726" s="122"/>
      <c r="BC726" s="122"/>
      <c r="BD726" s="122"/>
      <c r="BE726" s="122"/>
      <c r="BF726" s="122"/>
      <c r="BG726" s="122"/>
      <c r="BH726" s="122"/>
      <c r="BI726" s="122"/>
      <c r="BJ726" s="122"/>
    </row>
    <row r="727" spans="1:62">
      <c r="A727" s="122"/>
      <c r="B727" s="122"/>
      <c r="C727" s="122"/>
      <c r="D727" s="122"/>
      <c r="E727" s="122"/>
      <c r="F727" s="122"/>
      <c r="G727" s="122"/>
      <c r="H727" s="122"/>
      <c r="I727" s="122"/>
      <c r="J727" s="122"/>
      <c r="K727" s="122"/>
      <c r="L727" s="122"/>
      <c r="M727" s="122"/>
      <c r="N727" s="122"/>
      <c r="O727" s="122"/>
      <c r="P727" s="122"/>
      <c r="Q727" s="122"/>
      <c r="R727" s="122"/>
      <c r="S727" s="122"/>
      <c r="T727" s="122"/>
      <c r="U727" s="122"/>
      <c r="V727" s="122"/>
      <c r="W727" s="122"/>
      <c r="X727" s="122"/>
      <c r="Y727" s="122"/>
      <c r="Z727" s="122"/>
      <c r="AA727" s="122"/>
      <c r="AB727" s="122"/>
      <c r="AC727" s="122"/>
      <c r="AD727" s="122"/>
      <c r="AE727" s="122"/>
      <c r="AF727" s="122"/>
      <c r="AG727" s="122"/>
      <c r="AH727" s="122"/>
      <c r="AI727" s="122"/>
      <c r="AJ727" s="122"/>
      <c r="AK727" s="122"/>
      <c r="AL727" s="122"/>
      <c r="AM727" s="122"/>
      <c r="AN727" s="122"/>
      <c r="AO727" s="122"/>
      <c r="AP727" s="166"/>
      <c r="AQ727" s="122"/>
      <c r="AR727" s="167"/>
      <c r="AS727" s="122"/>
      <c r="AT727" s="122"/>
      <c r="AU727" s="122"/>
      <c r="AV727" s="122"/>
      <c r="AW727" s="122"/>
      <c r="AX727" s="122"/>
      <c r="AY727" s="122"/>
      <c r="AZ727" s="122"/>
      <c r="BA727" s="122"/>
      <c r="BB727" s="122"/>
      <c r="BC727" s="122"/>
      <c r="BD727" s="122"/>
      <c r="BE727" s="122"/>
      <c r="BF727" s="122"/>
      <c r="BG727" s="122"/>
      <c r="BH727" s="122"/>
      <c r="BI727" s="122"/>
      <c r="BJ727" s="122"/>
    </row>
    <row r="728" spans="1:62">
      <c r="A728" s="122"/>
      <c r="B728" s="122"/>
      <c r="C728" s="122"/>
      <c r="D728" s="122"/>
      <c r="E728" s="122"/>
      <c r="F728" s="122"/>
      <c r="G728" s="122"/>
      <c r="H728" s="122"/>
      <c r="I728" s="122"/>
      <c r="J728" s="122"/>
      <c r="K728" s="122"/>
      <c r="L728" s="122"/>
      <c r="M728" s="122"/>
      <c r="N728" s="122"/>
      <c r="O728" s="122"/>
      <c r="P728" s="122"/>
      <c r="Q728" s="122"/>
      <c r="R728" s="122"/>
      <c r="S728" s="122"/>
      <c r="T728" s="122"/>
      <c r="U728" s="122"/>
      <c r="V728" s="122"/>
      <c r="W728" s="122"/>
      <c r="X728" s="122"/>
      <c r="Y728" s="122"/>
      <c r="Z728" s="122"/>
      <c r="AA728" s="122"/>
      <c r="AB728" s="122"/>
      <c r="AC728" s="122"/>
      <c r="AD728" s="122"/>
      <c r="AE728" s="122"/>
      <c r="AF728" s="122"/>
      <c r="AG728" s="122"/>
      <c r="AH728" s="122"/>
      <c r="AI728" s="122"/>
      <c r="AJ728" s="122"/>
      <c r="AK728" s="122"/>
      <c r="AL728" s="122"/>
      <c r="AM728" s="122"/>
      <c r="AN728" s="122"/>
      <c r="AO728" s="122"/>
      <c r="AP728" s="166"/>
      <c r="AQ728" s="122"/>
      <c r="AR728" s="167"/>
      <c r="AS728" s="122"/>
      <c r="AT728" s="122"/>
      <c r="AU728" s="122"/>
      <c r="AV728" s="122"/>
      <c r="AW728" s="122"/>
      <c r="AX728" s="122"/>
      <c r="AY728" s="122"/>
      <c r="AZ728" s="122"/>
      <c r="BA728" s="122"/>
      <c r="BB728" s="122"/>
      <c r="BC728" s="122"/>
      <c r="BD728" s="122"/>
      <c r="BE728" s="122"/>
      <c r="BF728" s="122"/>
      <c r="BG728" s="122"/>
      <c r="BH728" s="122"/>
      <c r="BI728" s="122"/>
      <c r="BJ728" s="122"/>
    </row>
    <row r="729" spans="1:62">
      <c r="A729" s="122"/>
      <c r="B729" s="122"/>
      <c r="C729" s="122"/>
      <c r="D729" s="122"/>
      <c r="E729" s="122"/>
      <c r="F729" s="122"/>
      <c r="G729" s="122"/>
      <c r="H729" s="122"/>
      <c r="I729" s="122"/>
      <c r="J729" s="122"/>
      <c r="K729" s="122"/>
      <c r="L729" s="122"/>
      <c r="M729" s="122"/>
      <c r="N729" s="122"/>
      <c r="O729" s="122"/>
      <c r="P729" s="122"/>
      <c r="Q729" s="122"/>
      <c r="R729" s="122"/>
      <c r="S729" s="122"/>
      <c r="T729" s="122"/>
      <c r="U729" s="122"/>
      <c r="V729" s="122"/>
      <c r="W729" s="122"/>
      <c r="X729" s="122"/>
      <c r="Y729" s="122"/>
      <c r="Z729" s="122"/>
      <c r="AA729" s="122"/>
      <c r="AB729" s="122"/>
      <c r="AC729" s="122"/>
      <c r="AD729" s="122"/>
      <c r="AE729" s="122"/>
      <c r="AF729" s="122"/>
      <c r="AG729" s="122"/>
      <c r="AH729" s="122"/>
      <c r="AI729" s="122"/>
      <c r="AJ729" s="122"/>
      <c r="AK729" s="122"/>
      <c r="AL729" s="122"/>
      <c r="AM729" s="122"/>
      <c r="AN729" s="122"/>
      <c r="AO729" s="122"/>
      <c r="AP729" s="166"/>
      <c r="AQ729" s="122"/>
      <c r="AR729" s="167"/>
      <c r="AS729" s="122"/>
      <c r="AT729" s="122"/>
      <c r="AU729" s="122"/>
      <c r="AV729" s="122"/>
      <c r="AW729" s="122"/>
      <c r="AX729" s="122"/>
      <c r="AY729" s="122"/>
      <c r="AZ729" s="122"/>
      <c r="BA729" s="122"/>
      <c r="BB729" s="122"/>
      <c r="BC729" s="122"/>
      <c r="BD729" s="122"/>
      <c r="BE729" s="122"/>
      <c r="BF729" s="122"/>
      <c r="BG729" s="122"/>
      <c r="BH729" s="122"/>
      <c r="BI729" s="122"/>
      <c r="BJ729" s="122"/>
    </row>
    <row r="730" spans="1:62">
      <c r="A730" s="122"/>
      <c r="B730" s="122"/>
      <c r="C730" s="122"/>
      <c r="D730" s="122"/>
      <c r="E730" s="122"/>
      <c r="F730" s="122"/>
      <c r="G730" s="122"/>
      <c r="H730" s="122"/>
      <c r="I730" s="122"/>
      <c r="J730" s="122"/>
      <c r="K730" s="122"/>
      <c r="L730" s="122"/>
      <c r="M730" s="122"/>
      <c r="N730" s="122"/>
      <c r="O730" s="122"/>
      <c r="P730" s="122"/>
      <c r="Q730" s="122"/>
      <c r="R730" s="122"/>
      <c r="S730" s="122"/>
      <c r="T730" s="122"/>
      <c r="U730" s="122"/>
      <c r="V730" s="122"/>
      <c r="W730" s="122"/>
      <c r="X730" s="122"/>
      <c r="Y730" s="122"/>
      <c r="Z730" s="122"/>
      <c r="AA730" s="122"/>
      <c r="AB730" s="122"/>
      <c r="AC730" s="122"/>
      <c r="AD730" s="122"/>
      <c r="AE730" s="122"/>
      <c r="AF730" s="122"/>
      <c r="AG730" s="122"/>
      <c r="AH730" s="122"/>
      <c r="AI730" s="122"/>
      <c r="AJ730" s="122"/>
      <c r="AK730" s="122"/>
      <c r="AL730" s="122"/>
      <c r="AM730" s="122"/>
      <c r="AN730" s="122"/>
      <c r="AO730" s="122"/>
      <c r="AP730" s="166"/>
      <c r="AQ730" s="122"/>
      <c r="AR730" s="167"/>
      <c r="AS730" s="122"/>
      <c r="AT730" s="122"/>
      <c r="AU730" s="122"/>
      <c r="AV730" s="122"/>
      <c r="AW730" s="122"/>
      <c r="AX730" s="122"/>
      <c r="AY730" s="122"/>
      <c r="AZ730" s="122"/>
      <c r="BA730" s="122"/>
      <c r="BB730" s="122"/>
      <c r="BC730" s="122"/>
      <c r="BD730" s="122"/>
      <c r="BE730" s="122"/>
      <c r="BF730" s="122"/>
      <c r="BG730" s="122"/>
      <c r="BH730" s="122"/>
      <c r="BI730" s="122"/>
      <c r="BJ730" s="122"/>
    </row>
    <row r="731" spans="1:62">
      <c r="A731" s="122"/>
      <c r="B731" s="122"/>
      <c r="C731" s="122"/>
      <c r="D731" s="122"/>
      <c r="E731" s="122"/>
      <c r="F731" s="122"/>
      <c r="G731" s="122"/>
      <c r="H731" s="122"/>
      <c r="I731" s="122"/>
      <c r="J731" s="122"/>
      <c r="K731" s="122"/>
      <c r="L731" s="122"/>
      <c r="M731" s="122"/>
      <c r="N731" s="122"/>
      <c r="O731" s="122"/>
      <c r="P731" s="122"/>
      <c r="Q731" s="122"/>
      <c r="R731" s="122"/>
      <c r="S731" s="122"/>
      <c r="T731" s="122"/>
      <c r="U731" s="122"/>
      <c r="V731" s="122"/>
      <c r="W731" s="122"/>
      <c r="X731" s="122"/>
      <c r="Y731" s="122"/>
      <c r="Z731" s="122"/>
      <c r="AA731" s="122"/>
      <c r="AB731" s="122"/>
      <c r="AC731" s="122"/>
      <c r="AD731" s="122"/>
      <c r="AE731" s="122"/>
      <c r="AF731" s="122"/>
      <c r="AG731" s="122"/>
      <c r="AH731" s="122"/>
      <c r="AI731" s="122"/>
      <c r="AJ731" s="122"/>
      <c r="AK731" s="122"/>
      <c r="AL731" s="122"/>
      <c r="AM731" s="122"/>
      <c r="AN731" s="122"/>
      <c r="AO731" s="122"/>
      <c r="AP731" s="166"/>
      <c r="AQ731" s="122"/>
      <c r="AR731" s="167"/>
      <c r="AS731" s="122"/>
      <c r="AT731" s="122"/>
      <c r="AU731" s="122"/>
      <c r="AV731" s="122"/>
      <c r="AW731" s="122"/>
      <c r="AX731" s="122"/>
      <c r="AY731" s="122"/>
      <c r="AZ731" s="122"/>
      <c r="BA731" s="122"/>
      <c r="BB731" s="122"/>
      <c r="BC731" s="122"/>
      <c r="BD731" s="122"/>
      <c r="BE731" s="122"/>
      <c r="BF731" s="122"/>
      <c r="BG731" s="122"/>
      <c r="BH731" s="122"/>
      <c r="BI731" s="122"/>
      <c r="BJ731" s="122"/>
    </row>
    <row r="732" spans="1:62">
      <c r="A732" s="122"/>
      <c r="B732" s="122"/>
      <c r="C732" s="122"/>
      <c r="D732" s="122"/>
      <c r="E732" s="122"/>
      <c r="F732" s="122"/>
      <c r="G732" s="122"/>
      <c r="H732" s="122"/>
      <c r="I732" s="122"/>
      <c r="J732" s="122"/>
      <c r="K732" s="122"/>
      <c r="L732" s="122"/>
      <c r="M732" s="122"/>
      <c r="N732" s="122"/>
      <c r="O732" s="122"/>
      <c r="P732" s="122"/>
      <c r="Q732" s="122"/>
      <c r="R732" s="122"/>
      <c r="S732" s="122"/>
      <c r="T732" s="122"/>
      <c r="U732" s="122"/>
      <c r="V732" s="122"/>
      <c r="W732" s="122"/>
      <c r="X732" s="122"/>
      <c r="Y732" s="122"/>
      <c r="Z732" s="122"/>
      <c r="AA732" s="122"/>
      <c r="AB732" s="122"/>
      <c r="AC732" s="122"/>
      <c r="AD732" s="122"/>
      <c r="AE732" s="122"/>
      <c r="AF732" s="122"/>
      <c r="AG732" s="122"/>
      <c r="AH732" s="122"/>
      <c r="AI732" s="122"/>
      <c r="AJ732" s="122"/>
      <c r="AK732" s="122"/>
      <c r="AL732" s="122"/>
      <c r="AM732" s="122"/>
      <c r="AN732" s="122"/>
      <c r="AO732" s="122"/>
      <c r="AP732" s="166"/>
      <c r="AQ732" s="122"/>
      <c r="AR732" s="167"/>
      <c r="AS732" s="122"/>
      <c r="AT732" s="122"/>
      <c r="AU732" s="122"/>
      <c r="AV732" s="122"/>
      <c r="AW732" s="122"/>
      <c r="AX732" s="122"/>
      <c r="AY732" s="122"/>
      <c r="AZ732" s="122"/>
      <c r="BA732" s="122"/>
      <c r="BB732" s="122"/>
      <c r="BC732" s="122"/>
      <c r="BD732" s="122"/>
      <c r="BE732" s="122"/>
      <c r="BF732" s="122"/>
      <c r="BG732" s="122"/>
      <c r="BH732" s="122"/>
      <c r="BI732" s="122"/>
      <c r="BJ732" s="122"/>
    </row>
    <row r="733" spans="1:62">
      <c r="A733" s="122"/>
      <c r="B733" s="122"/>
      <c r="C733" s="122"/>
      <c r="D733" s="122"/>
      <c r="E733" s="122"/>
      <c r="F733" s="122"/>
      <c r="G733" s="122"/>
      <c r="H733" s="122"/>
      <c r="I733" s="122"/>
      <c r="J733" s="122"/>
      <c r="K733" s="122"/>
      <c r="L733" s="122"/>
      <c r="M733" s="122"/>
      <c r="N733" s="122"/>
      <c r="O733" s="122"/>
      <c r="P733" s="122"/>
      <c r="Q733" s="122"/>
      <c r="R733" s="122"/>
      <c r="S733" s="122"/>
      <c r="T733" s="122"/>
      <c r="U733" s="122"/>
      <c r="V733" s="122"/>
      <c r="W733" s="122"/>
      <c r="X733" s="122"/>
      <c r="Y733" s="122"/>
      <c r="Z733" s="122"/>
      <c r="AA733" s="122"/>
      <c r="AB733" s="122"/>
      <c r="AC733" s="122"/>
      <c r="AD733" s="122"/>
      <c r="AE733" s="122"/>
      <c r="AF733" s="122"/>
      <c r="AG733" s="122"/>
      <c r="AH733" s="122"/>
      <c r="AI733" s="122"/>
      <c r="AJ733" s="122"/>
      <c r="AK733" s="122"/>
      <c r="AL733" s="122"/>
      <c r="AM733" s="122"/>
      <c r="AN733" s="122"/>
      <c r="AO733" s="122"/>
      <c r="AP733" s="166"/>
      <c r="AQ733" s="122"/>
      <c r="AR733" s="167"/>
      <c r="AS733" s="122"/>
      <c r="AT733" s="122"/>
      <c r="AU733" s="122"/>
      <c r="AV733" s="122"/>
      <c r="AW733" s="122"/>
      <c r="AX733" s="122"/>
      <c r="AY733" s="122"/>
      <c r="AZ733" s="122"/>
      <c r="BA733" s="122"/>
      <c r="BB733" s="122"/>
      <c r="BC733" s="122"/>
      <c r="BD733" s="122"/>
      <c r="BE733" s="122"/>
      <c r="BF733" s="122"/>
      <c r="BG733" s="122"/>
      <c r="BH733" s="122"/>
      <c r="BI733" s="122"/>
      <c r="BJ733" s="122"/>
    </row>
    <row r="734" spans="1:62">
      <c r="A734" s="122"/>
      <c r="B734" s="122"/>
      <c r="C734" s="122"/>
      <c r="D734" s="122"/>
      <c r="E734" s="122"/>
      <c r="F734" s="122"/>
      <c r="G734" s="122"/>
      <c r="H734" s="122"/>
      <c r="I734" s="122"/>
      <c r="J734" s="122"/>
      <c r="K734" s="122"/>
      <c r="L734" s="122"/>
      <c r="M734" s="122"/>
      <c r="N734" s="122"/>
      <c r="O734" s="122"/>
      <c r="P734" s="122"/>
      <c r="Q734" s="122"/>
      <c r="R734" s="122"/>
      <c r="S734" s="122"/>
      <c r="T734" s="122"/>
      <c r="U734" s="122"/>
      <c r="V734" s="122"/>
      <c r="W734" s="122"/>
      <c r="X734" s="122"/>
      <c r="Y734" s="122"/>
      <c r="Z734" s="122"/>
      <c r="AA734" s="122"/>
      <c r="AB734" s="122"/>
      <c r="AC734" s="122"/>
      <c r="AD734" s="122"/>
      <c r="AE734" s="122"/>
      <c r="AF734" s="122"/>
      <c r="AG734" s="122"/>
      <c r="AH734" s="122"/>
      <c r="AI734" s="122"/>
      <c r="AJ734" s="122"/>
      <c r="AK734" s="122"/>
      <c r="AL734" s="122"/>
      <c r="AM734" s="122"/>
      <c r="AN734" s="122"/>
      <c r="AO734" s="122"/>
      <c r="AP734" s="166"/>
      <c r="AQ734" s="122"/>
      <c r="AR734" s="167"/>
      <c r="AS734" s="122"/>
      <c r="AT734" s="122"/>
      <c r="AU734" s="122"/>
      <c r="AV734" s="122"/>
      <c r="AW734" s="122"/>
      <c r="AX734" s="122"/>
      <c r="AY734" s="122"/>
      <c r="AZ734" s="122"/>
      <c r="BA734" s="122"/>
      <c r="BB734" s="122"/>
      <c r="BC734" s="122"/>
      <c r="BD734" s="122"/>
      <c r="BE734" s="122"/>
      <c r="BF734" s="122"/>
      <c r="BG734" s="122"/>
      <c r="BH734" s="122"/>
      <c r="BI734" s="122"/>
      <c r="BJ734" s="122"/>
    </row>
    <row r="735" spans="1:62">
      <c r="A735" s="122"/>
      <c r="B735" s="122"/>
      <c r="C735" s="122"/>
      <c r="D735" s="122"/>
      <c r="E735" s="122"/>
      <c r="F735" s="122"/>
      <c r="G735" s="122"/>
      <c r="H735" s="122"/>
      <c r="I735" s="122"/>
      <c r="J735" s="122"/>
      <c r="K735" s="122"/>
      <c r="L735" s="122"/>
      <c r="M735" s="122"/>
      <c r="N735" s="122"/>
      <c r="O735" s="122"/>
      <c r="P735" s="122"/>
      <c r="Q735" s="122"/>
      <c r="R735" s="122"/>
      <c r="S735" s="122"/>
      <c r="T735" s="122"/>
      <c r="U735" s="122"/>
      <c r="V735" s="122"/>
      <c r="W735" s="122"/>
      <c r="X735" s="122"/>
      <c r="Y735" s="122"/>
      <c r="Z735" s="122"/>
      <c r="AA735" s="122"/>
      <c r="AB735" s="122"/>
      <c r="AC735" s="122"/>
      <c r="AD735" s="122"/>
      <c r="AE735" s="122"/>
      <c r="AF735" s="122"/>
      <c r="AG735" s="122"/>
      <c r="AH735" s="122"/>
      <c r="AI735" s="122"/>
      <c r="AJ735" s="122"/>
      <c r="AK735" s="122"/>
      <c r="AL735" s="122"/>
      <c r="AM735" s="122"/>
      <c r="AN735" s="122"/>
      <c r="AO735" s="122"/>
      <c r="AP735" s="166"/>
      <c r="AQ735" s="122"/>
      <c r="AR735" s="167"/>
      <c r="AS735" s="122"/>
      <c r="AT735" s="122"/>
      <c r="AU735" s="122"/>
      <c r="AV735" s="122"/>
      <c r="AW735" s="122"/>
      <c r="AX735" s="122"/>
      <c r="AY735" s="122"/>
      <c r="AZ735" s="122"/>
      <c r="BA735" s="122"/>
      <c r="BB735" s="122"/>
      <c r="BC735" s="122"/>
      <c r="BD735" s="122"/>
      <c r="BE735" s="122"/>
      <c r="BF735" s="122"/>
      <c r="BG735" s="122"/>
      <c r="BH735" s="122"/>
      <c r="BI735" s="122"/>
      <c r="BJ735" s="122"/>
    </row>
    <row r="736" spans="1:62">
      <c r="A736" s="122"/>
      <c r="B736" s="122"/>
      <c r="C736" s="122"/>
      <c r="D736" s="122"/>
      <c r="E736" s="122"/>
      <c r="F736" s="122"/>
      <c r="G736" s="122"/>
      <c r="H736" s="122"/>
      <c r="I736" s="122"/>
      <c r="J736" s="122"/>
      <c r="K736" s="122"/>
      <c r="L736" s="122"/>
      <c r="M736" s="122"/>
      <c r="N736" s="122"/>
      <c r="O736" s="122"/>
      <c r="P736" s="122"/>
      <c r="Q736" s="122"/>
      <c r="R736" s="122"/>
      <c r="S736" s="122"/>
      <c r="T736" s="122"/>
      <c r="U736" s="122"/>
      <c r="V736" s="122"/>
      <c r="W736" s="122"/>
      <c r="X736" s="122"/>
      <c r="Y736" s="122"/>
      <c r="Z736" s="122"/>
      <c r="AA736" s="122"/>
      <c r="AB736" s="122"/>
      <c r="AC736" s="122"/>
      <c r="AD736" s="122"/>
      <c r="AE736" s="122"/>
      <c r="AF736" s="122"/>
      <c r="AG736" s="122"/>
      <c r="AH736" s="122"/>
      <c r="AI736" s="122"/>
      <c r="AJ736" s="122"/>
      <c r="AK736" s="122"/>
      <c r="AL736" s="122"/>
      <c r="AM736" s="122"/>
      <c r="AN736" s="122"/>
      <c r="AO736" s="122"/>
      <c r="AP736" s="166"/>
      <c r="AQ736" s="122"/>
      <c r="AR736" s="167"/>
      <c r="AS736" s="122"/>
      <c r="AT736" s="122"/>
      <c r="AU736" s="122"/>
      <c r="AV736" s="122"/>
      <c r="AW736" s="122"/>
      <c r="AX736" s="122"/>
      <c r="AY736" s="122"/>
      <c r="AZ736" s="122"/>
      <c r="BA736" s="122"/>
      <c r="BB736" s="122"/>
      <c r="BC736" s="122"/>
      <c r="BD736" s="122"/>
      <c r="BE736" s="122"/>
      <c r="BF736" s="122"/>
      <c r="BG736" s="122"/>
      <c r="BH736" s="122"/>
      <c r="BI736" s="122"/>
      <c r="BJ736" s="122"/>
    </row>
    <row r="737" spans="1:62">
      <c r="A737" s="122"/>
      <c r="B737" s="122"/>
      <c r="C737" s="122"/>
      <c r="D737" s="122"/>
      <c r="E737" s="122"/>
      <c r="F737" s="122"/>
      <c r="G737" s="122"/>
      <c r="H737" s="122"/>
      <c r="I737" s="122"/>
      <c r="J737" s="122"/>
      <c r="K737" s="122"/>
      <c r="L737" s="122"/>
      <c r="M737" s="122"/>
      <c r="N737" s="122"/>
      <c r="O737" s="122"/>
      <c r="P737" s="122"/>
      <c r="Q737" s="122"/>
      <c r="R737" s="122"/>
      <c r="S737" s="122"/>
      <c r="T737" s="122"/>
      <c r="U737" s="122"/>
      <c r="V737" s="122"/>
      <c r="W737" s="122"/>
      <c r="X737" s="122"/>
      <c r="Y737" s="122"/>
      <c r="Z737" s="122"/>
      <c r="AA737" s="122"/>
      <c r="AB737" s="122"/>
      <c r="AC737" s="122"/>
      <c r="AD737" s="122"/>
      <c r="AE737" s="122"/>
      <c r="AF737" s="122"/>
      <c r="AG737" s="122"/>
      <c r="AH737" s="122"/>
      <c r="AI737" s="122"/>
      <c r="AJ737" s="122"/>
      <c r="AK737" s="122"/>
      <c r="AL737" s="122"/>
      <c r="AM737" s="122"/>
      <c r="AN737" s="122"/>
      <c r="AO737" s="122"/>
      <c r="AP737" s="166"/>
      <c r="AQ737" s="122"/>
      <c r="AR737" s="167"/>
      <c r="AS737" s="122"/>
      <c r="AT737" s="122"/>
      <c r="AU737" s="122"/>
      <c r="AV737" s="122"/>
      <c r="AW737" s="122"/>
      <c r="AX737" s="122"/>
      <c r="AY737" s="122"/>
      <c r="AZ737" s="122"/>
      <c r="BA737" s="122"/>
      <c r="BB737" s="122"/>
      <c r="BC737" s="122"/>
      <c r="BD737" s="122"/>
      <c r="BE737" s="122"/>
      <c r="BF737" s="122"/>
      <c r="BG737" s="122"/>
      <c r="BH737" s="122"/>
      <c r="BI737" s="122"/>
      <c r="BJ737" s="122"/>
    </row>
    <row r="738" spans="1:62">
      <c r="A738" s="122"/>
      <c r="B738" s="122"/>
      <c r="C738" s="122"/>
      <c r="D738" s="122"/>
      <c r="E738" s="122"/>
      <c r="F738" s="122"/>
      <c r="G738" s="122"/>
      <c r="H738" s="122"/>
      <c r="I738" s="122"/>
      <c r="J738" s="122"/>
      <c r="K738" s="122"/>
      <c r="L738" s="122"/>
      <c r="M738" s="122"/>
      <c r="N738" s="122"/>
      <c r="O738" s="122"/>
      <c r="P738" s="122"/>
      <c r="Q738" s="122"/>
      <c r="R738" s="122"/>
      <c r="S738" s="122"/>
      <c r="T738" s="122"/>
      <c r="U738" s="122"/>
      <c r="V738" s="122"/>
      <c r="W738" s="122"/>
      <c r="X738" s="122"/>
      <c r="Y738" s="122"/>
      <c r="Z738" s="122"/>
      <c r="AA738" s="122"/>
      <c r="AB738" s="122"/>
      <c r="AC738" s="122"/>
      <c r="AD738" s="122"/>
      <c r="AE738" s="122"/>
      <c r="AF738" s="122"/>
      <c r="AG738" s="122"/>
      <c r="AH738" s="122"/>
      <c r="AI738" s="122"/>
      <c r="AJ738" s="122"/>
      <c r="AK738" s="122"/>
      <c r="AL738" s="122"/>
      <c r="AM738" s="122"/>
      <c r="AN738" s="122"/>
      <c r="AO738" s="122"/>
      <c r="AP738" s="166"/>
      <c r="AQ738" s="122"/>
      <c r="AR738" s="167"/>
      <c r="AS738" s="122"/>
      <c r="AT738" s="122"/>
      <c r="AU738" s="122"/>
      <c r="AV738" s="122"/>
      <c r="AW738" s="122"/>
      <c r="AX738" s="122"/>
      <c r="AY738" s="122"/>
      <c r="AZ738" s="122"/>
      <c r="BA738" s="122"/>
      <c r="BB738" s="122"/>
      <c r="BC738" s="122"/>
      <c r="BD738" s="122"/>
      <c r="BE738" s="122"/>
      <c r="BF738" s="122"/>
      <c r="BG738" s="122"/>
      <c r="BH738" s="122"/>
      <c r="BI738" s="122"/>
      <c r="BJ738" s="122"/>
    </row>
    <row r="739" spans="1:62">
      <c r="A739" s="122"/>
      <c r="B739" s="122"/>
      <c r="C739" s="122"/>
      <c r="D739" s="122"/>
      <c r="E739" s="122"/>
      <c r="F739" s="122"/>
      <c r="G739" s="122"/>
      <c r="H739" s="122"/>
      <c r="I739" s="122"/>
      <c r="J739" s="122"/>
      <c r="K739" s="122"/>
      <c r="L739" s="122"/>
      <c r="M739" s="122"/>
      <c r="N739" s="122"/>
      <c r="O739" s="122"/>
      <c r="P739" s="122"/>
      <c r="Q739" s="122"/>
      <c r="R739" s="122"/>
      <c r="S739" s="122"/>
      <c r="T739" s="122"/>
      <c r="U739" s="122"/>
      <c r="V739" s="122"/>
      <c r="W739" s="122"/>
      <c r="X739" s="122"/>
      <c r="Y739" s="122"/>
      <c r="Z739" s="122"/>
      <c r="AA739" s="122"/>
      <c r="AB739" s="122"/>
      <c r="AC739" s="122"/>
      <c r="AD739" s="122"/>
      <c r="AE739" s="122"/>
      <c r="AF739" s="122"/>
      <c r="AG739" s="122"/>
      <c r="AH739" s="122"/>
      <c r="AI739" s="122"/>
      <c r="AJ739" s="122"/>
      <c r="AK739" s="122"/>
      <c r="AL739" s="122"/>
      <c r="AM739" s="122"/>
      <c r="AN739" s="122"/>
      <c r="AO739" s="122"/>
      <c r="AP739" s="166"/>
      <c r="AQ739" s="122"/>
      <c r="AR739" s="167"/>
      <c r="AS739" s="122"/>
      <c r="AT739" s="122"/>
      <c r="AU739" s="122"/>
      <c r="AV739" s="122"/>
      <c r="AW739" s="122"/>
      <c r="AX739" s="122"/>
      <c r="AY739" s="122"/>
      <c r="AZ739" s="122"/>
      <c r="BA739" s="122"/>
      <c r="BB739" s="122"/>
      <c r="BC739" s="122"/>
      <c r="BD739" s="122"/>
      <c r="BE739" s="122"/>
      <c r="BF739" s="122"/>
      <c r="BG739" s="122"/>
      <c r="BH739" s="122"/>
      <c r="BI739" s="122"/>
      <c r="BJ739" s="122"/>
    </row>
    <row r="740" spans="1:62">
      <c r="A740" s="122"/>
      <c r="B740" s="122"/>
      <c r="C740" s="122"/>
      <c r="D740" s="122"/>
      <c r="E740" s="122"/>
      <c r="F740" s="122"/>
      <c r="G740" s="122"/>
      <c r="H740" s="122"/>
      <c r="I740" s="122"/>
      <c r="J740" s="122"/>
      <c r="K740" s="122"/>
      <c r="L740" s="122"/>
      <c r="M740" s="122"/>
      <c r="N740" s="122"/>
      <c r="O740" s="122"/>
      <c r="P740" s="122"/>
      <c r="Q740" s="122"/>
      <c r="R740" s="122"/>
      <c r="S740" s="122"/>
      <c r="T740" s="122"/>
      <c r="U740" s="122"/>
      <c r="V740" s="122"/>
      <c r="W740" s="122"/>
      <c r="X740" s="122"/>
      <c r="Y740" s="122"/>
      <c r="Z740" s="122"/>
      <c r="AA740" s="122"/>
      <c r="AB740" s="122"/>
      <c r="AC740" s="122"/>
      <c r="AD740" s="122"/>
      <c r="AE740" s="122"/>
      <c r="AF740" s="122"/>
      <c r="AG740" s="122"/>
      <c r="AH740" s="122"/>
      <c r="AI740" s="122"/>
      <c r="AJ740" s="122"/>
      <c r="AK740" s="122"/>
      <c r="AL740" s="122"/>
      <c r="AM740" s="122"/>
      <c r="AN740" s="122"/>
      <c r="AO740" s="122"/>
      <c r="AP740" s="166"/>
      <c r="AQ740" s="122"/>
      <c r="AR740" s="167"/>
      <c r="AS740" s="122"/>
      <c r="AT740" s="122"/>
      <c r="AU740" s="122"/>
      <c r="AV740" s="122"/>
      <c r="AW740" s="122"/>
      <c r="AX740" s="122"/>
      <c r="AY740" s="122"/>
      <c r="AZ740" s="122"/>
      <c r="BA740" s="122"/>
      <c r="BB740" s="122"/>
      <c r="BC740" s="122"/>
      <c r="BD740" s="122"/>
      <c r="BE740" s="122"/>
      <c r="BF740" s="122"/>
      <c r="BG740" s="122"/>
      <c r="BH740" s="122"/>
      <c r="BI740" s="122"/>
      <c r="BJ740" s="122"/>
    </row>
    <row r="741" spans="1:62">
      <c r="A741" s="122"/>
      <c r="B741" s="122"/>
      <c r="C741" s="122"/>
      <c r="D741" s="122"/>
      <c r="E741" s="122"/>
      <c r="F741" s="122"/>
      <c r="G741" s="122"/>
      <c r="H741" s="122"/>
      <c r="I741" s="122"/>
      <c r="J741" s="122"/>
      <c r="K741" s="122"/>
      <c r="L741" s="122"/>
      <c r="M741" s="122"/>
      <c r="N741" s="122"/>
      <c r="O741" s="122"/>
      <c r="P741" s="122"/>
      <c r="Q741" s="122"/>
      <c r="R741" s="122"/>
      <c r="S741" s="122"/>
      <c r="T741" s="122"/>
      <c r="U741" s="122"/>
      <c r="V741" s="122"/>
      <c r="W741" s="122"/>
      <c r="X741" s="122"/>
      <c r="Y741" s="122"/>
      <c r="Z741" s="122"/>
      <c r="AA741" s="122"/>
      <c r="AB741" s="122"/>
      <c r="AC741" s="122"/>
      <c r="AD741" s="122"/>
      <c r="AE741" s="122"/>
      <c r="AF741" s="122"/>
      <c r="AG741" s="122"/>
      <c r="AH741" s="122"/>
      <c r="AI741" s="122"/>
      <c r="AJ741" s="122"/>
      <c r="AK741" s="122"/>
      <c r="AL741" s="122"/>
      <c r="AM741" s="122"/>
      <c r="AN741" s="122"/>
      <c r="AO741" s="122"/>
      <c r="AP741" s="166"/>
      <c r="AQ741" s="122"/>
      <c r="AR741" s="167"/>
      <c r="AS741" s="122"/>
      <c r="AT741" s="122"/>
      <c r="AU741" s="122"/>
      <c r="AV741" s="122"/>
      <c r="AW741" s="122"/>
      <c r="AX741" s="122"/>
      <c r="AY741" s="122"/>
      <c r="AZ741" s="122"/>
      <c r="BA741" s="122"/>
      <c r="BB741" s="122"/>
      <c r="BC741" s="122"/>
      <c r="BD741" s="122"/>
      <c r="BE741" s="122"/>
      <c r="BF741" s="122"/>
      <c r="BG741" s="122"/>
      <c r="BH741" s="122"/>
      <c r="BI741" s="122"/>
      <c r="BJ741" s="122"/>
    </row>
    <row r="742" spans="1:62">
      <c r="A742" s="122"/>
      <c r="B742" s="122"/>
      <c r="C742" s="122"/>
      <c r="D742" s="122"/>
      <c r="E742" s="122"/>
      <c r="F742" s="122"/>
      <c r="G742" s="122"/>
      <c r="H742" s="122"/>
      <c r="I742" s="122"/>
      <c r="J742" s="122"/>
      <c r="K742" s="122"/>
      <c r="L742" s="122"/>
      <c r="M742" s="122"/>
      <c r="N742" s="122"/>
      <c r="O742" s="122"/>
      <c r="P742" s="122"/>
      <c r="Q742" s="122"/>
      <c r="R742" s="122"/>
      <c r="S742" s="122"/>
      <c r="T742" s="122"/>
      <c r="U742" s="122"/>
      <c r="V742" s="122"/>
      <c r="W742" s="122"/>
      <c r="X742" s="122"/>
      <c r="Y742" s="122"/>
      <c r="Z742" s="122"/>
      <c r="AA742" s="122"/>
      <c r="AB742" s="122"/>
      <c r="AC742" s="122"/>
      <c r="AD742" s="122"/>
      <c r="AE742" s="122"/>
      <c r="AF742" s="122"/>
      <c r="AG742" s="122"/>
      <c r="AH742" s="122"/>
      <c r="AI742" s="122"/>
      <c r="AJ742" s="122"/>
      <c r="AK742" s="122"/>
      <c r="AL742" s="122"/>
      <c r="AM742" s="122"/>
      <c r="AN742" s="122"/>
      <c r="AO742" s="122"/>
      <c r="AP742" s="166"/>
      <c r="AQ742" s="122"/>
      <c r="AR742" s="167"/>
      <c r="AS742" s="122"/>
      <c r="AT742" s="122"/>
      <c r="AU742" s="122"/>
      <c r="AV742" s="122"/>
      <c r="AW742" s="122"/>
      <c r="AX742" s="122"/>
      <c r="AY742" s="122"/>
      <c r="AZ742" s="122"/>
      <c r="BA742" s="122"/>
      <c r="BB742" s="122"/>
      <c r="BC742" s="122"/>
      <c r="BD742" s="122"/>
      <c r="BE742" s="122"/>
      <c r="BF742" s="122"/>
      <c r="BG742" s="122"/>
      <c r="BH742" s="122"/>
      <c r="BI742" s="122"/>
      <c r="BJ742" s="122"/>
    </row>
    <row r="743" spans="1:62">
      <c r="A743" s="122"/>
      <c r="B743" s="122"/>
      <c r="C743" s="122"/>
      <c r="D743" s="122"/>
      <c r="E743" s="122"/>
      <c r="F743" s="122"/>
      <c r="G743" s="122"/>
      <c r="H743" s="122"/>
      <c r="I743" s="122"/>
      <c r="J743" s="122"/>
      <c r="K743" s="122"/>
      <c r="L743" s="122"/>
      <c r="M743" s="122"/>
      <c r="N743" s="122"/>
      <c r="O743" s="122"/>
      <c r="P743" s="122"/>
      <c r="Q743" s="122"/>
      <c r="R743" s="122"/>
      <c r="S743" s="122"/>
      <c r="T743" s="122"/>
      <c r="U743" s="122"/>
      <c r="V743" s="122"/>
      <c r="W743" s="122"/>
      <c r="X743" s="122"/>
      <c r="Y743" s="122"/>
      <c r="Z743" s="122"/>
      <c r="AA743" s="122"/>
      <c r="AB743" s="122"/>
      <c r="AC743" s="122"/>
      <c r="AD743" s="122"/>
      <c r="AE743" s="122"/>
      <c r="AF743" s="122"/>
      <c r="AG743" s="122"/>
      <c r="AH743" s="122"/>
      <c r="AI743" s="122"/>
      <c r="AJ743" s="122"/>
      <c r="AK743" s="122"/>
      <c r="AL743" s="122"/>
      <c r="AM743" s="122"/>
      <c r="AN743" s="122"/>
      <c r="AO743" s="122"/>
      <c r="AP743" s="166"/>
      <c r="AQ743" s="122"/>
      <c r="AR743" s="167"/>
      <c r="AS743" s="122"/>
      <c r="AT743" s="122"/>
      <c r="AU743" s="122"/>
      <c r="AV743" s="122"/>
      <c r="AW743" s="122"/>
      <c r="AX743" s="122"/>
      <c r="AY743" s="122"/>
      <c r="AZ743" s="122"/>
      <c r="BA743" s="122"/>
      <c r="BB743" s="122"/>
      <c r="BC743" s="122"/>
      <c r="BD743" s="122"/>
      <c r="BE743" s="122"/>
      <c r="BF743" s="122"/>
      <c r="BG743" s="122"/>
      <c r="BH743" s="122"/>
      <c r="BI743" s="122"/>
      <c r="BJ743" s="122"/>
    </row>
    <row r="744" spans="1:62">
      <c r="A744" s="122"/>
      <c r="B744" s="122"/>
      <c r="C744" s="122"/>
      <c r="D744" s="122"/>
      <c r="E744" s="122"/>
      <c r="F744" s="122"/>
      <c r="G744" s="122"/>
      <c r="H744" s="122"/>
      <c r="I744" s="122"/>
      <c r="J744" s="122"/>
      <c r="K744" s="122"/>
      <c r="L744" s="122"/>
      <c r="M744" s="122"/>
      <c r="N744" s="122"/>
      <c r="O744" s="122"/>
      <c r="P744" s="122"/>
      <c r="Q744" s="122"/>
      <c r="R744" s="122"/>
      <c r="S744" s="122"/>
      <c r="T744" s="122"/>
      <c r="U744" s="122"/>
      <c r="V744" s="122"/>
      <c r="W744" s="122"/>
      <c r="X744" s="122"/>
      <c r="Y744" s="122"/>
      <c r="Z744" s="122"/>
      <c r="AA744" s="122"/>
      <c r="AB744" s="122"/>
      <c r="AC744" s="122"/>
      <c r="AD744" s="122"/>
      <c r="AE744" s="122"/>
      <c r="AF744" s="122"/>
      <c r="AG744" s="122"/>
      <c r="AH744" s="122"/>
      <c r="AI744" s="122"/>
      <c r="AJ744" s="122"/>
      <c r="AK744" s="122"/>
      <c r="AL744" s="122"/>
      <c r="AM744" s="122"/>
      <c r="AN744" s="122"/>
      <c r="AO744" s="122"/>
      <c r="AP744" s="166"/>
      <c r="AQ744" s="122"/>
      <c r="AR744" s="167"/>
      <c r="AS744" s="122"/>
      <c r="AT744" s="122"/>
      <c r="AU744" s="122"/>
      <c r="AV744" s="122"/>
      <c r="AW744" s="122"/>
      <c r="AX744" s="122"/>
      <c r="AY744" s="122"/>
      <c r="AZ744" s="122"/>
      <c r="BA744" s="122"/>
      <c r="BB744" s="122"/>
      <c r="BC744" s="122"/>
      <c r="BD744" s="122"/>
      <c r="BE744" s="122"/>
      <c r="BF744" s="122"/>
      <c r="BG744" s="122"/>
      <c r="BH744" s="122"/>
      <c r="BI744" s="122"/>
      <c r="BJ744" s="122"/>
    </row>
    <row r="745" spans="1:62">
      <c r="A745" s="122"/>
      <c r="B745" s="122"/>
      <c r="C745" s="122"/>
      <c r="D745" s="122"/>
      <c r="E745" s="122"/>
      <c r="F745" s="122"/>
      <c r="G745" s="122"/>
      <c r="H745" s="122"/>
      <c r="I745" s="122"/>
      <c r="J745" s="122"/>
      <c r="K745" s="122"/>
      <c r="L745" s="122"/>
      <c r="M745" s="122"/>
      <c r="N745" s="122"/>
      <c r="O745" s="122"/>
      <c r="P745" s="122"/>
      <c r="Q745" s="122"/>
      <c r="R745" s="122"/>
      <c r="S745" s="122"/>
      <c r="T745" s="122"/>
      <c r="U745" s="122"/>
      <c r="V745" s="122"/>
      <c r="W745" s="122"/>
      <c r="X745" s="122"/>
      <c r="Y745" s="122"/>
      <c r="Z745" s="122"/>
      <c r="AA745" s="122"/>
      <c r="AB745" s="122"/>
      <c r="AC745" s="122"/>
      <c r="AD745" s="122"/>
      <c r="AE745" s="122"/>
      <c r="AF745" s="122"/>
      <c r="AG745" s="122"/>
      <c r="AH745" s="122"/>
      <c r="AI745" s="122"/>
      <c r="AJ745" s="122"/>
      <c r="AK745" s="122"/>
      <c r="AL745" s="122"/>
      <c r="AM745" s="122"/>
      <c r="AN745" s="122"/>
      <c r="AO745" s="122"/>
      <c r="AP745" s="166"/>
      <c r="AQ745" s="122"/>
      <c r="AR745" s="167"/>
      <c r="AS745" s="122"/>
      <c r="AT745" s="122"/>
      <c r="AU745" s="122"/>
      <c r="AV745" s="122"/>
      <c r="AW745" s="122"/>
      <c r="AX745" s="122"/>
      <c r="AY745" s="122"/>
      <c r="AZ745" s="122"/>
      <c r="BA745" s="122"/>
      <c r="BB745" s="122"/>
      <c r="BC745" s="122"/>
      <c r="BD745" s="122"/>
      <c r="BE745" s="122"/>
      <c r="BF745" s="122"/>
      <c r="BG745" s="122"/>
      <c r="BH745" s="122"/>
      <c r="BI745" s="122"/>
      <c r="BJ745" s="122"/>
    </row>
    <row r="746" spans="1:62">
      <c r="A746" s="122"/>
      <c r="B746" s="122"/>
      <c r="C746" s="122"/>
      <c r="D746" s="122"/>
      <c r="E746" s="122"/>
      <c r="F746" s="122"/>
      <c r="G746" s="122"/>
      <c r="H746" s="122"/>
      <c r="I746" s="122"/>
      <c r="J746" s="122"/>
      <c r="K746" s="122"/>
      <c r="L746" s="122"/>
      <c r="M746" s="122"/>
      <c r="N746" s="122"/>
      <c r="O746" s="122"/>
      <c r="P746" s="122"/>
      <c r="Q746" s="122"/>
      <c r="R746" s="122"/>
      <c r="S746" s="122"/>
      <c r="T746" s="122"/>
      <c r="U746" s="122"/>
      <c r="V746" s="122"/>
      <c r="W746" s="122"/>
      <c r="X746" s="122"/>
      <c r="Y746" s="122"/>
      <c r="Z746" s="122"/>
      <c r="AA746" s="122"/>
      <c r="AB746" s="122"/>
      <c r="AC746" s="122"/>
      <c r="AD746" s="122"/>
      <c r="AE746" s="122"/>
      <c r="AF746" s="122"/>
      <c r="AG746" s="122"/>
      <c r="AH746" s="122"/>
      <c r="AI746" s="122"/>
      <c r="AJ746" s="122"/>
      <c r="AK746" s="122"/>
      <c r="AL746" s="122"/>
      <c r="AM746" s="122"/>
      <c r="AN746" s="122"/>
      <c r="AO746" s="122"/>
      <c r="AP746" s="166"/>
      <c r="AQ746" s="122"/>
      <c r="AR746" s="167"/>
      <c r="AS746" s="122"/>
      <c r="AT746" s="122"/>
      <c r="AU746" s="122"/>
      <c r="AV746" s="122"/>
      <c r="AW746" s="122"/>
      <c r="AX746" s="122"/>
      <c r="AY746" s="122"/>
      <c r="AZ746" s="122"/>
      <c r="BA746" s="122"/>
      <c r="BB746" s="122"/>
      <c r="BC746" s="122"/>
      <c r="BD746" s="122"/>
      <c r="BE746" s="122"/>
      <c r="BF746" s="122"/>
      <c r="BG746" s="122"/>
      <c r="BH746" s="122"/>
      <c r="BI746" s="122"/>
      <c r="BJ746" s="122"/>
    </row>
    <row r="747" spans="1:62">
      <c r="A747" s="122"/>
      <c r="B747" s="122"/>
      <c r="C747" s="122"/>
      <c r="D747" s="122"/>
      <c r="E747" s="122"/>
      <c r="F747" s="122"/>
      <c r="G747" s="122"/>
      <c r="H747" s="122"/>
      <c r="I747" s="122"/>
      <c r="J747" s="122"/>
      <c r="K747" s="122"/>
      <c r="L747" s="122"/>
      <c r="M747" s="122"/>
      <c r="N747" s="122"/>
      <c r="O747" s="122"/>
      <c r="P747" s="122"/>
      <c r="Q747" s="122"/>
      <c r="R747" s="122"/>
      <c r="S747" s="122"/>
      <c r="T747" s="122"/>
      <c r="U747" s="122"/>
      <c r="V747" s="122"/>
      <c r="W747" s="122"/>
      <c r="X747" s="122"/>
      <c r="Y747" s="122"/>
      <c r="Z747" s="122"/>
      <c r="AA747" s="122"/>
      <c r="AB747" s="122"/>
      <c r="AC747" s="122"/>
      <c r="AD747" s="122"/>
      <c r="AE747" s="122"/>
      <c r="AF747" s="122"/>
      <c r="AG747" s="122"/>
      <c r="AH747" s="122"/>
      <c r="AI747" s="122"/>
      <c r="AJ747" s="122"/>
      <c r="AK747" s="122"/>
      <c r="AL747" s="122"/>
      <c r="AM747" s="122"/>
      <c r="AN747" s="122"/>
      <c r="AO747" s="122"/>
      <c r="AP747" s="166"/>
      <c r="AQ747" s="122"/>
      <c r="AR747" s="167"/>
      <c r="AS747" s="122"/>
      <c r="AT747" s="122"/>
      <c r="AU747" s="122"/>
      <c r="AV747" s="122"/>
      <c r="AW747" s="122"/>
      <c r="AX747" s="122"/>
      <c r="AY747" s="122"/>
      <c r="AZ747" s="122"/>
      <c r="BA747" s="122"/>
      <c r="BB747" s="122"/>
      <c r="BC747" s="122"/>
      <c r="BD747" s="122"/>
      <c r="BE747" s="122"/>
      <c r="BF747" s="122"/>
      <c r="BG747" s="122"/>
      <c r="BH747" s="122"/>
      <c r="BI747" s="122"/>
      <c r="BJ747" s="122"/>
    </row>
    <row r="748" spans="1:62">
      <c r="A748" s="122"/>
      <c r="B748" s="122"/>
      <c r="C748" s="122"/>
      <c r="D748" s="122"/>
      <c r="E748" s="122"/>
      <c r="F748" s="122"/>
      <c r="G748" s="122"/>
      <c r="H748" s="122"/>
      <c r="I748" s="122"/>
      <c r="J748" s="122"/>
      <c r="K748" s="122"/>
      <c r="L748" s="122"/>
      <c r="M748" s="122"/>
      <c r="N748" s="122"/>
      <c r="O748" s="122"/>
      <c r="P748" s="122"/>
      <c r="Q748" s="122"/>
      <c r="R748" s="122"/>
      <c r="S748" s="122"/>
      <c r="T748" s="122"/>
      <c r="U748" s="122"/>
      <c r="V748" s="122"/>
      <c r="W748" s="122"/>
      <c r="X748" s="122"/>
      <c r="Y748" s="122"/>
      <c r="Z748" s="122"/>
      <c r="AA748" s="122"/>
      <c r="AB748" s="122"/>
      <c r="AC748" s="122"/>
      <c r="AD748" s="122"/>
      <c r="AE748" s="122"/>
      <c r="AF748" s="122"/>
      <c r="AG748" s="122"/>
      <c r="AH748" s="122"/>
      <c r="AI748" s="122"/>
      <c r="AJ748" s="122"/>
      <c r="AK748" s="122"/>
      <c r="AL748" s="122"/>
      <c r="AM748" s="122"/>
      <c r="AN748" s="122"/>
      <c r="AO748" s="122"/>
      <c r="AP748" s="166"/>
      <c r="AQ748" s="122"/>
      <c r="AR748" s="167"/>
      <c r="AS748" s="122"/>
      <c r="AT748" s="122"/>
      <c r="AU748" s="122"/>
      <c r="AV748" s="122"/>
      <c r="AW748" s="122"/>
      <c r="AX748" s="122"/>
      <c r="AY748" s="122"/>
      <c r="AZ748" s="122"/>
      <c r="BA748" s="122"/>
      <c r="BB748" s="122"/>
      <c r="BC748" s="122"/>
      <c r="BD748" s="122"/>
      <c r="BE748" s="122"/>
      <c r="BF748" s="122"/>
      <c r="BG748" s="122"/>
      <c r="BH748" s="122"/>
      <c r="BI748" s="122"/>
      <c r="BJ748" s="122"/>
    </row>
    <row r="749" spans="1:62">
      <c r="A749" s="122"/>
      <c r="B749" s="122"/>
      <c r="C749" s="122"/>
      <c r="D749" s="122"/>
      <c r="E749" s="122"/>
      <c r="F749" s="122"/>
      <c r="G749" s="122"/>
      <c r="H749" s="122"/>
      <c r="I749" s="122"/>
      <c r="J749" s="122"/>
      <c r="K749" s="122"/>
      <c r="L749" s="122"/>
      <c r="M749" s="122"/>
      <c r="N749" s="122"/>
      <c r="O749" s="122"/>
      <c r="P749" s="122"/>
      <c r="Q749" s="122"/>
      <c r="R749" s="122"/>
      <c r="S749" s="122"/>
      <c r="T749" s="122"/>
      <c r="U749" s="122"/>
      <c r="V749" s="122"/>
      <c r="W749" s="122"/>
      <c r="X749" s="122"/>
      <c r="Y749" s="122"/>
      <c r="Z749" s="122"/>
      <c r="AA749" s="122"/>
      <c r="AB749" s="122"/>
      <c r="AC749" s="122"/>
      <c r="AD749" s="122"/>
      <c r="AE749" s="122"/>
      <c r="AF749" s="122"/>
      <c r="AG749" s="122"/>
      <c r="AH749" s="122"/>
      <c r="AI749" s="122"/>
      <c r="AJ749" s="122"/>
      <c r="AK749" s="122"/>
      <c r="AL749" s="122"/>
      <c r="AM749" s="122"/>
      <c r="AN749" s="122"/>
      <c r="AO749" s="122"/>
      <c r="AP749" s="166"/>
      <c r="AQ749" s="122"/>
      <c r="AR749" s="167"/>
      <c r="AS749" s="122"/>
      <c r="AT749" s="122"/>
      <c r="AU749" s="122"/>
      <c r="AV749" s="122"/>
      <c r="AW749" s="122"/>
      <c r="AX749" s="122"/>
      <c r="AY749" s="122"/>
      <c r="AZ749" s="122"/>
      <c r="BA749" s="122"/>
      <c r="BB749" s="122"/>
      <c r="BC749" s="122"/>
      <c r="BD749" s="122"/>
      <c r="BE749" s="122"/>
      <c r="BF749" s="122"/>
      <c r="BG749" s="122"/>
      <c r="BH749" s="122"/>
      <c r="BI749" s="122"/>
      <c r="BJ749" s="122"/>
    </row>
    <row r="750" spans="1:62">
      <c r="A750" s="122"/>
      <c r="B750" s="122"/>
      <c r="C750" s="122"/>
      <c r="D750" s="122"/>
      <c r="E750" s="122"/>
      <c r="F750" s="122"/>
      <c r="G750" s="122"/>
      <c r="H750" s="122"/>
      <c r="I750" s="122"/>
      <c r="J750" s="122"/>
      <c r="K750" s="122"/>
      <c r="L750" s="122"/>
      <c r="M750" s="122"/>
      <c r="N750" s="122"/>
      <c r="O750" s="122"/>
      <c r="P750" s="122"/>
      <c r="Q750" s="122"/>
      <c r="R750" s="122"/>
      <c r="S750" s="122"/>
      <c r="T750" s="122"/>
      <c r="U750" s="122"/>
      <c r="V750" s="122"/>
      <c r="W750" s="122"/>
      <c r="X750" s="122"/>
      <c r="Y750" s="122"/>
      <c r="Z750" s="122"/>
      <c r="AA750" s="122"/>
      <c r="AB750" s="122"/>
      <c r="AC750" s="122"/>
      <c r="AD750" s="122"/>
      <c r="AE750" s="122"/>
      <c r="AF750" s="122"/>
      <c r="AG750" s="122"/>
      <c r="AH750" s="122"/>
      <c r="AI750" s="122"/>
      <c r="AJ750" s="122"/>
      <c r="AK750" s="122"/>
      <c r="AL750" s="122"/>
      <c r="AM750" s="122"/>
      <c r="AN750" s="122"/>
      <c r="AO750" s="122"/>
      <c r="AP750" s="166"/>
      <c r="AQ750" s="122"/>
      <c r="AR750" s="167"/>
      <c r="AS750" s="122"/>
      <c r="AT750" s="122"/>
      <c r="AU750" s="122"/>
      <c r="AV750" s="122"/>
      <c r="AW750" s="122"/>
      <c r="AX750" s="122"/>
      <c r="AY750" s="122"/>
      <c r="AZ750" s="122"/>
      <c r="BA750" s="122"/>
      <c r="BB750" s="122"/>
      <c r="BC750" s="122"/>
      <c r="BD750" s="122"/>
      <c r="BE750" s="122"/>
      <c r="BF750" s="122"/>
      <c r="BG750" s="122"/>
      <c r="BH750" s="122"/>
      <c r="BI750" s="122"/>
      <c r="BJ750" s="122"/>
    </row>
    <row r="751" spans="1:62">
      <c r="A751" s="122"/>
      <c r="B751" s="122"/>
      <c r="C751" s="122"/>
      <c r="D751" s="122"/>
      <c r="E751" s="122"/>
      <c r="F751" s="122"/>
      <c r="G751" s="122"/>
      <c r="H751" s="122"/>
      <c r="I751" s="122"/>
      <c r="J751" s="122"/>
      <c r="K751" s="122"/>
      <c r="L751" s="122"/>
      <c r="M751" s="122"/>
      <c r="N751" s="122"/>
      <c r="O751" s="122"/>
      <c r="P751" s="122"/>
      <c r="Q751" s="122"/>
      <c r="R751" s="122"/>
      <c r="S751" s="122"/>
      <c r="T751" s="122"/>
      <c r="U751" s="122"/>
      <c r="V751" s="122"/>
      <c r="W751" s="122"/>
      <c r="X751" s="122"/>
      <c r="Y751" s="122"/>
      <c r="Z751" s="122"/>
      <c r="AA751" s="122"/>
      <c r="AB751" s="122"/>
      <c r="AC751" s="122"/>
      <c r="AD751" s="122"/>
      <c r="AE751" s="122"/>
      <c r="AF751" s="122"/>
      <c r="AG751" s="122"/>
      <c r="AH751" s="122"/>
      <c r="AI751" s="122"/>
      <c r="AJ751" s="122"/>
      <c r="AK751" s="122"/>
      <c r="AL751" s="122"/>
      <c r="AM751" s="122"/>
      <c r="AN751" s="122"/>
      <c r="AO751" s="122"/>
      <c r="AP751" s="166"/>
      <c r="AQ751" s="122"/>
      <c r="AR751" s="167"/>
      <c r="AS751" s="122"/>
      <c r="AT751" s="122"/>
      <c r="AU751" s="122"/>
      <c r="AV751" s="122"/>
      <c r="AW751" s="122"/>
      <c r="AX751" s="122"/>
      <c r="AY751" s="122"/>
      <c r="AZ751" s="122"/>
      <c r="BA751" s="122"/>
      <c r="BB751" s="122"/>
      <c r="BC751" s="122"/>
      <c r="BD751" s="122"/>
      <c r="BE751" s="122"/>
      <c r="BF751" s="122"/>
      <c r="BG751" s="122"/>
      <c r="BH751" s="122"/>
      <c r="BI751" s="122"/>
      <c r="BJ751" s="122"/>
    </row>
    <row r="752" spans="1:62">
      <c r="A752" s="122"/>
      <c r="B752" s="122"/>
      <c r="C752" s="122"/>
      <c r="D752" s="122"/>
      <c r="E752" s="122"/>
      <c r="F752" s="122"/>
      <c r="G752" s="122"/>
      <c r="H752" s="122"/>
      <c r="I752" s="122"/>
      <c r="J752" s="122"/>
      <c r="K752" s="122"/>
      <c r="L752" s="122"/>
      <c r="M752" s="122"/>
      <c r="N752" s="122"/>
      <c r="O752" s="122"/>
      <c r="P752" s="122"/>
      <c r="Q752" s="122"/>
      <c r="R752" s="122"/>
      <c r="S752" s="122"/>
      <c r="T752" s="122"/>
      <c r="U752" s="122"/>
      <c r="V752" s="122"/>
      <c r="W752" s="122"/>
      <c r="X752" s="122"/>
      <c r="Y752" s="122"/>
      <c r="Z752" s="122"/>
      <c r="AA752" s="122"/>
      <c r="AB752" s="122"/>
      <c r="AC752" s="122"/>
      <c r="AD752" s="122"/>
      <c r="AE752" s="122"/>
      <c r="AF752" s="122"/>
      <c r="AG752" s="122"/>
      <c r="AH752" s="122"/>
      <c r="AI752" s="122"/>
      <c r="AJ752" s="122"/>
      <c r="AK752" s="122"/>
      <c r="AL752" s="122"/>
      <c r="AM752" s="122"/>
      <c r="AN752" s="122"/>
      <c r="AO752" s="122"/>
      <c r="AP752" s="166"/>
      <c r="AQ752" s="122"/>
      <c r="AR752" s="167"/>
      <c r="AS752" s="122"/>
      <c r="AT752" s="122"/>
      <c r="AU752" s="122"/>
      <c r="AV752" s="122"/>
      <c r="AW752" s="122"/>
      <c r="AX752" s="122"/>
      <c r="AY752" s="122"/>
      <c r="AZ752" s="122"/>
      <c r="BA752" s="122"/>
      <c r="BB752" s="122"/>
      <c r="BC752" s="122"/>
      <c r="BD752" s="122"/>
      <c r="BE752" s="122"/>
      <c r="BF752" s="122"/>
      <c r="BG752" s="122"/>
      <c r="BH752" s="122"/>
      <c r="BI752" s="122"/>
      <c r="BJ752" s="122"/>
    </row>
    <row r="753" spans="1:62">
      <c r="A753" s="122"/>
      <c r="B753" s="122"/>
      <c r="C753" s="122"/>
      <c r="D753" s="122"/>
      <c r="E753" s="122"/>
      <c r="F753" s="122"/>
      <c r="G753" s="122"/>
      <c r="H753" s="122"/>
      <c r="I753" s="122"/>
      <c r="J753" s="122"/>
      <c r="K753" s="122"/>
      <c r="L753" s="122"/>
      <c r="M753" s="122"/>
      <c r="N753" s="122"/>
      <c r="O753" s="122"/>
      <c r="P753" s="122"/>
      <c r="Q753" s="122"/>
      <c r="R753" s="122"/>
      <c r="S753" s="122"/>
      <c r="T753" s="122"/>
      <c r="U753" s="122"/>
      <c r="V753" s="122"/>
      <c r="W753" s="122"/>
      <c r="X753" s="122"/>
      <c r="Y753" s="122"/>
      <c r="Z753" s="122"/>
      <c r="AA753" s="122"/>
      <c r="AB753" s="122"/>
      <c r="AC753" s="122"/>
      <c r="AD753" s="122"/>
      <c r="AE753" s="122"/>
      <c r="AF753" s="122"/>
      <c r="AG753" s="122"/>
      <c r="AH753" s="122"/>
      <c r="AI753" s="122"/>
      <c r="AJ753" s="122"/>
      <c r="AK753" s="122"/>
      <c r="AL753" s="122"/>
      <c r="AM753" s="122"/>
      <c r="AN753" s="122"/>
      <c r="AO753" s="122"/>
      <c r="AP753" s="166"/>
      <c r="AQ753" s="122"/>
      <c r="AR753" s="167"/>
      <c r="AS753" s="122"/>
      <c r="AT753" s="122"/>
      <c r="AU753" s="122"/>
      <c r="AV753" s="122"/>
      <c r="AW753" s="122"/>
      <c r="AX753" s="122"/>
      <c r="AY753" s="122"/>
      <c r="AZ753" s="122"/>
      <c r="BA753" s="122"/>
      <c r="BB753" s="122"/>
      <c r="BC753" s="122"/>
      <c r="BD753" s="122"/>
      <c r="BE753" s="122"/>
      <c r="BF753" s="122"/>
      <c r="BG753" s="122"/>
      <c r="BH753" s="122"/>
      <c r="BI753" s="122"/>
      <c r="BJ753" s="122"/>
    </row>
    <row r="754" spans="1:62">
      <c r="A754" s="122"/>
      <c r="B754" s="122"/>
      <c r="C754" s="122"/>
      <c r="D754" s="122"/>
      <c r="E754" s="122"/>
      <c r="F754" s="122"/>
      <c r="G754" s="122"/>
      <c r="H754" s="122"/>
      <c r="I754" s="122"/>
      <c r="J754" s="122"/>
      <c r="K754" s="122"/>
      <c r="L754" s="122"/>
      <c r="M754" s="122"/>
      <c r="N754" s="122"/>
      <c r="O754" s="122"/>
      <c r="P754" s="122"/>
      <c r="Q754" s="122"/>
      <c r="R754" s="122"/>
      <c r="S754" s="122"/>
      <c r="T754" s="122"/>
      <c r="U754" s="122"/>
      <c r="V754" s="122"/>
      <c r="W754" s="122"/>
      <c r="X754" s="122"/>
      <c r="Y754" s="122"/>
      <c r="Z754" s="122"/>
      <c r="AA754" s="122"/>
      <c r="AB754" s="122"/>
      <c r="AC754" s="122"/>
      <c r="AD754" s="122"/>
      <c r="AE754" s="122"/>
      <c r="AF754" s="122"/>
      <c r="AG754" s="122"/>
      <c r="AH754" s="122"/>
      <c r="AI754" s="122"/>
      <c r="AJ754" s="122"/>
      <c r="AK754" s="122"/>
      <c r="AL754" s="122"/>
      <c r="AM754" s="122"/>
      <c r="AN754" s="122"/>
      <c r="AO754" s="122"/>
      <c r="AP754" s="166"/>
      <c r="AQ754" s="122"/>
      <c r="AR754" s="167"/>
      <c r="AS754" s="122"/>
      <c r="AT754" s="122"/>
      <c r="AU754" s="122"/>
      <c r="AV754" s="122"/>
      <c r="AW754" s="122"/>
      <c r="AX754" s="122"/>
      <c r="AY754" s="122"/>
      <c r="AZ754" s="122"/>
      <c r="BA754" s="122"/>
      <c r="BB754" s="122"/>
      <c r="BC754" s="122"/>
      <c r="BD754" s="122"/>
      <c r="BE754" s="122"/>
      <c r="BF754" s="122"/>
      <c r="BG754" s="122"/>
      <c r="BH754" s="122"/>
      <c r="BI754" s="122"/>
      <c r="BJ754" s="122"/>
    </row>
    <row r="755" spans="1:62">
      <c r="A755" s="122"/>
      <c r="B755" s="122"/>
      <c r="C755" s="122"/>
      <c r="D755" s="122"/>
      <c r="E755" s="122"/>
      <c r="F755" s="122"/>
      <c r="G755" s="122"/>
      <c r="H755" s="122"/>
      <c r="I755" s="122"/>
      <c r="J755" s="122"/>
      <c r="K755" s="122"/>
      <c r="L755" s="122"/>
      <c r="M755" s="122"/>
      <c r="N755" s="122"/>
      <c r="O755" s="122"/>
      <c r="P755" s="122"/>
      <c r="Q755" s="122"/>
      <c r="R755" s="122"/>
      <c r="S755" s="122"/>
      <c r="T755" s="122"/>
      <c r="U755" s="122"/>
      <c r="V755" s="122"/>
      <c r="W755" s="122"/>
      <c r="X755" s="122"/>
      <c r="Y755" s="122"/>
      <c r="Z755" s="122"/>
      <c r="AA755" s="122"/>
      <c r="AB755" s="122"/>
      <c r="AC755" s="122"/>
      <c r="AD755" s="122"/>
      <c r="AE755" s="122"/>
      <c r="AF755" s="122"/>
      <c r="AG755" s="122"/>
      <c r="AH755" s="122"/>
      <c r="AI755" s="122"/>
      <c r="AJ755" s="122"/>
      <c r="AK755" s="122"/>
      <c r="AL755" s="122"/>
      <c r="AM755" s="122"/>
      <c r="AN755" s="122"/>
      <c r="AO755" s="122"/>
      <c r="AP755" s="166"/>
      <c r="AQ755" s="122"/>
      <c r="AR755" s="167"/>
      <c r="AS755" s="122"/>
      <c r="AT755" s="122"/>
      <c r="AU755" s="122"/>
      <c r="AV755" s="122"/>
      <c r="AW755" s="122"/>
      <c r="AX755" s="122"/>
      <c r="AY755" s="122"/>
      <c r="AZ755" s="122"/>
      <c r="BA755" s="122"/>
      <c r="BB755" s="122"/>
      <c r="BC755" s="122"/>
      <c r="BD755" s="122"/>
      <c r="BE755" s="122"/>
      <c r="BF755" s="122"/>
      <c r="BG755" s="122"/>
      <c r="BH755" s="122"/>
      <c r="BI755" s="122"/>
      <c r="BJ755" s="122"/>
    </row>
    <row r="756" spans="1:62">
      <c r="A756" s="122"/>
      <c r="B756" s="122"/>
      <c r="C756" s="122"/>
      <c r="D756" s="122"/>
      <c r="E756" s="122"/>
      <c r="F756" s="122"/>
      <c r="G756" s="122"/>
      <c r="H756" s="122"/>
      <c r="I756" s="122"/>
      <c r="J756" s="122"/>
      <c r="K756" s="122"/>
      <c r="L756" s="122"/>
      <c r="M756" s="122"/>
      <c r="N756" s="122"/>
      <c r="O756" s="122"/>
      <c r="P756" s="122"/>
      <c r="Q756" s="122"/>
      <c r="R756" s="122"/>
      <c r="S756" s="122"/>
      <c r="T756" s="122"/>
      <c r="U756" s="122"/>
      <c r="V756" s="122"/>
      <c r="W756" s="122"/>
      <c r="X756" s="122"/>
      <c r="Y756" s="122"/>
      <c r="Z756" s="122"/>
      <c r="AA756" s="122"/>
      <c r="AB756" s="122"/>
      <c r="AC756" s="122"/>
      <c r="AD756" s="122"/>
      <c r="AE756" s="122"/>
      <c r="AF756" s="122"/>
      <c r="AG756" s="122"/>
      <c r="AH756" s="122"/>
      <c r="AI756" s="122"/>
      <c r="AJ756" s="122"/>
      <c r="AK756" s="122"/>
      <c r="AL756" s="122"/>
      <c r="AM756" s="122"/>
      <c r="AN756" s="122"/>
      <c r="AO756" s="122"/>
      <c r="AP756" s="166"/>
      <c r="AQ756" s="122"/>
      <c r="AR756" s="167"/>
      <c r="AS756" s="122"/>
      <c r="AT756" s="122"/>
      <c r="AU756" s="122"/>
      <c r="AV756" s="122"/>
      <c r="AW756" s="122"/>
      <c r="AX756" s="122"/>
      <c r="AY756" s="122"/>
      <c r="AZ756" s="122"/>
      <c r="BA756" s="122"/>
      <c r="BB756" s="122"/>
      <c r="BC756" s="122"/>
      <c r="BD756" s="122"/>
      <c r="BE756" s="122"/>
      <c r="BF756" s="122"/>
      <c r="BG756" s="122"/>
      <c r="BH756" s="122"/>
      <c r="BI756" s="122"/>
      <c r="BJ756" s="122"/>
    </row>
    <row r="757" spans="1:62">
      <c r="A757" s="122"/>
      <c r="B757" s="122"/>
      <c r="C757" s="122"/>
      <c r="D757" s="122"/>
      <c r="E757" s="122"/>
      <c r="F757" s="122"/>
      <c r="G757" s="122"/>
      <c r="H757" s="122"/>
      <c r="I757" s="122"/>
      <c r="J757" s="122"/>
      <c r="K757" s="122"/>
      <c r="L757" s="122"/>
      <c r="M757" s="122"/>
      <c r="N757" s="122"/>
      <c r="O757" s="122"/>
      <c r="P757" s="122"/>
      <c r="Q757" s="122"/>
      <c r="R757" s="122"/>
      <c r="S757" s="122"/>
      <c r="T757" s="122"/>
      <c r="U757" s="122"/>
      <c r="V757" s="122"/>
      <c r="W757" s="122"/>
      <c r="X757" s="122"/>
      <c r="Y757" s="122"/>
      <c r="Z757" s="122"/>
      <c r="AA757" s="122"/>
      <c r="AB757" s="122"/>
      <c r="AC757" s="122"/>
      <c r="AD757" s="122"/>
      <c r="AE757" s="122"/>
      <c r="AF757" s="122"/>
      <c r="AG757" s="122"/>
      <c r="AH757" s="122"/>
      <c r="AI757" s="122"/>
      <c r="AJ757" s="122"/>
      <c r="AK757" s="122"/>
      <c r="AL757" s="122"/>
      <c r="AM757" s="122"/>
      <c r="AN757" s="122"/>
      <c r="AO757" s="122"/>
      <c r="AP757" s="166"/>
      <c r="AQ757" s="122"/>
      <c r="AR757" s="167"/>
      <c r="AS757" s="122"/>
      <c r="AT757" s="122"/>
      <c r="AU757" s="122"/>
      <c r="AV757" s="122"/>
      <c r="AW757" s="122"/>
      <c r="AX757" s="122"/>
      <c r="AY757" s="122"/>
      <c r="AZ757" s="122"/>
      <c r="BA757" s="122"/>
      <c r="BB757" s="122"/>
      <c r="BC757" s="122"/>
      <c r="BD757" s="122"/>
      <c r="BE757" s="122"/>
      <c r="BF757" s="122"/>
      <c r="BG757" s="122"/>
      <c r="BH757" s="122"/>
      <c r="BI757" s="122"/>
      <c r="BJ757" s="122"/>
    </row>
    <row r="758" spans="1:62">
      <c r="A758" s="122"/>
      <c r="B758" s="122"/>
      <c r="C758" s="122"/>
      <c r="D758" s="122"/>
      <c r="E758" s="122"/>
      <c r="F758" s="122"/>
      <c r="G758" s="122"/>
      <c r="H758" s="122"/>
      <c r="I758" s="122"/>
      <c r="J758" s="122"/>
      <c r="K758" s="122"/>
      <c r="L758" s="122"/>
      <c r="M758" s="122"/>
      <c r="N758" s="122"/>
      <c r="O758" s="122"/>
      <c r="P758" s="122"/>
      <c r="Q758" s="122"/>
      <c r="R758" s="122"/>
      <c r="S758" s="122"/>
      <c r="T758" s="122"/>
      <c r="U758" s="122"/>
      <c r="V758" s="122"/>
      <c r="W758" s="122"/>
      <c r="X758" s="122"/>
      <c r="Y758" s="122"/>
      <c r="Z758" s="122"/>
      <c r="AA758" s="122"/>
      <c r="AB758" s="122"/>
      <c r="AC758" s="122"/>
      <c r="AD758" s="122"/>
      <c r="AE758" s="122"/>
      <c r="AF758" s="122"/>
      <c r="AG758" s="122"/>
      <c r="AH758" s="122"/>
      <c r="AI758" s="122"/>
      <c r="AJ758" s="122"/>
      <c r="AK758" s="122"/>
      <c r="AL758" s="122"/>
      <c r="AM758" s="122"/>
      <c r="AN758" s="122"/>
      <c r="AO758" s="122"/>
      <c r="AP758" s="166"/>
      <c r="AQ758" s="122"/>
      <c r="AR758" s="167"/>
      <c r="AS758" s="122"/>
      <c r="AT758" s="122"/>
      <c r="AU758" s="122"/>
      <c r="AV758" s="122"/>
      <c r="AW758" s="122"/>
      <c r="AX758" s="122"/>
      <c r="AY758" s="122"/>
      <c r="AZ758" s="122"/>
      <c r="BA758" s="122"/>
      <c r="BB758" s="122"/>
      <c r="BC758" s="122"/>
      <c r="BD758" s="122"/>
      <c r="BE758" s="122"/>
      <c r="BF758" s="122"/>
      <c r="BG758" s="122"/>
      <c r="BH758" s="122"/>
      <c r="BI758" s="122"/>
      <c r="BJ758" s="122"/>
    </row>
    <row r="759" spans="1:62">
      <c r="A759" s="122"/>
      <c r="B759" s="122"/>
      <c r="C759" s="122"/>
      <c r="D759" s="122"/>
      <c r="E759" s="122"/>
      <c r="F759" s="122"/>
      <c r="G759" s="122"/>
      <c r="H759" s="122"/>
      <c r="I759" s="122"/>
      <c r="J759" s="122"/>
      <c r="K759" s="122"/>
      <c r="L759" s="122"/>
      <c r="M759" s="122"/>
      <c r="N759" s="122"/>
      <c r="O759" s="122"/>
      <c r="P759" s="122"/>
      <c r="Q759" s="122"/>
      <c r="R759" s="122"/>
      <c r="S759" s="122"/>
      <c r="T759" s="122"/>
      <c r="U759" s="122"/>
      <c r="V759" s="122"/>
      <c r="W759" s="122"/>
      <c r="X759" s="122"/>
      <c r="Y759" s="122"/>
      <c r="Z759" s="122"/>
      <c r="AA759" s="122"/>
      <c r="AB759" s="122"/>
      <c r="AC759" s="122"/>
      <c r="AD759" s="122"/>
      <c r="AE759" s="122"/>
      <c r="AF759" s="122"/>
      <c r="AG759" s="122"/>
      <c r="AH759" s="122"/>
      <c r="AI759" s="122"/>
      <c r="AJ759" s="122"/>
      <c r="AK759" s="122"/>
      <c r="AL759" s="122"/>
      <c r="AM759" s="122"/>
      <c r="AN759" s="122"/>
      <c r="AO759" s="122"/>
      <c r="AP759" s="166"/>
      <c r="AQ759" s="122"/>
      <c r="AR759" s="167"/>
      <c r="AS759" s="122"/>
      <c r="AT759" s="122"/>
      <c r="AU759" s="122"/>
      <c r="AV759" s="122"/>
      <c r="AW759" s="122"/>
      <c r="AX759" s="122"/>
      <c r="AY759" s="122"/>
      <c r="AZ759" s="122"/>
      <c r="BA759" s="122"/>
      <c r="BB759" s="122"/>
      <c r="BC759" s="122"/>
      <c r="BD759" s="122"/>
      <c r="BE759" s="122"/>
      <c r="BF759" s="122"/>
      <c r="BG759" s="122"/>
      <c r="BH759" s="122"/>
      <c r="BI759" s="122"/>
      <c r="BJ759" s="122"/>
    </row>
    <row r="760" spans="1:62">
      <c r="A760" s="122"/>
      <c r="B760" s="122"/>
      <c r="C760" s="122"/>
      <c r="D760" s="122"/>
      <c r="E760" s="122"/>
      <c r="F760" s="122"/>
      <c r="G760" s="122"/>
      <c r="H760" s="122"/>
      <c r="I760" s="122"/>
      <c r="J760" s="122"/>
      <c r="K760" s="122"/>
      <c r="L760" s="122"/>
      <c r="M760" s="122"/>
      <c r="N760" s="122"/>
      <c r="O760" s="122"/>
      <c r="P760" s="122"/>
      <c r="Q760" s="122"/>
      <c r="R760" s="122"/>
      <c r="S760" s="122"/>
      <c r="T760" s="122"/>
      <c r="U760" s="122"/>
      <c r="V760" s="122"/>
      <c r="W760" s="122"/>
      <c r="X760" s="122"/>
      <c r="Y760" s="122"/>
      <c r="Z760" s="122"/>
      <c r="AA760" s="122"/>
      <c r="AB760" s="122"/>
      <c r="AC760" s="122"/>
      <c r="AD760" s="122"/>
      <c r="AE760" s="122"/>
      <c r="AF760" s="122"/>
      <c r="AG760" s="122"/>
      <c r="AH760" s="122"/>
      <c r="AI760" s="122"/>
      <c r="AJ760" s="122"/>
      <c r="AK760" s="122"/>
      <c r="AL760" s="122"/>
      <c r="AM760" s="122"/>
      <c r="AN760" s="122"/>
      <c r="AO760" s="122"/>
      <c r="AP760" s="166"/>
      <c r="AQ760" s="122"/>
      <c r="AR760" s="167"/>
      <c r="AS760" s="122"/>
      <c r="AT760" s="122"/>
      <c r="AU760" s="122"/>
      <c r="AV760" s="122"/>
      <c r="AW760" s="122"/>
      <c r="AX760" s="122"/>
      <c r="AY760" s="122"/>
      <c r="AZ760" s="122"/>
      <c r="BA760" s="122"/>
      <c r="BB760" s="122"/>
      <c r="BC760" s="122"/>
      <c r="BD760" s="122"/>
      <c r="BE760" s="122"/>
      <c r="BF760" s="122"/>
      <c r="BG760" s="122"/>
      <c r="BH760" s="122"/>
      <c r="BI760" s="122"/>
      <c r="BJ760" s="122"/>
    </row>
    <row r="761" spans="1:62">
      <c r="A761" s="122"/>
      <c r="B761" s="122"/>
      <c r="C761" s="122"/>
      <c r="D761" s="122"/>
      <c r="E761" s="122"/>
      <c r="F761" s="122"/>
      <c r="G761" s="122"/>
      <c r="H761" s="122"/>
      <c r="I761" s="122"/>
      <c r="J761" s="122"/>
      <c r="K761" s="122"/>
      <c r="L761" s="122"/>
      <c r="M761" s="122"/>
      <c r="N761" s="122"/>
      <c r="O761" s="122"/>
      <c r="P761" s="122"/>
      <c r="Q761" s="122"/>
      <c r="R761" s="122"/>
      <c r="S761" s="122"/>
      <c r="T761" s="122"/>
      <c r="U761" s="122"/>
      <c r="V761" s="122"/>
      <c r="W761" s="122"/>
      <c r="X761" s="122"/>
      <c r="Y761" s="122"/>
      <c r="Z761" s="122"/>
      <c r="AA761" s="122"/>
      <c r="AB761" s="122"/>
      <c r="AC761" s="122"/>
      <c r="AD761" s="122"/>
      <c r="AE761" s="122"/>
      <c r="AF761" s="122"/>
      <c r="AG761" s="122"/>
      <c r="AH761" s="122"/>
      <c r="AI761" s="122"/>
      <c r="AJ761" s="122"/>
      <c r="AK761" s="122"/>
      <c r="AL761" s="122"/>
      <c r="AM761" s="122"/>
      <c r="AN761" s="122"/>
      <c r="AO761" s="122"/>
      <c r="AP761" s="166"/>
      <c r="AQ761" s="122"/>
      <c r="AR761" s="167"/>
      <c r="AS761" s="122"/>
      <c r="AT761" s="122"/>
      <c r="AU761" s="122"/>
      <c r="AV761" s="122"/>
      <c r="AW761" s="122"/>
      <c r="AX761" s="122"/>
      <c r="AY761" s="122"/>
      <c r="AZ761" s="122"/>
      <c r="BA761" s="122"/>
      <c r="BB761" s="122"/>
      <c r="BC761" s="122"/>
      <c r="BD761" s="122"/>
      <c r="BE761" s="122"/>
      <c r="BF761" s="122"/>
      <c r="BG761" s="122"/>
      <c r="BH761" s="122"/>
      <c r="BI761" s="122"/>
      <c r="BJ761" s="122"/>
    </row>
    <row r="762" spans="1:62">
      <c r="A762" s="122"/>
      <c r="B762" s="122"/>
      <c r="C762" s="122"/>
      <c r="D762" s="122"/>
      <c r="E762" s="122"/>
      <c r="F762" s="122"/>
      <c r="G762" s="122"/>
      <c r="H762" s="122"/>
      <c r="I762" s="122"/>
      <c r="J762" s="122"/>
      <c r="K762" s="122"/>
      <c r="L762" s="122"/>
      <c r="M762" s="122"/>
      <c r="N762" s="122"/>
      <c r="O762" s="122"/>
      <c r="P762" s="122"/>
      <c r="Q762" s="122"/>
      <c r="R762" s="122"/>
      <c r="S762" s="122"/>
      <c r="T762" s="122"/>
      <c r="U762" s="122"/>
      <c r="V762" s="122"/>
      <c r="W762" s="122"/>
      <c r="X762" s="122"/>
      <c r="Y762" s="122"/>
      <c r="Z762" s="122"/>
      <c r="AA762" s="122"/>
      <c r="AB762" s="122"/>
      <c r="AC762" s="122"/>
      <c r="AD762" s="122"/>
      <c r="AE762" s="122"/>
      <c r="AF762" s="122"/>
      <c r="AG762" s="122"/>
      <c r="AH762" s="122"/>
      <c r="AI762" s="122"/>
      <c r="AJ762" s="122"/>
      <c r="AK762" s="122"/>
      <c r="AL762" s="122"/>
      <c r="AM762" s="122"/>
      <c r="AN762" s="122"/>
      <c r="AO762" s="122"/>
      <c r="AP762" s="166"/>
      <c r="AQ762" s="122"/>
      <c r="AR762" s="167"/>
      <c r="AS762" s="122"/>
      <c r="AT762" s="122"/>
      <c r="AU762" s="122"/>
      <c r="AV762" s="122"/>
      <c r="AW762" s="122"/>
      <c r="AX762" s="122"/>
      <c r="AY762" s="122"/>
      <c r="AZ762" s="122"/>
      <c r="BA762" s="122"/>
      <c r="BB762" s="122"/>
      <c r="BC762" s="122"/>
      <c r="BD762" s="122"/>
      <c r="BE762" s="122"/>
      <c r="BF762" s="122"/>
      <c r="BG762" s="122"/>
      <c r="BH762" s="122"/>
      <c r="BI762" s="122"/>
      <c r="BJ762" s="122"/>
    </row>
    <row r="763" spans="1:62">
      <c r="A763" s="122"/>
      <c r="B763" s="122"/>
      <c r="C763" s="122"/>
      <c r="D763" s="122"/>
      <c r="E763" s="122"/>
      <c r="F763" s="122"/>
      <c r="G763" s="122"/>
      <c r="H763" s="122"/>
      <c r="I763" s="122"/>
      <c r="J763" s="122"/>
      <c r="K763" s="122"/>
      <c r="L763" s="122"/>
      <c r="M763" s="122"/>
      <c r="N763" s="122"/>
      <c r="O763" s="122"/>
      <c r="P763" s="122"/>
      <c r="Q763" s="122"/>
      <c r="R763" s="122"/>
      <c r="S763" s="122"/>
      <c r="T763" s="122"/>
      <c r="U763" s="122"/>
      <c r="V763" s="122"/>
      <c r="W763" s="122"/>
      <c r="X763" s="122"/>
      <c r="Y763" s="122"/>
      <c r="Z763" s="122"/>
      <c r="AA763" s="122"/>
      <c r="AB763" s="122"/>
      <c r="AC763" s="122"/>
      <c r="AD763" s="122"/>
      <c r="AE763" s="122"/>
      <c r="AF763" s="122"/>
      <c r="AG763" s="122"/>
      <c r="AH763" s="122"/>
      <c r="AI763" s="122"/>
      <c r="AJ763" s="122"/>
      <c r="AK763" s="122"/>
      <c r="AL763" s="122"/>
      <c r="AM763" s="122"/>
      <c r="AN763" s="122"/>
      <c r="AO763" s="122"/>
      <c r="AP763" s="166"/>
      <c r="AQ763" s="122"/>
      <c r="AR763" s="167"/>
      <c r="AS763" s="122"/>
      <c r="AT763" s="122"/>
      <c r="AU763" s="122"/>
      <c r="AV763" s="122"/>
      <c r="AW763" s="122"/>
      <c r="AX763" s="122"/>
      <c r="AY763" s="122"/>
      <c r="AZ763" s="122"/>
      <c r="BA763" s="122"/>
      <c r="BB763" s="122"/>
      <c r="BC763" s="122"/>
      <c r="BD763" s="122"/>
      <c r="BE763" s="122"/>
      <c r="BF763" s="122"/>
      <c r="BG763" s="122"/>
      <c r="BH763" s="122"/>
      <c r="BI763" s="122"/>
      <c r="BJ763" s="122"/>
    </row>
    <row r="764" spans="1:62">
      <c r="A764" s="122"/>
      <c r="B764" s="122"/>
      <c r="C764" s="122"/>
      <c r="D764" s="122"/>
      <c r="E764" s="122"/>
      <c r="F764" s="122"/>
      <c r="G764" s="122"/>
      <c r="H764" s="122"/>
      <c r="I764" s="122"/>
      <c r="J764" s="122"/>
      <c r="K764" s="122"/>
      <c r="L764" s="122"/>
      <c r="M764" s="122"/>
      <c r="N764" s="122"/>
      <c r="O764" s="122"/>
      <c r="P764" s="122"/>
      <c r="Q764" s="122"/>
      <c r="R764" s="122"/>
      <c r="S764" s="122"/>
      <c r="T764" s="122"/>
      <c r="U764" s="122"/>
      <c r="V764" s="122"/>
      <c r="W764" s="122"/>
      <c r="X764" s="122"/>
      <c r="Y764" s="122"/>
      <c r="Z764" s="122"/>
      <c r="AA764" s="122"/>
      <c r="AB764" s="122"/>
      <c r="AC764" s="122"/>
      <c r="AD764" s="122"/>
      <c r="AE764" s="122"/>
      <c r="AF764" s="122"/>
      <c r="AG764" s="122"/>
      <c r="AH764" s="122"/>
      <c r="AI764" s="122"/>
      <c r="AJ764" s="122"/>
      <c r="AK764" s="122"/>
      <c r="AL764" s="122"/>
      <c r="AM764" s="122"/>
      <c r="AN764" s="122"/>
      <c r="AO764" s="122"/>
      <c r="AP764" s="166"/>
      <c r="AQ764" s="122"/>
      <c r="AR764" s="167"/>
      <c r="AS764" s="122"/>
      <c r="AT764" s="122"/>
      <c r="AU764" s="122"/>
      <c r="AV764" s="122"/>
      <c r="AW764" s="122"/>
      <c r="AX764" s="122"/>
      <c r="AY764" s="122"/>
      <c r="AZ764" s="122"/>
      <c r="BA764" s="122"/>
      <c r="BB764" s="122"/>
      <c r="BC764" s="122"/>
      <c r="BD764" s="122"/>
      <c r="BE764" s="122"/>
      <c r="BF764" s="122"/>
      <c r="BG764" s="122"/>
      <c r="BH764" s="122"/>
      <c r="BI764" s="122"/>
      <c r="BJ764" s="122"/>
    </row>
    <row r="765" spans="1:62">
      <c r="A765" s="122"/>
      <c r="B765" s="122"/>
      <c r="C765" s="122"/>
      <c r="D765" s="122"/>
      <c r="E765" s="122"/>
      <c r="F765" s="122"/>
      <c r="G765" s="122"/>
      <c r="H765" s="122"/>
      <c r="I765" s="122"/>
      <c r="J765" s="122"/>
      <c r="K765" s="122"/>
      <c r="L765" s="122"/>
      <c r="M765" s="122"/>
      <c r="N765" s="122"/>
      <c r="O765" s="122"/>
      <c r="P765" s="122"/>
      <c r="Q765" s="122"/>
      <c r="R765" s="122"/>
      <c r="S765" s="122"/>
      <c r="T765" s="122"/>
      <c r="U765" s="122"/>
      <c r="V765" s="122"/>
      <c r="W765" s="122"/>
      <c r="X765" s="122"/>
      <c r="Y765" s="122"/>
      <c r="Z765" s="122"/>
      <c r="AA765" s="122"/>
      <c r="AB765" s="122"/>
      <c r="AC765" s="122"/>
      <c r="AD765" s="122"/>
      <c r="AE765" s="122"/>
      <c r="AF765" s="122"/>
      <c r="AG765" s="122"/>
      <c r="AH765" s="122"/>
      <c r="AI765" s="122"/>
      <c r="AJ765" s="122"/>
      <c r="AK765" s="122"/>
      <c r="AL765" s="122"/>
      <c r="AM765" s="122"/>
      <c r="AN765" s="122"/>
      <c r="AO765" s="122"/>
      <c r="AP765" s="166"/>
      <c r="AQ765" s="122"/>
      <c r="AR765" s="167"/>
      <c r="AS765" s="122"/>
      <c r="AT765" s="122"/>
      <c r="AU765" s="122"/>
      <c r="AV765" s="122"/>
      <c r="AW765" s="122"/>
      <c r="AX765" s="122"/>
      <c r="AY765" s="122"/>
      <c r="AZ765" s="122"/>
      <c r="BA765" s="122"/>
      <c r="BB765" s="122"/>
      <c r="BC765" s="122"/>
      <c r="BD765" s="122"/>
      <c r="BE765" s="122"/>
      <c r="BF765" s="122"/>
      <c r="BG765" s="122"/>
      <c r="BH765" s="122"/>
      <c r="BI765" s="122"/>
      <c r="BJ765" s="122"/>
    </row>
    <row r="766" spans="1:62">
      <c r="A766" s="122"/>
      <c r="B766" s="122"/>
      <c r="C766" s="122"/>
      <c r="D766" s="122"/>
      <c r="E766" s="122"/>
      <c r="F766" s="122"/>
      <c r="G766" s="122"/>
      <c r="H766" s="122"/>
      <c r="I766" s="122"/>
      <c r="J766" s="122"/>
      <c r="K766" s="122"/>
      <c r="L766" s="122"/>
      <c r="M766" s="122"/>
      <c r="N766" s="122"/>
      <c r="O766" s="122"/>
      <c r="P766" s="122"/>
      <c r="Q766" s="122"/>
      <c r="R766" s="122"/>
      <c r="S766" s="122"/>
      <c r="T766" s="122"/>
      <c r="U766" s="122"/>
      <c r="V766" s="122"/>
      <c r="W766" s="122"/>
      <c r="X766" s="122"/>
      <c r="Y766" s="122"/>
      <c r="Z766" s="122"/>
      <c r="AA766" s="122"/>
      <c r="AB766" s="122"/>
      <c r="AC766" s="122"/>
      <c r="AD766" s="122"/>
      <c r="AE766" s="122"/>
      <c r="AF766" s="122"/>
      <c r="AG766" s="122"/>
      <c r="AH766" s="122"/>
      <c r="AI766" s="122"/>
      <c r="AJ766" s="122"/>
      <c r="AK766" s="122"/>
      <c r="AL766" s="122"/>
      <c r="AM766" s="122"/>
      <c r="AN766" s="122"/>
      <c r="AO766" s="122"/>
      <c r="AP766" s="166"/>
      <c r="AQ766" s="122"/>
      <c r="AR766" s="167"/>
      <c r="AS766" s="122"/>
      <c r="AT766" s="122"/>
      <c r="AU766" s="122"/>
      <c r="AV766" s="122"/>
      <c r="AW766" s="122"/>
      <c r="AX766" s="122"/>
      <c r="AY766" s="122"/>
      <c r="AZ766" s="122"/>
      <c r="BA766" s="122"/>
      <c r="BB766" s="122"/>
      <c r="BC766" s="122"/>
      <c r="BD766" s="122"/>
      <c r="BE766" s="122"/>
      <c r="BF766" s="122"/>
      <c r="BG766" s="122"/>
      <c r="BH766" s="122"/>
      <c r="BI766" s="122"/>
      <c r="BJ766" s="122"/>
    </row>
    <row r="767" spans="1:62">
      <c r="A767" s="122"/>
      <c r="B767" s="122"/>
      <c r="C767" s="122"/>
      <c r="D767" s="122"/>
      <c r="E767" s="122"/>
      <c r="F767" s="122"/>
      <c r="G767" s="122"/>
      <c r="H767" s="122"/>
      <c r="I767" s="122"/>
      <c r="J767" s="122"/>
      <c r="K767" s="122"/>
      <c r="L767" s="122"/>
      <c r="M767" s="122"/>
      <c r="N767" s="122"/>
      <c r="O767" s="122"/>
      <c r="P767" s="122"/>
      <c r="Q767" s="122"/>
      <c r="R767" s="122"/>
      <c r="S767" s="122"/>
      <c r="T767" s="122"/>
      <c r="U767" s="122"/>
      <c r="V767" s="122"/>
      <c r="W767" s="122"/>
      <c r="X767" s="122"/>
      <c r="Y767" s="122"/>
      <c r="Z767" s="122"/>
      <c r="AA767" s="122"/>
      <c r="AB767" s="122"/>
      <c r="AC767" s="122"/>
      <c r="AD767" s="122"/>
      <c r="AE767" s="122"/>
      <c r="AF767" s="122"/>
      <c r="AG767" s="122"/>
      <c r="AH767" s="122"/>
      <c r="AI767" s="122"/>
      <c r="AJ767" s="122"/>
      <c r="AK767" s="122"/>
      <c r="AL767" s="122"/>
      <c r="AM767" s="122"/>
      <c r="AN767" s="122"/>
      <c r="AO767" s="122"/>
      <c r="AP767" s="166"/>
      <c r="AQ767" s="122"/>
      <c r="AR767" s="167"/>
      <c r="AS767" s="122"/>
      <c r="AT767" s="122"/>
      <c r="AU767" s="122"/>
      <c r="AV767" s="122"/>
      <c r="AW767" s="122"/>
      <c r="AX767" s="122"/>
      <c r="AY767" s="122"/>
      <c r="AZ767" s="122"/>
      <c r="BA767" s="122"/>
      <c r="BB767" s="122"/>
      <c r="BC767" s="122"/>
      <c r="BD767" s="122"/>
      <c r="BE767" s="122"/>
      <c r="BF767" s="122"/>
      <c r="BG767" s="122"/>
      <c r="BH767" s="122"/>
      <c r="BI767" s="122"/>
      <c r="BJ767" s="122"/>
    </row>
    <row r="768" spans="1:62">
      <c r="A768" s="122"/>
      <c r="B768" s="122"/>
      <c r="C768" s="122"/>
      <c r="D768" s="122"/>
      <c r="E768" s="122"/>
      <c r="F768" s="122"/>
      <c r="G768" s="122"/>
      <c r="H768" s="122"/>
      <c r="I768" s="122"/>
      <c r="J768" s="122"/>
      <c r="K768" s="122"/>
      <c r="L768" s="122"/>
      <c r="M768" s="122"/>
      <c r="N768" s="122"/>
      <c r="O768" s="122"/>
      <c r="P768" s="122"/>
      <c r="Q768" s="122"/>
      <c r="R768" s="122"/>
      <c r="S768" s="122"/>
      <c r="T768" s="122"/>
      <c r="U768" s="122"/>
      <c r="V768" s="122"/>
      <c r="W768" s="122"/>
      <c r="X768" s="122"/>
      <c r="Y768" s="122"/>
      <c r="Z768" s="122"/>
      <c r="AA768" s="122"/>
      <c r="AB768" s="122"/>
      <c r="AC768" s="122"/>
      <c r="AD768" s="122"/>
      <c r="AE768" s="122"/>
      <c r="AF768" s="122"/>
      <c r="AG768" s="122"/>
      <c r="AH768" s="122"/>
      <c r="AI768" s="122"/>
      <c r="AJ768" s="122"/>
      <c r="AK768" s="122"/>
      <c r="AL768" s="122"/>
      <c r="AM768" s="122"/>
      <c r="AN768" s="122"/>
      <c r="AO768" s="122"/>
      <c r="AP768" s="166"/>
      <c r="AQ768" s="122"/>
      <c r="AR768" s="167"/>
      <c r="AS768" s="122"/>
      <c r="AT768" s="122"/>
      <c r="AU768" s="122"/>
      <c r="AV768" s="122"/>
      <c r="AW768" s="122"/>
      <c r="AX768" s="122"/>
      <c r="AY768" s="122"/>
      <c r="AZ768" s="122"/>
      <c r="BA768" s="122"/>
      <c r="BB768" s="122"/>
      <c r="BC768" s="122"/>
      <c r="BD768" s="122"/>
      <c r="BE768" s="122"/>
      <c r="BF768" s="122"/>
      <c r="BG768" s="122"/>
      <c r="BH768" s="122"/>
      <c r="BI768" s="122"/>
      <c r="BJ768" s="122"/>
    </row>
    <row r="769" spans="1:62">
      <c r="A769" s="122"/>
      <c r="B769" s="122"/>
      <c r="C769" s="122"/>
      <c r="D769" s="122"/>
      <c r="E769" s="122"/>
      <c r="F769" s="122"/>
      <c r="G769" s="122"/>
      <c r="H769" s="122"/>
      <c r="I769" s="122"/>
      <c r="J769" s="122"/>
      <c r="K769" s="122"/>
      <c r="L769" s="122"/>
      <c r="M769" s="122"/>
      <c r="N769" s="122"/>
      <c r="O769" s="122"/>
      <c r="P769" s="122"/>
      <c r="Q769" s="122"/>
      <c r="R769" s="122"/>
      <c r="S769" s="122"/>
      <c r="T769" s="122"/>
      <c r="U769" s="122"/>
      <c r="V769" s="122"/>
      <c r="W769" s="122"/>
      <c r="X769" s="122"/>
      <c r="Y769" s="122"/>
      <c r="Z769" s="122"/>
      <c r="AA769" s="122"/>
      <c r="AB769" s="122"/>
      <c r="AC769" s="122"/>
      <c r="AD769" s="122"/>
      <c r="AE769" s="122"/>
      <c r="AF769" s="122"/>
      <c r="AG769" s="122"/>
      <c r="AH769" s="122"/>
      <c r="AI769" s="122"/>
      <c r="AJ769" s="122"/>
      <c r="AK769" s="122"/>
      <c r="AL769" s="122"/>
      <c r="AM769" s="122"/>
      <c r="AN769" s="122"/>
      <c r="AO769" s="122"/>
      <c r="AP769" s="166"/>
      <c r="AQ769" s="122"/>
      <c r="AR769" s="167"/>
      <c r="AS769" s="122"/>
      <c r="AT769" s="122"/>
      <c r="AU769" s="122"/>
      <c r="AV769" s="122"/>
      <c r="AW769" s="122"/>
      <c r="AX769" s="122"/>
      <c r="AY769" s="122"/>
      <c r="AZ769" s="122"/>
      <c r="BA769" s="122"/>
      <c r="BB769" s="122"/>
      <c r="BC769" s="122"/>
      <c r="BD769" s="122"/>
      <c r="BE769" s="122"/>
      <c r="BF769" s="122"/>
      <c r="BG769" s="122"/>
      <c r="BH769" s="122"/>
      <c r="BI769" s="122"/>
      <c r="BJ769" s="122"/>
    </row>
    <row r="770" spans="1:62">
      <c r="A770" s="122"/>
      <c r="B770" s="122"/>
      <c r="C770" s="122"/>
      <c r="D770" s="122"/>
      <c r="E770" s="122"/>
      <c r="F770" s="122"/>
      <c r="G770" s="122"/>
      <c r="H770" s="122"/>
      <c r="I770" s="122"/>
      <c r="J770" s="122"/>
      <c r="K770" s="122"/>
      <c r="L770" s="122"/>
      <c r="M770" s="122"/>
      <c r="N770" s="122"/>
      <c r="O770" s="122"/>
      <c r="P770" s="122"/>
      <c r="Q770" s="122"/>
      <c r="R770" s="122"/>
      <c r="S770" s="122"/>
      <c r="T770" s="122"/>
      <c r="U770" s="122"/>
      <c r="V770" s="122"/>
      <c r="W770" s="122"/>
      <c r="X770" s="122"/>
      <c r="Y770" s="122"/>
      <c r="Z770" s="122"/>
      <c r="AA770" s="122"/>
      <c r="AB770" s="122"/>
      <c r="AC770" s="122"/>
      <c r="AD770" s="122"/>
      <c r="AE770" s="122"/>
      <c r="AF770" s="122"/>
      <c r="AG770" s="122"/>
      <c r="AH770" s="122"/>
      <c r="AI770" s="122"/>
      <c r="AJ770" s="122"/>
      <c r="AK770" s="122"/>
      <c r="AL770" s="122"/>
      <c r="AM770" s="122"/>
      <c r="AN770" s="122"/>
      <c r="AO770" s="122"/>
      <c r="AP770" s="166"/>
      <c r="AQ770" s="122"/>
      <c r="AR770" s="167"/>
      <c r="AS770" s="122"/>
      <c r="AT770" s="122"/>
      <c r="AU770" s="122"/>
      <c r="AV770" s="122"/>
      <c r="AW770" s="122"/>
      <c r="AX770" s="122"/>
      <c r="AY770" s="122"/>
      <c r="AZ770" s="122"/>
      <c r="BA770" s="122"/>
      <c r="BB770" s="122"/>
      <c r="BC770" s="122"/>
      <c r="BD770" s="122"/>
      <c r="BE770" s="122"/>
      <c r="BF770" s="122"/>
      <c r="BG770" s="122"/>
      <c r="BH770" s="122"/>
      <c r="BI770" s="122"/>
      <c r="BJ770" s="122"/>
    </row>
    <row r="771" spans="1:62">
      <c r="A771" s="122"/>
      <c r="B771" s="122"/>
      <c r="C771" s="122"/>
      <c r="D771" s="122"/>
      <c r="E771" s="122"/>
      <c r="F771" s="122"/>
      <c r="G771" s="122"/>
      <c r="H771" s="122"/>
      <c r="I771" s="122"/>
      <c r="J771" s="122"/>
      <c r="K771" s="122"/>
      <c r="L771" s="122"/>
      <c r="M771" s="122"/>
      <c r="N771" s="122"/>
      <c r="O771" s="122"/>
      <c r="P771" s="122"/>
      <c r="Q771" s="122"/>
      <c r="R771" s="122"/>
      <c r="S771" s="122"/>
      <c r="T771" s="122"/>
      <c r="U771" s="122"/>
      <c r="V771" s="122"/>
      <c r="W771" s="122"/>
      <c r="X771" s="122"/>
      <c r="Y771" s="122"/>
      <c r="Z771" s="122"/>
      <c r="AA771" s="122"/>
      <c r="AB771" s="122"/>
      <c r="AC771" s="122"/>
      <c r="AD771" s="122"/>
      <c r="AE771" s="122"/>
      <c r="AF771" s="122"/>
      <c r="AG771" s="122"/>
      <c r="AH771" s="122"/>
      <c r="AI771" s="122"/>
      <c r="AJ771" s="122"/>
      <c r="AK771" s="122"/>
      <c r="AL771" s="122"/>
      <c r="AM771" s="122"/>
      <c r="AN771" s="122"/>
      <c r="AO771" s="122"/>
      <c r="AP771" s="166"/>
      <c r="AQ771" s="122"/>
      <c r="AR771" s="167"/>
      <c r="AS771" s="122"/>
      <c r="AT771" s="122"/>
      <c r="AU771" s="122"/>
      <c r="AV771" s="122"/>
      <c r="AW771" s="122"/>
      <c r="AX771" s="122"/>
      <c r="AY771" s="122"/>
      <c r="AZ771" s="122"/>
      <c r="BA771" s="122"/>
      <c r="BB771" s="122"/>
      <c r="BC771" s="122"/>
      <c r="BD771" s="122"/>
      <c r="BE771" s="122"/>
      <c r="BF771" s="122"/>
      <c r="BG771" s="122"/>
      <c r="BH771" s="122"/>
      <c r="BI771" s="122"/>
      <c r="BJ771" s="122"/>
    </row>
    <row r="772" spans="1:62">
      <c r="A772" s="122"/>
      <c r="B772" s="122"/>
      <c r="C772" s="122"/>
      <c r="D772" s="122"/>
      <c r="E772" s="122"/>
      <c r="F772" s="122"/>
      <c r="G772" s="122"/>
      <c r="H772" s="122"/>
      <c r="I772" s="122"/>
      <c r="J772" s="122"/>
      <c r="K772" s="122"/>
      <c r="L772" s="122"/>
      <c r="M772" s="122"/>
      <c r="N772" s="122"/>
      <c r="O772" s="122"/>
      <c r="P772" s="122"/>
      <c r="Q772" s="122"/>
      <c r="R772" s="122"/>
      <c r="S772" s="122"/>
      <c r="T772" s="122"/>
      <c r="U772" s="122"/>
      <c r="V772" s="122"/>
      <c r="W772" s="122"/>
      <c r="X772" s="122"/>
      <c r="Y772" s="122"/>
      <c r="Z772" s="122"/>
      <c r="AA772" s="122"/>
      <c r="AB772" s="122"/>
      <c r="AC772" s="122"/>
      <c r="AD772" s="122"/>
      <c r="AE772" s="122"/>
      <c r="AF772" s="122"/>
      <c r="AG772" s="122"/>
      <c r="AH772" s="122"/>
      <c r="AI772" s="122"/>
      <c r="AJ772" s="122"/>
      <c r="AK772" s="122"/>
      <c r="AL772" s="122"/>
      <c r="AM772" s="122"/>
      <c r="AN772" s="122"/>
      <c r="AO772" s="122"/>
      <c r="AP772" s="166"/>
      <c r="AQ772" s="122"/>
      <c r="AR772" s="167"/>
      <c r="AS772" s="122"/>
      <c r="AT772" s="122"/>
      <c r="AU772" s="122"/>
      <c r="AV772" s="122"/>
      <c r="AW772" s="122"/>
      <c r="AX772" s="122"/>
      <c r="AY772" s="122"/>
      <c r="AZ772" s="122"/>
      <c r="BA772" s="122"/>
      <c r="BB772" s="122"/>
      <c r="BC772" s="122"/>
      <c r="BD772" s="122"/>
      <c r="BE772" s="122"/>
      <c r="BF772" s="122"/>
      <c r="BG772" s="122"/>
      <c r="BH772" s="122"/>
      <c r="BI772" s="122"/>
      <c r="BJ772" s="122"/>
    </row>
    <row r="773" spans="1:62">
      <c r="A773" s="122"/>
      <c r="B773" s="122"/>
      <c r="C773" s="122"/>
      <c r="D773" s="122"/>
      <c r="E773" s="122"/>
      <c r="F773" s="122"/>
      <c r="G773" s="122"/>
      <c r="H773" s="122"/>
      <c r="I773" s="122"/>
      <c r="J773" s="122"/>
      <c r="K773" s="122"/>
      <c r="L773" s="122"/>
      <c r="M773" s="122"/>
      <c r="N773" s="122"/>
      <c r="O773" s="122"/>
      <c r="P773" s="122"/>
      <c r="Q773" s="122"/>
      <c r="R773" s="122"/>
      <c r="S773" s="122"/>
      <c r="T773" s="122"/>
      <c r="U773" s="122"/>
      <c r="V773" s="122"/>
      <c r="W773" s="122"/>
      <c r="X773" s="122"/>
      <c r="Y773" s="122"/>
      <c r="Z773" s="122"/>
      <c r="AA773" s="122"/>
      <c r="AB773" s="122"/>
      <c r="AC773" s="122"/>
      <c r="AD773" s="122"/>
      <c r="AE773" s="122"/>
      <c r="AF773" s="122"/>
      <c r="AG773" s="122"/>
      <c r="AH773" s="122"/>
      <c r="AI773" s="122"/>
      <c r="AJ773" s="122"/>
      <c r="AK773" s="122"/>
      <c r="AL773" s="122"/>
      <c r="AM773" s="122"/>
      <c r="AN773" s="122"/>
      <c r="AO773" s="122"/>
      <c r="AP773" s="166"/>
      <c r="AQ773" s="122"/>
      <c r="AR773" s="167"/>
      <c r="AS773" s="122"/>
      <c r="AT773" s="122"/>
      <c r="AU773" s="122"/>
      <c r="AV773" s="122"/>
      <c r="AW773" s="122"/>
      <c r="AX773" s="122"/>
      <c r="AY773" s="122"/>
      <c r="AZ773" s="122"/>
      <c r="BA773" s="122"/>
      <c r="BB773" s="122"/>
      <c r="BC773" s="122"/>
      <c r="BD773" s="122"/>
      <c r="BE773" s="122"/>
      <c r="BF773" s="122"/>
      <c r="BG773" s="122"/>
      <c r="BH773" s="122"/>
      <c r="BI773" s="122"/>
      <c r="BJ773" s="122"/>
    </row>
    <row r="774" spans="1:62">
      <c r="A774" s="122"/>
      <c r="B774" s="122"/>
      <c r="C774" s="122"/>
      <c r="D774" s="122"/>
      <c r="E774" s="122"/>
      <c r="F774" s="122"/>
      <c r="G774" s="122"/>
      <c r="H774" s="122"/>
      <c r="I774" s="122"/>
      <c r="J774" s="122"/>
      <c r="K774" s="122"/>
      <c r="L774" s="122"/>
      <c r="M774" s="122"/>
      <c r="N774" s="122"/>
      <c r="O774" s="122"/>
      <c r="P774" s="122"/>
      <c r="Q774" s="122"/>
      <c r="R774" s="122"/>
      <c r="S774" s="122"/>
      <c r="T774" s="122"/>
      <c r="U774" s="122"/>
      <c r="V774" s="122"/>
      <c r="W774" s="122"/>
      <c r="X774" s="122"/>
      <c r="Y774" s="122"/>
      <c r="Z774" s="122"/>
      <c r="AA774" s="122"/>
      <c r="AB774" s="122"/>
      <c r="AC774" s="122"/>
      <c r="AD774" s="122"/>
      <c r="AE774" s="122"/>
      <c r="AF774" s="122"/>
      <c r="AG774" s="122"/>
      <c r="AH774" s="122"/>
      <c r="AI774" s="122"/>
      <c r="AJ774" s="122"/>
      <c r="AK774" s="122"/>
      <c r="AL774" s="122"/>
      <c r="AM774" s="122"/>
      <c r="AN774" s="122"/>
      <c r="AO774" s="122"/>
      <c r="AP774" s="166"/>
      <c r="AQ774" s="122"/>
      <c r="AR774" s="167"/>
      <c r="AS774" s="122"/>
      <c r="AT774" s="122"/>
      <c r="AU774" s="122"/>
      <c r="AV774" s="122"/>
      <c r="AW774" s="122"/>
      <c r="AX774" s="122"/>
      <c r="AY774" s="122"/>
      <c r="AZ774" s="122"/>
      <c r="BA774" s="122"/>
      <c r="BB774" s="122"/>
      <c r="BC774" s="122"/>
      <c r="BD774" s="122"/>
      <c r="BE774" s="122"/>
      <c r="BF774" s="122"/>
      <c r="BG774" s="122"/>
      <c r="BH774" s="122"/>
      <c r="BI774" s="122"/>
      <c r="BJ774" s="122"/>
    </row>
    <row r="775" spans="1:62">
      <c r="A775" s="122"/>
      <c r="B775" s="122"/>
      <c r="C775" s="122"/>
      <c r="D775" s="122"/>
      <c r="E775" s="122"/>
      <c r="F775" s="122"/>
      <c r="G775" s="122"/>
      <c r="H775" s="122"/>
      <c r="I775" s="122"/>
      <c r="J775" s="122"/>
      <c r="K775" s="122"/>
      <c r="L775" s="122"/>
      <c r="M775" s="122"/>
      <c r="N775" s="122"/>
      <c r="O775" s="122"/>
      <c r="P775" s="122"/>
      <c r="Q775" s="122"/>
      <c r="R775" s="122"/>
      <c r="S775" s="122"/>
      <c r="T775" s="122"/>
      <c r="U775" s="122"/>
      <c r="V775" s="122"/>
      <c r="W775" s="122"/>
      <c r="X775" s="122"/>
      <c r="Y775" s="122"/>
      <c r="Z775" s="122"/>
      <c r="AA775" s="122"/>
      <c r="AB775" s="122"/>
      <c r="AC775" s="122"/>
      <c r="AD775" s="122"/>
      <c r="AE775" s="122"/>
      <c r="AF775" s="122"/>
      <c r="AG775" s="122"/>
      <c r="AH775" s="122"/>
      <c r="AI775" s="122"/>
      <c r="AJ775" s="122"/>
      <c r="AK775" s="122"/>
      <c r="AL775" s="122"/>
      <c r="AM775" s="122"/>
      <c r="AN775" s="122"/>
      <c r="AO775" s="122"/>
      <c r="AP775" s="166"/>
      <c r="AQ775" s="122"/>
      <c r="AR775" s="167"/>
      <c r="AS775" s="122"/>
      <c r="AT775" s="122"/>
      <c r="AU775" s="122"/>
      <c r="AV775" s="122"/>
      <c r="AW775" s="122"/>
      <c r="AX775" s="122"/>
      <c r="AY775" s="122"/>
      <c r="AZ775" s="122"/>
      <c r="BA775" s="122"/>
      <c r="BB775" s="122"/>
      <c r="BC775" s="122"/>
      <c r="BD775" s="122"/>
      <c r="BE775" s="122"/>
      <c r="BF775" s="122"/>
      <c r="BG775" s="122"/>
      <c r="BH775" s="122"/>
      <c r="BI775" s="122"/>
      <c r="BJ775" s="122"/>
    </row>
    <row r="776" spans="1:62">
      <c r="A776" s="122"/>
      <c r="B776" s="122"/>
      <c r="C776" s="122"/>
      <c r="D776" s="122"/>
      <c r="E776" s="122"/>
      <c r="F776" s="122"/>
      <c r="G776" s="122"/>
      <c r="H776" s="122"/>
      <c r="I776" s="122"/>
      <c r="J776" s="122"/>
      <c r="K776" s="122"/>
      <c r="L776" s="122"/>
      <c r="M776" s="122"/>
      <c r="N776" s="122"/>
      <c r="O776" s="122"/>
      <c r="P776" s="122"/>
      <c r="Q776" s="122"/>
      <c r="R776" s="122"/>
      <c r="S776" s="122"/>
      <c r="T776" s="122"/>
      <c r="U776" s="122"/>
      <c r="V776" s="122"/>
      <c r="W776" s="122"/>
      <c r="X776" s="122"/>
      <c r="Y776" s="122"/>
      <c r="Z776" s="122"/>
      <c r="AA776" s="122"/>
      <c r="AB776" s="122"/>
      <c r="AC776" s="122"/>
      <c r="AD776" s="122"/>
      <c r="AE776" s="122"/>
      <c r="AF776" s="122"/>
      <c r="AG776" s="122"/>
      <c r="AH776" s="122"/>
      <c r="AI776" s="122"/>
      <c r="AJ776" s="122"/>
      <c r="AK776" s="122"/>
      <c r="AL776" s="122"/>
      <c r="AM776" s="122"/>
      <c r="AN776" s="122"/>
      <c r="AO776" s="122"/>
      <c r="AP776" s="166"/>
      <c r="AQ776" s="122"/>
      <c r="AR776" s="167"/>
      <c r="AS776" s="122"/>
      <c r="AT776" s="122"/>
      <c r="AU776" s="122"/>
      <c r="AV776" s="122"/>
      <c r="AW776" s="122"/>
      <c r="AX776" s="122"/>
      <c r="AY776" s="122"/>
      <c r="AZ776" s="122"/>
      <c r="BA776" s="122"/>
      <c r="BB776" s="122"/>
      <c r="BC776" s="122"/>
      <c r="BD776" s="122"/>
      <c r="BE776" s="122"/>
      <c r="BF776" s="122"/>
      <c r="BG776" s="122"/>
      <c r="BH776" s="122"/>
      <c r="BI776" s="122"/>
      <c r="BJ776" s="122"/>
    </row>
    <row r="777" spans="1:62">
      <c r="A777" s="122"/>
      <c r="B777" s="122"/>
      <c r="C777" s="122"/>
      <c r="D777" s="122"/>
      <c r="E777" s="122"/>
      <c r="F777" s="122"/>
      <c r="G777" s="122"/>
      <c r="H777" s="122"/>
      <c r="I777" s="122"/>
      <c r="J777" s="122"/>
      <c r="K777" s="122"/>
      <c r="L777" s="122"/>
      <c r="M777" s="122"/>
      <c r="N777" s="122"/>
      <c r="O777" s="122"/>
      <c r="P777" s="122"/>
      <c r="Q777" s="122"/>
      <c r="R777" s="122"/>
      <c r="S777" s="122"/>
      <c r="T777" s="122"/>
      <c r="U777" s="122"/>
      <c r="V777" s="122"/>
      <c r="W777" s="122"/>
      <c r="X777" s="122"/>
      <c r="Y777" s="122"/>
      <c r="Z777" s="122"/>
      <c r="AA777" s="122"/>
      <c r="AB777" s="122"/>
      <c r="AC777" s="122"/>
      <c r="AD777" s="122"/>
      <c r="AE777" s="122"/>
      <c r="AF777" s="122"/>
      <c r="AG777" s="122"/>
      <c r="AH777" s="122"/>
      <c r="AI777" s="122"/>
      <c r="AJ777" s="122"/>
      <c r="AK777" s="122"/>
      <c r="AL777" s="122"/>
      <c r="AM777" s="122"/>
      <c r="AN777" s="122"/>
      <c r="AO777" s="122"/>
      <c r="AP777" s="166"/>
      <c r="AQ777" s="122"/>
      <c r="AR777" s="167"/>
      <c r="AS777" s="122"/>
      <c r="AT777" s="122"/>
      <c r="AU777" s="122"/>
      <c r="AV777" s="122"/>
      <c r="AW777" s="122"/>
      <c r="AX777" s="122"/>
      <c r="AY777" s="122"/>
      <c r="AZ777" s="122"/>
      <c r="BA777" s="122"/>
      <c r="BB777" s="122"/>
      <c r="BC777" s="122"/>
      <c r="BD777" s="122"/>
      <c r="BE777" s="122"/>
      <c r="BF777" s="122"/>
      <c r="BG777" s="122"/>
      <c r="BH777" s="122"/>
      <c r="BI777" s="122"/>
      <c r="BJ777" s="122"/>
    </row>
    <row r="778" spans="1:62">
      <c r="A778" s="122"/>
      <c r="B778" s="122"/>
      <c r="C778" s="122"/>
      <c r="D778" s="122"/>
      <c r="E778" s="122"/>
      <c r="F778" s="122"/>
      <c r="G778" s="122"/>
      <c r="H778" s="122"/>
      <c r="I778" s="122"/>
      <c r="J778" s="122"/>
      <c r="K778" s="122"/>
      <c r="L778" s="122"/>
      <c r="M778" s="122"/>
      <c r="N778" s="122"/>
      <c r="O778" s="122"/>
      <c r="P778" s="122"/>
      <c r="Q778" s="122"/>
      <c r="R778" s="122"/>
      <c r="S778" s="122"/>
      <c r="T778" s="122"/>
      <c r="U778" s="122"/>
      <c r="V778" s="122"/>
      <c r="W778" s="122"/>
      <c r="X778" s="122"/>
      <c r="Y778" s="122"/>
      <c r="Z778" s="122"/>
      <c r="AA778" s="122"/>
      <c r="AB778" s="122"/>
      <c r="AC778" s="122"/>
      <c r="AD778" s="122"/>
      <c r="AE778" s="122"/>
      <c r="AF778" s="122"/>
      <c r="AG778" s="122"/>
      <c r="AH778" s="122"/>
      <c r="AI778" s="122"/>
      <c r="AJ778" s="122"/>
      <c r="AK778" s="122"/>
      <c r="AL778" s="122"/>
      <c r="AM778" s="122"/>
      <c r="AN778" s="122"/>
      <c r="AO778" s="122"/>
      <c r="AP778" s="166"/>
      <c r="AQ778" s="122"/>
      <c r="AR778" s="167"/>
      <c r="AS778" s="122"/>
      <c r="AT778" s="122"/>
      <c r="AU778" s="122"/>
      <c r="AV778" s="122"/>
      <c r="AW778" s="122"/>
      <c r="AX778" s="122"/>
      <c r="AY778" s="122"/>
      <c r="AZ778" s="122"/>
      <c r="BA778" s="122"/>
      <c r="BB778" s="122"/>
      <c r="BC778" s="122"/>
      <c r="BD778" s="122"/>
      <c r="BE778" s="122"/>
      <c r="BF778" s="122"/>
      <c r="BG778" s="122"/>
      <c r="BH778" s="122"/>
      <c r="BI778" s="122"/>
      <c r="BJ778" s="122"/>
    </row>
    <row r="779" spans="1:62">
      <c r="A779" s="122"/>
      <c r="B779" s="122"/>
      <c r="C779" s="122"/>
      <c r="D779" s="122"/>
      <c r="E779" s="122"/>
      <c r="F779" s="122"/>
      <c r="G779" s="122"/>
      <c r="H779" s="122"/>
      <c r="I779" s="122"/>
      <c r="J779" s="122"/>
      <c r="K779" s="122"/>
      <c r="L779" s="122"/>
      <c r="M779" s="122"/>
      <c r="N779" s="122"/>
      <c r="O779" s="122"/>
      <c r="P779" s="122"/>
      <c r="Q779" s="122"/>
      <c r="R779" s="122"/>
      <c r="S779" s="122"/>
      <c r="T779" s="122"/>
      <c r="U779" s="122"/>
      <c r="V779" s="122"/>
      <c r="W779" s="122"/>
      <c r="X779" s="122"/>
      <c r="Y779" s="122"/>
      <c r="Z779" s="122"/>
      <c r="AA779" s="122"/>
      <c r="AB779" s="122"/>
      <c r="AC779" s="122"/>
      <c r="AD779" s="122"/>
      <c r="AE779" s="122"/>
      <c r="AF779" s="122"/>
      <c r="AG779" s="122"/>
      <c r="AH779" s="122"/>
      <c r="AI779" s="122"/>
      <c r="AJ779" s="122"/>
      <c r="AK779" s="122"/>
      <c r="AL779" s="122"/>
      <c r="AM779" s="122"/>
      <c r="AN779" s="122"/>
      <c r="AO779" s="122"/>
      <c r="AP779" s="166"/>
      <c r="AQ779" s="122"/>
      <c r="AR779" s="167"/>
      <c r="AS779" s="122"/>
      <c r="AT779" s="122"/>
      <c r="AU779" s="122"/>
      <c r="AV779" s="122"/>
      <c r="AW779" s="122"/>
      <c r="AX779" s="122"/>
      <c r="AY779" s="122"/>
      <c r="AZ779" s="122"/>
      <c r="BA779" s="122"/>
      <c r="BB779" s="122"/>
      <c r="BC779" s="122"/>
      <c r="BD779" s="122"/>
      <c r="BE779" s="122"/>
      <c r="BF779" s="122"/>
      <c r="BG779" s="122"/>
      <c r="BH779" s="122"/>
      <c r="BI779" s="122"/>
      <c r="BJ779" s="122"/>
    </row>
    <row r="780" spans="1:62">
      <c r="A780" s="122"/>
      <c r="B780" s="122"/>
      <c r="C780" s="122"/>
      <c r="D780" s="122"/>
      <c r="E780" s="122"/>
      <c r="F780" s="122"/>
      <c r="G780" s="122"/>
      <c r="H780" s="122"/>
      <c r="I780" s="122"/>
      <c r="J780" s="122"/>
      <c r="K780" s="122"/>
      <c r="L780" s="122"/>
      <c r="M780" s="122"/>
      <c r="N780" s="122"/>
      <c r="O780" s="122"/>
      <c r="P780" s="122"/>
      <c r="Q780" s="122"/>
      <c r="R780" s="122"/>
      <c r="S780" s="122"/>
      <c r="T780" s="122"/>
      <c r="U780" s="122"/>
      <c r="V780" s="122"/>
      <c r="W780" s="122"/>
      <c r="X780" s="122"/>
      <c r="Y780" s="122"/>
      <c r="Z780" s="122"/>
      <c r="AA780" s="122"/>
      <c r="AB780" s="122"/>
      <c r="AC780" s="122"/>
      <c r="AD780" s="122"/>
      <c r="AE780" s="122"/>
      <c r="AF780" s="122"/>
      <c r="AG780" s="122"/>
      <c r="AH780" s="122"/>
      <c r="AI780" s="122"/>
      <c r="AJ780" s="122"/>
      <c r="AK780" s="122"/>
      <c r="AL780" s="122"/>
      <c r="AM780" s="122"/>
      <c r="AN780" s="122"/>
      <c r="AO780" s="122"/>
      <c r="AP780" s="166"/>
      <c r="AQ780" s="122"/>
      <c r="AR780" s="167"/>
      <c r="AS780" s="122"/>
      <c r="AT780" s="122"/>
      <c r="AU780" s="122"/>
      <c r="AV780" s="122"/>
      <c r="AW780" s="122"/>
      <c r="AX780" s="122"/>
      <c r="AY780" s="122"/>
      <c r="AZ780" s="122"/>
      <c r="BA780" s="122"/>
      <c r="BB780" s="122"/>
      <c r="BC780" s="122"/>
      <c r="BD780" s="122"/>
      <c r="BE780" s="122"/>
      <c r="BF780" s="122"/>
      <c r="BG780" s="122"/>
      <c r="BH780" s="122"/>
      <c r="BI780" s="122"/>
      <c r="BJ780" s="122"/>
    </row>
    <row r="781" spans="1:62">
      <c r="A781" s="122"/>
      <c r="B781" s="122"/>
      <c r="C781" s="122"/>
      <c r="D781" s="122"/>
      <c r="E781" s="122"/>
      <c r="F781" s="122"/>
      <c r="G781" s="122"/>
      <c r="H781" s="122"/>
      <c r="I781" s="122"/>
      <c r="J781" s="122"/>
      <c r="K781" s="122"/>
      <c r="L781" s="122"/>
      <c r="M781" s="122"/>
      <c r="N781" s="122"/>
      <c r="O781" s="122"/>
      <c r="P781" s="122"/>
      <c r="Q781" s="122"/>
      <c r="R781" s="122"/>
      <c r="S781" s="122"/>
      <c r="T781" s="122"/>
      <c r="U781" s="122"/>
      <c r="V781" s="122"/>
      <c r="W781" s="122"/>
      <c r="X781" s="122"/>
      <c r="Y781" s="122"/>
      <c r="Z781" s="122"/>
      <c r="AA781" s="122"/>
      <c r="AB781" s="122"/>
      <c r="AC781" s="122"/>
      <c r="AD781" s="122"/>
      <c r="AE781" s="122"/>
      <c r="AF781" s="122"/>
      <c r="AG781" s="122"/>
      <c r="AH781" s="122"/>
      <c r="AI781" s="122"/>
      <c r="AJ781" s="122"/>
      <c r="AK781" s="122"/>
      <c r="AL781" s="122"/>
      <c r="AM781" s="122"/>
      <c r="AN781" s="122"/>
      <c r="AO781" s="122"/>
      <c r="AP781" s="166"/>
      <c r="AQ781" s="122"/>
      <c r="AR781" s="167"/>
      <c r="AS781" s="122"/>
      <c r="AT781" s="122"/>
      <c r="AU781" s="122"/>
      <c r="AV781" s="122"/>
      <c r="AW781" s="122"/>
      <c r="AX781" s="122"/>
      <c r="AY781" s="122"/>
      <c r="AZ781" s="122"/>
      <c r="BA781" s="122"/>
      <c r="BB781" s="122"/>
      <c r="BC781" s="122"/>
      <c r="BD781" s="122"/>
      <c r="BE781" s="122"/>
      <c r="BF781" s="122"/>
      <c r="BG781" s="122"/>
      <c r="BH781" s="122"/>
      <c r="BI781" s="122"/>
      <c r="BJ781" s="122"/>
    </row>
    <row r="782" spans="1:62">
      <c r="A782" s="122"/>
      <c r="B782" s="122"/>
      <c r="C782" s="122"/>
      <c r="D782" s="122"/>
      <c r="E782" s="122"/>
      <c r="F782" s="122"/>
      <c r="G782" s="122"/>
      <c r="H782" s="122"/>
      <c r="I782" s="122"/>
      <c r="J782" s="122"/>
      <c r="K782" s="122"/>
      <c r="L782" s="122"/>
      <c r="M782" s="122"/>
      <c r="N782" s="122"/>
      <c r="O782" s="122"/>
      <c r="P782" s="122"/>
      <c r="Q782" s="122"/>
      <c r="R782" s="122"/>
      <c r="S782" s="122"/>
      <c r="T782" s="122"/>
      <c r="U782" s="122"/>
      <c r="V782" s="122"/>
      <c r="W782" s="122"/>
      <c r="X782" s="122"/>
      <c r="Y782" s="122"/>
      <c r="Z782" s="122"/>
      <c r="AA782" s="122"/>
      <c r="AB782" s="122"/>
      <c r="AC782" s="122"/>
      <c r="AD782" s="122"/>
      <c r="AE782" s="122"/>
      <c r="AF782" s="122"/>
      <c r="AG782" s="122"/>
      <c r="AH782" s="122"/>
      <c r="AI782" s="122"/>
      <c r="AJ782" s="122"/>
      <c r="AK782" s="122"/>
      <c r="AL782" s="122"/>
      <c r="AM782" s="122"/>
      <c r="AN782" s="122"/>
      <c r="AO782" s="122"/>
      <c r="AP782" s="166"/>
      <c r="AQ782" s="122"/>
      <c r="AR782" s="167"/>
      <c r="AS782" s="122"/>
      <c r="AT782" s="122"/>
      <c r="AU782" s="122"/>
      <c r="AV782" s="122"/>
      <c r="AW782" s="122"/>
      <c r="AX782" s="122"/>
      <c r="AY782" s="122"/>
      <c r="AZ782" s="122"/>
      <c r="BA782" s="122"/>
      <c r="BB782" s="122"/>
      <c r="BC782" s="122"/>
      <c r="BD782" s="122"/>
      <c r="BE782" s="122"/>
      <c r="BF782" s="122"/>
      <c r="BG782" s="122"/>
      <c r="BH782" s="122"/>
      <c r="BI782" s="122"/>
      <c r="BJ782" s="122"/>
    </row>
    <row r="783" spans="1:62">
      <c r="A783" s="122"/>
      <c r="B783" s="122"/>
      <c r="C783" s="122"/>
      <c r="D783" s="122"/>
      <c r="E783" s="122"/>
      <c r="F783" s="122"/>
      <c r="G783" s="122"/>
      <c r="H783" s="122"/>
      <c r="I783" s="122"/>
      <c r="J783" s="122"/>
      <c r="K783" s="122"/>
      <c r="L783" s="122"/>
      <c r="M783" s="122"/>
      <c r="N783" s="122"/>
      <c r="O783" s="122"/>
      <c r="P783" s="122"/>
      <c r="Q783" s="122"/>
      <c r="R783" s="122"/>
      <c r="S783" s="122"/>
      <c r="T783" s="122"/>
      <c r="U783" s="122"/>
      <c r="V783" s="122"/>
      <c r="W783" s="122"/>
      <c r="X783" s="122"/>
      <c r="Y783" s="122"/>
      <c r="Z783" s="122"/>
      <c r="AA783" s="122"/>
      <c r="AB783" s="122"/>
      <c r="AC783" s="122"/>
      <c r="AD783" s="122"/>
      <c r="AE783" s="122"/>
      <c r="AF783" s="122"/>
      <c r="AG783" s="122"/>
      <c r="AH783" s="122"/>
      <c r="AI783" s="122"/>
      <c r="AJ783" s="122"/>
      <c r="AK783" s="122"/>
      <c r="AL783" s="122"/>
      <c r="AM783" s="122"/>
      <c r="AN783" s="122"/>
      <c r="AO783" s="122"/>
      <c r="AP783" s="166"/>
      <c r="AQ783" s="122"/>
      <c r="AR783" s="167"/>
      <c r="AS783" s="122"/>
      <c r="AT783" s="122"/>
      <c r="AU783" s="122"/>
      <c r="AV783" s="122"/>
      <c r="AW783" s="122"/>
      <c r="AX783" s="122"/>
      <c r="AY783" s="122"/>
      <c r="AZ783" s="122"/>
      <c r="BA783" s="122"/>
      <c r="BB783" s="122"/>
      <c r="BC783" s="122"/>
      <c r="BD783" s="122"/>
      <c r="BE783" s="122"/>
      <c r="BF783" s="122"/>
      <c r="BG783" s="122"/>
      <c r="BH783" s="122"/>
      <c r="BI783" s="122"/>
      <c r="BJ783" s="122"/>
    </row>
    <row r="784" spans="1:62">
      <c r="A784" s="122"/>
      <c r="B784" s="122"/>
      <c r="C784" s="122"/>
      <c r="D784" s="122"/>
      <c r="E784" s="122"/>
      <c r="F784" s="122"/>
      <c r="G784" s="122"/>
      <c r="H784" s="122"/>
      <c r="I784" s="122"/>
      <c r="J784" s="122"/>
      <c r="K784" s="122"/>
      <c r="L784" s="122"/>
      <c r="M784" s="122"/>
      <c r="N784" s="122"/>
      <c r="O784" s="122"/>
      <c r="P784" s="122"/>
      <c r="Q784" s="122"/>
      <c r="R784" s="122"/>
      <c r="S784" s="122"/>
      <c r="T784" s="122"/>
      <c r="U784" s="122"/>
      <c r="V784" s="122"/>
      <c r="W784" s="122"/>
      <c r="X784" s="122"/>
      <c r="Y784" s="122"/>
      <c r="Z784" s="122"/>
      <c r="AA784" s="122"/>
      <c r="AB784" s="122"/>
      <c r="AC784" s="122"/>
      <c r="AD784" s="122"/>
      <c r="AE784" s="122"/>
      <c r="AF784" s="122"/>
      <c r="AG784" s="122"/>
      <c r="AH784" s="122"/>
      <c r="AI784" s="122"/>
      <c r="AJ784" s="122"/>
      <c r="AK784" s="122"/>
      <c r="AL784" s="122"/>
      <c r="AM784" s="122"/>
      <c r="AN784" s="122"/>
      <c r="AO784" s="122"/>
      <c r="AP784" s="166"/>
      <c r="AQ784" s="122"/>
      <c r="AR784" s="167"/>
      <c r="AS784" s="122"/>
      <c r="AT784" s="122"/>
      <c r="AU784" s="122"/>
      <c r="AV784" s="122"/>
      <c r="AW784" s="122"/>
      <c r="AX784" s="122"/>
      <c r="AY784" s="122"/>
      <c r="AZ784" s="122"/>
      <c r="BA784" s="122"/>
      <c r="BB784" s="122"/>
      <c r="BC784" s="122"/>
      <c r="BD784" s="122"/>
      <c r="BE784" s="122"/>
      <c r="BF784" s="122"/>
      <c r="BG784" s="122"/>
      <c r="BH784" s="122"/>
      <c r="BI784" s="122"/>
      <c r="BJ784" s="122"/>
    </row>
    <row r="785" spans="1:62">
      <c r="A785" s="122"/>
      <c r="B785" s="122"/>
      <c r="C785" s="122"/>
      <c r="D785" s="122"/>
      <c r="E785" s="122"/>
      <c r="F785" s="122"/>
      <c r="G785" s="122"/>
      <c r="H785" s="122"/>
      <c r="I785" s="122"/>
      <c r="J785" s="122"/>
      <c r="K785" s="122"/>
      <c r="L785" s="122"/>
      <c r="M785" s="122"/>
      <c r="N785" s="122"/>
      <c r="O785" s="122"/>
      <c r="P785" s="122"/>
      <c r="Q785" s="122"/>
      <c r="R785" s="122"/>
      <c r="S785" s="122"/>
      <c r="T785" s="122"/>
      <c r="U785" s="122"/>
      <c r="V785" s="122"/>
      <c r="W785" s="122"/>
      <c r="X785" s="122"/>
      <c r="Y785" s="122"/>
      <c r="Z785" s="122"/>
      <c r="AA785" s="122"/>
      <c r="AB785" s="122"/>
      <c r="AC785" s="122"/>
      <c r="AD785" s="122"/>
      <c r="AE785" s="122"/>
      <c r="AF785" s="122"/>
      <c r="AG785" s="122"/>
      <c r="AH785" s="122"/>
      <c r="AI785" s="122"/>
      <c r="AJ785" s="122"/>
      <c r="AK785" s="122"/>
      <c r="AL785" s="122"/>
      <c r="AM785" s="122"/>
      <c r="AN785" s="122"/>
      <c r="AO785" s="122"/>
      <c r="AP785" s="166"/>
      <c r="AQ785" s="122"/>
      <c r="AR785" s="167"/>
      <c r="AS785" s="122"/>
      <c r="AT785" s="122"/>
      <c r="AU785" s="122"/>
      <c r="AV785" s="122"/>
      <c r="AW785" s="122"/>
      <c r="AX785" s="122"/>
      <c r="AY785" s="122"/>
      <c r="AZ785" s="122"/>
      <c r="BA785" s="122"/>
      <c r="BB785" s="122"/>
      <c r="BC785" s="122"/>
      <c r="BD785" s="122"/>
      <c r="BE785" s="122"/>
      <c r="BF785" s="122"/>
      <c r="BG785" s="122"/>
      <c r="BH785" s="122"/>
      <c r="BI785" s="122"/>
      <c r="BJ785" s="122"/>
    </row>
    <row r="786" spans="1:62">
      <c r="A786" s="122"/>
      <c r="B786" s="122"/>
      <c r="C786" s="122"/>
      <c r="D786" s="122"/>
      <c r="E786" s="122"/>
      <c r="F786" s="122"/>
      <c r="G786" s="122"/>
      <c r="H786" s="122"/>
      <c r="I786" s="122"/>
      <c r="J786" s="122"/>
      <c r="K786" s="122"/>
      <c r="L786" s="122"/>
      <c r="M786" s="122"/>
      <c r="N786" s="122"/>
      <c r="O786" s="122"/>
      <c r="P786" s="122"/>
      <c r="Q786" s="122"/>
      <c r="R786" s="122"/>
      <c r="S786" s="122"/>
      <c r="T786" s="122"/>
      <c r="U786" s="122"/>
      <c r="V786" s="122"/>
      <c r="W786" s="122"/>
      <c r="X786" s="122"/>
      <c r="Y786" s="122"/>
      <c r="Z786" s="122"/>
      <c r="AA786" s="122"/>
      <c r="AB786" s="122"/>
      <c r="AC786" s="122"/>
      <c r="AD786" s="122"/>
      <c r="AE786" s="122"/>
      <c r="AF786" s="122"/>
      <c r="AG786" s="122"/>
      <c r="AH786" s="122"/>
      <c r="AI786" s="122"/>
      <c r="AJ786" s="122"/>
      <c r="AK786" s="122"/>
      <c r="AL786" s="122"/>
      <c r="AM786" s="122"/>
      <c r="AN786" s="122"/>
      <c r="AO786" s="122"/>
      <c r="AP786" s="166"/>
      <c r="AQ786" s="122"/>
      <c r="AR786" s="167"/>
      <c r="AS786" s="122"/>
      <c r="AT786" s="122"/>
      <c r="AU786" s="122"/>
      <c r="AV786" s="122"/>
      <c r="AW786" s="122"/>
      <c r="AX786" s="122"/>
      <c r="AY786" s="122"/>
      <c r="AZ786" s="122"/>
      <c r="BA786" s="122"/>
      <c r="BB786" s="122"/>
      <c r="BC786" s="122"/>
      <c r="BD786" s="122"/>
      <c r="BE786" s="122"/>
      <c r="BF786" s="122"/>
      <c r="BG786" s="122"/>
      <c r="BH786" s="122"/>
      <c r="BI786" s="122"/>
      <c r="BJ786" s="122"/>
    </row>
    <row r="787" spans="1:62">
      <c r="A787" s="122"/>
      <c r="B787" s="122"/>
      <c r="C787" s="122"/>
      <c r="D787" s="122"/>
      <c r="E787" s="122"/>
      <c r="F787" s="122"/>
      <c r="G787" s="122"/>
      <c r="H787" s="122"/>
      <c r="I787" s="122"/>
      <c r="J787" s="122"/>
      <c r="K787" s="122"/>
      <c r="L787" s="122"/>
      <c r="M787" s="122"/>
      <c r="N787" s="122"/>
      <c r="O787" s="122"/>
      <c r="P787" s="122"/>
      <c r="Q787" s="122"/>
      <c r="R787" s="122"/>
      <c r="S787" s="122"/>
      <c r="T787" s="122"/>
      <c r="U787" s="122"/>
      <c r="V787" s="122"/>
      <c r="W787" s="122"/>
      <c r="X787" s="122"/>
      <c r="Y787" s="122"/>
      <c r="Z787" s="122"/>
      <c r="AA787" s="122"/>
      <c r="AB787" s="122"/>
      <c r="AC787" s="122"/>
      <c r="AD787" s="122"/>
      <c r="AE787" s="122"/>
      <c r="AF787" s="122"/>
      <c r="AG787" s="122"/>
      <c r="AH787" s="122"/>
      <c r="AI787" s="122"/>
      <c r="AJ787" s="122"/>
      <c r="AK787" s="122"/>
      <c r="AL787" s="122"/>
      <c r="AM787" s="122"/>
      <c r="AN787" s="122"/>
      <c r="AO787" s="122"/>
      <c r="AP787" s="166"/>
      <c r="AQ787" s="122"/>
      <c r="AR787" s="167"/>
      <c r="AS787" s="122"/>
      <c r="AT787" s="122"/>
      <c r="AU787" s="122"/>
      <c r="AV787" s="122"/>
      <c r="AW787" s="122"/>
      <c r="AX787" s="122"/>
      <c r="AY787" s="122"/>
      <c r="AZ787" s="122"/>
      <c r="BA787" s="122"/>
      <c r="BB787" s="122"/>
      <c r="BC787" s="122"/>
      <c r="BD787" s="122"/>
      <c r="BE787" s="122"/>
      <c r="BF787" s="122"/>
      <c r="BG787" s="122"/>
      <c r="BH787" s="122"/>
      <c r="BI787" s="122"/>
      <c r="BJ787" s="122"/>
    </row>
    <row r="788" spans="1:62">
      <c r="A788" s="122"/>
      <c r="B788" s="122"/>
      <c r="C788" s="122"/>
      <c r="D788" s="122"/>
      <c r="E788" s="122"/>
      <c r="F788" s="122"/>
      <c r="G788" s="122"/>
      <c r="H788" s="122"/>
      <c r="I788" s="122"/>
      <c r="J788" s="122"/>
      <c r="K788" s="122"/>
      <c r="L788" s="122"/>
      <c r="M788" s="122"/>
      <c r="N788" s="122"/>
      <c r="O788" s="122"/>
      <c r="P788" s="122"/>
      <c r="Q788" s="122"/>
      <c r="R788" s="122"/>
      <c r="S788" s="122"/>
      <c r="T788" s="122"/>
      <c r="U788" s="122"/>
      <c r="V788" s="122"/>
      <c r="W788" s="122"/>
      <c r="X788" s="122"/>
      <c r="Y788" s="122"/>
      <c r="Z788" s="122"/>
      <c r="AA788" s="122"/>
      <c r="AB788" s="122"/>
      <c r="AC788" s="122"/>
      <c r="AD788" s="122"/>
      <c r="AE788" s="122"/>
      <c r="AF788" s="122"/>
      <c r="AG788" s="122"/>
      <c r="AH788" s="122"/>
      <c r="AI788" s="122"/>
      <c r="AJ788" s="122"/>
      <c r="AK788" s="122"/>
      <c r="AL788" s="122"/>
      <c r="AM788" s="122"/>
      <c r="AN788" s="122"/>
      <c r="AO788" s="122"/>
      <c r="AP788" s="166"/>
      <c r="AQ788" s="122"/>
      <c r="AR788" s="167"/>
      <c r="AS788" s="122"/>
      <c r="AT788" s="122"/>
      <c r="AU788" s="122"/>
      <c r="AV788" s="122"/>
      <c r="AW788" s="122"/>
      <c r="AX788" s="122"/>
      <c r="AY788" s="122"/>
      <c r="AZ788" s="122"/>
      <c r="BA788" s="122"/>
      <c r="BB788" s="122"/>
      <c r="BC788" s="122"/>
      <c r="BD788" s="122"/>
      <c r="BE788" s="122"/>
      <c r="BF788" s="122"/>
      <c r="BG788" s="122"/>
      <c r="BH788" s="122"/>
      <c r="BI788" s="122"/>
      <c r="BJ788" s="122"/>
    </row>
    <row r="789" spans="1:62">
      <c r="A789" s="122"/>
      <c r="B789" s="122"/>
      <c r="C789" s="122"/>
      <c r="D789" s="122"/>
      <c r="E789" s="122"/>
      <c r="F789" s="122"/>
      <c r="G789" s="122"/>
      <c r="H789" s="122"/>
      <c r="I789" s="122"/>
      <c r="J789" s="122"/>
      <c r="K789" s="122"/>
      <c r="L789" s="122"/>
      <c r="M789" s="122"/>
      <c r="N789" s="122"/>
      <c r="O789" s="122"/>
      <c r="P789" s="122"/>
      <c r="Q789" s="122"/>
      <c r="R789" s="122"/>
      <c r="S789" s="122"/>
      <c r="T789" s="122"/>
      <c r="U789" s="122"/>
      <c r="V789" s="122"/>
      <c r="W789" s="122"/>
      <c r="X789" s="122"/>
      <c r="Y789" s="122"/>
      <c r="Z789" s="122"/>
      <c r="AA789" s="122"/>
      <c r="AB789" s="122"/>
      <c r="AC789" s="122"/>
      <c r="AD789" s="122"/>
      <c r="AE789" s="122"/>
      <c r="AF789" s="122"/>
      <c r="AG789" s="122"/>
      <c r="AH789" s="122"/>
      <c r="AI789" s="122"/>
      <c r="AJ789" s="122"/>
      <c r="AK789" s="122"/>
      <c r="AL789" s="122"/>
      <c r="AM789" s="122"/>
      <c r="AN789" s="122"/>
      <c r="AO789" s="122"/>
      <c r="AP789" s="166"/>
      <c r="AQ789" s="122"/>
      <c r="AR789" s="167"/>
      <c r="AS789" s="122"/>
      <c r="AT789" s="122"/>
      <c r="AU789" s="122"/>
      <c r="AV789" s="122"/>
      <c r="AW789" s="122"/>
      <c r="AX789" s="122"/>
      <c r="AY789" s="122"/>
      <c r="AZ789" s="122"/>
      <c r="BA789" s="122"/>
      <c r="BB789" s="122"/>
      <c r="BC789" s="122"/>
      <c r="BD789" s="122"/>
      <c r="BE789" s="122"/>
      <c r="BF789" s="122"/>
      <c r="BG789" s="122"/>
      <c r="BH789" s="122"/>
      <c r="BI789" s="122"/>
      <c r="BJ789" s="122"/>
    </row>
    <row r="790" spans="1:62">
      <c r="A790" s="122"/>
      <c r="B790" s="122"/>
      <c r="C790" s="122"/>
      <c r="D790" s="122"/>
      <c r="E790" s="122"/>
      <c r="F790" s="122"/>
      <c r="G790" s="122"/>
      <c r="H790" s="122"/>
      <c r="I790" s="122"/>
      <c r="J790" s="122"/>
      <c r="K790" s="122"/>
      <c r="L790" s="122"/>
      <c r="M790" s="122"/>
      <c r="N790" s="122"/>
      <c r="O790" s="122"/>
      <c r="P790" s="122"/>
      <c r="Q790" s="122"/>
      <c r="R790" s="122"/>
      <c r="S790" s="122"/>
      <c r="T790" s="122"/>
      <c r="U790" s="122"/>
      <c r="V790" s="122"/>
      <c r="W790" s="122"/>
      <c r="X790" s="122"/>
      <c r="Y790" s="122"/>
      <c r="Z790" s="122"/>
      <c r="AA790" s="122"/>
      <c r="AB790" s="122"/>
      <c r="AC790" s="122"/>
      <c r="AD790" s="122"/>
      <c r="AE790" s="122"/>
      <c r="AF790" s="122"/>
      <c r="AG790" s="122"/>
      <c r="AH790" s="122"/>
      <c r="AI790" s="122"/>
      <c r="AJ790" s="122"/>
      <c r="AK790" s="122"/>
      <c r="AL790" s="122"/>
      <c r="AM790" s="122"/>
      <c r="AN790" s="122"/>
      <c r="AO790" s="122"/>
      <c r="AP790" s="166"/>
      <c r="AQ790" s="122"/>
      <c r="AR790" s="167"/>
      <c r="AS790" s="122"/>
      <c r="AT790" s="122"/>
      <c r="AU790" s="122"/>
      <c r="AV790" s="122"/>
      <c r="AW790" s="122"/>
      <c r="AX790" s="122"/>
      <c r="AY790" s="122"/>
      <c r="AZ790" s="122"/>
      <c r="BA790" s="122"/>
      <c r="BB790" s="122"/>
      <c r="BC790" s="122"/>
      <c r="BD790" s="122"/>
      <c r="BE790" s="122"/>
      <c r="BF790" s="122"/>
      <c r="BG790" s="122"/>
      <c r="BH790" s="122"/>
      <c r="BI790" s="122"/>
      <c r="BJ790" s="122"/>
    </row>
    <row r="791" spans="1:62">
      <c r="A791" s="122"/>
      <c r="B791" s="122"/>
      <c r="C791" s="122"/>
      <c r="D791" s="122"/>
      <c r="E791" s="122"/>
      <c r="F791" s="122"/>
      <c r="G791" s="122"/>
      <c r="H791" s="122"/>
      <c r="I791" s="122"/>
      <c r="J791" s="122"/>
      <c r="K791" s="122"/>
      <c r="L791" s="122"/>
      <c r="M791" s="122"/>
      <c r="N791" s="122"/>
      <c r="O791" s="122"/>
      <c r="P791" s="122"/>
      <c r="Q791" s="122"/>
      <c r="R791" s="122"/>
      <c r="S791" s="122"/>
      <c r="T791" s="122"/>
      <c r="U791" s="122"/>
      <c r="V791" s="122"/>
      <c r="W791" s="122"/>
      <c r="X791" s="122"/>
      <c r="Y791" s="122"/>
      <c r="Z791" s="122"/>
      <c r="AA791" s="122"/>
      <c r="AB791" s="122"/>
      <c r="AC791" s="122"/>
      <c r="AD791" s="122"/>
      <c r="AE791" s="122"/>
      <c r="AF791" s="122"/>
      <c r="AG791" s="122"/>
      <c r="AH791" s="122"/>
      <c r="AI791" s="122"/>
      <c r="AJ791" s="122"/>
      <c r="AK791" s="122"/>
      <c r="AL791" s="122"/>
      <c r="AM791" s="122"/>
      <c r="AN791" s="122"/>
      <c r="AO791" s="122"/>
      <c r="AP791" s="166"/>
      <c r="AQ791" s="122"/>
      <c r="AR791" s="167"/>
      <c r="AS791" s="122"/>
      <c r="AT791" s="122"/>
      <c r="AU791" s="122"/>
      <c r="AV791" s="122"/>
      <c r="AW791" s="122"/>
      <c r="AX791" s="122"/>
      <c r="AY791" s="122"/>
      <c r="AZ791" s="122"/>
      <c r="BA791" s="122"/>
      <c r="BB791" s="122"/>
      <c r="BC791" s="122"/>
      <c r="BD791" s="122"/>
      <c r="BE791" s="122"/>
      <c r="BF791" s="122"/>
      <c r="BG791" s="122"/>
      <c r="BH791" s="122"/>
      <c r="BI791" s="122"/>
      <c r="BJ791" s="122"/>
    </row>
    <row r="792" spans="1:62">
      <c r="A792" s="122"/>
      <c r="B792" s="122"/>
      <c r="C792" s="122"/>
      <c r="D792" s="122"/>
      <c r="E792" s="122"/>
      <c r="F792" s="122"/>
      <c r="G792" s="122"/>
      <c r="H792" s="122"/>
      <c r="I792" s="122"/>
      <c r="J792" s="122"/>
      <c r="K792" s="122"/>
      <c r="L792" s="122"/>
      <c r="M792" s="122"/>
      <c r="N792" s="122"/>
      <c r="O792" s="122"/>
      <c r="P792" s="122"/>
      <c r="Q792" s="122"/>
      <c r="R792" s="122"/>
      <c r="S792" s="122"/>
      <c r="T792" s="122"/>
      <c r="U792" s="122"/>
      <c r="V792" s="122"/>
      <c r="W792" s="122"/>
      <c r="X792" s="122"/>
      <c r="Y792" s="122"/>
      <c r="Z792" s="122"/>
      <c r="AA792" s="122"/>
      <c r="AB792" s="122"/>
      <c r="AC792" s="122"/>
      <c r="AD792" s="122"/>
      <c r="AE792" s="122"/>
      <c r="AF792" s="122"/>
      <c r="AG792" s="122"/>
      <c r="AH792" s="122"/>
      <c r="AI792" s="122"/>
      <c r="AJ792" s="122"/>
      <c r="AK792" s="122"/>
      <c r="AL792" s="122"/>
      <c r="AM792" s="122"/>
      <c r="AN792" s="122"/>
      <c r="AO792" s="122"/>
      <c r="AP792" s="166"/>
      <c r="AQ792" s="122"/>
      <c r="AR792" s="167"/>
      <c r="AS792" s="122"/>
      <c r="AT792" s="122"/>
      <c r="AU792" s="122"/>
      <c r="AV792" s="122"/>
      <c r="AW792" s="122"/>
      <c r="AX792" s="122"/>
      <c r="AY792" s="122"/>
      <c r="AZ792" s="122"/>
      <c r="BA792" s="122"/>
      <c r="BB792" s="122"/>
      <c r="BC792" s="122"/>
      <c r="BD792" s="122"/>
      <c r="BE792" s="122"/>
      <c r="BF792" s="122"/>
      <c r="BG792" s="122"/>
      <c r="BH792" s="122"/>
      <c r="BI792" s="122"/>
      <c r="BJ792" s="122"/>
    </row>
    <row r="793" spans="1:62">
      <c r="A793" s="122"/>
      <c r="B793" s="122"/>
      <c r="C793" s="122"/>
      <c r="D793" s="122"/>
      <c r="E793" s="122"/>
      <c r="F793" s="122"/>
      <c r="G793" s="122"/>
      <c r="H793" s="122"/>
      <c r="I793" s="122"/>
      <c r="J793" s="122"/>
      <c r="K793" s="122"/>
      <c r="L793" s="122"/>
      <c r="M793" s="122"/>
      <c r="N793" s="122"/>
      <c r="O793" s="122"/>
      <c r="P793" s="122"/>
      <c r="Q793" s="122"/>
      <c r="R793" s="122"/>
      <c r="S793" s="122"/>
      <c r="T793" s="122"/>
      <c r="U793" s="122"/>
      <c r="V793" s="122"/>
      <c r="W793" s="122"/>
      <c r="X793" s="122"/>
      <c r="Y793" s="122"/>
      <c r="Z793" s="122"/>
      <c r="AA793" s="122"/>
      <c r="AB793" s="122"/>
      <c r="AC793" s="122"/>
      <c r="AD793" s="122"/>
      <c r="AE793" s="122"/>
      <c r="AF793" s="122"/>
      <c r="AG793" s="122"/>
      <c r="AH793" s="122"/>
      <c r="AI793" s="122"/>
      <c r="AJ793" s="122"/>
      <c r="AK793" s="122"/>
      <c r="AL793" s="122"/>
      <c r="AM793" s="122"/>
      <c r="AN793" s="122"/>
      <c r="AO793" s="122"/>
      <c r="AP793" s="166"/>
      <c r="AQ793" s="122"/>
      <c r="AR793" s="167"/>
      <c r="AS793" s="122"/>
      <c r="AT793" s="122"/>
      <c r="AU793" s="122"/>
      <c r="AV793" s="122"/>
      <c r="AW793" s="122"/>
      <c r="AX793" s="122"/>
      <c r="AY793" s="122"/>
      <c r="AZ793" s="122"/>
      <c r="BA793" s="122"/>
      <c r="BB793" s="122"/>
      <c r="BC793" s="122"/>
      <c r="BD793" s="122"/>
      <c r="BE793" s="122"/>
      <c r="BF793" s="122"/>
      <c r="BG793" s="122"/>
      <c r="BH793" s="122"/>
      <c r="BI793" s="122"/>
      <c r="BJ793" s="122"/>
    </row>
    <row r="794" spans="1:62">
      <c r="A794" s="122"/>
      <c r="B794" s="122"/>
      <c r="C794" s="122"/>
      <c r="D794" s="122"/>
      <c r="E794" s="122"/>
      <c r="F794" s="122"/>
      <c r="G794" s="122"/>
      <c r="H794" s="122"/>
      <c r="I794" s="122"/>
      <c r="J794" s="122"/>
      <c r="K794" s="122"/>
      <c r="L794" s="122"/>
      <c r="M794" s="122"/>
      <c r="N794" s="122"/>
      <c r="O794" s="122"/>
      <c r="P794" s="122"/>
      <c r="Q794" s="122"/>
      <c r="R794" s="122"/>
      <c r="S794" s="122"/>
      <c r="T794" s="122"/>
      <c r="U794" s="122"/>
      <c r="V794" s="122"/>
      <c r="W794" s="122"/>
      <c r="X794" s="122"/>
      <c r="Y794" s="122"/>
      <c r="Z794" s="122"/>
      <c r="AA794" s="122"/>
      <c r="AB794" s="122"/>
      <c r="AC794" s="122"/>
      <c r="AD794" s="122"/>
      <c r="AE794" s="122"/>
      <c r="AF794" s="122"/>
      <c r="AG794" s="122"/>
      <c r="AH794" s="122"/>
      <c r="AI794" s="122"/>
      <c r="AJ794" s="122"/>
      <c r="AK794" s="122"/>
      <c r="AL794" s="122"/>
      <c r="AM794" s="122"/>
      <c r="AN794" s="122"/>
      <c r="AO794" s="122"/>
      <c r="AP794" s="166"/>
      <c r="AQ794" s="122"/>
      <c r="AR794" s="167"/>
      <c r="AS794" s="122"/>
      <c r="AT794" s="122"/>
      <c r="AU794" s="122"/>
      <c r="AV794" s="122"/>
      <c r="AW794" s="122"/>
      <c r="AX794" s="122"/>
      <c r="AY794" s="122"/>
      <c r="AZ794" s="122"/>
      <c r="BA794" s="122"/>
      <c r="BB794" s="122"/>
      <c r="BC794" s="122"/>
      <c r="BD794" s="122"/>
      <c r="BE794" s="122"/>
      <c r="BF794" s="122"/>
      <c r="BG794" s="122"/>
      <c r="BH794" s="122"/>
      <c r="BI794" s="122"/>
      <c r="BJ794" s="122"/>
    </row>
    <row r="795" spans="1:62">
      <c r="A795" s="122"/>
      <c r="B795" s="122"/>
      <c r="C795" s="122"/>
      <c r="D795" s="122"/>
      <c r="E795" s="122"/>
      <c r="F795" s="122"/>
      <c r="G795" s="122"/>
      <c r="H795" s="122"/>
      <c r="I795" s="122"/>
      <c r="J795" s="122"/>
      <c r="K795" s="122"/>
      <c r="L795" s="122"/>
      <c r="M795" s="122"/>
      <c r="N795" s="122"/>
      <c r="O795" s="122"/>
      <c r="P795" s="122"/>
      <c r="Q795" s="122"/>
      <c r="R795" s="122"/>
      <c r="S795" s="122"/>
      <c r="T795" s="122"/>
      <c r="U795" s="122"/>
      <c r="V795" s="122"/>
      <c r="W795" s="122"/>
      <c r="X795" s="122"/>
      <c r="Y795" s="122"/>
      <c r="Z795" s="122"/>
      <c r="AA795" s="122"/>
      <c r="AB795" s="122"/>
      <c r="AC795" s="122"/>
      <c r="AD795" s="122"/>
      <c r="AE795" s="122"/>
      <c r="AF795" s="122"/>
      <c r="AG795" s="122"/>
      <c r="AH795" s="122"/>
      <c r="AI795" s="122"/>
      <c r="AJ795" s="122"/>
      <c r="AK795" s="122"/>
      <c r="AL795" s="122"/>
      <c r="AM795" s="122"/>
      <c r="AN795" s="122"/>
      <c r="AO795" s="122"/>
      <c r="AP795" s="166"/>
      <c r="AQ795" s="122"/>
      <c r="AR795" s="167"/>
      <c r="AS795" s="122"/>
      <c r="AT795" s="122"/>
      <c r="AU795" s="122"/>
      <c r="AV795" s="122"/>
      <c r="AW795" s="122"/>
      <c r="AX795" s="122"/>
      <c r="AY795" s="122"/>
      <c r="AZ795" s="122"/>
      <c r="BA795" s="122"/>
      <c r="BB795" s="122"/>
      <c r="BC795" s="122"/>
      <c r="BD795" s="122"/>
      <c r="BE795" s="122"/>
      <c r="BF795" s="122"/>
      <c r="BG795" s="122"/>
      <c r="BH795" s="122"/>
      <c r="BI795" s="122"/>
      <c r="BJ795" s="122"/>
    </row>
    <row r="796" spans="1:62">
      <c r="A796" s="122"/>
      <c r="B796" s="122"/>
      <c r="C796" s="122"/>
      <c r="D796" s="122"/>
      <c r="E796" s="122"/>
      <c r="F796" s="122"/>
      <c r="G796" s="122"/>
      <c r="H796" s="122"/>
      <c r="I796" s="122"/>
      <c r="J796" s="122"/>
      <c r="K796" s="122"/>
      <c r="L796" s="122"/>
      <c r="M796" s="122"/>
      <c r="N796" s="122"/>
      <c r="O796" s="122"/>
      <c r="P796" s="122"/>
      <c r="Q796" s="122"/>
      <c r="R796" s="122"/>
      <c r="S796" s="122"/>
      <c r="T796" s="122"/>
      <c r="U796" s="122"/>
      <c r="V796" s="122"/>
      <c r="W796" s="122"/>
      <c r="X796" s="122"/>
      <c r="Y796" s="122"/>
      <c r="Z796" s="122"/>
      <c r="AA796" s="122"/>
      <c r="AB796" s="122"/>
      <c r="AC796" s="122"/>
      <c r="AD796" s="122"/>
      <c r="AE796" s="122"/>
      <c r="AF796" s="122"/>
      <c r="AG796" s="122"/>
      <c r="AH796" s="122"/>
      <c r="AI796" s="122"/>
      <c r="AJ796" s="122"/>
      <c r="AK796" s="122"/>
      <c r="AL796" s="122"/>
      <c r="AM796" s="122"/>
      <c r="AN796" s="122"/>
      <c r="AO796" s="122"/>
      <c r="AP796" s="166"/>
      <c r="AQ796" s="122"/>
      <c r="AR796" s="167"/>
      <c r="AS796" s="122"/>
      <c r="AT796" s="122"/>
      <c r="AU796" s="122"/>
      <c r="AV796" s="122"/>
      <c r="AW796" s="122"/>
      <c r="AX796" s="122"/>
      <c r="AY796" s="122"/>
      <c r="AZ796" s="122"/>
      <c r="BA796" s="122"/>
      <c r="BB796" s="122"/>
      <c r="BC796" s="122"/>
      <c r="BD796" s="122"/>
      <c r="BE796" s="122"/>
      <c r="BF796" s="122"/>
      <c r="BG796" s="122"/>
      <c r="BH796" s="122"/>
      <c r="BI796" s="122"/>
      <c r="BJ796" s="122"/>
    </row>
    <row r="797" spans="1:62">
      <c r="A797" s="122"/>
      <c r="B797" s="122"/>
      <c r="C797" s="122"/>
      <c r="D797" s="122"/>
      <c r="E797" s="122"/>
      <c r="F797" s="122"/>
      <c r="G797" s="122"/>
      <c r="H797" s="122"/>
      <c r="I797" s="122"/>
      <c r="J797" s="122"/>
      <c r="K797" s="122"/>
      <c r="L797" s="122"/>
      <c r="M797" s="122"/>
      <c r="N797" s="122"/>
      <c r="O797" s="122"/>
      <c r="P797" s="122"/>
      <c r="Q797" s="122"/>
      <c r="R797" s="122"/>
      <c r="S797" s="122"/>
      <c r="T797" s="122"/>
      <c r="U797" s="122"/>
      <c r="V797" s="122"/>
      <c r="W797" s="122"/>
      <c r="X797" s="122"/>
      <c r="Y797" s="122"/>
      <c r="Z797" s="122"/>
      <c r="AA797" s="122"/>
      <c r="AB797" s="122"/>
      <c r="AC797" s="122"/>
      <c r="AD797" s="122"/>
      <c r="AE797" s="122"/>
      <c r="AF797" s="122"/>
      <c r="AG797" s="122"/>
      <c r="AH797" s="122"/>
      <c r="AI797" s="122"/>
      <c r="AJ797" s="122"/>
      <c r="AK797" s="122"/>
      <c r="AL797" s="122"/>
      <c r="AM797" s="122"/>
      <c r="AN797" s="122"/>
      <c r="AO797" s="122"/>
      <c r="AP797" s="166"/>
      <c r="AQ797" s="122"/>
      <c r="AR797" s="167"/>
      <c r="AS797" s="122"/>
      <c r="AT797" s="122"/>
      <c r="AU797" s="122"/>
      <c r="AV797" s="122"/>
      <c r="AW797" s="122"/>
      <c r="AX797" s="122"/>
      <c r="AY797" s="122"/>
      <c r="AZ797" s="122"/>
      <c r="BA797" s="122"/>
      <c r="BB797" s="122"/>
      <c r="BC797" s="122"/>
      <c r="BD797" s="122"/>
      <c r="BE797" s="122"/>
      <c r="BF797" s="122"/>
      <c r="BG797" s="122"/>
      <c r="BH797" s="122"/>
      <c r="BI797" s="122"/>
      <c r="BJ797" s="122"/>
    </row>
    <row r="798" spans="1:62">
      <c r="A798" s="122"/>
      <c r="B798" s="122"/>
      <c r="C798" s="122"/>
      <c r="D798" s="122"/>
      <c r="E798" s="122"/>
      <c r="F798" s="122"/>
      <c r="G798" s="122"/>
      <c r="H798" s="122"/>
      <c r="I798" s="122"/>
      <c r="J798" s="122"/>
      <c r="K798" s="122"/>
      <c r="L798" s="122"/>
      <c r="M798" s="122"/>
      <c r="N798" s="122"/>
      <c r="O798" s="122"/>
      <c r="P798" s="122"/>
      <c r="Q798" s="122"/>
      <c r="R798" s="122"/>
      <c r="S798" s="122"/>
      <c r="T798" s="122"/>
      <c r="U798" s="122"/>
      <c r="V798" s="122"/>
      <c r="W798" s="122"/>
      <c r="X798" s="122"/>
      <c r="Y798" s="122"/>
      <c r="Z798" s="122"/>
      <c r="AA798" s="122"/>
      <c r="AB798" s="122"/>
      <c r="AC798" s="122"/>
      <c r="AD798" s="122"/>
      <c r="AE798" s="122"/>
      <c r="AF798" s="122"/>
      <c r="AG798" s="122"/>
      <c r="AH798" s="122"/>
      <c r="AI798" s="122"/>
      <c r="AJ798" s="122"/>
      <c r="AK798" s="122"/>
      <c r="AL798" s="122"/>
      <c r="AM798" s="122"/>
      <c r="AN798" s="122"/>
      <c r="AO798" s="122"/>
      <c r="AP798" s="166"/>
      <c r="AQ798" s="122"/>
      <c r="AR798" s="167"/>
      <c r="AS798" s="122"/>
      <c r="AT798" s="122"/>
      <c r="AU798" s="122"/>
      <c r="AV798" s="122"/>
      <c r="AW798" s="122"/>
      <c r="AX798" s="122"/>
      <c r="AY798" s="122"/>
      <c r="AZ798" s="122"/>
      <c r="BA798" s="122"/>
      <c r="BB798" s="122"/>
      <c r="BC798" s="122"/>
      <c r="BD798" s="122"/>
      <c r="BE798" s="122"/>
      <c r="BF798" s="122"/>
      <c r="BG798" s="122"/>
      <c r="BH798" s="122"/>
      <c r="BI798" s="122"/>
      <c r="BJ798" s="122"/>
    </row>
    <row r="799" spans="1:62">
      <c r="A799" s="122"/>
      <c r="B799" s="122"/>
      <c r="C799" s="122"/>
      <c r="D799" s="122"/>
      <c r="E799" s="122"/>
      <c r="F799" s="122"/>
      <c r="G799" s="122"/>
      <c r="H799" s="122"/>
      <c r="I799" s="122"/>
      <c r="J799" s="122"/>
      <c r="K799" s="122"/>
      <c r="L799" s="122"/>
      <c r="M799" s="122"/>
      <c r="N799" s="122"/>
      <c r="O799" s="122"/>
      <c r="P799" s="122"/>
      <c r="Q799" s="122"/>
      <c r="R799" s="122"/>
      <c r="S799" s="122"/>
      <c r="T799" s="122"/>
      <c r="U799" s="122"/>
      <c r="V799" s="122"/>
      <c r="W799" s="122"/>
      <c r="X799" s="122"/>
      <c r="Y799" s="122"/>
      <c r="Z799" s="122"/>
      <c r="AA799" s="122"/>
      <c r="AB799" s="122"/>
      <c r="AC799" s="122"/>
      <c r="AD799" s="122"/>
      <c r="AE799" s="122"/>
      <c r="AF799" s="122"/>
      <c r="AG799" s="122"/>
      <c r="AH799" s="122"/>
      <c r="AI799" s="122"/>
      <c r="AJ799" s="122"/>
      <c r="AK799" s="122"/>
      <c r="AL799" s="122"/>
      <c r="AM799" s="122"/>
      <c r="AN799" s="122"/>
      <c r="AO799" s="122"/>
      <c r="AP799" s="166"/>
      <c r="AQ799" s="122"/>
      <c r="AR799" s="167"/>
      <c r="AS799" s="122"/>
      <c r="AT799" s="122"/>
      <c r="AU799" s="122"/>
      <c r="AV799" s="122"/>
      <c r="AW799" s="122"/>
      <c r="AX799" s="122"/>
      <c r="AY799" s="122"/>
      <c r="AZ799" s="122"/>
      <c r="BA799" s="122"/>
      <c r="BB799" s="122"/>
      <c r="BC799" s="122"/>
      <c r="BD799" s="122"/>
      <c r="BE799" s="122"/>
      <c r="BF799" s="122"/>
      <c r="BG799" s="122"/>
      <c r="BH799" s="122"/>
      <c r="BI799" s="122"/>
      <c r="BJ799" s="122"/>
    </row>
    <row r="800" spans="1:62">
      <c r="A800" s="122"/>
      <c r="B800" s="122"/>
      <c r="C800" s="122"/>
      <c r="D800" s="122"/>
      <c r="E800" s="122"/>
      <c r="F800" s="122"/>
      <c r="G800" s="122"/>
      <c r="H800" s="122"/>
      <c r="I800" s="122"/>
      <c r="J800" s="122"/>
      <c r="K800" s="122"/>
      <c r="L800" s="122"/>
      <c r="M800" s="122"/>
      <c r="N800" s="122"/>
      <c r="O800" s="122"/>
      <c r="P800" s="122"/>
      <c r="Q800" s="122"/>
      <c r="R800" s="122"/>
      <c r="S800" s="122"/>
      <c r="T800" s="122"/>
      <c r="U800" s="122"/>
      <c r="V800" s="122"/>
      <c r="W800" s="122"/>
      <c r="X800" s="122"/>
      <c r="Y800" s="122"/>
      <c r="Z800" s="122"/>
      <c r="AA800" s="122"/>
      <c r="AB800" s="122"/>
      <c r="AC800" s="122"/>
      <c r="AD800" s="122"/>
      <c r="AE800" s="122"/>
      <c r="AF800" s="122"/>
      <c r="AG800" s="122"/>
      <c r="AH800" s="122"/>
      <c r="AI800" s="122"/>
      <c r="AJ800" s="122"/>
      <c r="AK800" s="122"/>
      <c r="AL800" s="122"/>
      <c r="AM800" s="122"/>
      <c r="AN800" s="122"/>
      <c r="AO800" s="122"/>
      <c r="AP800" s="166"/>
      <c r="AQ800" s="122"/>
      <c r="AR800" s="167"/>
      <c r="AS800" s="122"/>
      <c r="AT800" s="122"/>
      <c r="AU800" s="122"/>
      <c r="AV800" s="122"/>
      <c r="AW800" s="122"/>
      <c r="AX800" s="122"/>
      <c r="AY800" s="122"/>
      <c r="AZ800" s="122"/>
      <c r="BA800" s="122"/>
      <c r="BB800" s="122"/>
      <c r="BC800" s="122"/>
      <c r="BD800" s="122"/>
      <c r="BE800" s="122"/>
      <c r="BF800" s="122"/>
      <c r="BG800" s="122"/>
      <c r="BH800" s="122"/>
      <c r="BI800" s="122"/>
      <c r="BJ800" s="122"/>
    </row>
    <row r="801" spans="1:62">
      <c r="A801" s="122"/>
      <c r="B801" s="122"/>
      <c r="C801" s="122"/>
      <c r="D801" s="122"/>
      <c r="E801" s="122"/>
      <c r="F801" s="122"/>
      <c r="G801" s="122"/>
      <c r="H801" s="122"/>
      <c r="I801" s="122"/>
      <c r="J801" s="122"/>
      <c r="K801" s="122"/>
      <c r="L801" s="122"/>
      <c r="M801" s="122"/>
      <c r="N801" s="122"/>
      <c r="O801" s="122"/>
      <c r="P801" s="122"/>
      <c r="Q801" s="122"/>
      <c r="R801" s="122"/>
      <c r="S801" s="122"/>
      <c r="T801" s="122"/>
      <c r="U801" s="122"/>
      <c r="V801" s="122"/>
      <c r="W801" s="122"/>
      <c r="X801" s="122"/>
      <c r="Y801" s="122"/>
      <c r="Z801" s="122"/>
      <c r="AA801" s="122"/>
      <c r="AB801" s="122"/>
      <c r="AC801" s="122"/>
      <c r="AD801" s="122"/>
      <c r="AE801" s="122"/>
      <c r="AF801" s="122"/>
      <c r="AG801" s="122"/>
      <c r="AH801" s="122"/>
      <c r="AI801" s="122"/>
      <c r="AJ801" s="122"/>
      <c r="AK801" s="122"/>
      <c r="AL801" s="122"/>
      <c r="AM801" s="122"/>
      <c r="AN801" s="122"/>
      <c r="AO801" s="122"/>
      <c r="AP801" s="166"/>
      <c r="AQ801" s="122"/>
      <c r="AR801" s="167"/>
      <c r="AS801" s="122"/>
      <c r="AT801" s="122"/>
      <c r="AU801" s="122"/>
      <c r="AV801" s="122"/>
      <c r="AW801" s="122"/>
      <c r="AX801" s="122"/>
      <c r="AY801" s="122"/>
      <c r="AZ801" s="122"/>
      <c r="BA801" s="122"/>
      <c r="BB801" s="122"/>
      <c r="BC801" s="122"/>
      <c r="BD801" s="122"/>
      <c r="BE801" s="122"/>
      <c r="BF801" s="122"/>
      <c r="BG801" s="122"/>
      <c r="BH801" s="122"/>
      <c r="BI801" s="122"/>
      <c r="BJ801" s="122"/>
    </row>
    <row r="802" spans="1:62">
      <c r="A802" s="122"/>
      <c r="B802" s="122"/>
      <c r="C802" s="122"/>
      <c r="D802" s="122"/>
      <c r="E802" s="122"/>
      <c r="F802" s="122"/>
      <c r="G802" s="122"/>
      <c r="H802" s="122"/>
      <c r="I802" s="122"/>
      <c r="J802" s="122"/>
      <c r="K802" s="122"/>
      <c r="L802" s="122"/>
      <c r="M802" s="122"/>
      <c r="N802" s="122"/>
      <c r="O802" s="122"/>
      <c r="P802" s="122"/>
      <c r="Q802" s="122"/>
      <c r="R802" s="122"/>
      <c r="S802" s="122"/>
      <c r="T802" s="122"/>
      <c r="U802" s="122"/>
      <c r="V802" s="122"/>
      <c r="W802" s="122"/>
      <c r="X802" s="122"/>
      <c r="Y802" s="122"/>
      <c r="Z802" s="122"/>
      <c r="AA802" s="122"/>
      <c r="AB802" s="122"/>
      <c r="AC802" s="122"/>
      <c r="AD802" s="122"/>
      <c r="AE802" s="122"/>
      <c r="AF802" s="122"/>
      <c r="AG802" s="122"/>
      <c r="AH802" s="122"/>
      <c r="AI802" s="122"/>
      <c r="AJ802" s="122"/>
      <c r="AK802" s="122"/>
      <c r="AL802" s="122"/>
      <c r="AM802" s="122"/>
      <c r="AN802" s="122"/>
      <c r="AO802" s="122"/>
      <c r="AP802" s="166"/>
      <c r="AQ802" s="122"/>
      <c r="AR802" s="167"/>
      <c r="AS802" s="122"/>
      <c r="AT802" s="122"/>
      <c r="AU802" s="122"/>
      <c r="AV802" s="122"/>
      <c r="AW802" s="122"/>
      <c r="AX802" s="122"/>
      <c r="AY802" s="122"/>
      <c r="AZ802" s="122"/>
      <c r="BA802" s="122"/>
      <c r="BB802" s="122"/>
      <c r="BC802" s="122"/>
      <c r="BD802" s="122"/>
      <c r="BE802" s="122"/>
      <c r="BF802" s="122"/>
      <c r="BG802" s="122"/>
      <c r="BH802" s="122"/>
      <c r="BI802" s="122"/>
      <c r="BJ802" s="122"/>
    </row>
    <row r="803" spans="1:62">
      <c r="A803" s="122"/>
      <c r="B803" s="122"/>
      <c r="C803" s="122"/>
      <c r="D803" s="122"/>
      <c r="E803" s="122"/>
      <c r="F803" s="122"/>
      <c r="G803" s="122"/>
      <c r="H803" s="122"/>
      <c r="I803" s="122"/>
      <c r="J803" s="122"/>
      <c r="K803" s="122"/>
      <c r="L803" s="122"/>
      <c r="M803" s="122"/>
      <c r="N803" s="122"/>
      <c r="O803" s="122"/>
      <c r="P803" s="122"/>
      <c r="Q803" s="122"/>
      <c r="R803" s="122"/>
      <c r="S803" s="122"/>
      <c r="T803" s="122"/>
      <c r="U803" s="122"/>
      <c r="V803" s="122"/>
      <c r="W803" s="122"/>
      <c r="X803" s="122"/>
      <c r="Y803" s="122"/>
      <c r="Z803" s="122"/>
      <c r="AA803" s="122"/>
      <c r="AB803" s="122"/>
      <c r="AC803" s="122"/>
      <c r="AD803" s="122"/>
      <c r="AE803" s="122"/>
      <c r="AF803" s="122"/>
      <c r="AG803" s="122"/>
      <c r="AH803" s="122"/>
      <c r="AI803" s="122"/>
      <c r="AJ803" s="122"/>
      <c r="AK803" s="122"/>
      <c r="AL803" s="122"/>
      <c r="AM803" s="122"/>
      <c r="AN803" s="122"/>
      <c r="AO803" s="122"/>
      <c r="AP803" s="166"/>
      <c r="AQ803" s="122"/>
      <c r="AR803" s="167"/>
      <c r="AS803" s="122"/>
      <c r="AT803" s="122"/>
      <c r="AU803" s="122"/>
      <c r="AV803" s="122"/>
      <c r="AW803" s="122"/>
      <c r="AX803" s="122"/>
      <c r="AY803" s="122"/>
      <c r="AZ803" s="122"/>
      <c r="BA803" s="122"/>
      <c r="BB803" s="122"/>
      <c r="BC803" s="122"/>
      <c r="BD803" s="122"/>
      <c r="BE803" s="122"/>
      <c r="BF803" s="122"/>
      <c r="BG803" s="122"/>
      <c r="BH803" s="122"/>
      <c r="BI803" s="122"/>
      <c r="BJ803" s="122"/>
    </row>
    <row r="804" spans="1:62">
      <c r="A804" s="122"/>
      <c r="B804" s="122"/>
      <c r="C804" s="122"/>
      <c r="D804" s="122"/>
      <c r="E804" s="122"/>
      <c r="F804" s="122"/>
      <c r="G804" s="122"/>
      <c r="H804" s="122"/>
      <c r="I804" s="122"/>
      <c r="J804" s="122"/>
      <c r="K804" s="122"/>
      <c r="L804" s="122"/>
      <c r="M804" s="122"/>
      <c r="N804" s="122"/>
      <c r="O804" s="122"/>
      <c r="P804" s="122"/>
      <c r="Q804" s="122"/>
      <c r="R804" s="122"/>
      <c r="S804" s="122"/>
      <c r="T804" s="122"/>
      <c r="U804" s="122"/>
      <c r="V804" s="122"/>
      <c r="W804" s="122"/>
      <c r="X804" s="122"/>
      <c r="Y804" s="122"/>
      <c r="Z804" s="122"/>
      <c r="AA804" s="122"/>
      <c r="AB804" s="122"/>
      <c r="AC804" s="122"/>
      <c r="AD804" s="122"/>
      <c r="AE804" s="122"/>
      <c r="AF804" s="122"/>
      <c r="AG804" s="122"/>
      <c r="AH804" s="122"/>
      <c r="AI804" s="122"/>
      <c r="AJ804" s="122"/>
      <c r="AK804" s="122"/>
      <c r="AL804" s="122"/>
      <c r="AM804" s="122"/>
      <c r="AN804" s="122"/>
      <c r="AO804" s="122"/>
      <c r="AP804" s="166"/>
      <c r="AQ804" s="122"/>
      <c r="AR804" s="167"/>
      <c r="AS804" s="122"/>
      <c r="AT804" s="122"/>
      <c r="AU804" s="122"/>
      <c r="AV804" s="122"/>
      <c r="AW804" s="122"/>
      <c r="AX804" s="122"/>
      <c r="AY804" s="122"/>
      <c r="AZ804" s="122"/>
      <c r="BA804" s="122"/>
      <c r="BB804" s="122"/>
      <c r="BC804" s="122"/>
      <c r="BD804" s="122"/>
      <c r="BE804" s="122"/>
      <c r="BF804" s="122"/>
      <c r="BG804" s="122"/>
      <c r="BH804" s="122"/>
      <c r="BI804" s="122"/>
      <c r="BJ804" s="122"/>
    </row>
    <row r="805" spans="1:62">
      <c r="A805" s="122"/>
      <c r="B805" s="122"/>
      <c r="C805" s="122"/>
      <c r="D805" s="122"/>
      <c r="E805" s="122"/>
      <c r="F805" s="122"/>
      <c r="G805" s="122"/>
      <c r="H805" s="122"/>
      <c r="I805" s="122"/>
      <c r="J805" s="122"/>
      <c r="K805" s="122"/>
      <c r="L805" s="122"/>
      <c r="M805" s="122"/>
      <c r="N805" s="122"/>
      <c r="O805" s="122"/>
      <c r="P805" s="122"/>
      <c r="Q805" s="122"/>
      <c r="R805" s="122"/>
      <c r="S805" s="122"/>
      <c r="T805" s="122"/>
      <c r="U805" s="122"/>
      <c r="V805" s="122"/>
      <c r="W805" s="122"/>
      <c r="X805" s="122"/>
      <c r="Y805" s="122"/>
      <c r="Z805" s="122"/>
      <c r="AA805" s="122"/>
      <c r="AB805" s="122"/>
      <c r="AC805" s="122"/>
      <c r="AD805" s="122"/>
      <c r="AE805" s="122"/>
      <c r="AF805" s="122"/>
      <c r="AG805" s="122"/>
      <c r="AH805" s="122"/>
      <c r="AI805" s="122"/>
      <c r="AJ805" s="122"/>
      <c r="AK805" s="122"/>
      <c r="AL805" s="122"/>
      <c r="AM805" s="122"/>
      <c r="AN805" s="122"/>
      <c r="AO805" s="122"/>
      <c r="AP805" s="166"/>
      <c r="AQ805" s="122"/>
      <c r="AR805" s="167"/>
      <c r="AS805" s="122"/>
      <c r="AT805" s="122"/>
      <c r="AU805" s="122"/>
      <c r="AV805" s="122"/>
      <c r="AW805" s="122"/>
      <c r="AX805" s="122"/>
      <c r="AY805" s="122"/>
      <c r="AZ805" s="122"/>
      <c r="BA805" s="122"/>
      <c r="BB805" s="122"/>
      <c r="BC805" s="122"/>
      <c r="BD805" s="122"/>
      <c r="BE805" s="122"/>
      <c r="BF805" s="122"/>
      <c r="BG805" s="122"/>
      <c r="BH805" s="122"/>
      <c r="BI805" s="122"/>
      <c r="BJ805" s="122"/>
    </row>
    <row r="806" spans="1:62">
      <c r="A806" s="122"/>
      <c r="B806" s="122"/>
      <c r="C806" s="122"/>
      <c r="D806" s="122"/>
      <c r="E806" s="122"/>
      <c r="F806" s="122"/>
      <c r="G806" s="122"/>
      <c r="H806" s="122"/>
      <c r="I806" s="122"/>
      <c r="J806" s="122"/>
      <c r="K806" s="122"/>
      <c r="L806" s="122"/>
      <c r="M806" s="122"/>
      <c r="N806" s="122"/>
      <c r="O806" s="122"/>
      <c r="P806" s="122"/>
      <c r="Q806" s="122"/>
      <c r="R806" s="122"/>
      <c r="S806" s="122"/>
      <c r="T806" s="122"/>
      <c r="U806" s="122"/>
      <c r="V806" s="122"/>
      <c r="W806" s="122"/>
      <c r="X806" s="122"/>
      <c r="Y806" s="122"/>
      <c r="Z806" s="122"/>
      <c r="AA806" s="122"/>
      <c r="AB806" s="122"/>
      <c r="AC806" s="122"/>
      <c r="AD806" s="122"/>
      <c r="AE806" s="122"/>
      <c r="AF806" s="122"/>
      <c r="AG806" s="122"/>
      <c r="AH806" s="122"/>
      <c r="AI806" s="122"/>
      <c r="AJ806" s="122"/>
      <c r="AK806" s="122"/>
      <c r="AL806" s="122"/>
      <c r="AM806" s="122"/>
      <c r="AN806" s="122"/>
      <c r="AO806" s="122"/>
      <c r="AP806" s="166"/>
      <c r="AQ806" s="122"/>
      <c r="AR806" s="167"/>
      <c r="AS806" s="122"/>
      <c r="AT806" s="122"/>
      <c r="AU806" s="122"/>
      <c r="AV806" s="122"/>
      <c r="AW806" s="122"/>
      <c r="AX806" s="122"/>
      <c r="AY806" s="122"/>
      <c r="AZ806" s="122"/>
      <c r="BA806" s="122"/>
      <c r="BB806" s="122"/>
      <c r="BC806" s="122"/>
      <c r="BD806" s="122"/>
      <c r="BE806" s="122"/>
      <c r="BF806" s="122"/>
      <c r="BG806" s="122"/>
      <c r="BH806" s="122"/>
      <c r="BI806" s="122"/>
      <c r="BJ806" s="122"/>
    </row>
    <row r="807" spans="1:62">
      <c r="A807" s="122"/>
      <c r="B807" s="122"/>
      <c r="C807" s="122"/>
      <c r="D807" s="122"/>
      <c r="E807" s="122"/>
      <c r="F807" s="122"/>
      <c r="G807" s="122"/>
      <c r="H807" s="122"/>
      <c r="I807" s="122"/>
      <c r="J807" s="122"/>
      <c r="K807" s="122"/>
      <c r="L807" s="122"/>
      <c r="M807" s="122"/>
      <c r="N807" s="122"/>
      <c r="O807" s="122"/>
      <c r="P807" s="122"/>
      <c r="Q807" s="122"/>
      <c r="R807" s="122"/>
      <c r="S807" s="122"/>
      <c r="T807" s="122"/>
      <c r="U807" s="122"/>
      <c r="V807" s="122"/>
      <c r="W807" s="122"/>
      <c r="X807" s="122"/>
      <c r="Y807" s="122"/>
      <c r="Z807" s="122"/>
      <c r="AA807" s="122"/>
      <c r="AB807" s="122"/>
      <c r="AC807" s="122"/>
      <c r="AD807" s="122"/>
      <c r="AE807" s="122"/>
      <c r="AF807" s="122"/>
      <c r="AG807" s="122"/>
      <c r="AH807" s="122"/>
      <c r="AI807" s="122"/>
      <c r="AJ807" s="122"/>
      <c r="AK807" s="122"/>
      <c r="AL807" s="122"/>
      <c r="AM807" s="122"/>
      <c r="AN807" s="122"/>
      <c r="AO807" s="122"/>
      <c r="AP807" s="166"/>
      <c r="AQ807" s="122"/>
      <c r="AR807" s="167"/>
      <c r="AS807" s="122"/>
      <c r="AT807" s="122"/>
      <c r="AU807" s="122"/>
      <c r="AV807" s="122"/>
      <c r="AW807" s="122"/>
      <c r="AX807" s="122"/>
      <c r="AY807" s="122"/>
      <c r="AZ807" s="122"/>
      <c r="BA807" s="122"/>
      <c r="BB807" s="122"/>
      <c r="BC807" s="122"/>
      <c r="BD807" s="122"/>
      <c r="BE807" s="122"/>
      <c r="BF807" s="122"/>
      <c r="BG807" s="122"/>
      <c r="BH807" s="122"/>
      <c r="BI807" s="122"/>
      <c r="BJ807" s="122"/>
    </row>
    <row r="808" spans="1:62">
      <c r="A808" s="122"/>
      <c r="B808" s="122"/>
      <c r="C808" s="122"/>
      <c r="D808" s="122"/>
      <c r="E808" s="122"/>
      <c r="F808" s="122"/>
      <c r="G808" s="122"/>
      <c r="H808" s="122"/>
      <c r="I808" s="122"/>
      <c r="J808" s="122"/>
      <c r="K808" s="122"/>
      <c r="L808" s="122"/>
      <c r="M808" s="122"/>
      <c r="N808" s="122"/>
      <c r="O808" s="122"/>
      <c r="P808" s="122"/>
      <c r="Q808" s="122"/>
      <c r="R808" s="122"/>
      <c r="S808" s="122"/>
      <c r="T808" s="122"/>
      <c r="U808" s="122"/>
      <c r="V808" s="122"/>
      <c r="W808" s="122"/>
      <c r="X808" s="122"/>
      <c r="Y808" s="122"/>
      <c r="Z808" s="122"/>
      <c r="AA808" s="122"/>
      <c r="AB808" s="122"/>
      <c r="AC808" s="122"/>
      <c r="AD808" s="122"/>
      <c r="AE808" s="122"/>
      <c r="AF808" s="122"/>
      <c r="AG808" s="122"/>
      <c r="AH808" s="122"/>
      <c r="AI808" s="122"/>
      <c r="AJ808" s="122"/>
      <c r="AK808" s="122"/>
      <c r="AL808" s="122"/>
      <c r="AM808" s="122"/>
      <c r="AN808" s="122"/>
      <c r="AO808" s="122"/>
      <c r="AP808" s="166"/>
      <c r="AQ808" s="122"/>
      <c r="AR808" s="167"/>
      <c r="AS808" s="122"/>
      <c r="AT808" s="122"/>
      <c r="AU808" s="122"/>
      <c r="AV808" s="122"/>
      <c r="AW808" s="122"/>
      <c r="AX808" s="122"/>
      <c r="AY808" s="122"/>
      <c r="AZ808" s="122"/>
      <c r="BA808" s="122"/>
      <c r="BB808" s="122"/>
      <c r="BC808" s="122"/>
      <c r="BD808" s="122"/>
      <c r="BE808" s="122"/>
      <c r="BF808" s="122"/>
      <c r="BG808" s="122"/>
      <c r="BH808" s="122"/>
      <c r="BI808" s="122"/>
      <c r="BJ808" s="122"/>
    </row>
    <row r="809" spans="1:62">
      <c r="A809" s="122"/>
      <c r="B809" s="122"/>
      <c r="C809" s="122"/>
      <c r="D809" s="122"/>
      <c r="E809" s="122"/>
      <c r="F809" s="122"/>
      <c r="G809" s="122"/>
      <c r="H809" s="122"/>
      <c r="I809" s="122"/>
      <c r="J809" s="122"/>
      <c r="K809" s="122"/>
      <c r="L809" s="122"/>
      <c r="M809" s="122"/>
      <c r="N809" s="122"/>
      <c r="O809" s="122"/>
      <c r="P809" s="122"/>
      <c r="Q809" s="122"/>
      <c r="R809" s="122"/>
      <c r="S809" s="122"/>
      <c r="T809" s="122"/>
      <c r="U809" s="122"/>
      <c r="V809" s="122"/>
      <c r="W809" s="122"/>
      <c r="X809" s="122"/>
      <c r="Y809" s="122"/>
      <c r="Z809" s="122"/>
      <c r="AA809" s="122"/>
      <c r="AB809" s="122"/>
      <c r="AC809" s="122"/>
      <c r="AD809" s="122"/>
      <c r="AE809" s="122"/>
      <c r="AF809" s="122"/>
      <c r="AG809" s="122"/>
      <c r="AH809" s="122"/>
      <c r="AI809" s="122"/>
      <c r="AJ809" s="122"/>
      <c r="AK809" s="122"/>
      <c r="AL809" s="122"/>
      <c r="AM809" s="122"/>
      <c r="AN809" s="122"/>
      <c r="AO809" s="122"/>
      <c r="AP809" s="166"/>
      <c r="AQ809" s="122"/>
      <c r="AR809" s="167"/>
      <c r="AS809" s="122"/>
      <c r="AT809" s="122"/>
      <c r="AU809" s="122"/>
      <c r="AV809" s="122"/>
      <c r="AW809" s="122"/>
      <c r="AX809" s="122"/>
      <c r="AY809" s="122"/>
      <c r="AZ809" s="122"/>
      <c r="BA809" s="122"/>
      <c r="BB809" s="122"/>
      <c r="BC809" s="122"/>
      <c r="BD809" s="122"/>
      <c r="BE809" s="122"/>
      <c r="BF809" s="122"/>
      <c r="BG809" s="122"/>
      <c r="BH809" s="122"/>
      <c r="BI809" s="122"/>
      <c r="BJ809" s="122"/>
    </row>
    <row r="810" spans="1:62">
      <c r="A810" s="122"/>
      <c r="B810" s="122"/>
      <c r="C810" s="122"/>
      <c r="D810" s="122"/>
      <c r="E810" s="122"/>
      <c r="F810" s="122"/>
      <c r="G810" s="122"/>
      <c r="H810" s="122"/>
      <c r="I810" s="122"/>
      <c r="J810" s="122"/>
      <c r="K810" s="122"/>
      <c r="L810" s="122"/>
      <c r="M810" s="122"/>
      <c r="N810" s="122"/>
      <c r="O810" s="122"/>
      <c r="P810" s="122"/>
      <c r="Q810" s="122"/>
      <c r="R810" s="122"/>
      <c r="S810" s="122"/>
      <c r="T810" s="122"/>
      <c r="U810" s="122"/>
      <c r="V810" s="122"/>
      <c r="W810" s="122"/>
      <c r="X810" s="122"/>
      <c r="Y810" s="122"/>
      <c r="Z810" s="122"/>
      <c r="AA810" s="122"/>
      <c r="AB810" s="122"/>
      <c r="AC810" s="122"/>
      <c r="AD810" s="122"/>
      <c r="AE810" s="122"/>
      <c r="AF810" s="122"/>
      <c r="AG810" s="122"/>
      <c r="AH810" s="122"/>
      <c r="AI810" s="122"/>
      <c r="AJ810" s="122"/>
      <c r="AK810" s="122"/>
      <c r="AL810" s="122"/>
      <c r="AM810" s="122"/>
      <c r="AN810" s="122"/>
      <c r="AO810" s="122"/>
      <c r="AP810" s="166"/>
      <c r="AQ810" s="122"/>
      <c r="AR810" s="167"/>
      <c r="AS810" s="122"/>
      <c r="AT810" s="122"/>
      <c r="AU810" s="122"/>
      <c r="AV810" s="122"/>
      <c r="AW810" s="122"/>
      <c r="AX810" s="122"/>
      <c r="AY810" s="122"/>
      <c r="AZ810" s="122"/>
      <c r="BA810" s="122"/>
      <c r="BB810" s="122"/>
      <c r="BC810" s="122"/>
      <c r="BD810" s="122"/>
      <c r="BE810" s="122"/>
      <c r="BF810" s="122"/>
      <c r="BG810" s="122"/>
      <c r="BH810" s="122"/>
      <c r="BI810" s="122"/>
      <c r="BJ810" s="122"/>
    </row>
    <row r="811" spans="1:62">
      <c r="A811" s="122"/>
      <c r="B811" s="122"/>
      <c r="C811" s="122"/>
      <c r="D811" s="122"/>
      <c r="E811" s="122"/>
      <c r="F811" s="122"/>
      <c r="G811" s="122"/>
      <c r="H811" s="122"/>
      <c r="I811" s="122"/>
      <c r="J811" s="122"/>
      <c r="K811" s="122"/>
      <c r="L811" s="122"/>
      <c r="M811" s="122"/>
      <c r="N811" s="122"/>
      <c r="O811" s="122"/>
      <c r="P811" s="122"/>
      <c r="Q811" s="122"/>
      <c r="R811" s="122"/>
      <c r="S811" s="122"/>
      <c r="T811" s="122"/>
      <c r="U811" s="122"/>
      <c r="V811" s="122"/>
      <c r="W811" s="122"/>
      <c r="X811" s="122"/>
      <c r="Y811" s="122"/>
      <c r="Z811" s="122"/>
      <c r="AA811" s="122"/>
      <c r="AB811" s="122"/>
      <c r="AC811" s="122"/>
      <c r="AD811" s="122"/>
      <c r="AE811" s="122"/>
      <c r="AF811" s="122"/>
      <c r="AG811" s="122"/>
      <c r="AH811" s="122"/>
      <c r="AI811" s="122"/>
      <c r="AJ811" s="122"/>
      <c r="AK811" s="122"/>
      <c r="AL811" s="122"/>
      <c r="AM811" s="122"/>
      <c r="AN811" s="122"/>
      <c r="AO811" s="122"/>
      <c r="AP811" s="166"/>
      <c r="AQ811" s="122"/>
      <c r="AR811" s="167"/>
      <c r="AS811" s="122"/>
      <c r="AT811" s="122"/>
      <c r="AU811" s="122"/>
      <c r="AV811" s="122"/>
      <c r="AW811" s="122"/>
      <c r="AX811" s="122"/>
      <c r="AY811" s="122"/>
      <c r="AZ811" s="122"/>
      <c r="BA811" s="122"/>
      <c r="BB811" s="122"/>
      <c r="BC811" s="122"/>
      <c r="BD811" s="122"/>
      <c r="BE811" s="122"/>
      <c r="BF811" s="122"/>
      <c r="BG811" s="122"/>
      <c r="BH811" s="122"/>
      <c r="BI811" s="122"/>
      <c r="BJ811" s="122"/>
    </row>
    <row r="812" spans="1:62">
      <c r="A812" s="122"/>
      <c r="B812" s="122"/>
      <c r="C812" s="122"/>
      <c r="D812" s="122"/>
      <c r="E812" s="122"/>
      <c r="F812" s="122"/>
      <c r="G812" s="122"/>
      <c r="H812" s="122"/>
      <c r="I812" s="122"/>
      <c r="J812" s="122"/>
      <c r="K812" s="122"/>
      <c r="L812" s="122"/>
      <c r="M812" s="122"/>
      <c r="N812" s="122"/>
      <c r="O812" s="122"/>
      <c r="P812" s="122"/>
      <c r="Q812" s="122"/>
      <c r="R812" s="122"/>
      <c r="S812" s="122"/>
      <c r="T812" s="122"/>
      <c r="U812" s="122"/>
      <c r="V812" s="122"/>
      <c r="W812" s="122"/>
      <c r="X812" s="122"/>
      <c r="Y812" s="122"/>
      <c r="Z812" s="122"/>
      <c r="AA812" s="122"/>
      <c r="AB812" s="122"/>
      <c r="AC812" s="122"/>
      <c r="AD812" s="122"/>
      <c r="AE812" s="122"/>
      <c r="AF812" s="122"/>
      <c r="AG812" s="122"/>
      <c r="AH812" s="122"/>
      <c r="AI812" s="122"/>
      <c r="AJ812" s="122"/>
      <c r="AK812" s="122"/>
      <c r="AL812" s="122"/>
      <c r="AM812" s="122"/>
      <c r="AN812" s="122"/>
      <c r="AO812" s="122"/>
      <c r="AP812" s="166"/>
      <c r="AQ812" s="122"/>
      <c r="AR812" s="167"/>
      <c r="AS812" s="122"/>
      <c r="AT812" s="122"/>
      <c r="AU812" s="122"/>
      <c r="AV812" s="122"/>
      <c r="AW812" s="122"/>
      <c r="AX812" s="122"/>
      <c r="AY812" s="122"/>
      <c r="AZ812" s="122"/>
      <c r="BA812" s="122"/>
      <c r="BB812" s="122"/>
      <c r="BC812" s="122"/>
      <c r="BD812" s="122"/>
      <c r="BE812" s="122"/>
      <c r="BF812" s="122"/>
      <c r="BG812" s="122"/>
      <c r="BH812" s="122"/>
      <c r="BI812" s="122"/>
      <c r="BJ812" s="122"/>
    </row>
    <row r="813" spans="1:62">
      <c r="A813" s="122"/>
      <c r="B813" s="122"/>
      <c r="C813" s="122"/>
      <c r="D813" s="122"/>
      <c r="E813" s="122"/>
      <c r="F813" s="122"/>
      <c r="G813" s="122"/>
      <c r="H813" s="122"/>
      <c r="I813" s="122"/>
      <c r="J813" s="122"/>
      <c r="K813" s="122"/>
      <c r="L813" s="122"/>
      <c r="M813" s="122"/>
      <c r="N813" s="122"/>
      <c r="O813" s="122"/>
      <c r="P813" s="122"/>
      <c r="Q813" s="122"/>
      <c r="R813" s="122"/>
      <c r="S813" s="122"/>
      <c r="T813" s="122"/>
      <c r="U813" s="122"/>
      <c r="V813" s="122"/>
      <c r="W813" s="122"/>
      <c r="X813" s="122"/>
      <c r="Y813" s="122"/>
      <c r="Z813" s="122"/>
      <c r="AA813" s="122"/>
      <c r="AB813" s="122"/>
      <c r="AC813" s="122"/>
      <c r="AD813" s="122"/>
      <c r="AE813" s="122"/>
      <c r="AF813" s="122"/>
      <c r="AG813" s="122"/>
      <c r="AH813" s="122"/>
      <c r="AI813" s="122"/>
      <c r="AJ813" s="122"/>
      <c r="AK813" s="122"/>
      <c r="AL813" s="122"/>
      <c r="AM813" s="122"/>
      <c r="AN813" s="122"/>
      <c r="AO813" s="122"/>
      <c r="AP813" s="166"/>
      <c r="AQ813" s="122"/>
      <c r="AR813" s="167"/>
      <c r="AS813" s="122"/>
      <c r="AT813" s="122"/>
      <c r="AU813" s="122"/>
      <c r="AV813" s="122"/>
      <c r="AW813" s="122"/>
      <c r="AX813" s="122"/>
      <c r="AY813" s="122"/>
      <c r="AZ813" s="122"/>
      <c r="BA813" s="122"/>
      <c r="BB813" s="122"/>
      <c r="BC813" s="122"/>
      <c r="BD813" s="122"/>
      <c r="BE813" s="122"/>
      <c r="BF813" s="122"/>
      <c r="BG813" s="122"/>
      <c r="BH813" s="122"/>
      <c r="BI813" s="122"/>
      <c r="BJ813" s="122"/>
    </row>
    <row r="814" spans="1:62">
      <c r="A814" s="122"/>
      <c r="B814" s="122"/>
      <c r="C814" s="122"/>
      <c r="D814" s="122"/>
      <c r="E814" s="122"/>
      <c r="F814" s="122"/>
      <c r="G814" s="122"/>
      <c r="H814" s="122"/>
      <c r="I814" s="122"/>
      <c r="J814" s="122"/>
      <c r="K814" s="122"/>
      <c r="L814" s="122"/>
      <c r="M814" s="122"/>
      <c r="N814" s="122"/>
      <c r="O814" s="122"/>
      <c r="P814" s="122"/>
      <c r="Q814" s="122"/>
      <c r="R814" s="122"/>
      <c r="S814" s="122"/>
      <c r="T814" s="122"/>
      <c r="U814" s="122"/>
      <c r="V814" s="122"/>
      <c r="W814" s="122"/>
      <c r="X814" s="122"/>
      <c r="Y814" s="122"/>
      <c r="Z814" s="122"/>
      <c r="AA814" s="122"/>
      <c r="AB814" s="122"/>
      <c r="AC814" s="122"/>
      <c r="AD814" s="122"/>
      <c r="AE814" s="122"/>
      <c r="AF814" s="122"/>
      <c r="AG814" s="122"/>
      <c r="AH814" s="122"/>
      <c r="AI814" s="122"/>
      <c r="AJ814" s="122"/>
      <c r="AK814" s="122"/>
      <c r="AL814" s="122"/>
      <c r="AM814" s="122"/>
      <c r="AN814" s="122"/>
      <c r="AO814" s="122"/>
      <c r="AP814" s="166"/>
      <c r="AQ814" s="122"/>
      <c r="AR814" s="167"/>
      <c r="AS814" s="122"/>
      <c r="AT814" s="122"/>
      <c r="AU814" s="122"/>
      <c r="AV814" s="122"/>
      <c r="AW814" s="122"/>
      <c r="AX814" s="122"/>
      <c r="AY814" s="122"/>
      <c r="AZ814" s="122"/>
      <c r="BA814" s="122"/>
      <c r="BB814" s="122"/>
      <c r="BC814" s="122"/>
      <c r="BD814" s="122"/>
      <c r="BE814" s="122"/>
      <c r="BF814" s="122"/>
      <c r="BG814" s="122"/>
      <c r="BH814" s="122"/>
      <c r="BI814" s="122"/>
      <c r="BJ814" s="122"/>
    </row>
    <row r="815" spans="1:62">
      <c r="A815" s="122"/>
      <c r="B815" s="122"/>
      <c r="C815" s="122"/>
      <c r="D815" s="122"/>
      <c r="E815" s="122"/>
      <c r="F815" s="122"/>
      <c r="G815" s="122"/>
      <c r="H815" s="122"/>
      <c r="I815" s="122"/>
      <c r="J815" s="122"/>
      <c r="K815" s="122"/>
      <c r="L815" s="122"/>
      <c r="M815" s="122"/>
      <c r="N815" s="122"/>
      <c r="O815" s="122"/>
      <c r="P815" s="122"/>
      <c r="Q815" s="122"/>
      <c r="R815" s="122"/>
      <c r="S815" s="122"/>
      <c r="T815" s="122"/>
      <c r="U815" s="122"/>
      <c r="V815" s="122"/>
      <c r="W815" s="122"/>
      <c r="X815" s="122"/>
      <c r="Y815" s="122"/>
      <c r="Z815" s="122"/>
      <c r="AA815" s="122"/>
      <c r="AB815" s="122"/>
      <c r="AC815" s="122"/>
      <c r="AD815" s="122"/>
      <c r="AE815" s="122"/>
      <c r="AF815" s="122"/>
      <c r="AG815" s="122"/>
      <c r="AH815" s="122"/>
      <c r="AI815" s="122"/>
      <c r="AJ815" s="122"/>
      <c r="AK815" s="122"/>
      <c r="AL815" s="122"/>
      <c r="AM815" s="122"/>
      <c r="AN815" s="122"/>
      <c r="AO815" s="122"/>
      <c r="AP815" s="166"/>
      <c r="AQ815" s="122"/>
      <c r="AR815" s="167"/>
      <c r="AS815" s="122"/>
      <c r="AT815" s="122"/>
      <c r="AU815" s="122"/>
      <c r="AV815" s="122"/>
      <c r="AW815" s="122"/>
      <c r="AX815" s="122"/>
      <c r="AY815" s="122"/>
      <c r="AZ815" s="122"/>
      <c r="BA815" s="122"/>
      <c r="BB815" s="122"/>
      <c r="BC815" s="122"/>
      <c r="BD815" s="122"/>
      <c r="BE815" s="122"/>
      <c r="BF815" s="122"/>
      <c r="BG815" s="122"/>
      <c r="BH815" s="122"/>
      <c r="BI815" s="122"/>
      <c r="BJ815" s="122"/>
    </row>
    <row r="816" spans="1:62">
      <c r="A816" s="122"/>
      <c r="B816" s="122"/>
      <c r="C816" s="122"/>
      <c r="D816" s="122"/>
      <c r="E816" s="122"/>
      <c r="F816" s="122"/>
      <c r="G816" s="122"/>
      <c r="H816" s="122"/>
      <c r="I816" s="122"/>
      <c r="J816" s="122"/>
      <c r="K816" s="122"/>
      <c r="L816" s="122"/>
      <c r="M816" s="122"/>
      <c r="N816" s="122"/>
      <c r="O816" s="122"/>
      <c r="P816" s="122"/>
      <c r="Q816" s="122"/>
      <c r="R816" s="122"/>
      <c r="S816" s="122"/>
      <c r="T816" s="122"/>
      <c r="U816" s="122"/>
      <c r="V816" s="122"/>
      <c r="W816" s="122"/>
      <c r="X816" s="122"/>
      <c r="Y816" s="122"/>
      <c r="Z816" s="122"/>
      <c r="AA816" s="122"/>
      <c r="AB816" s="122"/>
      <c r="AC816" s="122"/>
      <c r="AD816" s="122"/>
      <c r="AE816" s="122"/>
      <c r="AF816" s="122"/>
      <c r="AG816" s="122"/>
      <c r="AH816" s="122"/>
      <c r="AI816" s="122"/>
      <c r="AJ816" s="122"/>
      <c r="AK816" s="122"/>
      <c r="AL816" s="122"/>
      <c r="AM816" s="122"/>
      <c r="AN816" s="122"/>
      <c r="AO816" s="122"/>
      <c r="AP816" s="166"/>
      <c r="AQ816" s="122"/>
      <c r="AR816" s="167"/>
      <c r="AS816" s="122"/>
      <c r="AT816" s="122"/>
      <c r="AU816" s="122"/>
      <c r="AV816" s="122"/>
      <c r="AW816" s="122"/>
      <c r="AX816" s="122"/>
      <c r="AY816" s="122"/>
      <c r="AZ816" s="122"/>
      <c r="BA816" s="122"/>
      <c r="BB816" s="122"/>
      <c r="BC816" s="122"/>
      <c r="BD816" s="122"/>
      <c r="BE816" s="122"/>
      <c r="BF816" s="122"/>
      <c r="BG816" s="122"/>
      <c r="BH816" s="122"/>
      <c r="BI816" s="122"/>
      <c r="BJ816" s="122"/>
    </row>
    <row r="817" spans="1:62">
      <c r="A817" s="122"/>
      <c r="B817" s="122"/>
      <c r="C817" s="122"/>
      <c r="D817" s="122"/>
      <c r="E817" s="122"/>
      <c r="F817" s="122"/>
      <c r="G817" s="122"/>
      <c r="H817" s="122"/>
      <c r="I817" s="122"/>
      <c r="J817" s="122"/>
      <c r="K817" s="122"/>
      <c r="L817" s="122"/>
      <c r="M817" s="122"/>
      <c r="N817" s="122"/>
      <c r="O817" s="122"/>
      <c r="P817" s="122"/>
      <c r="Q817" s="122"/>
      <c r="R817" s="122"/>
      <c r="S817" s="122"/>
      <c r="T817" s="122"/>
      <c r="U817" s="122"/>
      <c r="V817" s="122"/>
      <c r="W817" s="122"/>
      <c r="X817" s="122"/>
      <c r="Y817" s="122"/>
      <c r="Z817" s="122"/>
      <c r="AA817" s="122"/>
      <c r="AB817" s="122"/>
      <c r="AC817" s="122"/>
      <c r="AD817" s="122"/>
      <c r="AE817" s="122"/>
      <c r="AF817" s="122"/>
      <c r="AG817" s="122"/>
      <c r="AH817" s="122"/>
      <c r="AI817" s="122"/>
      <c r="AJ817" s="122"/>
      <c r="AK817" s="122"/>
      <c r="AL817" s="122"/>
      <c r="AM817" s="122"/>
      <c r="AN817" s="122"/>
      <c r="AO817" s="122"/>
      <c r="AP817" s="166"/>
      <c r="AQ817" s="122"/>
      <c r="AR817" s="167"/>
      <c r="AS817" s="122"/>
      <c r="AT817" s="122"/>
      <c r="AU817" s="122"/>
      <c r="AV817" s="122"/>
      <c r="AW817" s="122"/>
      <c r="AX817" s="122"/>
      <c r="AY817" s="122"/>
      <c r="AZ817" s="122"/>
      <c r="BA817" s="122"/>
      <c r="BB817" s="122"/>
      <c r="BC817" s="122"/>
      <c r="BD817" s="122"/>
      <c r="BE817" s="122"/>
      <c r="BF817" s="122"/>
      <c r="BG817" s="122"/>
      <c r="BH817" s="122"/>
      <c r="BI817" s="122"/>
      <c r="BJ817" s="122"/>
    </row>
    <row r="818" spans="1:62">
      <c r="A818" s="122"/>
      <c r="B818" s="122"/>
      <c r="C818" s="122"/>
      <c r="D818" s="122"/>
      <c r="E818" s="122"/>
      <c r="F818" s="122"/>
      <c r="G818" s="122"/>
      <c r="H818" s="122"/>
      <c r="I818" s="122"/>
      <c r="J818" s="122"/>
      <c r="K818" s="122"/>
      <c r="L818" s="122"/>
      <c r="M818" s="122"/>
      <c r="N818" s="122"/>
      <c r="O818" s="122"/>
      <c r="P818" s="122"/>
      <c r="Q818" s="122"/>
      <c r="R818" s="122"/>
      <c r="S818" s="122"/>
      <c r="T818" s="122"/>
      <c r="U818" s="122"/>
      <c r="V818" s="122"/>
      <c r="W818" s="122"/>
      <c r="X818" s="122"/>
      <c r="Y818" s="122"/>
      <c r="Z818" s="122"/>
      <c r="AA818" s="122"/>
      <c r="AB818" s="122"/>
      <c r="AC818" s="122"/>
      <c r="AD818" s="122"/>
      <c r="AE818" s="122"/>
      <c r="AF818" s="122"/>
      <c r="AG818" s="122"/>
      <c r="AH818" s="122"/>
      <c r="AI818" s="122"/>
      <c r="AJ818" s="122"/>
      <c r="AK818" s="122"/>
      <c r="AL818" s="122"/>
      <c r="AM818" s="122"/>
      <c r="AN818" s="122"/>
      <c r="AO818" s="122"/>
      <c r="AP818" s="166"/>
      <c r="AQ818" s="122"/>
      <c r="AR818" s="167"/>
      <c r="AS818" s="122"/>
      <c r="AT818" s="122"/>
      <c r="AU818" s="122"/>
      <c r="AV818" s="122"/>
      <c r="AW818" s="122"/>
      <c r="AX818" s="122"/>
      <c r="AY818" s="122"/>
      <c r="AZ818" s="122"/>
      <c r="BA818" s="122"/>
      <c r="BB818" s="122"/>
      <c r="BC818" s="122"/>
      <c r="BD818" s="122"/>
      <c r="BE818" s="122"/>
      <c r="BF818" s="122"/>
      <c r="BG818" s="122"/>
      <c r="BH818" s="122"/>
      <c r="BI818" s="122"/>
      <c r="BJ818" s="122"/>
    </row>
    <row r="819" spans="1:62">
      <c r="A819" s="122"/>
      <c r="B819" s="122"/>
      <c r="C819" s="122"/>
      <c r="D819" s="122"/>
      <c r="E819" s="122"/>
      <c r="F819" s="122"/>
      <c r="G819" s="122"/>
      <c r="H819" s="122"/>
      <c r="I819" s="122"/>
      <c r="J819" s="122"/>
      <c r="K819" s="122"/>
      <c r="L819" s="122"/>
      <c r="M819" s="122"/>
      <c r="N819" s="122"/>
      <c r="O819" s="122"/>
      <c r="P819" s="122"/>
      <c r="Q819" s="122"/>
      <c r="R819" s="122"/>
      <c r="S819" s="122"/>
      <c r="T819" s="122"/>
      <c r="U819" s="122"/>
      <c r="V819" s="122"/>
      <c r="W819" s="122"/>
      <c r="X819" s="122"/>
      <c r="Y819" s="122"/>
      <c r="Z819" s="122"/>
      <c r="AA819" s="122"/>
      <c r="AB819" s="122"/>
      <c r="AC819" s="122"/>
      <c r="AD819" s="122"/>
      <c r="AE819" s="122"/>
      <c r="AF819" s="122"/>
      <c r="AG819" s="122"/>
      <c r="AH819" s="122"/>
      <c r="AI819" s="122"/>
      <c r="AJ819" s="122"/>
      <c r="AK819" s="122"/>
      <c r="AL819" s="122"/>
      <c r="AM819" s="122"/>
      <c r="AN819" s="122"/>
      <c r="AO819" s="122"/>
      <c r="AP819" s="166"/>
      <c r="AQ819" s="122"/>
      <c r="AR819" s="167"/>
      <c r="AS819" s="122"/>
      <c r="AT819" s="122"/>
      <c r="AU819" s="122"/>
      <c r="AV819" s="122"/>
      <c r="AW819" s="122"/>
      <c r="AX819" s="122"/>
      <c r="AY819" s="122"/>
      <c r="AZ819" s="122"/>
      <c r="BA819" s="122"/>
      <c r="BB819" s="122"/>
      <c r="BC819" s="122"/>
      <c r="BD819" s="122"/>
      <c r="BE819" s="122"/>
      <c r="BF819" s="122"/>
      <c r="BG819" s="122"/>
      <c r="BH819" s="122"/>
      <c r="BI819" s="122"/>
      <c r="BJ819" s="122"/>
    </row>
    <row r="820" spans="1:62">
      <c r="A820" s="122"/>
      <c r="B820" s="122"/>
      <c r="C820" s="122"/>
      <c r="D820" s="122"/>
      <c r="E820" s="122"/>
      <c r="F820" s="122"/>
      <c r="G820" s="122"/>
      <c r="H820" s="122"/>
      <c r="I820" s="122"/>
      <c r="J820" s="122"/>
      <c r="K820" s="122"/>
      <c r="L820" s="122"/>
      <c r="M820" s="122"/>
      <c r="N820" s="122"/>
      <c r="O820" s="122"/>
      <c r="P820" s="122"/>
      <c r="Q820" s="122"/>
      <c r="R820" s="122"/>
      <c r="S820" s="122"/>
      <c r="T820" s="122"/>
      <c r="U820" s="122"/>
      <c r="V820" s="122"/>
      <c r="W820" s="122"/>
      <c r="X820" s="122"/>
      <c r="Y820" s="122"/>
      <c r="Z820" s="122"/>
      <c r="AA820" s="122"/>
      <c r="AB820" s="122"/>
      <c r="AC820" s="122"/>
      <c r="AD820" s="122"/>
      <c r="AE820" s="122"/>
      <c r="AF820" s="122"/>
      <c r="AG820" s="122"/>
      <c r="AH820" s="122"/>
      <c r="AI820" s="122"/>
      <c r="AJ820" s="122"/>
      <c r="AK820" s="122"/>
      <c r="AL820" s="122"/>
      <c r="AM820" s="122"/>
      <c r="AN820" s="122"/>
      <c r="AO820" s="122"/>
      <c r="AP820" s="166"/>
      <c r="AQ820" s="122"/>
      <c r="AR820" s="167"/>
      <c r="AS820" s="122"/>
      <c r="AT820" s="122"/>
      <c r="AU820" s="122"/>
      <c r="AV820" s="122"/>
      <c r="AW820" s="122"/>
      <c r="AX820" s="122"/>
      <c r="AY820" s="122"/>
      <c r="AZ820" s="122"/>
      <c r="BA820" s="122"/>
      <c r="BB820" s="122"/>
      <c r="BC820" s="122"/>
      <c r="BD820" s="122"/>
      <c r="BE820" s="122"/>
      <c r="BF820" s="122"/>
      <c r="BG820" s="122"/>
      <c r="BH820" s="122"/>
      <c r="BI820" s="122"/>
      <c r="BJ820" s="122"/>
    </row>
    <row r="821" spans="1:62">
      <c r="A821" s="122"/>
      <c r="B821" s="122"/>
      <c r="C821" s="122"/>
      <c r="D821" s="122"/>
      <c r="E821" s="122"/>
      <c r="F821" s="122"/>
      <c r="G821" s="122"/>
      <c r="H821" s="122"/>
      <c r="I821" s="122"/>
      <c r="J821" s="122"/>
      <c r="K821" s="122"/>
      <c r="L821" s="122"/>
      <c r="M821" s="122"/>
      <c r="N821" s="122"/>
      <c r="O821" s="122"/>
      <c r="P821" s="122"/>
      <c r="Q821" s="122"/>
      <c r="R821" s="122"/>
      <c r="S821" s="122"/>
      <c r="T821" s="122"/>
      <c r="U821" s="122"/>
      <c r="V821" s="122"/>
      <c r="W821" s="122"/>
      <c r="X821" s="122"/>
      <c r="Y821" s="122"/>
      <c r="Z821" s="122"/>
      <c r="AA821" s="122"/>
      <c r="AB821" s="122"/>
      <c r="AC821" s="122"/>
      <c r="AD821" s="122"/>
      <c r="AE821" s="122"/>
      <c r="AF821" s="122"/>
      <c r="AG821" s="122"/>
      <c r="AH821" s="122"/>
      <c r="AI821" s="122"/>
      <c r="AJ821" s="122"/>
      <c r="AK821" s="122"/>
      <c r="AL821" s="122"/>
      <c r="AM821" s="122"/>
      <c r="AN821" s="122"/>
      <c r="AO821" s="122"/>
      <c r="AP821" s="166"/>
      <c r="AQ821" s="122"/>
      <c r="AR821" s="167"/>
      <c r="AS821" s="122"/>
      <c r="AT821" s="122"/>
      <c r="AU821" s="122"/>
      <c r="AV821" s="122"/>
      <c r="AW821" s="122"/>
      <c r="AX821" s="122"/>
      <c r="AY821" s="122"/>
      <c r="AZ821" s="122"/>
      <c r="BA821" s="122"/>
      <c r="BB821" s="122"/>
      <c r="BC821" s="122"/>
      <c r="BD821" s="122"/>
      <c r="BE821" s="122"/>
      <c r="BF821" s="122"/>
      <c r="BG821" s="122"/>
      <c r="BH821" s="122"/>
      <c r="BI821" s="122"/>
      <c r="BJ821" s="122"/>
    </row>
    <row r="822" spans="1:62">
      <c r="A822" s="122"/>
      <c r="B822" s="122"/>
      <c r="C822" s="122"/>
      <c r="D822" s="122"/>
      <c r="E822" s="122"/>
      <c r="F822" s="122"/>
      <c r="G822" s="122"/>
      <c r="H822" s="122"/>
      <c r="I822" s="122"/>
      <c r="J822" s="122"/>
      <c r="K822" s="122"/>
      <c r="L822" s="122"/>
      <c r="M822" s="122"/>
      <c r="N822" s="122"/>
      <c r="O822" s="122"/>
      <c r="P822" s="122"/>
      <c r="Q822" s="122"/>
      <c r="R822" s="122"/>
      <c r="S822" s="122"/>
      <c r="T822" s="122"/>
      <c r="U822" s="122"/>
      <c r="V822" s="122"/>
      <c r="W822" s="122"/>
      <c r="X822" s="122"/>
      <c r="Y822" s="122"/>
      <c r="Z822" s="122"/>
      <c r="AA822" s="122"/>
      <c r="AB822" s="122"/>
      <c r="AC822" s="122"/>
      <c r="AD822" s="122"/>
      <c r="AE822" s="122"/>
      <c r="AF822" s="122"/>
      <c r="AG822" s="122"/>
      <c r="AH822" s="122"/>
      <c r="AI822" s="122"/>
      <c r="AJ822" s="122"/>
      <c r="AK822" s="122"/>
      <c r="AL822" s="122"/>
      <c r="AM822" s="122"/>
      <c r="AN822" s="122"/>
      <c r="AO822" s="122"/>
      <c r="AP822" s="166"/>
      <c r="AQ822" s="122"/>
      <c r="AR822" s="167"/>
      <c r="AS822" s="122"/>
      <c r="AT822" s="122"/>
      <c r="AU822" s="122"/>
      <c r="AV822" s="122"/>
      <c r="AW822" s="122"/>
      <c r="AX822" s="122"/>
      <c r="AY822" s="122"/>
      <c r="AZ822" s="122"/>
      <c r="BA822" s="122"/>
      <c r="BB822" s="122"/>
      <c r="BC822" s="122"/>
      <c r="BD822" s="122"/>
      <c r="BE822" s="122"/>
      <c r="BF822" s="122"/>
      <c r="BG822" s="122"/>
      <c r="BH822" s="122"/>
      <c r="BI822" s="122"/>
      <c r="BJ822" s="122"/>
    </row>
    <row r="823" spans="1:62">
      <c r="A823" s="122"/>
      <c r="B823" s="122"/>
      <c r="C823" s="122"/>
      <c r="D823" s="122"/>
      <c r="E823" s="122"/>
      <c r="F823" s="122"/>
      <c r="G823" s="122"/>
      <c r="H823" s="122"/>
      <c r="I823" s="122"/>
      <c r="J823" s="122"/>
      <c r="K823" s="122"/>
      <c r="L823" s="122"/>
      <c r="M823" s="122"/>
      <c r="N823" s="122"/>
      <c r="O823" s="122"/>
      <c r="P823" s="122"/>
      <c r="Q823" s="122"/>
      <c r="R823" s="122"/>
      <c r="S823" s="122"/>
      <c r="T823" s="122"/>
      <c r="U823" s="122"/>
      <c r="V823" s="122"/>
      <c r="W823" s="122"/>
      <c r="X823" s="122"/>
      <c r="Y823" s="122"/>
      <c r="Z823" s="122"/>
      <c r="AA823" s="122"/>
      <c r="AB823" s="122"/>
      <c r="AC823" s="122"/>
      <c r="AD823" s="122"/>
      <c r="AE823" s="122"/>
      <c r="AF823" s="122"/>
      <c r="AG823" s="122"/>
      <c r="AH823" s="122"/>
      <c r="AI823" s="122"/>
      <c r="AJ823" s="122"/>
      <c r="AK823" s="122"/>
      <c r="AL823" s="122"/>
      <c r="AM823" s="122"/>
      <c r="AN823" s="122"/>
      <c r="AO823" s="122"/>
      <c r="AP823" s="166"/>
      <c r="AQ823" s="122"/>
      <c r="AR823" s="167"/>
      <c r="AS823" s="122"/>
      <c r="AT823" s="122"/>
      <c r="AU823" s="122"/>
      <c r="AV823" s="122"/>
      <c r="AW823" s="122"/>
      <c r="AX823" s="122"/>
      <c r="AY823" s="122"/>
      <c r="AZ823" s="122"/>
      <c r="BA823" s="122"/>
      <c r="BB823" s="122"/>
      <c r="BC823" s="122"/>
      <c r="BD823" s="122"/>
      <c r="BE823" s="122"/>
      <c r="BF823" s="122"/>
      <c r="BG823" s="122"/>
      <c r="BH823" s="122"/>
      <c r="BI823" s="122"/>
      <c r="BJ823" s="122"/>
    </row>
    <row r="824" spans="1:62">
      <c r="A824" s="122"/>
      <c r="B824" s="122"/>
      <c r="C824" s="122"/>
      <c r="D824" s="122"/>
      <c r="E824" s="122"/>
      <c r="F824" s="122"/>
      <c r="G824" s="122"/>
      <c r="H824" s="122"/>
      <c r="I824" s="122"/>
      <c r="J824" s="122"/>
      <c r="K824" s="122"/>
      <c r="L824" s="122"/>
      <c r="M824" s="122"/>
      <c r="N824" s="122"/>
      <c r="O824" s="122"/>
      <c r="P824" s="122"/>
      <c r="Q824" s="122"/>
      <c r="R824" s="122"/>
      <c r="S824" s="122"/>
      <c r="T824" s="122"/>
      <c r="U824" s="122"/>
      <c r="V824" s="122"/>
      <c r="W824" s="122"/>
      <c r="X824" s="122"/>
      <c r="Y824" s="122"/>
      <c r="Z824" s="122"/>
      <c r="AA824" s="122"/>
      <c r="AB824" s="122"/>
      <c r="AC824" s="122"/>
      <c r="AD824" s="122"/>
      <c r="AE824" s="122"/>
      <c r="AF824" s="122"/>
      <c r="AG824" s="122"/>
      <c r="AH824" s="122"/>
      <c r="AI824" s="122"/>
      <c r="AJ824" s="122"/>
      <c r="AK824" s="122"/>
      <c r="AL824" s="122"/>
      <c r="AM824" s="122"/>
      <c r="AN824" s="122"/>
      <c r="AO824" s="122"/>
      <c r="AP824" s="166"/>
      <c r="AQ824" s="122"/>
      <c r="AR824" s="167"/>
      <c r="AS824" s="122"/>
      <c r="AT824" s="122"/>
      <c r="AU824" s="122"/>
      <c r="AV824" s="122"/>
      <c r="AW824" s="122"/>
      <c r="AX824" s="122"/>
      <c r="AY824" s="122"/>
      <c r="AZ824" s="122"/>
      <c r="BA824" s="122"/>
      <c r="BB824" s="122"/>
      <c r="BC824" s="122"/>
      <c r="BD824" s="122"/>
      <c r="BE824" s="122"/>
      <c r="BF824" s="122"/>
      <c r="BG824" s="122"/>
      <c r="BH824" s="122"/>
      <c r="BI824" s="122"/>
      <c r="BJ824" s="122"/>
    </row>
    <row r="825" spans="1:62">
      <c r="A825" s="122"/>
      <c r="B825" s="122"/>
      <c r="C825" s="122"/>
      <c r="D825" s="122"/>
      <c r="E825" s="122"/>
      <c r="F825" s="122"/>
      <c r="G825" s="122"/>
      <c r="H825" s="122"/>
      <c r="I825" s="122"/>
      <c r="J825" s="122"/>
      <c r="K825" s="122"/>
      <c r="L825" s="122"/>
      <c r="M825" s="122"/>
      <c r="N825" s="122"/>
      <c r="O825" s="122"/>
      <c r="P825" s="122"/>
      <c r="Q825" s="122"/>
      <c r="R825" s="122"/>
      <c r="S825" s="122"/>
      <c r="T825" s="122"/>
      <c r="U825" s="122"/>
      <c r="V825" s="122"/>
      <c r="W825" s="122"/>
      <c r="X825" s="122"/>
      <c r="Y825" s="122"/>
      <c r="Z825" s="122"/>
      <c r="AA825" s="122"/>
      <c r="AB825" s="122"/>
      <c r="AC825" s="122"/>
      <c r="AD825" s="122"/>
      <c r="AE825" s="122"/>
      <c r="AF825" s="122"/>
      <c r="AG825" s="122"/>
      <c r="AH825" s="122"/>
      <c r="AI825" s="122"/>
      <c r="AJ825" s="122"/>
      <c r="AK825" s="122"/>
      <c r="AL825" s="122"/>
      <c r="AM825" s="122"/>
      <c r="AN825" s="122"/>
      <c r="AO825" s="122"/>
      <c r="AP825" s="166"/>
      <c r="AQ825" s="122"/>
      <c r="AR825" s="167"/>
      <c r="AS825" s="122"/>
      <c r="AT825" s="122"/>
      <c r="AU825" s="122"/>
      <c r="AV825" s="122"/>
      <c r="AW825" s="122"/>
      <c r="AX825" s="122"/>
      <c r="AY825" s="122"/>
      <c r="AZ825" s="122"/>
      <c r="BA825" s="122"/>
      <c r="BB825" s="122"/>
      <c r="BC825" s="122"/>
      <c r="BD825" s="122"/>
      <c r="BE825" s="122"/>
      <c r="BF825" s="122"/>
      <c r="BG825" s="122"/>
      <c r="BH825" s="122"/>
      <c r="BI825" s="122"/>
      <c r="BJ825" s="122"/>
    </row>
    <row r="826" spans="1:62">
      <c r="A826" s="122"/>
      <c r="B826" s="122"/>
      <c r="C826" s="122"/>
      <c r="D826" s="122"/>
      <c r="E826" s="122"/>
      <c r="F826" s="122"/>
      <c r="G826" s="122"/>
      <c r="H826" s="122"/>
      <c r="I826" s="122"/>
      <c r="J826" s="122"/>
      <c r="K826" s="122"/>
      <c r="L826" s="122"/>
      <c r="M826" s="122"/>
      <c r="N826" s="122"/>
      <c r="O826" s="122"/>
      <c r="P826" s="122"/>
      <c r="Q826" s="122"/>
      <c r="R826" s="122"/>
      <c r="S826" s="122"/>
      <c r="T826" s="122"/>
      <c r="U826" s="122"/>
      <c r="V826" s="122"/>
      <c r="W826" s="122"/>
      <c r="X826" s="122"/>
      <c r="Y826" s="122"/>
      <c r="Z826" s="122"/>
      <c r="AA826" s="122"/>
      <c r="AB826" s="122"/>
      <c r="AC826" s="122"/>
      <c r="AD826" s="122"/>
      <c r="AE826" s="122"/>
      <c r="AF826" s="122"/>
      <c r="AG826" s="122"/>
      <c r="AH826" s="122"/>
      <c r="AI826" s="122"/>
      <c r="AJ826" s="122"/>
      <c r="AK826" s="122"/>
      <c r="AL826" s="122"/>
      <c r="AM826" s="122"/>
      <c r="AN826" s="122"/>
      <c r="AO826" s="122"/>
      <c r="AP826" s="166"/>
      <c r="AQ826" s="122"/>
      <c r="AR826" s="167"/>
      <c r="AS826" s="122"/>
      <c r="AT826" s="122"/>
      <c r="AU826" s="122"/>
      <c r="AV826" s="122"/>
      <c r="AW826" s="122"/>
      <c r="AX826" s="122"/>
      <c r="AY826" s="122"/>
      <c r="AZ826" s="122"/>
      <c r="BA826" s="122"/>
      <c r="BB826" s="122"/>
      <c r="BC826" s="122"/>
      <c r="BD826" s="122"/>
      <c r="BE826" s="122"/>
      <c r="BF826" s="122"/>
      <c r="BG826" s="122"/>
      <c r="BH826" s="122"/>
      <c r="BI826" s="122"/>
      <c r="BJ826" s="122"/>
    </row>
    <row r="827" spans="1:62">
      <c r="A827" s="122"/>
      <c r="B827" s="122"/>
      <c r="C827" s="122"/>
      <c r="D827" s="122"/>
      <c r="E827" s="122"/>
      <c r="F827" s="122"/>
      <c r="G827" s="122"/>
      <c r="H827" s="122"/>
      <c r="I827" s="122"/>
      <c r="J827" s="122"/>
      <c r="K827" s="122"/>
      <c r="L827" s="122"/>
      <c r="M827" s="122"/>
      <c r="N827" s="122"/>
      <c r="O827" s="122"/>
      <c r="P827" s="122"/>
      <c r="Q827" s="122"/>
      <c r="R827" s="122"/>
      <c r="S827" s="122"/>
      <c r="T827" s="122"/>
      <c r="U827" s="122"/>
      <c r="V827" s="122"/>
      <c r="W827" s="122"/>
      <c r="X827" s="122"/>
      <c r="Y827" s="122"/>
      <c r="Z827" s="122"/>
      <c r="AA827" s="122"/>
      <c r="AB827" s="122"/>
      <c r="AC827" s="122"/>
      <c r="AD827" s="122"/>
      <c r="AE827" s="122"/>
      <c r="AF827" s="122"/>
      <c r="AG827" s="122"/>
      <c r="AH827" s="122"/>
      <c r="AI827" s="122"/>
      <c r="AJ827" s="122"/>
      <c r="AK827" s="122"/>
      <c r="AL827" s="122"/>
      <c r="AM827" s="122"/>
      <c r="AN827" s="122"/>
      <c r="AO827" s="122"/>
      <c r="AP827" s="166"/>
      <c r="AQ827" s="122"/>
      <c r="AR827" s="167"/>
      <c r="AS827" s="122"/>
      <c r="AT827" s="122"/>
      <c r="AU827" s="122"/>
      <c r="AV827" s="122"/>
      <c r="AW827" s="122"/>
      <c r="AX827" s="122"/>
      <c r="AY827" s="122"/>
      <c r="AZ827" s="122"/>
      <c r="BA827" s="122"/>
      <c r="BB827" s="122"/>
      <c r="BC827" s="122"/>
      <c r="BD827" s="122"/>
      <c r="BE827" s="122"/>
      <c r="BF827" s="122"/>
      <c r="BG827" s="122"/>
      <c r="BH827" s="122"/>
      <c r="BI827" s="122"/>
      <c r="BJ827" s="122"/>
    </row>
    <row r="828" spans="1:62">
      <c r="A828" s="122"/>
      <c r="B828" s="122"/>
      <c r="C828" s="122"/>
      <c r="D828" s="122"/>
      <c r="E828" s="122"/>
      <c r="F828" s="122"/>
      <c r="G828" s="122"/>
      <c r="H828" s="122"/>
      <c r="I828" s="122"/>
      <c r="J828" s="122"/>
      <c r="K828" s="122"/>
      <c r="L828" s="122"/>
      <c r="M828" s="122"/>
      <c r="N828" s="122"/>
      <c r="O828" s="122"/>
      <c r="P828" s="122"/>
      <c r="Q828" s="122"/>
      <c r="R828" s="122"/>
      <c r="S828" s="122"/>
      <c r="T828" s="122"/>
      <c r="U828" s="122"/>
      <c r="V828" s="122"/>
      <c r="W828" s="122"/>
      <c r="X828" s="122"/>
      <c r="Y828" s="122"/>
      <c r="Z828" s="122"/>
      <c r="AA828" s="122"/>
      <c r="AB828" s="122"/>
      <c r="AC828" s="122"/>
      <c r="AD828" s="122"/>
      <c r="AE828" s="122"/>
      <c r="AF828" s="122"/>
      <c r="AG828" s="122"/>
      <c r="AH828" s="122"/>
      <c r="AI828" s="122"/>
      <c r="AJ828" s="122"/>
      <c r="AK828" s="122"/>
      <c r="AL828" s="122"/>
      <c r="AM828" s="122"/>
      <c r="AN828" s="122"/>
      <c r="AO828" s="122"/>
      <c r="AP828" s="166"/>
      <c r="AQ828" s="122"/>
      <c r="AR828" s="167"/>
      <c r="AS828" s="122"/>
      <c r="AT828" s="122"/>
      <c r="AU828" s="122"/>
      <c r="AV828" s="122"/>
      <c r="AW828" s="122"/>
      <c r="AX828" s="122"/>
      <c r="AY828" s="122"/>
      <c r="AZ828" s="122"/>
      <c r="BA828" s="122"/>
      <c r="BB828" s="122"/>
      <c r="BC828" s="122"/>
      <c r="BD828" s="122"/>
      <c r="BE828" s="122"/>
      <c r="BF828" s="122"/>
      <c r="BG828" s="122"/>
      <c r="BH828" s="122"/>
      <c r="BI828" s="122"/>
      <c r="BJ828" s="122"/>
    </row>
    <row r="829" spans="1:62">
      <c r="A829" s="122"/>
      <c r="B829" s="122"/>
      <c r="C829" s="122"/>
      <c r="D829" s="122"/>
      <c r="E829" s="122"/>
      <c r="F829" s="122"/>
      <c r="G829" s="122"/>
      <c r="H829" s="122"/>
      <c r="I829" s="122"/>
      <c r="J829" s="122"/>
      <c r="K829" s="122"/>
      <c r="L829" s="122"/>
      <c r="M829" s="122"/>
      <c r="N829" s="122"/>
      <c r="O829" s="122"/>
      <c r="P829" s="122"/>
      <c r="Q829" s="122"/>
      <c r="R829" s="122"/>
      <c r="S829" s="122"/>
      <c r="T829" s="122"/>
      <c r="U829" s="122"/>
      <c r="V829" s="122"/>
      <c r="W829" s="122"/>
      <c r="X829" s="122"/>
      <c r="Y829" s="122"/>
      <c r="Z829" s="122"/>
      <c r="AA829" s="122"/>
      <c r="AB829" s="122"/>
      <c r="AC829" s="122"/>
      <c r="AD829" s="122"/>
      <c r="AE829" s="122"/>
      <c r="AF829" s="122"/>
      <c r="AG829" s="122"/>
      <c r="AH829" s="122"/>
      <c r="AI829" s="122"/>
      <c r="AJ829" s="122"/>
      <c r="AK829" s="122"/>
      <c r="AL829" s="122"/>
      <c r="AM829" s="122"/>
      <c r="AN829" s="122"/>
      <c r="AO829" s="122"/>
      <c r="AP829" s="166"/>
      <c r="AQ829" s="122"/>
      <c r="AR829" s="167"/>
      <c r="AS829" s="122"/>
      <c r="AT829" s="122"/>
      <c r="AU829" s="122"/>
      <c r="AV829" s="122"/>
      <c r="AW829" s="122"/>
      <c r="AX829" s="122"/>
      <c r="AY829" s="122"/>
      <c r="AZ829" s="122"/>
      <c r="BA829" s="122"/>
      <c r="BB829" s="122"/>
      <c r="BC829" s="122"/>
      <c r="BD829" s="122"/>
      <c r="BE829" s="122"/>
      <c r="BF829" s="122"/>
      <c r="BG829" s="122"/>
      <c r="BH829" s="122"/>
      <c r="BI829" s="122"/>
      <c r="BJ829" s="122"/>
    </row>
    <row r="830" spans="1:62">
      <c r="A830" s="122"/>
      <c r="B830" s="122"/>
      <c r="C830" s="122"/>
      <c r="D830" s="122"/>
      <c r="E830" s="122"/>
      <c r="F830" s="122"/>
      <c r="G830" s="122"/>
      <c r="H830" s="122"/>
      <c r="I830" s="122"/>
      <c r="J830" s="122"/>
      <c r="K830" s="122"/>
      <c r="L830" s="122"/>
      <c r="M830" s="122"/>
      <c r="N830" s="122"/>
      <c r="O830" s="122"/>
      <c r="P830" s="122"/>
      <c r="Q830" s="122"/>
      <c r="R830" s="122"/>
      <c r="S830" s="122"/>
      <c r="T830" s="122"/>
      <c r="U830" s="122"/>
      <c r="V830" s="122"/>
      <c r="W830" s="122"/>
      <c r="X830" s="122"/>
      <c r="Y830" s="122"/>
      <c r="Z830" s="122"/>
      <c r="AA830" s="122"/>
      <c r="AB830" s="122"/>
      <c r="AC830" s="122"/>
      <c r="AD830" s="122"/>
      <c r="AE830" s="122"/>
      <c r="AF830" s="122"/>
      <c r="AG830" s="122"/>
      <c r="AH830" s="122"/>
      <c r="AI830" s="122"/>
      <c r="AJ830" s="122"/>
      <c r="AK830" s="122"/>
      <c r="AL830" s="122"/>
      <c r="AM830" s="122"/>
      <c r="AN830" s="122"/>
      <c r="AO830" s="122"/>
      <c r="AP830" s="166"/>
      <c r="AQ830" s="122"/>
      <c r="AR830" s="167"/>
      <c r="AS830" s="122"/>
      <c r="AT830" s="122"/>
      <c r="AU830" s="122"/>
      <c r="AV830" s="122"/>
      <c r="AW830" s="122"/>
      <c r="AX830" s="122"/>
      <c r="AY830" s="122"/>
      <c r="AZ830" s="122"/>
      <c r="BA830" s="122"/>
      <c r="BB830" s="122"/>
      <c r="BC830" s="122"/>
      <c r="BD830" s="122"/>
      <c r="BE830" s="122"/>
      <c r="BF830" s="122"/>
      <c r="BG830" s="122"/>
      <c r="BH830" s="122"/>
      <c r="BI830" s="122"/>
      <c r="BJ830" s="122"/>
    </row>
    <row r="831" spans="1:62">
      <c r="A831" s="122"/>
      <c r="B831" s="122"/>
      <c r="C831" s="122"/>
      <c r="D831" s="122"/>
      <c r="E831" s="122"/>
      <c r="F831" s="122"/>
      <c r="G831" s="122"/>
      <c r="H831" s="122"/>
      <c r="I831" s="122"/>
      <c r="J831" s="122"/>
      <c r="K831" s="122"/>
      <c r="L831" s="122"/>
      <c r="M831" s="122"/>
      <c r="N831" s="122"/>
      <c r="O831" s="122"/>
      <c r="P831" s="122"/>
      <c r="Q831" s="122"/>
      <c r="R831" s="122"/>
      <c r="S831" s="122"/>
      <c r="T831" s="122"/>
      <c r="U831" s="122"/>
      <c r="V831" s="122"/>
      <c r="W831" s="122"/>
      <c r="X831" s="122"/>
      <c r="Y831" s="122"/>
      <c r="Z831" s="122"/>
      <c r="AA831" s="122"/>
      <c r="AB831" s="122"/>
      <c r="AC831" s="122"/>
      <c r="AD831" s="122"/>
      <c r="AE831" s="122"/>
      <c r="AF831" s="122"/>
      <c r="AG831" s="122"/>
      <c r="AH831" s="122"/>
      <c r="AI831" s="122"/>
      <c r="AJ831" s="122"/>
      <c r="AK831" s="122"/>
      <c r="AL831" s="122"/>
      <c r="AM831" s="122"/>
      <c r="AN831" s="122"/>
      <c r="AO831" s="122"/>
      <c r="AP831" s="166"/>
      <c r="AQ831" s="122"/>
      <c r="AR831" s="167"/>
      <c r="AS831" s="122"/>
      <c r="AT831" s="122"/>
      <c r="AU831" s="122"/>
      <c r="AV831" s="122"/>
      <c r="AW831" s="122"/>
      <c r="AX831" s="122"/>
      <c r="AY831" s="122"/>
      <c r="AZ831" s="122"/>
      <c r="BA831" s="122"/>
      <c r="BB831" s="122"/>
      <c r="BC831" s="122"/>
      <c r="BD831" s="122"/>
      <c r="BE831" s="122"/>
      <c r="BF831" s="122"/>
      <c r="BG831" s="122"/>
      <c r="BH831" s="122"/>
      <c r="BI831" s="122"/>
      <c r="BJ831" s="122"/>
    </row>
    <row r="832" spans="1:62">
      <c r="A832" s="122"/>
      <c r="B832" s="122"/>
      <c r="C832" s="122"/>
      <c r="D832" s="122"/>
      <c r="E832" s="122"/>
      <c r="F832" s="122"/>
      <c r="G832" s="122"/>
      <c r="H832" s="122"/>
      <c r="I832" s="122"/>
      <c r="J832" s="122"/>
      <c r="K832" s="122"/>
      <c r="L832" s="122"/>
      <c r="M832" s="122"/>
      <c r="N832" s="122"/>
      <c r="O832" s="122"/>
      <c r="P832" s="122"/>
      <c r="Q832" s="122"/>
      <c r="R832" s="122"/>
      <c r="S832" s="122"/>
      <c r="T832" s="122"/>
      <c r="U832" s="122"/>
      <c r="V832" s="122"/>
      <c r="W832" s="122"/>
      <c r="X832" s="122"/>
      <c r="Y832" s="122"/>
      <c r="Z832" s="122"/>
      <c r="AA832" s="122"/>
      <c r="AB832" s="122"/>
      <c r="AC832" s="122"/>
      <c r="AD832" s="122"/>
      <c r="AE832" s="122"/>
      <c r="AF832" s="122"/>
      <c r="AG832" s="122"/>
      <c r="AH832" s="122"/>
      <c r="AI832" s="122"/>
      <c r="AJ832" s="122"/>
      <c r="AK832" s="122"/>
      <c r="AL832" s="122"/>
      <c r="AM832" s="122"/>
      <c r="AN832" s="122"/>
      <c r="AO832" s="122"/>
      <c r="AP832" s="166"/>
      <c r="AQ832" s="122"/>
      <c r="AR832" s="167"/>
      <c r="AS832" s="122"/>
      <c r="AT832" s="122"/>
      <c r="AU832" s="122"/>
      <c r="AV832" s="122"/>
      <c r="AW832" s="122"/>
      <c r="AX832" s="122"/>
      <c r="AY832" s="122"/>
      <c r="AZ832" s="122"/>
      <c r="BA832" s="122"/>
      <c r="BB832" s="122"/>
      <c r="BC832" s="122"/>
      <c r="BD832" s="122"/>
      <c r="BE832" s="122"/>
      <c r="BF832" s="122"/>
      <c r="BG832" s="122"/>
      <c r="BH832" s="122"/>
      <c r="BI832" s="122"/>
      <c r="BJ832" s="122"/>
    </row>
    <row r="833" spans="1:62">
      <c r="A833" s="122"/>
      <c r="B833" s="122"/>
      <c r="C833" s="122"/>
      <c r="D833" s="122"/>
      <c r="E833" s="122"/>
      <c r="F833" s="122"/>
      <c r="G833" s="122"/>
      <c r="H833" s="122"/>
      <c r="I833" s="122"/>
      <c r="J833" s="122"/>
      <c r="K833" s="122"/>
      <c r="L833" s="122"/>
      <c r="M833" s="122"/>
      <c r="N833" s="122"/>
      <c r="O833" s="122"/>
      <c r="P833" s="122"/>
      <c r="Q833" s="122"/>
      <c r="R833" s="122"/>
      <c r="S833" s="122"/>
      <c r="T833" s="122"/>
      <c r="U833" s="122"/>
      <c r="V833" s="122"/>
      <c r="W833" s="122"/>
      <c r="X833" s="122"/>
      <c r="Y833" s="122"/>
      <c r="Z833" s="122"/>
      <c r="AA833" s="122"/>
      <c r="AB833" s="122"/>
      <c r="AC833" s="122"/>
      <c r="AD833" s="122"/>
      <c r="AE833" s="122"/>
      <c r="AF833" s="122"/>
      <c r="AG833" s="122"/>
      <c r="AH833" s="122"/>
      <c r="AI833" s="122"/>
      <c r="AJ833" s="122"/>
      <c r="AK833" s="122"/>
      <c r="AL833" s="122"/>
      <c r="AM833" s="122"/>
      <c r="AN833" s="122"/>
      <c r="AO833" s="122"/>
      <c r="AP833" s="166"/>
      <c r="AQ833" s="122"/>
      <c r="AR833" s="167"/>
      <c r="AS833" s="122"/>
      <c r="AT833" s="122"/>
      <c r="AU833" s="122"/>
      <c r="AV833" s="122"/>
      <c r="AW833" s="122"/>
      <c r="AX833" s="122"/>
      <c r="AY833" s="122"/>
      <c r="AZ833" s="122"/>
      <c r="BA833" s="122"/>
      <c r="BB833" s="122"/>
      <c r="BC833" s="122"/>
      <c r="BD833" s="122"/>
      <c r="BE833" s="122"/>
      <c r="BF833" s="122"/>
      <c r="BG833" s="122"/>
      <c r="BH833" s="122"/>
      <c r="BI833" s="122"/>
      <c r="BJ833" s="122"/>
    </row>
    <row r="834" spans="1:62">
      <c r="A834" s="122"/>
      <c r="B834" s="122"/>
      <c r="C834" s="122"/>
      <c r="D834" s="122"/>
      <c r="E834" s="122"/>
      <c r="F834" s="122"/>
      <c r="G834" s="122"/>
      <c r="H834" s="122"/>
      <c r="I834" s="122"/>
      <c r="J834" s="122"/>
      <c r="K834" s="122"/>
      <c r="L834" s="122"/>
      <c r="M834" s="122"/>
      <c r="N834" s="122"/>
      <c r="O834" s="122"/>
      <c r="P834" s="122"/>
      <c r="Q834" s="122"/>
      <c r="R834" s="122"/>
      <c r="S834" s="122"/>
      <c r="T834" s="122"/>
      <c r="U834" s="122"/>
      <c r="V834" s="122"/>
      <c r="W834" s="122"/>
      <c r="X834" s="122"/>
      <c r="Y834" s="122"/>
      <c r="Z834" s="122"/>
      <c r="AA834" s="122"/>
      <c r="AB834" s="122"/>
      <c r="AC834" s="122"/>
      <c r="AD834" s="122"/>
      <c r="AE834" s="122"/>
      <c r="AF834" s="122"/>
      <c r="AG834" s="122"/>
      <c r="AH834" s="122"/>
      <c r="AI834" s="122"/>
      <c r="AJ834" s="122"/>
      <c r="AK834" s="122"/>
      <c r="AL834" s="122"/>
      <c r="AM834" s="122"/>
      <c r="AN834" s="122"/>
      <c r="AO834" s="122"/>
      <c r="AP834" s="166"/>
      <c r="AQ834" s="122"/>
      <c r="AR834" s="167"/>
      <c r="AS834" s="122"/>
      <c r="AT834" s="122"/>
      <c r="AU834" s="122"/>
      <c r="AV834" s="122"/>
      <c r="AW834" s="122"/>
      <c r="AX834" s="122"/>
      <c r="AY834" s="122"/>
      <c r="AZ834" s="122"/>
      <c r="BA834" s="122"/>
      <c r="BB834" s="122"/>
      <c r="BC834" s="122"/>
      <c r="BD834" s="122"/>
      <c r="BE834" s="122"/>
      <c r="BF834" s="122"/>
      <c r="BG834" s="122"/>
      <c r="BH834" s="122"/>
      <c r="BI834" s="122"/>
      <c r="BJ834" s="122"/>
    </row>
    <row r="835" spans="1:62">
      <c r="A835" s="122"/>
      <c r="B835" s="122"/>
      <c r="C835" s="122"/>
      <c r="D835" s="122"/>
      <c r="E835" s="122"/>
      <c r="F835" s="122"/>
      <c r="G835" s="122"/>
      <c r="H835" s="122"/>
      <c r="I835" s="122"/>
      <c r="J835" s="122"/>
      <c r="K835" s="122"/>
      <c r="L835" s="122"/>
      <c r="M835" s="122"/>
      <c r="N835" s="122"/>
      <c r="O835" s="122"/>
      <c r="P835" s="122"/>
      <c r="Q835" s="122"/>
      <c r="R835" s="122"/>
      <c r="S835" s="122"/>
      <c r="T835" s="122"/>
      <c r="U835" s="122"/>
      <c r="V835" s="122"/>
      <c r="W835" s="122"/>
      <c r="X835" s="122"/>
      <c r="Y835" s="122"/>
      <c r="Z835" s="122"/>
      <c r="AA835" s="122"/>
      <c r="AB835" s="122"/>
      <c r="AC835" s="122"/>
      <c r="AD835" s="122"/>
      <c r="AE835" s="122"/>
      <c r="AF835" s="122"/>
      <c r="AG835" s="122"/>
      <c r="AH835" s="122"/>
      <c r="AI835" s="122"/>
      <c r="AJ835" s="122"/>
      <c r="AK835" s="122"/>
      <c r="AL835" s="122"/>
      <c r="AM835" s="122"/>
      <c r="AN835" s="122"/>
      <c r="AO835" s="122"/>
      <c r="AP835" s="166"/>
      <c r="AQ835" s="122"/>
      <c r="AR835" s="167"/>
      <c r="AS835" s="122"/>
      <c r="AT835" s="122"/>
      <c r="AU835" s="122"/>
      <c r="AV835" s="122"/>
      <c r="AW835" s="122"/>
      <c r="AX835" s="122"/>
      <c r="AY835" s="122"/>
      <c r="AZ835" s="122"/>
      <c r="BA835" s="122"/>
      <c r="BB835" s="122"/>
      <c r="BC835" s="122"/>
      <c r="BD835" s="122"/>
      <c r="BE835" s="122"/>
      <c r="BF835" s="122"/>
      <c r="BG835" s="122"/>
      <c r="BH835" s="122"/>
      <c r="BI835" s="122"/>
      <c r="BJ835" s="122"/>
    </row>
    <row r="836" spans="1:62">
      <c r="A836" s="122"/>
      <c r="B836" s="122"/>
      <c r="C836" s="122"/>
      <c r="D836" s="122"/>
      <c r="E836" s="122"/>
      <c r="F836" s="122"/>
      <c r="G836" s="122"/>
      <c r="H836" s="122"/>
      <c r="I836" s="122"/>
      <c r="J836" s="122"/>
      <c r="K836" s="122"/>
      <c r="L836" s="122"/>
      <c r="M836" s="122"/>
      <c r="N836" s="122"/>
      <c r="O836" s="122"/>
      <c r="P836" s="122"/>
      <c r="Q836" s="122"/>
      <c r="R836" s="122"/>
      <c r="S836" s="122"/>
      <c r="T836" s="122"/>
      <c r="U836" s="122"/>
      <c r="V836" s="122"/>
      <c r="W836" s="122"/>
      <c r="X836" s="122"/>
      <c r="Y836" s="122"/>
      <c r="Z836" s="122"/>
      <c r="AA836" s="122"/>
      <c r="AB836" s="122"/>
      <c r="AC836" s="122"/>
      <c r="AD836" s="122"/>
      <c r="AE836" s="122"/>
      <c r="AF836" s="122"/>
      <c r="AG836" s="122"/>
      <c r="AH836" s="122"/>
      <c r="AI836" s="122"/>
      <c r="AJ836" s="122"/>
      <c r="AK836" s="122"/>
      <c r="AL836" s="122"/>
      <c r="AM836" s="122"/>
      <c r="AN836" s="122"/>
      <c r="AO836" s="122"/>
      <c r="AP836" s="166"/>
      <c r="AQ836" s="122"/>
      <c r="AR836" s="167"/>
      <c r="AS836" s="122"/>
      <c r="AT836" s="122"/>
      <c r="AU836" s="122"/>
      <c r="AV836" s="122"/>
      <c r="AW836" s="122"/>
      <c r="AX836" s="122"/>
      <c r="AY836" s="122"/>
      <c r="AZ836" s="122"/>
      <c r="BA836" s="122"/>
      <c r="BB836" s="122"/>
      <c r="BC836" s="122"/>
      <c r="BD836" s="122"/>
      <c r="BE836" s="122"/>
      <c r="BF836" s="122"/>
      <c r="BG836" s="122"/>
      <c r="BH836" s="122"/>
      <c r="BI836" s="122"/>
      <c r="BJ836" s="122"/>
    </row>
    <row r="837" spans="1:62">
      <c r="A837" s="122"/>
      <c r="B837" s="122"/>
      <c r="C837" s="122"/>
      <c r="D837" s="122"/>
      <c r="E837" s="122"/>
      <c r="F837" s="122"/>
      <c r="G837" s="122"/>
      <c r="H837" s="122"/>
      <c r="I837" s="122"/>
      <c r="J837" s="122"/>
      <c r="K837" s="122"/>
      <c r="L837" s="122"/>
      <c r="M837" s="122"/>
      <c r="N837" s="122"/>
      <c r="O837" s="122"/>
      <c r="P837" s="122"/>
      <c r="Q837" s="122"/>
      <c r="R837" s="122"/>
      <c r="S837" s="122"/>
      <c r="T837" s="122"/>
      <c r="U837" s="122"/>
      <c r="V837" s="122"/>
      <c r="W837" s="122"/>
      <c r="X837" s="122"/>
      <c r="Y837" s="122"/>
      <c r="Z837" s="122"/>
      <c r="AA837" s="122"/>
      <c r="AB837" s="122"/>
      <c r="AC837" s="122"/>
      <c r="AD837" s="122"/>
      <c r="AE837" s="122"/>
      <c r="AF837" s="122"/>
      <c r="AG837" s="122"/>
      <c r="AH837" s="122"/>
      <c r="AI837" s="122"/>
      <c r="AJ837" s="122"/>
      <c r="AK837" s="122"/>
      <c r="AL837" s="122"/>
      <c r="AM837" s="122"/>
      <c r="AN837" s="122"/>
      <c r="AO837" s="122"/>
      <c r="AP837" s="166"/>
      <c r="AQ837" s="122"/>
      <c r="AR837" s="167"/>
      <c r="AS837" s="122"/>
      <c r="AT837" s="122"/>
      <c r="AU837" s="122"/>
      <c r="AV837" s="122"/>
      <c r="AW837" s="122"/>
      <c r="AX837" s="122"/>
      <c r="AY837" s="122"/>
      <c r="AZ837" s="122"/>
      <c r="BA837" s="122"/>
      <c r="BB837" s="122"/>
      <c r="BC837" s="122"/>
      <c r="BD837" s="122"/>
      <c r="BE837" s="122"/>
      <c r="BF837" s="122"/>
      <c r="BG837" s="122"/>
      <c r="BH837" s="122"/>
      <c r="BI837" s="122"/>
      <c r="BJ837" s="122"/>
    </row>
    <row r="838" spans="1:62">
      <c r="A838" s="122"/>
      <c r="B838" s="122"/>
      <c r="C838" s="122"/>
      <c r="D838" s="122"/>
      <c r="E838" s="122"/>
      <c r="F838" s="122"/>
      <c r="G838" s="122"/>
      <c r="H838" s="122"/>
      <c r="I838" s="122"/>
      <c r="J838" s="122"/>
      <c r="K838" s="122"/>
      <c r="L838" s="122"/>
      <c r="M838" s="122"/>
      <c r="N838" s="122"/>
      <c r="O838" s="122"/>
      <c r="P838" s="122"/>
      <c r="Q838" s="122"/>
      <c r="R838" s="122"/>
      <c r="S838" s="122"/>
      <c r="T838" s="122"/>
      <c r="U838" s="122"/>
      <c r="V838" s="122"/>
      <c r="W838" s="122"/>
      <c r="X838" s="122"/>
      <c r="Y838" s="122"/>
      <c r="Z838" s="122"/>
      <c r="AA838" s="122"/>
      <c r="AB838" s="122"/>
      <c r="AC838" s="122"/>
      <c r="AD838" s="122"/>
      <c r="AE838" s="122"/>
      <c r="AF838" s="122"/>
      <c r="AG838" s="122"/>
      <c r="AH838" s="122"/>
      <c r="AI838" s="122"/>
      <c r="AJ838" s="122"/>
      <c r="AK838" s="122"/>
      <c r="AL838" s="122"/>
      <c r="AM838" s="122"/>
      <c r="AN838" s="122"/>
      <c r="AO838" s="122"/>
      <c r="AP838" s="166"/>
      <c r="AQ838" s="122"/>
      <c r="AR838" s="167"/>
      <c r="AS838" s="122"/>
      <c r="AT838" s="122"/>
      <c r="AU838" s="122"/>
      <c r="AV838" s="122"/>
      <c r="AW838" s="122"/>
      <c r="AX838" s="122"/>
      <c r="AY838" s="122"/>
      <c r="AZ838" s="122"/>
      <c r="BA838" s="122"/>
      <c r="BB838" s="122"/>
      <c r="BC838" s="122"/>
      <c r="BD838" s="122"/>
      <c r="BE838" s="122"/>
      <c r="BF838" s="122"/>
      <c r="BG838" s="122"/>
      <c r="BH838" s="122"/>
      <c r="BI838" s="122"/>
      <c r="BJ838" s="122"/>
    </row>
    <row r="839" spans="1:62">
      <c r="A839" s="122"/>
      <c r="B839" s="122"/>
      <c r="C839" s="122"/>
      <c r="D839" s="122"/>
      <c r="E839" s="122"/>
      <c r="F839" s="122"/>
      <c r="G839" s="122"/>
      <c r="H839" s="122"/>
      <c r="I839" s="122"/>
      <c r="J839" s="122"/>
      <c r="K839" s="122"/>
      <c r="L839" s="122"/>
      <c r="M839" s="122"/>
      <c r="N839" s="122"/>
      <c r="O839" s="122"/>
      <c r="P839" s="122"/>
      <c r="Q839" s="122"/>
      <c r="R839" s="122"/>
      <c r="S839" s="122"/>
      <c r="T839" s="122"/>
      <c r="U839" s="122"/>
      <c r="V839" s="122"/>
      <c r="W839" s="122"/>
      <c r="X839" s="122"/>
      <c r="Y839" s="122"/>
      <c r="Z839" s="122"/>
      <c r="AA839" s="122"/>
      <c r="AB839" s="122"/>
      <c r="AC839" s="122"/>
      <c r="AD839" s="122"/>
      <c r="AE839" s="122"/>
      <c r="AF839" s="122"/>
      <c r="AG839" s="122"/>
      <c r="AH839" s="122"/>
      <c r="AI839" s="122"/>
      <c r="AJ839" s="122"/>
      <c r="AK839" s="122"/>
      <c r="AL839" s="122"/>
      <c r="AM839" s="122"/>
      <c r="AN839" s="122"/>
      <c r="AO839" s="122"/>
      <c r="AP839" s="166"/>
      <c r="AQ839" s="122"/>
      <c r="AR839" s="167"/>
      <c r="AS839" s="122"/>
      <c r="AT839" s="122"/>
      <c r="AU839" s="122"/>
      <c r="AV839" s="122"/>
      <c r="AW839" s="122"/>
      <c r="AX839" s="122"/>
      <c r="AY839" s="122"/>
      <c r="AZ839" s="122"/>
      <c r="BA839" s="122"/>
      <c r="BB839" s="122"/>
      <c r="BC839" s="122"/>
      <c r="BD839" s="122"/>
      <c r="BE839" s="122"/>
      <c r="BF839" s="122"/>
      <c r="BG839" s="122"/>
      <c r="BH839" s="122"/>
      <c r="BI839" s="122"/>
      <c r="BJ839" s="122"/>
    </row>
    <row r="840" spans="1:62">
      <c r="A840" s="122"/>
      <c r="B840" s="122"/>
      <c r="C840" s="122"/>
      <c r="D840" s="122"/>
      <c r="E840" s="122"/>
      <c r="F840" s="122"/>
      <c r="G840" s="122"/>
      <c r="H840" s="122"/>
      <c r="I840" s="122"/>
      <c r="J840" s="122"/>
      <c r="K840" s="122"/>
      <c r="L840" s="122"/>
      <c r="M840" s="122"/>
      <c r="N840" s="122"/>
      <c r="O840" s="122"/>
      <c r="P840" s="122"/>
      <c r="Q840" s="122"/>
      <c r="R840" s="122"/>
      <c r="S840" s="122"/>
      <c r="T840" s="122"/>
      <c r="U840" s="122"/>
      <c r="V840" s="122"/>
      <c r="W840" s="122"/>
      <c r="X840" s="122"/>
      <c r="Y840" s="122"/>
      <c r="Z840" s="122"/>
      <c r="AA840" s="122"/>
      <c r="AB840" s="122"/>
      <c r="AC840" s="122"/>
      <c r="AD840" s="122"/>
      <c r="AE840" s="122"/>
      <c r="AF840" s="122"/>
      <c r="AG840" s="122"/>
      <c r="AH840" s="122"/>
      <c r="AI840" s="122"/>
      <c r="AJ840" s="122"/>
      <c r="AK840" s="122"/>
      <c r="AL840" s="122"/>
      <c r="AM840" s="122"/>
      <c r="AN840" s="122"/>
      <c r="AO840" s="122"/>
      <c r="AP840" s="166"/>
      <c r="AQ840" s="122"/>
      <c r="AR840" s="167"/>
      <c r="AS840" s="122"/>
      <c r="AT840" s="122"/>
      <c r="AU840" s="122"/>
      <c r="AV840" s="122"/>
      <c r="AW840" s="122"/>
      <c r="AX840" s="122"/>
      <c r="AY840" s="122"/>
      <c r="AZ840" s="122"/>
      <c r="BA840" s="122"/>
      <c r="BB840" s="122"/>
      <c r="BC840" s="122"/>
      <c r="BD840" s="122"/>
      <c r="BE840" s="122"/>
      <c r="BF840" s="122"/>
      <c r="BG840" s="122"/>
      <c r="BH840" s="122"/>
      <c r="BI840" s="122"/>
      <c r="BJ840" s="122"/>
    </row>
    <row r="841" spans="1:62">
      <c r="A841" s="122"/>
      <c r="B841" s="122"/>
      <c r="C841" s="122"/>
      <c r="D841" s="122"/>
      <c r="E841" s="122"/>
      <c r="F841" s="122"/>
      <c r="G841" s="122"/>
      <c r="H841" s="122"/>
      <c r="I841" s="122"/>
      <c r="J841" s="122"/>
      <c r="K841" s="122"/>
      <c r="L841" s="122"/>
      <c r="M841" s="122"/>
      <c r="N841" s="122"/>
      <c r="O841" s="122"/>
      <c r="P841" s="122"/>
      <c r="Q841" s="122"/>
      <c r="R841" s="122"/>
      <c r="S841" s="122"/>
      <c r="T841" s="122"/>
      <c r="U841" s="122"/>
      <c r="V841" s="122"/>
      <c r="W841" s="122"/>
      <c r="X841" s="122"/>
      <c r="Y841" s="122"/>
      <c r="Z841" s="122"/>
      <c r="AA841" s="122"/>
      <c r="AB841" s="122"/>
      <c r="AC841" s="122"/>
      <c r="AD841" s="122"/>
      <c r="AE841" s="122"/>
      <c r="AF841" s="122"/>
      <c r="AG841" s="122"/>
      <c r="AH841" s="122"/>
      <c r="AI841" s="122"/>
      <c r="AJ841" s="122"/>
      <c r="AK841" s="122"/>
      <c r="AL841" s="122"/>
      <c r="AM841" s="122"/>
      <c r="AN841" s="122"/>
      <c r="AO841" s="122"/>
      <c r="AP841" s="166"/>
      <c r="AQ841" s="122"/>
      <c r="AR841" s="167"/>
      <c r="AS841" s="122"/>
      <c r="AT841" s="122"/>
      <c r="AU841" s="122"/>
      <c r="AV841" s="122"/>
      <c r="AW841" s="122"/>
      <c r="AX841" s="122"/>
      <c r="AY841" s="122"/>
      <c r="AZ841" s="122"/>
      <c r="BA841" s="122"/>
      <c r="BB841" s="122"/>
      <c r="BC841" s="122"/>
      <c r="BD841" s="122"/>
      <c r="BE841" s="122"/>
      <c r="BF841" s="122"/>
      <c r="BG841" s="122"/>
      <c r="BH841" s="122"/>
      <c r="BI841" s="122"/>
      <c r="BJ841" s="122"/>
    </row>
    <row r="842" spans="1:62">
      <c r="A842" s="122"/>
      <c r="B842" s="122"/>
      <c r="C842" s="122"/>
      <c r="D842" s="122"/>
      <c r="E842" s="122"/>
      <c r="F842" s="122"/>
      <c r="G842" s="122"/>
      <c r="H842" s="122"/>
      <c r="I842" s="122"/>
      <c r="J842" s="122"/>
      <c r="K842" s="122"/>
      <c r="L842" s="122"/>
      <c r="M842" s="122"/>
      <c r="N842" s="122"/>
      <c r="O842" s="122"/>
      <c r="P842" s="122"/>
      <c r="Q842" s="122"/>
      <c r="R842" s="122"/>
      <c r="S842" s="122"/>
      <c r="T842" s="122"/>
      <c r="U842" s="122"/>
      <c r="V842" s="122"/>
      <c r="W842" s="122"/>
      <c r="X842" s="122"/>
      <c r="Y842" s="122"/>
      <c r="Z842" s="122"/>
      <c r="AA842" s="122"/>
      <c r="AB842" s="122"/>
      <c r="AC842" s="122"/>
      <c r="AD842" s="122"/>
      <c r="AE842" s="122"/>
      <c r="AF842" s="122"/>
      <c r="AG842" s="122"/>
      <c r="AH842" s="122"/>
      <c r="AI842" s="122"/>
      <c r="AJ842" s="122"/>
      <c r="AK842" s="122"/>
      <c r="AL842" s="122"/>
      <c r="AM842" s="122"/>
      <c r="AN842" s="122"/>
      <c r="AO842" s="122"/>
      <c r="AP842" s="166"/>
      <c r="AQ842" s="122"/>
      <c r="AR842" s="167"/>
      <c r="AS842" s="122"/>
      <c r="AT842" s="122"/>
      <c r="AU842" s="122"/>
      <c r="AV842" s="122"/>
      <c r="AW842" s="122"/>
      <c r="AX842" s="122"/>
      <c r="AY842" s="122"/>
      <c r="AZ842" s="122"/>
      <c r="BA842" s="122"/>
      <c r="BB842" s="122"/>
      <c r="BC842" s="122"/>
      <c r="BD842" s="122"/>
      <c r="BE842" s="122"/>
      <c r="BF842" s="122"/>
      <c r="BG842" s="122"/>
      <c r="BH842" s="122"/>
      <c r="BI842" s="122"/>
      <c r="BJ842" s="122"/>
    </row>
    <row r="843" spans="1:62">
      <c r="A843" s="122"/>
      <c r="B843" s="122"/>
      <c r="C843" s="122"/>
      <c r="D843" s="122"/>
      <c r="E843" s="122"/>
      <c r="F843" s="122"/>
      <c r="G843" s="122"/>
      <c r="H843" s="122"/>
      <c r="I843" s="122"/>
      <c r="J843" s="122"/>
      <c r="K843" s="122"/>
      <c r="L843" s="122"/>
      <c r="M843" s="122"/>
      <c r="N843" s="122"/>
      <c r="O843" s="122"/>
      <c r="P843" s="122"/>
      <c r="Q843" s="122"/>
      <c r="R843" s="122"/>
      <c r="S843" s="122"/>
      <c r="T843" s="122"/>
      <c r="U843" s="122"/>
      <c r="V843" s="122"/>
      <c r="W843" s="122"/>
      <c r="X843" s="122"/>
      <c r="Y843" s="122"/>
      <c r="Z843" s="122"/>
      <c r="AA843" s="122"/>
      <c r="AB843" s="122"/>
      <c r="AC843" s="122"/>
      <c r="AD843" s="122"/>
      <c r="AE843" s="122"/>
      <c r="AF843" s="122"/>
      <c r="AG843" s="122"/>
      <c r="AH843" s="122"/>
      <c r="AI843" s="122"/>
      <c r="AJ843" s="122"/>
      <c r="AK843" s="122"/>
      <c r="AL843" s="122"/>
      <c r="AM843" s="122"/>
      <c r="AN843" s="122"/>
      <c r="AO843" s="122"/>
      <c r="AP843" s="166"/>
      <c r="AQ843" s="122"/>
      <c r="AR843" s="167"/>
      <c r="AS843" s="122"/>
      <c r="AT843" s="122"/>
      <c r="AU843" s="122"/>
      <c r="AV843" s="122"/>
      <c r="AW843" s="122"/>
      <c r="AX843" s="122"/>
      <c r="AY843" s="122"/>
      <c r="AZ843" s="122"/>
      <c r="BA843" s="122"/>
      <c r="BB843" s="122"/>
      <c r="BC843" s="122"/>
      <c r="BD843" s="122"/>
      <c r="BE843" s="122"/>
      <c r="BF843" s="122"/>
      <c r="BG843" s="122"/>
      <c r="BH843" s="122"/>
      <c r="BI843" s="122"/>
      <c r="BJ843" s="122"/>
    </row>
    <row r="844" spans="1:62">
      <c r="A844" s="122"/>
      <c r="B844" s="122"/>
      <c r="C844" s="122"/>
      <c r="D844" s="122"/>
      <c r="E844" s="122"/>
      <c r="F844" s="122"/>
      <c r="G844" s="122"/>
      <c r="H844" s="122"/>
      <c r="I844" s="122"/>
      <c r="J844" s="122"/>
      <c r="K844" s="122"/>
      <c r="L844" s="122"/>
      <c r="M844" s="122"/>
      <c r="N844" s="122"/>
      <c r="O844" s="122"/>
      <c r="P844" s="122"/>
      <c r="Q844" s="122"/>
      <c r="R844" s="122"/>
      <c r="S844" s="122"/>
      <c r="T844" s="122"/>
      <c r="U844" s="122"/>
      <c r="V844" s="122"/>
      <c r="W844" s="122"/>
      <c r="X844" s="122"/>
      <c r="Y844" s="122"/>
      <c r="Z844" s="122"/>
      <c r="AA844" s="122"/>
      <c r="AB844" s="122"/>
      <c r="AC844" s="122"/>
      <c r="AD844" s="122"/>
      <c r="AE844" s="122"/>
      <c r="AF844" s="122"/>
      <c r="AG844" s="122"/>
      <c r="AH844" s="122"/>
      <c r="AI844" s="122"/>
      <c r="AJ844" s="122"/>
      <c r="AK844" s="122"/>
      <c r="AL844" s="122"/>
      <c r="AM844" s="122"/>
      <c r="AN844" s="122"/>
      <c r="AO844" s="122"/>
      <c r="AP844" s="166"/>
      <c r="AQ844" s="122"/>
      <c r="AR844" s="167"/>
      <c r="AS844" s="122"/>
      <c r="AT844" s="122"/>
      <c r="AU844" s="122"/>
      <c r="AV844" s="122"/>
      <c r="AW844" s="122"/>
      <c r="AX844" s="122"/>
      <c r="AY844" s="122"/>
      <c r="AZ844" s="122"/>
      <c r="BA844" s="122"/>
      <c r="BB844" s="122"/>
      <c r="BC844" s="122"/>
      <c r="BD844" s="122"/>
      <c r="BE844" s="122"/>
      <c r="BF844" s="122"/>
      <c r="BG844" s="122"/>
      <c r="BH844" s="122"/>
      <c r="BI844" s="122"/>
      <c r="BJ844" s="122"/>
    </row>
    <row r="845" spans="1:62">
      <c r="A845" s="122"/>
      <c r="B845" s="122"/>
      <c r="C845" s="122"/>
      <c r="D845" s="122"/>
      <c r="E845" s="122"/>
      <c r="F845" s="122"/>
      <c r="G845" s="122"/>
      <c r="H845" s="122"/>
      <c r="I845" s="122"/>
      <c r="J845" s="122"/>
      <c r="K845" s="122"/>
      <c r="L845" s="122"/>
      <c r="M845" s="122"/>
      <c r="N845" s="122"/>
      <c r="O845" s="122"/>
      <c r="P845" s="122"/>
      <c r="Q845" s="122"/>
      <c r="R845" s="122"/>
      <c r="S845" s="122"/>
      <c r="T845" s="122"/>
      <c r="U845" s="122"/>
      <c r="V845" s="122"/>
      <c r="W845" s="122"/>
      <c r="X845" s="122"/>
      <c r="Y845" s="122"/>
      <c r="Z845" s="122"/>
      <c r="AA845" s="122"/>
      <c r="AB845" s="122"/>
      <c r="AC845" s="122"/>
      <c r="AD845" s="122"/>
      <c r="AE845" s="122"/>
      <c r="AF845" s="122"/>
      <c r="AG845" s="122"/>
      <c r="AH845" s="122"/>
      <c r="AI845" s="122"/>
      <c r="AJ845" s="122"/>
      <c r="AK845" s="122"/>
      <c r="AL845" s="122"/>
      <c r="AM845" s="122"/>
      <c r="AN845" s="122"/>
      <c r="AO845" s="122"/>
      <c r="AP845" s="166"/>
      <c r="AQ845" s="122"/>
      <c r="AR845" s="167"/>
      <c r="AS845" s="122"/>
      <c r="AT845" s="122"/>
      <c r="AU845" s="122"/>
      <c r="AV845" s="122"/>
      <c r="AW845" s="122"/>
      <c r="AX845" s="122"/>
      <c r="AY845" s="122"/>
      <c r="AZ845" s="122"/>
      <c r="BA845" s="122"/>
      <c r="BB845" s="122"/>
      <c r="BC845" s="122"/>
      <c r="BD845" s="122"/>
      <c r="BE845" s="122"/>
      <c r="BF845" s="122"/>
      <c r="BG845" s="122"/>
      <c r="BH845" s="122"/>
      <c r="BI845" s="122"/>
      <c r="BJ845" s="122"/>
    </row>
    <row r="846" spans="1:62">
      <c r="A846" s="122"/>
      <c r="B846" s="122"/>
      <c r="C846" s="122"/>
      <c r="D846" s="122"/>
      <c r="E846" s="122"/>
      <c r="F846" s="122"/>
      <c r="G846" s="122"/>
      <c r="H846" s="122"/>
      <c r="I846" s="122"/>
      <c r="J846" s="122"/>
      <c r="K846" s="122"/>
      <c r="L846" s="122"/>
      <c r="M846" s="122"/>
      <c r="N846" s="122"/>
      <c r="O846" s="122"/>
      <c r="P846" s="122"/>
      <c r="Q846" s="122"/>
      <c r="R846" s="122"/>
      <c r="S846" s="122"/>
      <c r="T846" s="122"/>
      <c r="U846" s="122"/>
      <c r="V846" s="122"/>
      <c r="W846" s="122"/>
      <c r="X846" s="122"/>
      <c r="Y846" s="122"/>
      <c r="Z846" s="122"/>
      <c r="AA846" s="122"/>
      <c r="AB846" s="122"/>
      <c r="AC846" s="122"/>
      <c r="AD846" s="122"/>
      <c r="AE846" s="122"/>
      <c r="AF846" s="122"/>
      <c r="AG846" s="122"/>
      <c r="AH846" s="122"/>
      <c r="AI846" s="122"/>
      <c r="AJ846" s="122"/>
      <c r="AK846" s="122"/>
      <c r="AL846" s="122"/>
      <c r="AM846" s="122"/>
      <c r="AN846" s="122"/>
      <c r="AO846" s="122"/>
      <c r="AP846" s="166"/>
      <c r="AQ846" s="122"/>
      <c r="AR846" s="167"/>
      <c r="AS846" s="122"/>
      <c r="AT846" s="122"/>
      <c r="AU846" s="122"/>
      <c r="AV846" s="122"/>
      <c r="AW846" s="122"/>
      <c r="AX846" s="122"/>
      <c r="AY846" s="122"/>
      <c r="AZ846" s="122"/>
      <c r="BA846" s="122"/>
      <c r="BB846" s="122"/>
      <c r="BC846" s="122"/>
      <c r="BD846" s="122"/>
      <c r="BE846" s="122"/>
      <c r="BF846" s="122"/>
      <c r="BG846" s="122"/>
      <c r="BH846" s="122"/>
      <c r="BI846" s="122"/>
      <c r="BJ846" s="122"/>
    </row>
    <row r="847" spans="1:62">
      <c r="A847" s="122"/>
      <c r="B847" s="122"/>
      <c r="C847" s="122"/>
      <c r="D847" s="122"/>
      <c r="E847" s="122"/>
      <c r="F847" s="122"/>
      <c r="G847" s="122"/>
      <c r="H847" s="122"/>
      <c r="I847" s="122"/>
      <c r="J847" s="122"/>
      <c r="K847" s="122"/>
      <c r="L847" s="122"/>
      <c r="M847" s="122"/>
      <c r="N847" s="122"/>
      <c r="O847" s="122"/>
      <c r="P847" s="122"/>
      <c r="Q847" s="122"/>
      <c r="R847" s="122"/>
      <c r="S847" s="122"/>
      <c r="T847" s="122"/>
      <c r="U847" s="122"/>
      <c r="V847" s="122"/>
      <c r="W847" s="122"/>
      <c r="X847" s="122"/>
      <c r="Y847" s="122"/>
      <c r="Z847" s="122"/>
      <c r="AA847" s="122"/>
      <c r="AB847" s="122"/>
      <c r="AC847" s="122"/>
      <c r="AD847" s="122"/>
      <c r="AE847" s="122"/>
      <c r="AF847" s="122"/>
      <c r="AG847" s="122"/>
      <c r="AH847" s="122"/>
      <c r="AI847" s="122"/>
      <c r="AJ847" s="122"/>
      <c r="AK847" s="122"/>
      <c r="AL847" s="122"/>
      <c r="AM847" s="122"/>
      <c r="AN847" s="122"/>
      <c r="AO847" s="122"/>
      <c r="AP847" s="166"/>
      <c r="AQ847" s="122"/>
      <c r="AR847" s="167"/>
      <c r="AS847" s="122"/>
      <c r="AT847" s="122"/>
      <c r="AU847" s="122"/>
      <c r="AV847" s="122"/>
      <c r="AW847" s="122"/>
      <c r="AX847" s="122"/>
      <c r="AY847" s="122"/>
      <c r="AZ847" s="122"/>
      <c r="BA847" s="122"/>
      <c r="BB847" s="122"/>
      <c r="BC847" s="122"/>
      <c r="BD847" s="122"/>
      <c r="BE847" s="122"/>
      <c r="BF847" s="122"/>
      <c r="BG847" s="122"/>
      <c r="BH847" s="122"/>
      <c r="BI847" s="122"/>
      <c r="BJ847" s="122"/>
    </row>
    <row r="848" spans="1:62">
      <c r="A848" s="122"/>
      <c r="B848" s="122"/>
      <c r="C848" s="122"/>
      <c r="D848" s="122"/>
      <c r="E848" s="122"/>
      <c r="F848" s="122"/>
      <c r="G848" s="122"/>
      <c r="H848" s="122"/>
      <c r="I848" s="122"/>
      <c r="J848" s="122"/>
      <c r="K848" s="122"/>
      <c r="L848" s="122"/>
      <c r="M848" s="122"/>
      <c r="N848" s="122"/>
      <c r="O848" s="122"/>
      <c r="P848" s="122"/>
      <c r="Q848" s="122"/>
      <c r="R848" s="122"/>
      <c r="S848" s="122"/>
      <c r="T848" s="122"/>
      <c r="U848" s="122"/>
      <c r="V848" s="122"/>
      <c r="W848" s="122"/>
      <c r="X848" s="122"/>
      <c r="Y848" s="122"/>
      <c r="Z848" s="122"/>
      <c r="AA848" s="122"/>
      <c r="AB848" s="122"/>
      <c r="AC848" s="122"/>
      <c r="AD848" s="122"/>
      <c r="AE848" s="122"/>
      <c r="AF848" s="122"/>
      <c r="AG848" s="122"/>
      <c r="AH848" s="122"/>
      <c r="AI848" s="122"/>
      <c r="AJ848" s="122"/>
      <c r="AK848" s="122"/>
      <c r="AL848" s="122"/>
      <c r="AM848" s="122"/>
      <c r="AN848" s="122"/>
      <c r="AO848" s="122"/>
      <c r="AP848" s="166"/>
      <c r="AQ848" s="122"/>
      <c r="AR848" s="167"/>
      <c r="AS848" s="122"/>
      <c r="AT848" s="122"/>
      <c r="AU848" s="122"/>
      <c r="AV848" s="122"/>
      <c r="AW848" s="122"/>
      <c r="AX848" s="122"/>
      <c r="AY848" s="122"/>
      <c r="AZ848" s="122"/>
      <c r="BA848" s="122"/>
      <c r="BB848" s="122"/>
      <c r="BC848" s="122"/>
      <c r="BD848" s="122"/>
      <c r="BE848" s="122"/>
      <c r="BF848" s="122"/>
      <c r="BG848" s="122"/>
      <c r="BH848" s="122"/>
      <c r="BI848" s="122"/>
      <c r="BJ848" s="122"/>
    </row>
    <row r="849" spans="1:62">
      <c r="A849" s="122"/>
      <c r="B849" s="122"/>
      <c r="C849" s="122"/>
      <c r="D849" s="122"/>
      <c r="E849" s="122"/>
      <c r="F849" s="122"/>
      <c r="G849" s="122"/>
      <c r="H849" s="122"/>
      <c r="I849" s="122"/>
      <c r="J849" s="122"/>
      <c r="K849" s="122"/>
      <c r="L849" s="122"/>
      <c r="M849" s="122"/>
      <c r="N849" s="122"/>
      <c r="O849" s="122"/>
      <c r="P849" s="122"/>
      <c r="Q849" s="122"/>
      <c r="R849" s="122"/>
      <c r="S849" s="122"/>
      <c r="T849" s="122"/>
      <c r="U849" s="122"/>
      <c r="V849" s="122"/>
      <c r="W849" s="122"/>
      <c r="X849" s="122"/>
      <c r="Y849" s="122"/>
      <c r="Z849" s="122"/>
      <c r="AA849" s="122"/>
      <c r="AB849" s="122"/>
      <c r="AC849" s="122"/>
      <c r="AD849" s="122"/>
      <c r="AE849" s="122"/>
      <c r="AF849" s="122"/>
      <c r="AG849" s="122"/>
      <c r="AH849" s="122"/>
      <c r="AI849" s="122"/>
      <c r="AJ849" s="122"/>
      <c r="AK849" s="122"/>
      <c r="AL849" s="122"/>
      <c r="AM849" s="122"/>
      <c r="AN849" s="122"/>
      <c r="AO849" s="122"/>
      <c r="AP849" s="166"/>
      <c r="AQ849" s="122"/>
      <c r="AR849" s="167"/>
      <c r="AS849" s="122"/>
      <c r="AT849" s="122"/>
      <c r="AU849" s="122"/>
      <c r="AV849" s="122"/>
      <c r="AW849" s="122"/>
      <c r="AX849" s="122"/>
      <c r="AY849" s="122"/>
      <c r="AZ849" s="122"/>
      <c r="BA849" s="122"/>
      <c r="BB849" s="122"/>
      <c r="BC849" s="122"/>
      <c r="BD849" s="122"/>
      <c r="BE849" s="122"/>
      <c r="BF849" s="122"/>
      <c r="BG849" s="122"/>
      <c r="BH849" s="122"/>
      <c r="BI849" s="122"/>
      <c r="BJ849" s="122"/>
    </row>
    <row r="850" spans="1:62">
      <c r="A850" s="122"/>
      <c r="B850" s="122"/>
      <c r="C850" s="122"/>
      <c r="D850" s="122"/>
      <c r="E850" s="122"/>
      <c r="F850" s="122"/>
      <c r="G850" s="122"/>
      <c r="H850" s="122"/>
      <c r="I850" s="122"/>
      <c r="J850" s="122"/>
      <c r="K850" s="122"/>
      <c r="L850" s="122"/>
      <c r="M850" s="122"/>
      <c r="N850" s="122"/>
      <c r="O850" s="122"/>
      <c r="P850" s="122"/>
      <c r="Q850" s="122"/>
      <c r="R850" s="122"/>
      <c r="S850" s="122"/>
      <c r="T850" s="122"/>
      <c r="U850" s="122"/>
      <c r="V850" s="122"/>
      <c r="W850" s="122"/>
      <c r="X850" s="122"/>
      <c r="Y850" s="122"/>
      <c r="Z850" s="122"/>
      <c r="AA850" s="122"/>
      <c r="AB850" s="122"/>
      <c r="AC850" s="122"/>
      <c r="AD850" s="122"/>
      <c r="AE850" s="122"/>
      <c r="AF850" s="122"/>
      <c r="AG850" s="122"/>
      <c r="AH850" s="122"/>
      <c r="AI850" s="122"/>
      <c r="AJ850" s="122"/>
      <c r="AK850" s="122"/>
      <c r="AL850" s="122"/>
      <c r="AM850" s="122"/>
      <c r="AN850" s="122"/>
      <c r="AO850" s="122"/>
      <c r="AP850" s="166"/>
      <c r="AQ850" s="122"/>
      <c r="AR850" s="167"/>
      <c r="AS850" s="122"/>
      <c r="AT850" s="122"/>
      <c r="AU850" s="122"/>
      <c r="AV850" s="122"/>
      <c r="AW850" s="122"/>
      <c r="AX850" s="122"/>
      <c r="AY850" s="122"/>
      <c r="AZ850" s="122"/>
      <c r="BA850" s="122"/>
      <c r="BB850" s="122"/>
      <c r="BC850" s="122"/>
      <c r="BD850" s="122"/>
      <c r="BE850" s="122"/>
      <c r="BF850" s="122"/>
      <c r="BG850" s="122"/>
      <c r="BH850" s="122"/>
      <c r="BI850" s="122"/>
      <c r="BJ850" s="122"/>
    </row>
    <row r="851" spans="1:62">
      <c r="A851" s="122"/>
      <c r="B851" s="122"/>
      <c r="C851" s="122"/>
      <c r="D851" s="122"/>
      <c r="E851" s="122"/>
      <c r="F851" s="122"/>
      <c r="G851" s="122"/>
      <c r="H851" s="122"/>
      <c r="I851" s="122"/>
      <c r="J851" s="122"/>
      <c r="K851" s="122"/>
      <c r="L851" s="122"/>
      <c r="M851" s="122"/>
      <c r="N851" s="122"/>
      <c r="O851" s="122"/>
      <c r="P851" s="122"/>
      <c r="Q851" s="122"/>
      <c r="R851" s="122"/>
      <c r="S851" s="122"/>
      <c r="T851" s="122"/>
      <c r="U851" s="122"/>
      <c r="V851" s="122"/>
      <c r="W851" s="122"/>
      <c r="X851" s="122"/>
      <c r="Y851" s="122"/>
      <c r="Z851" s="122"/>
      <c r="AA851" s="122"/>
      <c r="AB851" s="122"/>
      <c r="AC851" s="122"/>
      <c r="AD851" s="122"/>
      <c r="AE851" s="122"/>
      <c r="AF851" s="122"/>
      <c r="AG851" s="122"/>
      <c r="AH851" s="122"/>
      <c r="AI851" s="122"/>
      <c r="AJ851" s="122"/>
      <c r="AK851" s="122"/>
      <c r="AL851" s="122"/>
      <c r="AM851" s="122"/>
      <c r="AN851" s="122"/>
      <c r="AO851" s="122"/>
      <c r="AP851" s="166"/>
      <c r="AQ851" s="122"/>
      <c r="AR851" s="167"/>
      <c r="AS851" s="122"/>
      <c r="AT851" s="122"/>
      <c r="AU851" s="122"/>
      <c r="AV851" s="122"/>
      <c r="AW851" s="122"/>
      <c r="AX851" s="122"/>
      <c r="AY851" s="122"/>
      <c r="AZ851" s="122"/>
      <c r="BA851" s="122"/>
      <c r="BB851" s="122"/>
      <c r="BC851" s="122"/>
      <c r="BD851" s="122"/>
      <c r="BE851" s="122"/>
      <c r="BF851" s="122"/>
      <c r="BG851" s="122"/>
      <c r="BH851" s="122"/>
      <c r="BI851" s="122"/>
      <c r="BJ851" s="122"/>
    </row>
    <row r="852" spans="1:62">
      <c r="A852" s="122"/>
      <c r="B852" s="122"/>
      <c r="C852" s="122"/>
      <c r="D852" s="122"/>
      <c r="E852" s="122"/>
      <c r="F852" s="122"/>
      <c r="G852" s="122"/>
      <c r="H852" s="122"/>
      <c r="I852" s="122"/>
      <c r="J852" s="122"/>
      <c r="K852" s="122"/>
      <c r="L852" s="122"/>
      <c r="M852" s="122"/>
      <c r="N852" s="122"/>
      <c r="O852" s="122"/>
      <c r="P852" s="122"/>
      <c r="Q852" s="122"/>
      <c r="R852" s="122"/>
      <c r="S852" s="122"/>
      <c r="T852" s="122"/>
      <c r="U852" s="122"/>
      <c r="V852" s="122"/>
      <c r="W852" s="122"/>
      <c r="X852" s="122"/>
      <c r="Y852" s="122"/>
      <c r="Z852" s="122"/>
      <c r="AA852" s="122"/>
      <c r="AB852" s="122"/>
      <c r="AC852" s="122"/>
      <c r="AD852" s="122"/>
      <c r="AE852" s="122"/>
      <c r="AF852" s="122"/>
      <c r="AG852" s="122"/>
      <c r="AH852" s="122"/>
      <c r="AI852" s="122"/>
      <c r="AJ852" s="122"/>
      <c r="AK852" s="122"/>
      <c r="AL852" s="122"/>
      <c r="AM852" s="122"/>
      <c r="AN852" s="122"/>
      <c r="AO852" s="122"/>
      <c r="AP852" s="166"/>
      <c r="AQ852" s="122"/>
      <c r="AR852" s="167"/>
      <c r="AS852" s="122"/>
      <c r="AT852" s="122"/>
      <c r="AU852" s="122"/>
      <c r="AV852" s="122"/>
      <c r="AW852" s="122"/>
      <c r="AX852" s="122"/>
      <c r="AY852" s="122"/>
      <c r="AZ852" s="122"/>
      <c r="BA852" s="122"/>
      <c r="BB852" s="122"/>
      <c r="BC852" s="122"/>
      <c r="BD852" s="122"/>
      <c r="BE852" s="122"/>
      <c r="BF852" s="122"/>
      <c r="BG852" s="122"/>
      <c r="BH852" s="122"/>
      <c r="BI852" s="122"/>
      <c r="BJ852" s="122"/>
    </row>
    <row r="853" spans="1:62">
      <c r="A853" s="122"/>
      <c r="B853" s="122"/>
      <c r="C853" s="122"/>
      <c r="D853" s="122"/>
      <c r="E853" s="122"/>
      <c r="F853" s="122"/>
      <c r="G853" s="122"/>
      <c r="H853" s="122"/>
      <c r="I853" s="122"/>
      <c r="J853" s="122"/>
      <c r="K853" s="122"/>
      <c r="L853" s="122"/>
      <c r="M853" s="122"/>
      <c r="N853" s="122"/>
      <c r="O853" s="122"/>
      <c r="P853" s="122"/>
      <c r="Q853" s="122"/>
      <c r="R853" s="122"/>
      <c r="S853" s="122"/>
      <c r="T853" s="122"/>
      <c r="U853" s="122"/>
      <c r="V853" s="122"/>
      <c r="W853" s="122"/>
      <c r="X853" s="122"/>
      <c r="Y853" s="122"/>
      <c r="Z853" s="122"/>
      <c r="AA853" s="122"/>
      <c r="AB853" s="122"/>
      <c r="AC853" s="122"/>
      <c r="AD853" s="122"/>
      <c r="AE853" s="122"/>
      <c r="AF853" s="122"/>
      <c r="AG853" s="122"/>
      <c r="AH853" s="122"/>
      <c r="AI853" s="122"/>
      <c r="AJ853" s="122"/>
      <c r="AK853" s="122"/>
      <c r="AL853" s="122"/>
      <c r="AM853" s="122"/>
      <c r="AN853" s="122"/>
      <c r="AO853" s="122"/>
      <c r="AP853" s="166"/>
      <c r="AQ853" s="122"/>
      <c r="AR853" s="167"/>
      <c r="AS853" s="122"/>
      <c r="AT853" s="122"/>
      <c r="AU853" s="122"/>
      <c r="AV853" s="122"/>
      <c r="AW853" s="122"/>
      <c r="AX853" s="122"/>
      <c r="AY853" s="122"/>
      <c r="AZ853" s="122"/>
      <c r="BA853" s="122"/>
      <c r="BB853" s="122"/>
      <c r="BC853" s="122"/>
      <c r="BD853" s="122"/>
      <c r="BE853" s="122"/>
      <c r="BF853" s="122"/>
      <c r="BG853" s="122"/>
      <c r="BH853" s="122"/>
      <c r="BI853" s="122"/>
      <c r="BJ853" s="122"/>
    </row>
    <row r="854" spans="1:62">
      <c r="A854" s="122"/>
      <c r="B854" s="122"/>
      <c r="C854" s="122"/>
      <c r="D854" s="122"/>
      <c r="E854" s="122"/>
      <c r="F854" s="122"/>
      <c r="G854" s="122"/>
      <c r="H854" s="122"/>
      <c r="I854" s="122"/>
      <c r="J854" s="122"/>
      <c r="K854" s="122"/>
      <c r="L854" s="122"/>
      <c r="M854" s="122"/>
      <c r="N854" s="122"/>
      <c r="O854" s="122"/>
      <c r="P854" s="122"/>
      <c r="Q854" s="122"/>
      <c r="R854" s="122"/>
      <c r="S854" s="122"/>
      <c r="T854" s="122"/>
      <c r="U854" s="122"/>
      <c r="V854" s="122"/>
      <c r="W854" s="122"/>
      <c r="X854" s="122"/>
      <c r="Y854" s="122"/>
      <c r="Z854" s="122"/>
      <c r="AA854" s="122"/>
      <c r="AB854" s="122"/>
      <c r="AC854" s="122"/>
      <c r="AD854" s="122"/>
      <c r="AE854" s="122"/>
      <c r="AF854" s="122"/>
      <c r="AG854" s="122"/>
      <c r="AH854" s="122"/>
      <c r="AI854" s="122"/>
      <c r="AJ854" s="122"/>
      <c r="AK854" s="122"/>
      <c r="AL854" s="122"/>
      <c r="AM854" s="122"/>
      <c r="AN854" s="122"/>
      <c r="AO854" s="122"/>
      <c r="AP854" s="166"/>
      <c r="AQ854" s="122"/>
      <c r="AR854" s="167"/>
      <c r="AS854" s="122"/>
      <c r="AT854" s="122"/>
      <c r="AU854" s="122"/>
      <c r="AV854" s="122"/>
      <c r="AW854" s="122"/>
      <c r="AX854" s="122"/>
      <c r="AY854" s="122"/>
      <c r="AZ854" s="122"/>
      <c r="BA854" s="122"/>
      <c r="BB854" s="122"/>
      <c r="BC854" s="122"/>
      <c r="BD854" s="122"/>
      <c r="BE854" s="122"/>
      <c r="BF854" s="122"/>
      <c r="BG854" s="122"/>
      <c r="BH854" s="122"/>
      <c r="BI854" s="122"/>
      <c r="BJ854" s="122"/>
    </row>
    <row r="855" spans="1:62">
      <c r="A855" s="122"/>
      <c r="B855" s="122"/>
      <c r="C855" s="122"/>
      <c r="D855" s="122"/>
      <c r="E855" s="122"/>
      <c r="F855" s="122"/>
      <c r="G855" s="122"/>
      <c r="H855" s="122"/>
      <c r="I855" s="122"/>
      <c r="J855" s="122"/>
      <c r="K855" s="122"/>
      <c r="L855" s="122"/>
      <c r="M855" s="122"/>
      <c r="N855" s="122"/>
      <c r="O855" s="122"/>
      <c r="P855" s="122"/>
      <c r="Q855" s="122"/>
      <c r="R855" s="122"/>
      <c r="S855" s="122"/>
      <c r="T855" s="122"/>
      <c r="U855" s="122"/>
      <c r="V855" s="122"/>
      <c r="W855" s="122"/>
      <c r="X855" s="122"/>
      <c r="Y855" s="122"/>
      <c r="Z855" s="122"/>
      <c r="AA855" s="122"/>
      <c r="AB855" s="122"/>
      <c r="AC855" s="122"/>
      <c r="AD855" s="122"/>
      <c r="AE855" s="122"/>
      <c r="AF855" s="122"/>
      <c r="AG855" s="122"/>
      <c r="AH855" s="122"/>
      <c r="AI855" s="122"/>
      <c r="AJ855" s="122"/>
      <c r="AK855" s="122"/>
      <c r="AL855" s="122"/>
      <c r="AM855" s="122"/>
      <c r="AN855" s="122"/>
      <c r="AO855" s="122"/>
      <c r="AP855" s="166"/>
      <c r="AQ855" s="122"/>
      <c r="AR855" s="167"/>
      <c r="AS855" s="122"/>
      <c r="AT855" s="122"/>
      <c r="AU855" s="122"/>
      <c r="AV855" s="122"/>
      <c r="AW855" s="122"/>
      <c r="AX855" s="122"/>
      <c r="AY855" s="122"/>
      <c r="AZ855" s="122"/>
      <c r="BA855" s="122"/>
      <c r="BB855" s="122"/>
      <c r="BC855" s="122"/>
      <c r="BD855" s="122"/>
      <c r="BE855" s="122"/>
      <c r="BF855" s="122"/>
      <c r="BG855" s="122"/>
      <c r="BH855" s="122"/>
      <c r="BI855" s="122"/>
      <c r="BJ855" s="122"/>
    </row>
    <row r="856" spans="1:62">
      <c r="A856" s="122"/>
      <c r="B856" s="122"/>
      <c r="C856" s="122"/>
      <c r="D856" s="122"/>
      <c r="E856" s="122"/>
      <c r="F856" s="122"/>
      <c r="G856" s="122"/>
      <c r="H856" s="122"/>
      <c r="I856" s="122"/>
      <c r="J856" s="122"/>
      <c r="K856" s="122"/>
      <c r="L856" s="122"/>
      <c r="M856" s="122"/>
      <c r="N856" s="122"/>
      <c r="O856" s="122"/>
      <c r="P856" s="122"/>
      <c r="Q856" s="122"/>
      <c r="R856" s="122"/>
      <c r="S856" s="122"/>
      <c r="T856" s="122"/>
      <c r="U856" s="122"/>
      <c r="V856" s="122"/>
      <c r="W856" s="122"/>
      <c r="X856" s="122"/>
      <c r="Y856" s="122"/>
      <c r="Z856" s="122"/>
      <c r="AA856" s="122"/>
      <c r="AB856" s="122"/>
      <c r="AC856" s="122"/>
      <c r="AD856" s="122"/>
      <c r="AE856" s="122"/>
      <c r="AF856" s="122"/>
      <c r="AG856" s="122"/>
      <c r="AH856" s="122"/>
      <c r="AI856" s="122"/>
      <c r="AJ856" s="122"/>
      <c r="AK856" s="122"/>
      <c r="AL856" s="122"/>
      <c r="AM856" s="122"/>
      <c r="AN856" s="122"/>
      <c r="AO856" s="122"/>
      <c r="AP856" s="166"/>
      <c r="AQ856" s="122"/>
      <c r="AR856" s="167"/>
      <c r="AS856" s="122"/>
      <c r="AT856" s="122"/>
      <c r="AU856" s="122"/>
      <c r="AV856" s="122"/>
      <c r="AW856" s="122"/>
      <c r="AX856" s="122"/>
      <c r="AY856" s="122"/>
      <c r="AZ856" s="122"/>
      <c r="BA856" s="122"/>
      <c r="BB856" s="122"/>
      <c r="BC856" s="122"/>
      <c r="BD856" s="122"/>
      <c r="BE856" s="122"/>
      <c r="BF856" s="122"/>
      <c r="BG856" s="122"/>
      <c r="BH856" s="122"/>
      <c r="BI856" s="122"/>
      <c r="BJ856" s="122"/>
    </row>
    <row r="857" spans="1:62">
      <c r="A857" s="122"/>
      <c r="B857" s="122"/>
      <c r="C857" s="122"/>
      <c r="D857" s="122"/>
      <c r="E857" s="122"/>
      <c r="F857" s="122"/>
      <c r="G857" s="122"/>
      <c r="H857" s="122"/>
      <c r="I857" s="122"/>
      <c r="J857" s="122"/>
      <c r="K857" s="122"/>
      <c r="L857" s="122"/>
      <c r="M857" s="122"/>
      <c r="N857" s="122"/>
      <c r="O857" s="122"/>
      <c r="P857" s="122"/>
      <c r="Q857" s="122"/>
      <c r="R857" s="122"/>
      <c r="S857" s="122"/>
      <c r="T857" s="122"/>
      <c r="U857" s="122"/>
      <c r="V857" s="122"/>
      <c r="W857" s="122"/>
      <c r="X857" s="122"/>
      <c r="Y857" s="122"/>
      <c r="Z857" s="122"/>
      <c r="AA857" s="122"/>
      <c r="AB857" s="122"/>
      <c r="AC857" s="122"/>
      <c r="AD857" s="122"/>
      <c r="AE857" s="122"/>
      <c r="AF857" s="122"/>
      <c r="AG857" s="122"/>
      <c r="AH857" s="122"/>
      <c r="AI857" s="122"/>
      <c r="AJ857" s="122"/>
      <c r="AK857" s="122"/>
      <c r="AL857" s="122"/>
      <c r="AM857" s="122"/>
      <c r="AN857" s="122"/>
      <c r="AO857" s="122"/>
      <c r="AP857" s="166"/>
      <c r="AQ857" s="122"/>
      <c r="AR857" s="167"/>
      <c r="AS857" s="122"/>
      <c r="AT857" s="122"/>
      <c r="AU857" s="122"/>
      <c r="AV857" s="122"/>
      <c r="AW857" s="122"/>
      <c r="AX857" s="122"/>
      <c r="AY857" s="122"/>
      <c r="AZ857" s="122"/>
      <c r="BA857" s="122"/>
      <c r="BB857" s="122"/>
      <c r="BC857" s="122"/>
      <c r="BD857" s="122"/>
      <c r="BE857" s="122"/>
      <c r="BF857" s="122"/>
      <c r="BG857" s="122"/>
      <c r="BH857" s="122"/>
      <c r="BI857" s="122"/>
      <c r="BJ857" s="122"/>
    </row>
    <row r="858" spans="1:62">
      <c r="A858" s="122"/>
      <c r="B858" s="122"/>
      <c r="C858" s="122"/>
      <c r="D858" s="122"/>
      <c r="E858" s="122"/>
      <c r="F858" s="122"/>
      <c r="G858" s="122"/>
      <c r="H858" s="122"/>
      <c r="I858" s="122"/>
      <c r="J858" s="122"/>
      <c r="K858" s="122"/>
      <c r="L858" s="122"/>
      <c r="M858" s="122"/>
      <c r="N858" s="122"/>
      <c r="O858" s="122"/>
      <c r="P858" s="122"/>
      <c r="Q858" s="122"/>
      <c r="R858" s="122"/>
      <c r="S858" s="122"/>
      <c r="T858" s="122"/>
      <c r="U858" s="122"/>
      <c r="V858" s="122"/>
      <c r="W858" s="122"/>
      <c r="X858" s="122"/>
      <c r="Y858" s="122"/>
      <c r="Z858" s="122"/>
      <c r="AA858" s="122"/>
      <c r="AB858" s="122"/>
      <c r="AC858" s="122"/>
      <c r="AD858" s="122"/>
      <c r="AE858" s="122"/>
      <c r="AF858" s="122"/>
      <c r="AG858" s="122"/>
      <c r="AH858" s="122"/>
      <c r="AI858" s="122"/>
      <c r="AJ858" s="122"/>
      <c r="AK858" s="122"/>
      <c r="AL858" s="122"/>
      <c r="AM858" s="122"/>
      <c r="AN858" s="122"/>
      <c r="AO858" s="122"/>
      <c r="AP858" s="166"/>
      <c r="AQ858" s="122"/>
      <c r="AR858" s="167"/>
      <c r="AS858" s="122"/>
      <c r="AT858" s="122"/>
      <c r="AU858" s="122"/>
      <c r="AV858" s="122"/>
      <c r="AW858" s="122"/>
      <c r="AX858" s="122"/>
      <c r="AY858" s="122"/>
      <c r="AZ858" s="122"/>
      <c r="BA858" s="122"/>
      <c r="BB858" s="122"/>
      <c r="BC858" s="122"/>
      <c r="BD858" s="122"/>
      <c r="BE858" s="122"/>
      <c r="BF858" s="122"/>
      <c r="BG858" s="122"/>
      <c r="BH858" s="122"/>
      <c r="BI858" s="122"/>
      <c r="BJ858" s="122"/>
    </row>
    <row r="859" spans="1:62">
      <c r="A859" s="122"/>
      <c r="B859" s="122"/>
      <c r="C859" s="122"/>
      <c r="D859" s="122"/>
      <c r="E859" s="122"/>
      <c r="F859" s="122"/>
      <c r="G859" s="122"/>
      <c r="H859" s="122"/>
      <c r="I859" s="122"/>
      <c r="J859" s="122"/>
      <c r="K859" s="122"/>
      <c r="L859" s="122"/>
      <c r="M859" s="122"/>
      <c r="N859" s="122"/>
      <c r="O859" s="122"/>
      <c r="P859" s="122"/>
      <c r="Q859" s="122"/>
      <c r="R859" s="122"/>
      <c r="S859" s="122"/>
      <c r="T859" s="122"/>
      <c r="U859" s="122"/>
      <c r="V859" s="122"/>
      <c r="W859" s="122"/>
      <c r="X859" s="122"/>
      <c r="Y859" s="122"/>
      <c r="Z859" s="122"/>
      <c r="AA859" s="122"/>
      <c r="AB859" s="122"/>
      <c r="AC859" s="122"/>
      <c r="AD859" s="122"/>
      <c r="AE859" s="122"/>
      <c r="AF859" s="122"/>
      <c r="AG859" s="122"/>
      <c r="AH859" s="122"/>
      <c r="AI859" s="122"/>
      <c r="AJ859" s="122"/>
      <c r="AK859" s="122"/>
      <c r="AL859" s="122"/>
      <c r="AM859" s="122"/>
      <c r="AN859" s="122"/>
      <c r="AO859" s="122"/>
      <c r="AP859" s="166"/>
      <c r="AQ859" s="122"/>
      <c r="AR859" s="167"/>
      <c r="AS859" s="122"/>
      <c r="AT859" s="122"/>
      <c r="AU859" s="122"/>
      <c r="AV859" s="122"/>
      <c r="AW859" s="122"/>
      <c r="AX859" s="122"/>
      <c r="AY859" s="122"/>
      <c r="AZ859" s="122"/>
      <c r="BA859" s="122"/>
      <c r="BB859" s="122"/>
      <c r="BC859" s="122"/>
      <c r="BD859" s="122"/>
      <c r="BE859" s="122"/>
      <c r="BF859" s="122"/>
      <c r="BG859" s="122"/>
      <c r="BH859" s="122"/>
      <c r="BI859" s="122"/>
      <c r="BJ859" s="122"/>
    </row>
    <row r="860" spans="1:62">
      <c r="A860" s="122"/>
      <c r="B860" s="122"/>
      <c r="C860" s="122"/>
      <c r="D860" s="122"/>
      <c r="E860" s="122"/>
      <c r="F860" s="122"/>
      <c r="G860" s="122"/>
      <c r="H860" s="122"/>
      <c r="I860" s="122"/>
      <c r="J860" s="122"/>
      <c r="K860" s="122"/>
      <c r="L860" s="122"/>
      <c r="M860" s="122"/>
      <c r="N860" s="122"/>
      <c r="O860" s="122"/>
      <c r="P860" s="122"/>
      <c r="Q860" s="122"/>
      <c r="R860" s="122"/>
      <c r="S860" s="122"/>
      <c r="T860" s="122"/>
      <c r="U860" s="122"/>
      <c r="V860" s="122"/>
      <c r="W860" s="122"/>
      <c r="X860" s="122"/>
      <c r="Y860" s="122"/>
      <c r="Z860" s="122"/>
      <c r="AA860" s="122"/>
      <c r="AB860" s="122"/>
      <c r="AC860" s="122"/>
      <c r="AD860" s="122"/>
      <c r="AE860" s="122"/>
      <c r="AF860" s="122"/>
      <c r="AG860" s="122"/>
      <c r="AH860" s="122"/>
      <c r="AI860" s="122"/>
      <c r="AJ860" s="122"/>
      <c r="AK860" s="122"/>
      <c r="AL860" s="122"/>
      <c r="AM860" s="122"/>
      <c r="AN860" s="122"/>
      <c r="AO860" s="122"/>
      <c r="AP860" s="166"/>
      <c r="AQ860" s="122"/>
      <c r="AR860" s="167"/>
      <c r="AS860" s="122"/>
      <c r="AT860" s="122"/>
      <c r="AU860" s="122"/>
      <c r="AV860" s="122"/>
      <c r="AW860" s="122"/>
      <c r="AX860" s="122"/>
      <c r="AY860" s="122"/>
      <c r="AZ860" s="122"/>
      <c r="BA860" s="122"/>
      <c r="BB860" s="122"/>
      <c r="BC860" s="122"/>
      <c r="BD860" s="122"/>
      <c r="BE860" s="122"/>
      <c r="BF860" s="122"/>
      <c r="BG860" s="122"/>
      <c r="BH860" s="122"/>
      <c r="BI860" s="122"/>
      <c r="BJ860" s="122"/>
    </row>
    <row r="861" spans="1:62">
      <c r="A861" s="122"/>
      <c r="B861" s="122"/>
      <c r="C861" s="122"/>
      <c r="D861" s="122"/>
      <c r="E861" s="122"/>
      <c r="F861" s="122"/>
      <c r="G861" s="122"/>
      <c r="H861" s="122"/>
      <c r="I861" s="122"/>
      <c r="J861" s="122"/>
      <c r="K861" s="122"/>
      <c r="L861" s="122"/>
      <c r="M861" s="122"/>
      <c r="N861" s="122"/>
      <c r="O861" s="122"/>
      <c r="P861" s="122"/>
      <c r="Q861" s="122"/>
      <c r="R861" s="122"/>
      <c r="S861" s="122"/>
      <c r="T861" s="122"/>
      <c r="U861" s="122"/>
      <c r="V861" s="122"/>
      <c r="W861" s="122"/>
      <c r="X861" s="122"/>
      <c r="Y861" s="122"/>
      <c r="Z861" s="122"/>
      <c r="AA861" s="122"/>
      <c r="AB861" s="122"/>
      <c r="AC861" s="122"/>
      <c r="AD861" s="122"/>
      <c r="AE861" s="122"/>
      <c r="AF861" s="122"/>
      <c r="AG861" s="122"/>
      <c r="AH861" s="122"/>
      <c r="AI861" s="122"/>
      <c r="AJ861" s="122"/>
      <c r="AK861" s="122"/>
      <c r="AL861" s="122"/>
      <c r="AM861" s="122"/>
      <c r="AN861" s="122"/>
      <c r="AO861" s="122"/>
      <c r="AP861" s="166"/>
      <c r="AQ861" s="122"/>
      <c r="AR861" s="167"/>
      <c r="AS861" s="122"/>
      <c r="AT861" s="122"/>
      <c r="AU861" s="122"/>
      <c r="AV861" s="122"/>
      <c r="AW861" s="122"/>
      <c r="AX861" s="122"/>
      <c r="AY861" s="122"/>
      <c r="AZ861" s="122"/>
      <c r="BA861" s="122"/>
      <c r="BB861" s="122"/>
      <c r="BC861" s="122"/>
      <c r="BD861" s="122"/>
      <c r="BE861" s="122"/>
      <c r="BF861" s="122"/>
      <c r="BG861" s="122"/>
      <c r="BH861" s="122"/>
      <c r="BI861" s="122"/>
      <c r="BJ861" s="122"/>
    </row>
    <row r="862" spans="1:62">
      <c r="A862" s="122"/>
      <c r="B862" s="122"/>
      <c r="C862" s="122"/>
      <c r="D862" s="122"/>
      <c r="E862" s="122"/>
      <c r="F862" s="122"/>
      <c r="G862" s="122"/>
      <c r="H862" s="122"/>
      <c r="I862" s="122"/>
      <c r="J862" s="122"/>
      <c r="K862" s="122"/>
      <c r="L862" s="122"/>
      <c r="M862" s="122"/>
      <c r="N862" s="122"/>
      <c r="O862" s="122"/>
      <c r="P862" s="122"/>
      <c r="Q862" s="122"/>
      <c r="R862" s="122"/>
      <c r="S862" s="122"/>
      <c r="T862" s="122"/>
      <c r="U862" s="122"/>
      <c r="V862" s="122"/>
      <c r="W862" s="122"/>
      <c r="X862" s="122"/>
      <c r="Y862" s="122"/>
      <c r="Z862" s="122"/>
      <c r="AA862" s="122"/>
      <c r="AB862" s="122"/>
      <c r="AC862" s="122"/>
      <c r="AD862" s="122"/>
      <c r="AE862" s="122"/>
      <c r="AF862" s="122"/>
      <c r="AG862" s="122"/>
      <c r="AH862" s="122"/>
      <c r="AI862" s="122"/>
      <c r="AJ862" s="122"/>
      <c r="AK862" s="122"/>
      <c r="AL862" s="122"/>
      <c r="AM862" s="122"/>
      <c r="AN862" s="122"/>
      <c r="AO862" s="122"/>
      <c r="AP862" s="166"/>
      <c r="AQ862" s="122"/>
      <c r="AR862" s="167"/>
      <c r="AS862" s="122"/>
      <c r="AT862" s="122"/>
      <c r="AU862" s="122"/>
      <c r="AV862" s="122"/>
      <c r="AW862" s="122"/>
      <c r="AX862" s="122"/>
      <c r="AY862" s="122"/>
      <c r="AZ862" s="122"/>
      <c r="BA862" s="122"/>
      <c r="BB862" s="122"/>
      <c r="BC862" s="122"/>
      <c r="BD862" s="122"/>
      <c r="BE862" s="122"/>
      <c r="BF862" s="122"/>
      <c r="BG862" s="122"/>
      <c r="BH862" s="122"/>
      <c r="BI862" s="122"/>
      <c r="BJ862" s="122"/>
    </row>
    <row r="863" spans="1:62">
      <c r="A863" s="122"/>
      <c r="B863" s="122"/>
      <c r="C863" s="122"/>
      <c r="D863" s="122"/>
      <c r="E863" s="122"/>
      <c r="F863" s="122"/>
      <c r="G863" s="122"/>
      <c r="H863" s="122"/>
      <c r="I863" s="122"/>
      <c r="J863" s="122"/>
      <c r="K863" s="122"/>
      <c r="L863" s="122"/>
      <c r="M863" s="122"/>
      <c r="N863" s="122"/>
      <c r="O863" s="122"/>
      <c r="P863" s="122"/>
      <c r="Q863" s="122"/>
      <c r="R863" s="122"/>
      <c r="S863" s="122"/>
      <c r="T863" s="122"/>
      <c r="U863" s="122"/>
      <c r="V863" s="122"/>
      <c r="W863" s="122"/>
      <c r="X863" s="122"/>
      <c r="Y863" s="122"/>
      <c r="Z863" s="122"/>
      <c r="AA863" s="122"/>
      <c r="AB863" s="122"/>
      <c r="AC863" s="122"/>
      <c r="AD863" s="122"/>
      <c r="AE863" s="122"/>
      <c r="AF863" s="122"/>
      <c r="AG863" s="122"/>
      <c r="AH863" s="122"/>
      <c r="AI863" s="122"/>
      <c r="AJ863" s="122"/>
      <c r="AK863" s="122"/>
      <c r="AL863" s="122"/>
      <c r="AM863" s="122"/>
      <c r="AN863" s="122"/>
      <c r="AO863" s="122"/>
      <c r="AP863" s="166"/>
      <c r="AQ863" s="122"/>
      <c r="AR863" s="167"/>
      <c r="AS863" s="122"/>
      <c r="AT863" s="122"/>
      <c r="AU863" s="122"/>
      <c r="AV863" s="122"/>
      <c r="AW863" s="122"/>
      <c r="AX863" s="122"/>
      <c r="AY863" s="122"/>
      <c r="AZ863" s="122"/>
      <c r="BA863" s="122"/>
      <c r="BB863" s="122"/>
      <c r="BC863" s="122"/>
      <c r="BD863" s="122"/>
      <c r="BE863" s="122"/>
      <c r="BF863" s="122"/>
      <c r="BG863" s="122"/>
      <c r="BH863" s="122"/>
      <c r="BI863" s="122"/>
      <c r="BJ863" s="122"/>
    </row>
    <row r="864" spans="1:62">
      <c r="A864" s="122"/>
      <c r="B864" s="122"/>
      <c r="C864" s="122"/>
      <c r="D864" s="122"/>
      <c r="E864" s="122"/>
      <c r="F864" s="122"/>
      <c r="G864" s="122"/>
      <c r="H864" s="122"/>
      <c r="I864" s="122"/>
      <c r="J864" s="122"/>
      <c r="K864" s="122"/>
      <c r="L864" s="122"/>
      <c r="M864" s="122"/>
      <c r="N864" s="122"/>
      <c r="O864" s="122"/>
      <c r="P864" s="122"/>
      <c r="Q864" s="122"/>
      <c r="R864" s="122"/>
      <c r="S864" s="122"/>
      <c r="T864" s="122"/>
      <c r="U864" s="122"/>
      <c r="V864" s="122"/>
      <c r="W864" s="122"/>
      <c r="X864" s="122"/>
      <c r="Y864" s="122"/>
      <c r="Z864" s="122"/>
      <c r="AA864" s="122"/>
      <c r="AB864" s="122"/>
      <c r="AC864" s="122"/>
      <c r="AD864" s="122"/>
      <c r="AE864" s="122"/>
      <c r="AF864" s="122"/>
      <c r="AG864" s="122"/>
      <c r="AH864" s="122"/>
      <c r="AI864" s="122"/>
      <c r="AJ864" s="122"/>
      <c r="AK864" s="122"/>
      <c r="AL864" s="122"/>
      <c r="AM864" s="122"/>
      <c r="AN864" s="122"/>
      <c r="AO864" s="122"/>
      <c r="AP864" s="166"/>
      <c r="AQ864" s="122"/>
      <c r="AR864" s="167"/>
      <c r="AS864" s="122"/>
      <c r="AT864" s="122"/>
      <c r="AU864" s="122"/>
      <c r="AV864" s="122"/>
      <c r="AW864" s="122"/>
      <c r="AX864" s="122"/>
      <c r="AY864" s="122"/>
      <c r="AZ864" s="122"/>
      <c r="BA864" s="122"/>
      <c r="BB864" s="122"/>
      <c r="BC864" s="122"/>
      <c r="BD864" s="122"/>
      <c r="BE864" s="122"/>
      <c r="BF864" s="122"/>
      <c r="BG864" s="122"/>
      <c r="BH864" s="122"/>
      <c r="BI864" s="122"/>
      <c r="BJ864" s="122"/>
    </row>
    <row r="865" spans="1:62">
      <c r="A865" s="122"/>
      <c r="B865" s="122"/>
      <c r="C865" s="122"/>
      <c r="D865" s="122"/>
      <c r="E865" s="122"/>
      <c r="F865" s="122"/>
      <c r="G865" s="122"/>
      <c r="H865" s="122"/>
      <c r="I865" s="122"/>
      <c r="J865" s="122"/>
      <c r="K865" s="122"/>
      <c r="L865" s="122"/>
      <c r="M865" s="122"/>
      <c r="N865" s="122"/>
      <c r="O865" s="122"/>
      <c r="P865" s="122"/>
      <c r="Q865" s="122"/>
      <c r="R865" s="122"/>
      <c r="S865" s="122"/>
      <c r="T865" s="122"/>
      <c r="U865" s="122"/>
      <c r="V865" s="122"/>
      <c r="W865" s="122"/>
      <c r="X865" s="122"/>
      <c r="Y865" s="122"/>
      <c r="Z865" s="122"/>
      <c r="AA865" s="122"/>
      <c r="AB865" s="122"/>
      <c r="AC865" s="122"/>
      <c r="AD865" s="122"/>
      <c r="AE865" s="122"/>
      <c r="AF865" s="122"/>
      <c r="AG865" s="122"/>
      <c r="AH865" s="122"/>
      <c r="AI865" s="122"/>
      <c r="AJ865" s="122"/>
      <c r="AK865" s="122"/>
      <c r="AL865" s="122"/>
      <c r="AM865" s="122"/>
      <c r="AN865" s="122"/>
      <c r="AO865" s="122"/>
      <c r="AP865" s="166"/>
      <c r="AQ865" s="122"/>
      <c r="AR865" s="167"/>
      <c r="AS865" s="122"/>
      <c r="AT865" s="122"/>
      <c r="AU865" s="122"/>
      <c r="AV865" s="122"/>
      <c r="AW865" s="122"/>
      <c r="AX865" s="122"/>
      <c r="AY865" s="122"/>
      <c r="AZ865" s="122"/>
      <c r="BA865" s="122"/>
      <c r="BB865" s="122"/>
      <c r="BC865" s="122"/>
      <c r="BD865" s="122"/>
      <c r="BE865" s="122"/>
      <c r="BF865" s="122"/>
      <c r="BG865" s="122"/>
      <c r="BH865" s="122"/>
      <c r="BI865" s="122"/>
      <c r="BJ865" s="122"/>
    </row>
    <row r="866" spans="1:62">
      <c r="A866" s="122"/>
      <c r="B866" s="122"/>
      <c r="C866" s="122"/>
      <c r="D866" s="122"/>
      <c r="E866" s="122"/>
      <c r="F866" s="122"/>
      <c r="G866" s="122"/>
      <c r="H866" s="122"/>
      <c r="I866" s="122"/>
      <c r="J866" s="122"/>
      <c r="K866" s="122"/>
      <c r="L866" s="122"/>
      <c r="M866" s="122"/>
      <c r="N866" s="122"/>
      <c r="O866" s="122"/>
      <c r="P866" s="122"/>
      <c r="Q866" s="122"/>
      <c r="R866" s="122"/>
      <c r="S866" s="122"/>
      <c r="T866" s="122"/>
      <c r="U866" s="122"/>
      <c r="V866" s="122"/>
      <c r="W866" s="122"/>
      <c r="X866" s="122"/>
      <c r="Y866" s="122"/>
      <c r="Z866" s="122"/>
      <c r="AA866" s="122"/>
      <c r="AB866" s="122"/>
      <c r="AC866" s="122"/>
      <c r="AD866" s="122"/>
      <c r="AE866" s="122"/>
      <c r="AF866" s="122"/>
      <c r="AG866" s="122"/>
      <c r="AH866" s="122"/>
      <c r="AI866" s="122"/>
      <c r="AJ866" s="122"/>
      <c r="AK866" s="122"/>
      <c r="AL866" s="122"/>
      <c r="AM866" s="122"/>
      <c r="AN866" s="122"/>
      <c r="AO866" s="122"/>
      <c r="AP866" s="166"/>
      <c r="AQ866" s="122"/>
      <c r="AR866" s="167"/>
      <c r="AS866" s="122"/>
      <c r="AT866" s="122"/>
      <c r="AU866" s="122"/>
      <c r="AV866" s="122"/>
      <c r="AW866" s="122"/>
      <c r="AX866" s="122"/>
      <c r="AY866" s="122"/>
      <c r="AZ866" s="122"/>
      <c r="BA866" s="122"/>
      <c r="BB866" s="122"/>
      <c r="BC866" s="122"/>
      <c r="BD866" s="122"/>
      <c r="BE866" s="122"/>
      <c r="BF866" s="122"/>
      <c r="BG866" s="122"/>
      <c r="BH866" s="122"/>
      <c r="BI866" s="122"/>
      <c r="BJ866" s="122"/>
    </row>
    <row r="867" spans="1:62">
      <c r="A867" s="122"/>
      <c r="B867" s="122"/>
      <c r="C867" s="122"/>
      <c r="D867" s="122"/>
      <c r="E867" s="122"/>
      <c r="F867" s="122"/>
      <c r="G867" s="122"/>
      <c r="H867" s="122"/>
      <c r="I867" s="122"/>
      <c r="J867" s="122"/>
      <c r="K867" s="122"/>
      <c r="L867" s="122"/>
      <c r="M867" s="122"/>
      <c r="N867" s="122"/>
      <c r="O867" s="122"/>
      <c r="P867" s="122"/>
      <c r="Q867" s="122"/>
      <c r="R867" s="122"/>
      <c r="S867" s="122"/>
      <c r="T867" s="122"/>
      <c r="U867" s="122"/>
      <c r="V867" s="122"/>
      <c r="W867" s="122"/>
      <c r="X867" s="122"/>
      <c r="Y867" s="122"/>
      <c r="Z867" s="122"/>
      <c r="AA867" s="122"/>
      <c r="AB867" s="122"/>
      <c r="AC867" s="122"/>
      <c r="AD867" s="122"/>
      <c r="AE867" s="122"/>
      <c r="AF867" s="122"/>
      <c r="AG867" s="122"/>
      <c r="AH867" s="122"/>
      <c r="AI867" s="122"/>
      <c r="AJ867" s="122"/>
      <c r="AK867" s="122"/>
      <c r="AL867" s="122"/>
      <c r="AM867" s="122"/>
      <c r="AN867" s="122"/>
      <c r="AO867" s="122"/>
      <c r="AP867" s="166"/>
      <c r="AQ867" s="122"/>
      <c r="AR867" s="167"/>
      <c r="AS867" s="122"/>
      <c r="AT867" s="122"/>
      <c r="AU867" s="122"/>
      <c r="AV867" s="122"/>
      <c r="AW867" s="122"/>
      <c r="AX867" s="122"/>
      <c r="AY867" s="122"/>
      <c r="AZ867" s="122"/>
      <c r="BA867" s="122"/>
      <c r="BB867" s="122"/>
      <c r="BC867" s="122"/>
      <c r="BD867" s="122"/>
      <c r="BE867" s="122"/>
      <c r="BF867" s="122"/>
      <c r="BG867" s="122"/>
      <c r="BH867" s="122"/>
      <c r="BI867" s="122"/>
      <c r="BJ867" s="122"/>
    </row>
    <row r="868" spans="1:62">
      <c r="A868" s="122"/>
      <c r="B868" s="122"/>
      <c r="C868" s="122"/>
      <c r="D868" s="122"/>
      <c r="E868" s="122"/>
      <c r="F868" s="122"/>
      <c r="G868" s="122"/>
      <c r="H868" s="122"/>
      <c r="I868" s="122"/>
      <c r="J868" s="122"/>
      <c r="K868" s="122"/>
      <c r="L868" s="122"/>
      <c r="M868" s="122"/>
      <c r="N868" s="122"/>
      <c r="O868" s="122"/>
      <c r="P868" s="122"/>
      <c r="Q868" s="122"/>
      <c r="R868" s="122"/>
      <c r="S868" s="122"/>
      <c r="T868" s="122"/>
      <c r="U868" s="122"/>
      <c r="V868" s="122"/>
      <c r="W868" s="122"/>
      <c r="X868" s="122"/>
      <c r="Y868" s="122"/>
      <c r="Z868" s="122"/>
      <c r="AA868" s="122"/>
      <c r="AB868" s="122"/>
      <c r="AC868" s="122"/>
      <c r="AD868" s="122"/>
      <c r="AE868" s="122"/>
      <c r="AF868" s="122"/>
      <c r="AG868" s="122"/>
      <c r="AH868" s="122"/>
      <c r="AI868" s="122"/>
      <c r="AJ868" s="122"/>
      <c r="AK868" s="122"/>
      <c r="AL868" s="122"/>
      <c r="AM868" s="122"/>
      <c r="AN868" s="122"/>
      <c r="AO868" s="122"/>
      <c r="AP868" s="166"/>
      <c r="AQ868" s="122"/>
      <c r="AR868" s="167"/>
      <c r="AS868" s="122"/>
      <c r="AT868" s="122"/>
      <c r="AU868" s="122"/>
      <c r="AV868" s="122"/>
      <c r="AW868" s="122"/>
      <c r="AX868" s="122"/>
      <c r="AY868" s="122"/>
      <c r="AZ868" s="122"/>
      <c r="BA868" s="122"/>
      <c r="BB868" s="122"/>
      <c r="BC868" s="122"/>
      <c r="BD868" s="122"/>
      <c r="BE868" s="122"/>
      <c r="BF868" s="122"/>
      <c r="BG868" s="122"/>
      <c r="BH868" s="122"/>
      <c r="BI868" s="122"/>
      <c r="BJ868" s="122"/>
    </row>
    <row r="869" spans="1:62">
      <c r="A869" s="122"/>
      <c r="B869" s="122"/>
      <c r="C869" s="122"/>
      <c r="D869" s="122"/>
      <c r="E869" s="122"/>
      <c r="F869" s="122"/>
      <c r="G869" s="122"/>
      <c r="H869" s="122"/>
      <c r="I869" s="122"/>
      <c r="J869" s="122"/>
      <c r="K869" s="122"/>
      <c r="L869" s="122"/>
      <c r="M869" s="122"/>
      <c r="N869" s="122"/>
      <c r="O869" s="122"/>
      <c r="P869" s="122"/>
      <c r="Q869" s="122"/>
      <c r="R869" s="122"/>
      <c r="S869" s="122"/>
      <c r="T869" s="122"/>
      <c r="U869" s="122"/>
      <c r="V869" s="122"/>
      <c r="W869" s="122"/>
      <c r="X869" s="122"/>
      <c r="Y869" s="122"/>
      <c r="Z869" s="122"/>
      <c r="AA869" s="122"/>
      <c r="AB869" s="122"/>
      <c r="AC869" s="122"/>
      <c r="AD869" s="122"/>
      <c r="AE869" s="122"/>
      <c r="AF869" s="122"/>
      <c r="AG869" s="122"/>
      <c r="AH869" s="122"/>
      <c r="AI869" s="122"/>
      <c r="AJ869" s="122"/>
      <c r="AK869" s="122"/>
      <c r="AL869" s="122"/>
      <c r="AM869" s="122"/>
      <c r="AN869" s="122"/>
      <c r="AO869" s="122"/>
      <c r="AP869" s="166"/>
      <c r="AQ869" s="122"/>
      <c r="AR869" s="167"/>
      <c r="AS869" s="122"/>
      <c r="AT869" s="122"/>
      <c r="AU869" s="122"/>
      <c r="AV869" s="122"/>
      <c r="AW869" s="122"/>
      <c r="AX869" s="122"/>
      <c r="AY869" s="122"/>
      <c r="AZ869" s="122"/>
      <c r="BA869" s="122"/>
      <c r="BB869" s="122"/>
      <c r="BC869" s="122"/>
      <c r="BD869" s="122"/>
      <c r="BE869" s="122"/>
      <c r="BF869" s="122"/>
      <c r="BG869" s="122"/>
      <c r="BH869" s="122"/>
      <c r="BI869" s="122"/>
      <c r="BJ869" s="122"/>
    </row>
    <row r="870" spans="1:62">
      <c r="A870" s="122"/>
      <c r="B870" s="122"/>
      <c r="C870" s="122"/>
      <c r="D870" s="122"/>
      <c r="E870" s="122"/>
      <c r="F870" s="122"/>
      <c r="G870" s="122"/>
      <c r="H870" s="122"/>
      <c r="I870" s="122"/>
      <c r="J870" s="122"/>
      <c r="K870" s="122"/>
      <c r="L870" s="122"/>
      <c r="M870" s="122"/>
      <c r="N870" s="122"/>
      <c r="O870" s="122"/>
      <c r="P870" s="122"/>
      <c r="Q870" s="122"/>
      <c r="R870" s="122"/>
      <c r="S870" s="122"/>
      <c r="T870" s="122"/>
      <c r="U870" s="122"/>
      <c r="V870" s="122"/>
      <c r="W870" s="122"/>
      <c r="X870" s="122"/>
      <c r="Y870" s="122"/>
      <c r="Z870" s="122"/>
      <c r="AA870" s="122"/>
      <c r="AB870" s="122"/>
      <c r="AC870" s="122"/>
      <c r="AD870" s="122"/>
      <c r="AE870" s="122"/>
      <c r="AF870" s="122"/>
      <c r="AG870" s="122"/>
      <c r="AH870" s="122"/>
      <c r="AI870" s="122"/>
      <c r="AJ870" s="122"/>
      <c r="AK870" s="122"/>
      <c r="AL870" s="122"/>
      <c r="AM870" s="122"/>
      <c r="AN870" s="122"/>
      <c r="AO870" s="122"/>
      <c r="AP870" s="166"/>
      <c r="AQ870" s="122"/>
      <c r="AR870" s="167"/>
      <c r="AS870" s="122"/>
      <c r="AT870" s="122"/>
      <c r="AU870" s="122"/>
      <c r="AV870" s="122"/>
      <c r="AW870" s="122"/>
      <c r="AX870" s="122"/>
      <c r="AY870" s="122"/>
      <c r="AZ870" s="122"/>
      <c r="BA870" s="122"/>
      <c r="BB870" s="122"/>
      <c r="BC870" s="122"/>
      <c r="BD870" s="122"/>
      <c r="BE870" s="122"/>
      <c r="BF870" s="122"/>
      <c r="BG870" s="122"/>
      <c r="BH870" s="122"/>
      <c r="BI870" s="122"/>
      <c r="BJ870" s="122"/>
    </row>
    <row r="871" spans="1:62">
      <c r="A871" s="122"/>
      <c r="B871" s="122"/>
      <c r="C871" s="122"/>
      <c r="D871" s="122"/>
      <c r="E871" s="122"/>
      <c r="F871" s="122"/>
      <c r="G871" s="122"/>
      <c r="H871" s="122"/>
      <c r="I871" s="122"/>
      <c r="J871" s="122"/>
      <c r="K871" s="122"/>
      <c r="L871" s="122"/>
      <c r="M871" s="122"/>
      <c r="N871" s="122"/>
      <c r="O871" s="122"/>
      <c r="P871" s="122"/>
      <c r="Q871" s="122"/>
      <c r="R871" s="122"/>
      <c r="S871" s="122"/>
      <c r="T871" s="122"/>
      <c r="U871" s="122"/>
      <c r="V871" s="122"/>
      <c r="W871" s="122"/>
      <c r="X871" s="122"/>
      <c r="Y871" s="122"/>
      <c r="Z871" s="122"/>
      <c r="AA871" s="122"/>
      <c r="AB871" s="122"/>
      <c r="AC871" s="122"/>
      <c r="AD871" s="122"/>
      <c r="AE871" s="122"/>
      <c r="AF871" s="122"/>
      <c r="AG871" s="122"/>
      <c r="AH871" s="122"/>
      <c r="AI871" s="122"/>
      <c r="AJ871" s="122"/>
      <c r="AK871" s="122"/>
      <c r="AL871" s="122"/>
      <c r="AM871" s="122"/>
      <c r="AN871" s="122"/>
      <c r="AO871" s="122"/>
      <c r="AP871" s="166"/>
      <c r="AQ871" s="122"/>
      <c r="AR871" s="167"/>
      <c r="AS871" s="122"/>
      <c r="AT871" s="122"/>
      <c r="AU871" s="122"/>
      <c r="AV871" s="122"/>
      <c r="AW871" s="122"/>
      <c r="AX871" s="122"/>
      <c r="AY871" s="122"/>
      <c r="AZ871" s="122"/>
      <c r="BA871" s="122"/>
      <c r="BB871" s="122"/>
      <c r="BC871" s="122"/>
      <c r="BD871" s="122"/>
      <c r="BE871" s="122"/>
      <c r="BF871" s="122"/>
      <c r="BG871" s="122"/>
      <c r="BH871" s="122"/>
      <c r="BI871" s="122"/>
      <c r="BJ871" s="122"/>
    </row>
    <row r="872" spans="1:62">
      <c r="A872" s="122"/>
      <c r="B872" s="122"/>
      <c r="C872" s="122"/>
      <c r="D872" s="122"/>
      <c r="E872" s="122"/>
      <c r="F872" s="122"/>
      <c r="G872" s="122"/>
      <c r="H872" s="122"/>
      <c r="I872" s="122"/>
      <c r="J872" s="122"/>
      <c r="K872" s="122"/>
      <c r="L872" s="122"/>
      <c r="M872" s="122"/>
      <c r="N872" s="122"/>
      <c r="O872" s="122"/>
      <c r="P872" s="122"/>
      <c r="Q872" s="122"/>
      <c r="R872" s="122"/>
      <c r="S872" s="122"/>
      <c r="T872" s="122"/>
      <c r="U872" s="122"/>
      <c r="V872" s="122"/>
      <c r="W872" s="122"/>
      <c r="X872" s="122"/>
      <c r="Y872" s="122"/>
      <c r="Z872" s="122"/>
      <c r="AA872" s="122"/>
      <c r="AB872" s="122"/>
      <c r="AC872" s="122"/>
      <c r="AD872" s="122"/>
      <c r="AE872" s="122"/>
      <c r="AF872" s="122"/>
      <c r="AG872" s="122"/>
      <c r="AH872" s="122"/>
      <c r="AI872" s="122"/>
      <c r="AJ872" s="122"/>
      <c r="AK872" s="122"/>
      <c r="AL872" s="122"/>
      <c r="AM872" s="122"/>
      <c r="AN872" s="122"/>
      <c r="AO872" s="122"/>
      <c r="AP872" s="166"/>
      <c r="AQ872" s="122"/>
      <c r="AR872" s="167"/>
      <c r="AS872" s="122"/>
      <c r="AT872" s="122"/>
      <c r="AU872" s="122"/>
      <c r="AV872" s="122"/>
      <c r="AW872" s="122"/>
      <c r="AX872" s="122"/>
      <c r="AY872" s="122"/>
      <c r="AZ872" s="122"/>
      <c r="BA872" s="122"/>
      <c r="BB872" s="122"/>
      <c r="BC872" s="122"/>
      <c r="BD872" s="122"/>
      <c r="BE872" s="122"/>
      <c r="BF872" s="122"/>
      <c r="BG872" s="122"/>
      <c r="BH872" s="122"/>
      <c r="BI872" s="122"/>
      <c r="BJ872" s="122"/>
    </row>
    <row r="873" spans="1:62">
      <c r="A873" s="122"/>
      <c r="B873" s="122"/>
      <c r="C873" s="122"/>
      <c r="D873" s="122"/>
      <c r="E873" s="122"/>
      <c r="F873" s="122"/>
      <c r="G873" s="122"/>
      <c r="H873" s="122"/>
      <c r="I873" s="122"/>
      <c r="J873" s="122"/>
      <c r="K873" s="122"/>
      <c r="L873" s="122"/>
      <c r="M873" s="122"/>
      <c r="N873" s="122"/>
      <c r="O873" s="122"/>
      <c r="P873" s="122"/>
      <c r="Q873" s="122"/>
      <c r="R873" s="122"/>
      <c r="S873" s="122"/>
      <c r="T873" s="122"/>
      <c r="U873" s="122"/>
      <c r="V873" s="122"/>
      <c r="W873" s="122"/>
      <c r="X873" s="122"/>
      <c r="Y873" s="122"/>
      <c r="Z873" s="122"/>
      <c r="AA873" s="122"/>
      <c r="AB873" s="122"/>
      <c r="AC873" s="122"/>
      <c r="AD873" s="122"/>
      <c r="AE873" s="122"/>
      <c r="AF873" s="122"/>
      <c r="AG873" s="122"/>
      <c r="AH873" s="122"/>
      <c r="AI873" s="122"/>
      <c r="AJ873" s="122"/>
      <c r="AK873" s="122"/>
      <c r="AL873" s="122"/>
      <c r="AM873" s="122"/>
      <c r="AN873" s="122"/>
      <c r="AO873" s="122"/>
      <c r="AP873" s="166"/>
      <c r="AQ873" s="122"/>
      <c r="AR873" s="167"/>
      <c r="AS873" s="122"/>
      <c r="AT873" s="122"/>
      <c r="AU873" s="122"/>
      <c r="AV873" s="122"/>
      <c r="AW873" s="122"/>
      <c r="AX873" s="122"/>
      <c r="AY873" s="122"/>
      <c r="AZ873" s="122"/>
      <c r="BA873" s="122"/>
      <c r="BB873" s="122"/>
      <c r="BC873" s="122"/>
      <c r="BD873" s="122"/>
      <c r="BE873" s="122"/>
      <c r="BF873" s="122"/>
      <c r="BG873" s="122"/>
      <c r="BH873" s="122"/>
      <c r="BI873" s="122"/>
      <c r="BJ873" s="122"/>
    </row>
    <row r="874" spans="1:62">
      <c r="A874" s="122"/>
      <c r="B874" s="122"/>
      <c r="C874" s="122"/>
      <c r="D874" s="122"/>
      <c r="E874" s="122"/>
      <c r="F874" s="122"/>
      <c r="G874" s="122"/>
      <c r="H874" s="122"/>
      <c r="I874" s="122"/>
      <c r="J874" s="122"/>
      <c r="K874" s="122"/>
      <c r="L874" s="122"/>
      <c r="M874" s="122"/>
      <c r="N874" s="122"/>
      <c r="O874" s="122"/>
      <c r="P874" s="122"/>
      <c r="Q874" s="122"/>
      <c r="R874" s="122"/>
      <c r="S874" s="122"/>
      <c r="T874" s="122"/>
      <c r="U874" s="122"/>
      <c r="V874" s="122"/>
      <c r="W874" s="122"/>
      <c r="X874" s="122"/>
      <c r="Y874" s="122"/>
      <c r="Z874" s="122"/>
      <c r="AA874" s="122"/>
      <c r="AB874" s="122"/>
      <c r="AC874" s="122"/>
      <c r="AD874" s="122"/>
      <c r="AE874" s="122"/>
      <c r="AF874" s="122"/>
      <c r="AG874" s="122"/>
      <c r="AH874" s="122"/>
      <c r="AI874" s="122"/>
      <c r="AJ874" s="122"/>
      <c r="AK874" s="122"/>
      <c r="AL874" s="122"/>
      <c r="AM874" s="122"/>
      <c r="AN874" s="122"/>
      <c r="AO874" s="122"/>
      <c r="AP874" s="166"/>
      <c r="AQ874" s="122"/>
      <c r="AR874" s="167"/>
      <c r="AS874" s="122"/>
      <c r="AT874" s="122"/>
      <c r="AU874" s="122"/>
      <c r="AV874" s="122"/>
      <c r="AW874" s="122"/>
      <c r="AX874" s="122"/>
      <c r="AY874" s="122"/>
      <c r="AZ874" s="122"/>
      <c r="BA874" s="122"/>
      <c r="BB874" s="122"/>
      <c r="BC874" s="122"/>
      <c r="BD874" s="122"/>
      <c r="BE874" s="122"/>
      <c r="BF874" s="122"/>
      <c r="BG874" s="122"/>
      <c r="BH874" s="122"/>
      <c r="BI874" s="122"/>
      <c r="BJ874" s="122"/>
    </row>
    <row r="875" spans="1:62">
      <c r="A875" s="122"/>
      <c r="B875" s="122"/>
      <c r="C875" s="122"/>
      <c r="D875" s="122"/>
      <c r="E875" s="122"/>
      <c r="F875" s="122"/>
      <c r="G875" s="122"/>
      <c r="H875" s="122"/>
      <c r="I875" s="122"/>
      <c r="J875" s="122"/>
      <c r="K875" s="122"/>
      <c r="L875" s="122"/>
      <c r="M875" s="122"/>
      <c r="N875" s="122"/>
      <c r="O875" s="122"/>
      <c r="P875" s="122"/>
      <c r="Q875" s="122"/>
      <c r="R875" s="122"/>
      <c r="S875" s="122"/>
      <c r="T875" s="122"/>
      <c r="U875" s="122"/>
      <c r="V875" s="122"/>
      <c r="W875" s="122"/>
      <c r="X875" s="122"/>
      <c r="Y875" s="122"/>
      <c r="Z875" s="122"/>
      <c r="AA875" s="122"/>
      <c r="AB875" s="122"/>
      <c r="AC875" s="122"/>
      <c r="AD875" s="122"/>
      <c r="AE875" s="122"/>
      <c r="AF875" s="122"/>
      <c r="AG875" s="122"/>
      <c r="AH875" s="122"/>
      <c r="AI875" s="122"/>
      <c r="AJ875" s="122"/>
      <c r="AK875" s="122"/>
      <c r="AL875" s="122"/>
      <c r="AM875" s="122"/>
      <c r="AN875" s="122"/>
      <c r="AO875" s="122"/>
      <c r="AP875" s="166"/>
      <c r="AQ875" s="122"/>
      <c r="AR875" s="167"/>
      <c r="AS875" s="122"/>
      <c r="AT875" s="122"/>
      <c r="AU875" s="122"/>
      <c r="AV875" s="122"/>
      <c r="AW875" s="122"/>
      <c r="AX875" s="122"/>
      <c r="AY875" s="122"/>
      <c r="AZ875" s="122"/>
      <c r="BA875" s="122"/>
      <c r="BB875" s="122"/>
      <c r="BC875" s="122"/>
      <c r="BD875" s="122"/>
      <c r="BE875" s="122"/>
      <c r="BF875" s="122"/>
      <c r="BG875" s="122"/>
      <c r="BH875" s="122"/>
      <c r="BI875" s="122"/>
      <c r="BJ875" s="122"/>
    </row>
    <row r="876" spans="1:62">
      <c r="A876" s="122"/>
      <c r="B876" s="122"/>
      <c r="C876" s="122"/>
      <c r="D876" s="122"/>
      <c r="E876" s="122"/>
      <c r="F876" s="122"/>
      <c r="G876" s="122"/>
      <c r="H876" s="122"/>
      <c r="I876" s="122"/>
      <c r="J876" s="122"/>
      <c r="K876" s="122"/>
      <c r="L876" s="122"/>
      <c r="M876" s="122"/>
      <c r="N876" s="122"/>
      <c r="O876" s="122"/>
      <c r="P876" s="122"/>
      <c r="Q876" s="122"/>
      <c r="R876" s="122"/>
      <c r="S876" s="122"/>
      <c r="T876" s="122"/>
      <c r="U876" s="122"/>
      <c r="V876" s="122"/>
      <c r="W876" s="122"/>
      <c r="X876" s="122"/>
      <c r="Y876" s="122"/>
      <c r="Z876" s="122"/>
      <c r="AA876" s="122"/>
      <c r="AB876" s="122"/>
      <c r="AC876" s="122"/>
      <c r="AD876" s="122"/>
      <c r="AE876" s="122"/>
      <c r="AF876" s="122"/>
      <c r="AG876" s="122"/>
      <c r="AH876" s="122"/>
      <c r="AI876" s="122"/>
      <c r="AJ876" s="122"/>
      <c r="AK876" s="122"/>
      <c r="AL876" s="122"/>
      <c r="AM876" s="122"/>
      <c r="AN876" s="122"/>
      <c r="AO876" s="122"/>
      <c r="AP876" s="166"/>
      <c r="AQ876" s="122"/>
      <c r="AR876" s="167"/>
      <c r="AS876" s="122"/>
      <c r="AT876" s="122"/>
      <c r="AU876" s="122"/>
      <c r="AV876" s="122"/>
      <c r="AW876" s="122"/>
      <c r="AX876" s="122"/>
      <c r="AY876" s="122"/>
      <c r="AZ876" s="122"/>
      <c r="BA876" s="122"/>
      <c r="BB876" s="122"/>
      <c r="BC876" s="122"/>
      <c r="BD876" s="122"/>
      <c r="BE876" s="122"/>
      <c r="BF876" s="122"/>
      <c r="BG876" s="122"/>
      <c r="BH876" s="122"/>
      <c r="BI876" s="122"/>
      <c r="BJ876" s="122"/>
    </row>
    <row r="877" spans="1:62">
      <c r="A877" s="122"/>
      <c r="B877" s="122"/>
      <c r="C877" s="122"/>
      <c r="D877" s="122"/>
      <c r="E877" s="122"/>
      <c r="F877" s="122"/>
      <c r="G877" s="122"/>
      <c r="H877" s="122"/>
      <c r="I877" s="122"/>
      <c r="J877" s="122"/>
      <c r="K877" s="122"/>
      <c r="L877" s="122"/>
      <c r="M877" s="122"/>
      <c r="N877" s="122"/>
      <c r="O877" s="122"/>
      <c r="P877" s="122"/>
      <c r="Q877" s="122"/>
      <c r="R877" s="122"/>
      <c r="S877" s="122"/>
      <c r="T877" s="122"/>
      <c r="U877" s="122"/>
      <c r="V877" s="122"/>
      <c r="W877" s="122"/>
      <c r="X877" s="122"/>
      <c r="Y877" s="122"/>
      <c r="Z877" s="122"/>
      <c r="AA877" s="122"/>
      <c r="AB877" s="122"/>
      <c r="AC877" s="122"/>
      <c r="AD877" s="122"/>
      <c r="AE877" s="122"/>
      <c r="AF877" s="122"/>
      <c r="AG877" s="122"/>
      <c r="AH877" s="122"/>
      <c r="AI877" s="122"/>
      <c r="AJ877" s="122"/>
      <c r="AK877" s="122"/>
      <c r="AL877" s="122"/>
      <c r="AM877" s="122"/>
      <c r="AN877" s="122"/>
      <c r="AO877" s="122"/>
      <c r="AP877" s="166"/>
      <c r="AQ877" s="122"/>
      <c r="AR877" s="167"/>
      <c r="AS877" s="122"/>
      <c r="AT877" s="122"/>
      <c r="AU877" s="122"/>
      <c r="AV877" s="122"/>
      <c r="AW877" s="122"/>
      <c r="AX877" s="122"/>
      <c r="AY877" s="122"/>
      <c r="AZ877" s="122"/>
      <c r="BA877" s="122"/>
      <c r="BB877" s="122"/>
      <c r="BC877" s="122"/>
      <c r="BD877" s="122"/>
      <c r="BE877" s="122"/>
      <c r="BF877" s="122"/>
      <c r="BG877" s="122"/>
      <c r="BH877" s="122"/>
      <c r="BI877" s="122"/>
      <c r="BJ877" s="122"/>
    </row>
    <row r="878" spans="1:62">
      <c r="A878" s="122"/>
      <c r="B878" s="122"/>
      <c r="C878" s="122"/>
      <c r="D878" s="122"/>
      <c r="E878" s="122"/>
      <c r="F878" s="122"/>
      <c r="G878" s="122"/>
      <c r="H878" s="122"/>
      <c r="I878" s="122"/>
      <c r="J878" s="122"/>
      <c r="K878" s="122"/>
      <c r="L878" s="122"/>
      <c r="M878" s="122"/>
      <c r="N878" s="122"/>
      <c r="O878" s="122"/>
      <c r="P878" s="122"/>
      <c r="Q878" s="122"/>
      <c r="R878" s="122"/>
      <c r="S878" s="122"/>
      <c r="T878" s="122"/>
      <c r="U878" s="122"/>
      <c r="V878" s="122"/>
      <c r="W878" s="122"/>
      <c r="X878" s="122"/>
      <c r="Y878" s="122"/>
      <c r="Z878" s="122"/>
      <c r="AA878" s="122"/>
      <c r="AB878" s="122"/>
      <c r="AC878" s="122"/>
      <c r="AD878" s="122"/>
      <c r="AE878" s="122"/>
      <c r="AF878" s="122"/>
      <c r="AG878" s="122"/>
      <c r="AH878" s="122"/>
      <c r="AI878" s="122"/>
      <c r="AJ878" s="122"/>
      <c r="AK878" s="122"/>
      <c r="AL878" s="122"/>
      <c r="AM878" s="122"/>
      <c r="AN878" s="122"/>
      <c r="AO878" s="122"/>
      <c r="AP878" s="166"/>
      <c r="AQ878" s="122"/>
      <c r="AR878" s="167"/>
      <c r="AS878" s="122"/>
      <c r="AT878" s="122"/>
      <c r="AU878" s="122"/>
      <c r="AV878" s="122"/>
      <c r="AW878" s="122"/>
      <c r="AX878" s="122"/>
      <c r="AY878" s="122"/>
      <c r="AZ878" s="122"/>
      <c r="BA878" s="122"/>
      <c r="BB878" s="122"/>
      <c r="BC878" s="122"/>
      <c r="BD878" s="122"/>
      <c r="BE878" s="122"/>
      <c r="BF878" s="122"/>
      <c r="BG878" s="122"/>
      <c r="BH878" s="122"/>
      <c r="BI878" s="122"/>
      <c r="BJ878" s="122"/>
    </row>
    <row r="879" spans="1:62">
      <c r="A879" s="122"/>
      <c r="B879" s="122"/>
      <c r="C879" s="122"/>
      <c r="D879" s="122"/>
      <c r="E879" s="122"/>
      <c r="F879" s="122"/>
      <c r="G879" s="122"/>
      <c r="H879" s="122"/>
      <c r="I879" s="122"/>
      <c r="J879" s="122"/>
      <c r="K879" s="122"/>
      <c r="L879" s="122"/>
      <c r="M879" s="122"/>
      <c r="N879" s="122"/>
      <c r="O879" s="122"/>
      <c r="P879" s="122"/>
      <c r="Q879" s="122"/>
      <c r="R879" s="122"/>
      <c r="S879" s="122"/>
      <c r="T879" s="122"/>
      <c r="U879" s="122"/>
      <c r="V879" s="122"/>
      <c r="W879" s="122"/>
      <c r="X879" s="122"/>
      <c r="Y879" s="122"/>
      <c r="Z879" s="122"/>
      <c r="AA879" s="122"/>
      <c r="AB879" s="122"/>
      <c r="AC879" s="122"/>
      <c r="AD879" s="122"/>
      <c r="AE879" s="122"/>
      <c r="AF879" s="122"/>
      <c r="AG879" s="122"/>
      <c r="AH879" s="122"/>
      <c r="AI879" s="122"/>
      <c r="AJ879" s="122"/>
      <c r="AK879" s="122"/>
      <c r="AL879" s="122"/>
      <c r="AM879" s="122"/>
      <c r="AN879" s="122"/>
      <c r="AO879" s="122"/>
      <c r="AP879" s="166"/>
      <c r="AQ879" s="122"/>
      <c r="AR879" s="167"/>
      <c r="AS879" s="122"/>
      <c r="AT879" s="122"/>
      <c r="AU879" s="122"/>
      <c r="AV879" s="122"/>
      <c r="AW879" s="122"/>
      <c r="AX879" s="122"/>
      <c r="AY879" s="122"/>
      <c r="AZ879" s="122"/>
      <c r="BA879" s="122"/>
      <c r="BB879" s="122"/>
      <c r="BC879" s="122"/>
      <c r="BD879" s="122"/>
      <c r="BE879" s="122"/>
      <c r="BF879" s="122"/>
      <c r="BG879" s="122"/>
      <c r="BH879" s="122"/>
      <c r="BI879" s="122"/>
      <c r="BJ879" s="122"/>
    </row>
    <row r="880" spans="1:62">
      <c r="A880" s="122"/>
      <c r="B880" s="122"/>
      <c r="C880" s="122"/>
      <c r="D880" s="122"/>
      <c r="E880" s="122"/>
      <c r="F880" s="122"/>
      <c r="G880" s="122"/>
      <c r="H880" s="122"/>
      <c r="I880" s="122"/>
      <c r="J880" s="122"/>
      <c r="K880" s="122"/>
      <c r="L880" s="122"/>
      <c r="M880" s="122"/>
      <c r="N880" s="122"/>
      <c r="O880" s="122"/>
      <c r="P880" s="122"/>
      <c r="Q880" s="122"/>
      <c r="R880" s="122"/>
      <c r="S880" s="122"/>
      <c r="T880" s="122"/>
      <c r="U880" s="122"/>
      <c r="V880" s="122"/>
      <c r="W880" s="122"/>
      <c r="X880" s="122"/>
      <c r="Y880" s="122"/>
      <c r="Z880" s="122"/>
      <c r="AA880" s="122"/>
      <c r="AB880" s="122"/>
      <c r="AC880" s="122"/>
      <c r="AD880" s="122"/>
      <c r="AE880" s="122"/>
      <c r="AF880" s="122"/>
      <c r="AG880" s="122"/>
      <c r="AH880" s="122"/>
      <c r="AI880" s="122"/>
      <c r="AJ880" s="122"/>
      <c r="AK880" s="122"/>
      <c r="AL880" s="122"/>
      <c r="AM880" s="122"/>
      <c r="AN880" s="122"/>
      <c r="AO880" s="122"/>
      <c r="AP880" s="166"/>
      <c r="AQ880" s="122"/>
      <c r="AR880" s="167"/>
      <c r="AS880" s="122"/>
      <c r="AT880" s="122"/>
      <c r="AU880" s="122"/>
      <c r="AV880" s="122"/>
      <c r="AW880" s="122"/>
      <c r="AX880" s="122"/>
      <c r="AY880" s="122"/>
      <c r="AZ880" s="122"/>
      <c r="BA880" s="122"/>
      <c r="BB880" s="122"/>
      <c r="BC880" s="122"/>
      <c r="BD880" s="122"/>
      <c r="BE880" s="122"/>
      <c r="BF880" s="122"/>
      <c r="BG880" s="122"/>
      <c r="BH880" s="122"/>
      <c r="BI880" s="122"/>
      <c r="BJ880" s="122"/>
    </row>
    <row r="881" spans="1:62">
      <c r="A881" s="122"/>
      <c r="B881" s="122"/>
      <c r="C881" s="122"/>
      <c r="D881" s="122"/>
      <c r="E881" s="122"/>
      <c r="F881" s="122"/>
      <c r="G881" s="122"/>
      <c r="H881" s="122"/>
      <c r="I881" s="122"/>
      <c r="J881" s="122"/>
      <c r="K881" s="122"/>
      <c r="L881" s="122"/>
      <c r="M881" s="122"/>
      <c r="N881" s="122"/>
      <c r="O881" s="122"/>
      <c r="P881" s="122"/>
      <c r="Q881" s="122"/>
      <c r="R881" s="122"/>
      <c r="S881" s="122"/>
      <c r="T881" s="122"/>
      <c r="U881" s="122"/>
      <c r="V881" s="122"/>
      <c r="W881" s="122"/>
      <c r="X881" s="122"/>
      <c r="Y881" s="122"/>
      <c r="Z881" s="122"/>
      <c r="AA881" s="122"/>
      <c r="AB881" s="122"/>
      <c r="AC881" s="122"/>
      <c r="AD881" s="122"/>
      <c r="AE881" s="122"/>
      <c r="AF881" s="122"/>
      <c r="AG881" s="122"/>
      <c r="AH881" s="122"/>
      <c r="AI881" s="122"/>
      <c r="AJ881" s="122"/>
      <c r="AK881" s="122"/>
      <c r="AL881" s="122"/>
      <c r="AM881" s="122"/>
      <c r="AN881" s="122"/>
      <c r="AO881" s="122"/>
      <c r="AP881" s="166"/>
      <c r="AQ881" s="122"/>
      <c r="AR881" s="167"/>
      <c r="AS881" s="122"/>
      <c r="AT881" s="122"/>
      <c r="AU881" s="122"/>
      <c r="AV881" s="122"/>
      <c r="AW881" s="122"/>
      <c r="AX881" s="122"/>
      <c r="AY881" s="122"/>
      <c r="AZ881" s="122"/>
      <c r="BA881" s="122"/>
      <c r="BB881" s="122"/>
      <c r="BC881" s="122"/>
      <c r="BD881" s="122"/>
      <c r="BE881" s="122"/>
      <c r="BF881" s="122"/>
      <c r="BG881" s="122"/>
      <c r="BH881" s="122"/>
      <c r="BI881" s="122"/>
      <c r="BJ881" s="122"/>
    </row>
    <row r="882" spans="1:62">
      <c r="A882" s="122"/>
      <c r="B882" s="122"/>
      <c r="C882" s="122"/>
      <c r="D882" s="122"/>
      <c r="E882" s="122"/>
      <c r="F882" s="122"/>
      <c r="G882" s="122"/>
      <c r="H882" s="122"/>
      <c r="I882" s="122"/>
      <c r="J882" s="122"/>
      <c r="K882" s="122"/>
      <c r="L882" s="122"/>
      <c r="M882" s="122"/>
      <c r="N882" s="122"/>
      <c r="O882" s="122"/>
      <c r="P882" s="122"/>
      <c r="Q882" s="122"/>
      <c r="R882" s="122"/>
      <c r="S882" s="122"/>
      <c r="T882" s="122"/>
      <c r="U882" s="122"/>
      <c r="V882" s="122"/>
      <c r="W882" s="122"/>
      <c r="X882" s="122"/>
      <c r="Y882" s="122"/>
      <c r="Z882" s="122"/>
      <c r="AA882" s="122"/>
      <c r="AB882" s="122"/>
      <c r="AC882" s="122"/>
      <c r="AD882" s="122"/>
      <c r="AE882" s="122"/>
      <c r="AF882" s="122"/>
      <c r="AG882" s="122"/>
      <c r="AH882" s="122"/>
      <c r="AI882" s="122"/>
      <c r="AJ882" s="122"/>
      <c r="AK882" s="122"/>
      <c r="AL882" s="122"/>
      <c r="AM882" s="122"/>
      <c r="AN882" s="122"/>
      <c r="AO882" s="122"/>
      <c r="AP882" s="166"/>
      <c r="AQ882" s="122"/>
      <c r="AR882" s="167"/>
      <c r="AS882" s="122"/>
      <c r="AT882" s="122"/>
      <c r="AU882" s="122"/>
      <c r="AV882" s="122"/>
      <c r="AW882" s="122"/>
      <c r="AX882" s="122"/>
      <c r="AY882" s="122"/>
      <c r="AZ882" s="122"/>
      <c r="BA882" s="122"/>
      <c r="BB882" s="122"/>
      <c r="BC882" s="122"/>
      <c r="BD882" s="122"/>
      <c r="BE882" s="122"/>
      <c r="BF882" s="122"/>
      <c r="BG882" s="122"/>
      <c r="BH882" s="122"/>
      <c r="BI882" s="122"/>
      <c r="BJ882" s="122"/>
    </row>
    <row r="883" spans="1:62">
      <c r="A883" s="122"/>
      <c r="B883" s="122"/>
      <c r="C883" s="122"/>
      <c r="D883" s="122"/>
      <c r="E883" s="122"/>
      <c r="F883" s="122"/>
      <c r="G883" s="122"/>
      <c r="H883" s="122"/>
      <c r="I883" s="122"/>
      <c r="J883" s="122"/>
      <c r="K883" s="122"/>
      <c r="L883" s="122"/>
      <c r="M883" s="122"/>
      <c r="N883" s="122"/>
      <c r="O883" s="122"/>
      <c r="P883" s="122"/>
      <c r="Q883" s="122"/>
      <c r="R883" s="122"/>
      <c r="S883" s="122"/>
      <c r="T883" s="122"/>
      <c r="U883" s="122"/>
      <c r="V883" s="122"/>
      <c r="W883" s="122"/>
      <c r="X883" s="122"/>
      <c r="Y883" s="122"/>
      <c r="Z883" s="122"/>
      <c r="AA883" s="122"/>
      <c r="AB883" s="122"/>
      <c r="AC883" s="122"/>
      <c r="AD883" s="122"/>
      <c r="AE883" s="122"/>
      <c r="AF883" s="122"/>
      <c r="AG883" s="122"/>
      <c r="AH883" s="122"/>
      <c r="AI883" s="122"/>
      <c r="AJ883" s="122"/>
      <c r="AK883" s="122"/>
      <c r="AL883" s="122"/>
      <c r="AM883" s="122"/>
      <c r="AN883" s="122"/>
      <c r="AO883" s="122"/>
      <c r="AP883" s="166"/>
      <c r="AQ883" s="122"/>
      <c r="AR883" s="167"/>
      <c r="AS883" s="122"/>
      <c r="AT883" s="122"/>
      <c r="AU883" s="122"/>
      <c r="AV883" s="122"/>
      <c r="AW883" s="122"/>
      <c r="AX883" s="122"/>
      <c r="AY883" s="122"/>
      <c r="AZ883" s="122"/>
      <c r="BA883" s="122"/>
      <c r="BB883" s="122"/>
      <c r="BC883" s="122"/>
      <c r="BD883" s="122"/>
      <c r="BE883" s="122"/>
      <c r="BF883" s="122"/>
      <c r="BG883" s="122"/>
      <c r="BH883" s="122"/>
      <c r="BI883" s="122"/>
      <c r="BJ883" s="122"/>
    </row>
    <row r="884" spans="1:62">
      <c r="A884" s="122"/>
      <c r="B884" s="122"/>
      <c r="C884" s="122"/>
      <c r="D884" s="122"/>
      <c r="E884" s="122"/>
      <c r="F884" s="122"/>
      <c r="G884" s="122"/>
      <c r="H884" s="122"/>
      <c r="I884" s="122"/>
      <c r="J884" s="122"/>
      <c r="K884" s="122"/>
      <c r="L884" s="122"/>
      <c r="M884" s="122"/>
      <c r="N884" s="122"/>
      <c r="O884" s="122"/>
      <c r="P884" s="122"/>
      <c r="Q884" s="122"/>
      <c r="R884" s="122"/>
      <c r="S884" s="122"/>
      <c r="T884" s="122"/>
      <c r="U884" s="122"/>
      <c r="V884" s="122"/>
      <c r="W884" s="122"/>
      <c r="X884" s="122"/>
      <c r="Y884" s="122"/>
      <c r="Z884" s="122"/>
      <c r="AA884" s="122"/>
      <c r="AB884" s="122"/>
      <c r="AC884" s="122"/>
      <c r="AD884" s="122"/>
      <c r="AE884" s="122"/>
      <c r="AF884" s="122"/>
      <c r="AG884" s="122"/>
      <c r="AH884" s="122"/>
      <c r="AI884" s="122"/>
      <c r="AJ884" s="122"/>
      <c r="AK884" s="122"/>
      <c r="AL884" s="122"/>
      <c r="AM884" s="122"/>
      <c r="AN884" s="122"/>
      <c r="AO884" s="122"/>
      <c r="AP884" s="166"/>
      <c r="AQ884" s="122"/>
      <c r="AR884" s="167"/>
      <c r="AS884" s="122"/>
      <c r="AT884" s="122"/>
      <c r="AU884" s="122"/>
      <c r="AV884" s="122"/>
      <c r="AW884" s="122"/>
      <c r="AX884" s="122"/>
      <c r="AY884" s="122"/>
      <c r="AZ884" s="122"/>
      <c r="BA884" s="122"/>
      <c r="BB884" s="122"/>
      <c r="BC884" s="122"/>
      <c r="BD884" s="122"/>
      <c r="BE884" s="122"/>
      <c r="BF884" s="122"/>
      <c r="BG884" s="122"/>
      <c r="BH884" s="122"/>
      <c r="BI884" s="122"/>
      <c r="BJ884" s="122"/>
    </row>
    <row r="885" spans="1:62">
      <c r="A885" s="122"/>
      <c r="B885" s="122"/>
      <c r="C885" s="122"/>
      <c r="D885" s="122"/>
      <c r="E885" s="122"/>
      <c r="F885" s="122"/>
      <c r="G885" s="122"/>
      <c r="H885" s="122"/>
      <c r="I885" s="122"/>
      <c r="J885" s="122"/>
      <c r="K885" s="122"/>
      <c r="L885" s="122"/>
      <c r="M885" s="122"/>
      <c r="N885" s="122"/>
      <c r="O885" s="122"/>
      <c r="P885" s="122"/>
      <c r="Q885" s="122"/>
      <c r="R885" s="122"/>
      <c r="S885" s="122"/>
      <c r="T885" s="122"/>
      <c r="U885" s="122"/>
      <c r="V885" s="122"/>
      <c r="W885" s="122"/>
      <c r="X885" s="122"/>
      <c r="Y885" s="122"/>
      <c r="Z885" s="122"/>
      <c r="AA885" s="122"/>
      <c r="AB885" s="122"/>
      <c r="AC885" s="122"/>
      <c r="AD885" s="122"/>
      <c r="AE885" s="122"/>
      <c r="AF885" s="122"/>
      <c r="AG885" s="122"/>
      <c r="AH885" s="122"/>
      <c r="AI885" s="122"/>
      <c r="AJ885" s="122"/>
      <c r="AK885" s="122"/>
      <c r="AL885" s="122"/>
      <c r="AM885" s="122"/>
      <c r="AN885" s="122"/>
      <c r="AO885" s="122"/>
      <c r="AP885" s="166"/>
      <c r="AQ885" s="122"/>
      <c r="AR885" s="167"/>
      <c r="AS885" s="122"/>
      <c r="AT885" s="122"/>
      <c r="AU885" s="122"/>
      <c r="AV885" s="122"/>
      <c r="AW885" s="122"/>
      <c r="AX885" s="122"/>
      <c r="AY885" s="122"/>
      <c r="AZ885" s="122"/>
      <c r="BA885" s="122"/>
      <c r="BB885" s="122"/>
      <c r="BC885" s="122"/>
      <c r="BD885" s="122"/>
      <c r="BE885" s="122"/>
      <c r="BF885" s="122"/>
      <c r="BG885" s="122"/>
      <c r="BH885" s="122"/>
      <c r="BI885" s="122"/>
      <c r="BJ885" s="122"/>
    </row>
    <row r="886" spans="1:62">
      <c r="A886" s="122"/>
      <c r="B886" s="122"/>
      <c r="C886" s="122"/>
      <c r="D886" s="122"/>
      <c r="E886" s="122"/>
      <c r="F886" s="122"/>
      <c r="G886" s="122"/>
      <c r="H886" s="122"/>
      <c r="I886" s="122"/>
      <c r="J886" s="122"/>
      <c r="K886" s="122"/>
      <c r="L886" s="122"/>
      <c r="M886" s="122"/>
      <c r="N886" s="122"/>
      <c r="O886" s="122"/>
      <c r="P886" s="122"/>
      <c r="Q886" s="122"/>
      <c r="R886" s="122"/>
      <c r="S886" s="122"/>
      <c r="T886" s="122"/>
      <c r="U886" s="122"/>
      <c r="V886" s="122"/>
      <c r="W886" s="122"/>
      <c r="X886" s="122"/>
      <c r="Y886" s="122"/>
      <c r="Z886" s="122"/>
      <c r="AA886" s="122"/>
      <c r="AB886" s="122"/>
      <c r="AC886" s="122"/>
      <c r="AD886" s="122"/>
      <c r="AE886" s="122"/>
      <c r="AF886" s="122"/>
      <c r="AG886" s="122"/>
      <c r="AH886" s="122"/>
      <c r="AI886" s="122"/>
      <c r="AJ886" s="122"/>
      <c r="AK886" s="122"/>
      <c r="AL886" s="122"/>
      <c r="AM886" s="122"/>
      <c r="AN886" s="122"/>
      <c r="AO886" s="122"/>
      <c r="AP886" s="166"/>
      <c r="AQ886" s="122"/>
      <c r="AR886" s="167"/>
      <c r="AS886" s="122"/>
      <c r="AT886" s="122"/>
      <c r="AU886" s="122"/>
      <c r="AV886" s="122"/>
      <c r="AW886" s="122"/>
      <c r="AX886" s="122"/>
      <c r="AY886" s="122"/>
      <c r="AZ886" s="122"/>
      <c r="BA886" s="122"/>
      <c r="BB886" s="122"/>
      <c r="BC886" s="122"/>
      <c r="BD886" s="122"/>
      <c r="BE886" s="122"/>
      <c r="BF886" s="122"/>
      <c r="BG886" s="122"/>
      <c r="BH886" s="122"/>
      <c r="BI886" s="122"/>
      <c r="BJ886" s="122"/>
    </row>
    <row r="887" spans="1:62">
      <c r="A887" s="122"/>
      <c r="B887" s="122"/>
      <c r="C887" s="122"/>
      <c r="D887" s="122"/>
      <c r="E887" s="122"/>
      <c r="F887" s="122"/>
      <c r="G887" s="122"/>
      <c r="H887" s="122"/>
      <c r="I887" s="122"/>
      <c r="J887" s="122"/>
      <c r="K887" s="122"/>
      <c r="L887" s="122"/>
      <c r="M887" s="122"/>
      <c r="N887" s="122"/>
      <c r="O887" s="122"/>
      <c r="P887" s="122"/>
      <c r="Q887" s="122"/>
      <c r="R887" s="122"/>
      <c r="S887" s="122"/>
      <c r="T887" s="122"/>
      <c r="U887" s="122"/>
      <c r="V887" s="122"/>
      <c r="W887" s="122"/>
      <c r="X887" s="122"/>
      <c r="Y887" s="122"/>
      <c r="Z887" s="122"/>
      <c r="AA887" s="122"/>
      <c r="AB887" s="122"/>
      <c r="AC887" s="122"/>
      <c r="AD887" s="122"/>
      <c r="AE887" s="122"/>
      <c r="AF887" s="122"/>
      <c r="AG887" s="122"/>
      <c r="AH887" s="122"/>
      <c r="AI887" s="122"/>
      <c r="AJ887" s="122"/>
      <c r="AK887" s="122"/>
      <c r="AL887" s="122"/>
      <c r="AM887" s="122"/>
      <c r="AN887" s="122"/>
      <c r="AO887" s="122"/>
      <c r="AP887" s="166"/>
      <c r="AQ887" s="122"/>
      <c r="AR887" s="167"/>
      <c r="AS887" s="122"/>
      <c r="AT887" s="122"/>
      <c r="AU887" s="122"/>
      <c r="AV887" s="122"/>
      <c r="AW887" s="122"/>
      <c r="AX887" s="122"/>
      <c r="AY887" s="122"/>
      <c r="AZ887" s="122"/>
      <c r="BA887" s="122"/>
      <c r="BB887" s="122"/>
      <c r="BC887" s="122"/>
      <c r="BD887" s="122"/>
      <c r="BE887" s="122"/>
      <c r="BF887" s="122"/>
      <c r="BG887" s="122"/>
      <c r="BH887" s="122"/>
      <c r="BI887" s="122"/>
      <c r="BJ887" s="122"/>
    </row>
    <row r="888" spans="1:62">
      <c r="A888" s="122"/>
      <c r="B888" s="122"/>
      <c r="C888" s="122"/>
      <c r="D888" s="122"/>
      <c r="E888" s="122"/>
      <c r="F888" s="122"/>
      <c r="G888" s="122"/>
      <c r="H888" s="122"/>
      <c r="I888" s="122"/>
      <c r="J888" s="122"/>
      <c r="K888" s="122"/>
      <c r="L888" s="122"/>
      <c r="M888" s="122"/>
      <c r="N888" s="122"/>
      <c r="O888" s="122"/>
      <c r="P888" s="122"/>
      <c r="Q888" s="122"/>
      <c r="R888" s="122"/>
      <c r="S888" s="122"/>
      <c r="T888" s="122"/>
      <c r="U888" s="122"/>
      <c r="V888" s="122"/>
      <c r="W888" s="122"/>
      <c r="X888" s="122"/>
      <c r="Y888" s="122"/>
      <c r="Z888" s="122"/>
      <c r="AA888" s="122"/>
      <c r="AB888" s="122"/>
      <c r="AC888" s="122"/>
      <c r="AD888" s="122"/>
      <c r="AE888" s="122"/>
      <c r="AF888" s="122"/>
      <c r="AG888" s="122"/>
      <c r="AH888" s="122"/>
      <c r="AI888" s="122"/>
      <c r="AJ888" s="122"/>
      <c r="AK888" s="122"/>
      <c r="AL888" s="122"/>
      <c r="AM888" s="122"/>
      <c r="AN888" s="122"/>
      <c r="AO888" s="122"/>
      <c r="AP888" s="166"/>
      <c r="AQ888" s="122"/>
      <c r="AR888" s="167"/>
      <c r="AS888" s="122"/>
      <c r="AT888" s="122"/>
      <c r="AU888" s="122"/>
      <c r="AV888" s="122"/>
      <c r="AW888" s="122"/>
      <c r="AX888" s="122"/>
      <c r="AY888" s="122"/>
      <c r="AZ888" s="122"/>
      <c r="BA888" s="122"/>
      <c r="BB888" s="122"/>
      <c r="BC888" s="122"/>
      <c r="BD888" s="122"/>
      <c r="BE888" s="122"/>
      <c r="BF888" s="122"/>
      <c r="BG888" s="122"/>
      <c r="BH888" s="122"/>
      <c r="BI888" s="122"/>
      <c r="BJ888" s="122"/>
    </row>
    <row r="889" spans="1:62">
      <c r="A889" s="122"/>
      <c r="B889" s="122"/>
      <c r="C889" s="122"/>
      <c r="D889" s="122"/>
      <c r="E889" s="122"/>
      <c r="F889" s="122"/>
      <c r="G889" s="122"/>
      <c r="H889" s="122"/>
      <c r="I889" s="122"/>
      <c r="J889" s="122"/>
      <c r="K889" s="122"/>
      <c r="L889" s="122"/>
      <c r="M889" s="122"/>
      <c r="N889" s="122"/>
      <c r="O889" s="122"/>
      <c r="P889" s="122"/>
      <c r="Q889" s="122"/>
      <c r="R889" s="122"/>
      <c r="S889" s="122"/>
      <c r="T889" s="122"/>
      <c r="U889" s="122"/>
      <c r="V889" s="122"/>
      <c r="W889" s="122"/>
      <c r="X889" s="122"/>
      <c r="Y889" s="122"/>
      <c r="Z889" s="122"/>
      <c r="AA889" s="122"/>
      <c r="AB889" s="122"/>
      <c r="AC889" s="122"/>
      <c r="AD889" s="122"/>
      <c r="AE889" s="122"/>
      <c r="AF889" s="122"/>
      <c r="AG889" s="122"/>
      <c r="AH889" s="122"/>
      <c r="AI889" s="122"/>
      <c r="AJ889" s="122"/>
      <c r="AK889" s="122"/>
      <c r="AL889" s="122"/>
      <c r="AM889" s="122"/>
      <c r="AN889" s="122"/>
      <c r="AO889" s="122"/>
      <c r="AP889" s="166"/>
      <c r="AQ889" s="122"/>
      <c r="AR889" s="167"/>
      <c r="AS889" s="122"/>
      <c r="AT889" s="122"/>
      <c r="AU889" s="122"/>
      <c r="AV889" s="122"/>
      <c r="AW889" s="122"/>
      <c r="AX889" s="122"/>
      <c r="AY889" s="122"/>
      <c r="AZ889" s="122"/>
      <c r="BA889" s="122"/>
      <c r="BB889" s="122"/>
      <c r="BC889" s="122"/>
      <c r="BD889" s="122"/>
      <c r="BE889" s="122"/>
      <c r="BF889" s="122"/>
      <c r="BG889" s="122"/>
      <c r="BH889" s="122"/>
      <c r="BI889" s="122"/>
      <c r="BJ889" s="122"/>
    </row>
    <row r="890" spans="1:62">
      <c r="A890" s="122"/>
      <c r="B890" s="122"/>
      <c r="C890" s="122"/>
      <c r="D890" s="122"/>
      <c r="E890" s="122"/>
      <c r="F890" s="122"/>
      <c r="G890" s="122"/>
      <c r="H890" s="122"/>
      <c r="I890" s="122"/>
      <c r="J890" s="122"/>
      <c r="K890" s="122"/>
      <c r="L890" s="122"/>
      <c r="M890" s="122"/>
      <c r="N890" s="122"/>
      <c r="O890" s="122"/>
      <c r="P890" s="122"/>
      <c r="Q890" s="122"/>
      <c r="R890" s="122"/>
      <c r="S890" s="122"/>
      <c r="T890" s="122"/>
      <c r="U890" s="122"/>
      <c r="V890" s="122"/>
      <c r="W890" s="122"/>
      <c r="X890" s="122"/>
      <c r="Y890" s="122"/>
      <c r="Z890" s="122"/>
      <c r="AA890" s="122"/>
      <c r="AB890" s="122"/>
      <c r="AC890" s="122"/>
      <c r="AD890" s="122"/>
      <c r="AE890" s="122"/>
      <c r="AF890" s="122"/>
      <c r="AG890" s="122"/>
      <c r="AH890" s="122"/>
      <c r="AI890" s="122"/>
      <c r="AJ890" s="122"/>
      <c r="AK890" s="122"/>
      <c r="AL890" s="122"/>
      <c r="AM890" s="122"/>
      <c r="AN890" s="122"/>
      <c r="AO890" s="122"/>
      <c r="AP890" s="166"/>
      <c r="AQ890" s="122"/>
      <c r="AR890" s="167"/>
      <c r="AS890" s="122"/>
      <c r="AT890" s="122"/>
      <c r="AU890" s="122"/>
      <c r="AV890" s="122"/>
      <c r="AW890" s="122"/>
      <c r="AX890" s="122"/>
      <c r="AY890" s="122"/>
      <c r="AZ890" s="122"/>
      <c r="BA890" s="122"/>
      <c r="BB890" s="122"/>
      <c r="BC890" s="122"/>
      <c r="BD890" s="122"/>
      <c r="BE890" s="122"/>
      <c r="BF890" s="122"/>
      <c r="BG890" s="122"/>
      <c r="BH890" s="122"/>
      <c r="BI890" s="122"/>
      <c r="BJ890" s="122"/>
    </row>
    <row r="891" spans="1:62">
      <c r="A891" s="122"/>
      <c r="B891" s="122"/>
      <c r="C891" s="122"/>
      <c r="D891" s="122"/>
      <c r="E891" s="122"/>
      <c r="F891" s="122"/>
      <c r="G891" s="122"/>
      <c r="H891" s="122"/>
      <c r="I891" s="122"/>
      <c r="J891" s="122"/>
      <c r="K891" s="122"/>
      <c r="L891" s="122"/>
      <c r="M891" s="122"/>
      <c r="N891" s="122"/>
      <c r="O891" s="122"/>
      <c r="P891" s="122"/>
      <c r="Q891" s="122"/>
      <c r="R891" s="122"/>
      <c r="S891" s="122"/>
      <c r="T891" s="122"/>
      <c r="U891" s="122"/>
      <c r="V891" s="122"/>
      <c r="W891" s="122"/>
      <c r="X891" s="122"/>
      <c r="Y891" s="122"/>
      <c r="Z891" s="122"/>
      <c r="AA891" s="122"/>
      <c r="AB891" s="122"/>
      <c r="AC891" s="122"/>
      <c r="AD891" s="122"/>
      <c r="AE891" s="122"/>
      <c r="AF891" s="122"/>
      <c r="AG891" s="122"/>
      <c r="AH891" s="122"/>
      <c r="AI891" s="122"/>
      <c r="AJ891" s="122"/>
      <c r="AK891" s="122"/>
      <c r="AL891" s="122"/>
      <c r="AM891" s="122"/>
      <c r="AN891" s="122"/>
      <c r="AO891" s="122"/>
      <c r="AP891" s="166"/>
      <c r="AQ891" s="122"/>
      <c r="AR891" s="167"/>
      <c r="AS891" s="122"/>
      <c r="AT891" s="122"/>
      <c r="AU891" s="122"/>
      <c r="AV891" s="122"/>
      <c r="AW891" s="122"/>
      <c r="AX891" s="122"/>
      <c r="AY891" s="122"/>
      <c r="AZ891" s="122"/>
      <c r="BA891" s="122"/>
      <c r="BB891" s="122"/>
      <c r="BC891" s="122"/>
      <c r="BD891" s="122"/>
      <c r="BE891" s="122"/>
      <c r="BF891" s="122"/>
      <c r="BG891" s="122"/>
      <c r="BH891" s="122"/>
      <c r="BI891" s="122"/>
      <c r="BJ891" s="122"/>
    </row>
    <row r="892" spans="1:62">
      <c r="A892" s="122"/>
      <c r="B892" s="122"/>
      <c r="C892" s="122"/>
      <c r="D892" s="122"/>
      <c r="E892" s="122"/>
      <c r="F892" s="122"/>
      <c r="G892" s="122"/>
      <c r="H892" s="122"/>
      <c r="I892" s="122"/>
      <c r="J892" s="122"/>
      <c r="K892" s="122"/>
      <c r="L892" s="122"/>
      <c r="M892" s="122"/>
      <c r="N892" s="122"/>
      <c r="O892" s="122"/>
      <c r="P892" s="122"/>
      <c r="Q892" s="122"/>
      <c r="R892" s="122"/>
      <c r="S892" s="122"/>
      <c r="T892" s="122"/>
      <c r="U892" s="122"/>
      <c r="V892" s="122"/>
      <c r="W892" s="122"/>
      <c r="X892" s="122"/>
      <c r="Y892" s="122"/>
      <c r="Z892" s="122"/>
      <c r="AA892" s="122"/>
      <c r="AB892" s="122"/>
      <c r="AC892" s="122"/>
      <c r="AD892" s="122"/>
      <c r="AE892" s="122"/>
      <c r="AF892" s="122"/>
      <c r="AG892" s="122"/>
      <c r="AH892" s="122"/>
      <c r="AI892" s="122"/>
      <c r="AJ892" s="122"/>
      <c r="AK892" s="122"/>
      <c r="AL892" s="122"/>
      <c r="AM892" s="122"/>
      <c r="AN892" s="122"/>
      <c r="AO892" s="122"/>
      <c r="AP892" s="166"/>
      <c r="AQ892" s="122"/>
      <c r="AR892" s="167"/>
      <c r="AS892" s="122"/>
      <c r="AT892" s="122"/>
      <c r="AU892" s="122"/>
      <c r="AV892" s="122"/>
      <c r="AW892" s="122"/>
      <c r="AX892" s="122"/>
      <c r="AY892" s="122"/>
      <c r="AZ892" s="122"/>
      <c r="BA892" s="122"/>
      <c r="BB892" s="122"/>
      <c r="BC892" s="122"/>
      <c r="BD892" s="122"/>
      <c r="BE892" s="122"/>
      <c r="BF892" s="122"/>
      <c r="BG892" s="122"/>
      <c r="BH892" s="122"/>
      <c r="BI892" s="122"/>
      <c r="BJ892" s="122"/>
    </row>
    <row r="893" spans="1:62">
      <c r="A893" s="122"/>
      <c r="B893" s="122"/>
      <c r="C893" s="122"/>
      <c r="D893" s="122"/>
      <c r="E893" s="122"/>
      <c r="F893" s="122"/>
      <c r="G893" s="122"/>
      <c r="H893" s="122"/>
      <c r="I893" s="122"/>
      <c r="J893" s="122"/>
      <c r="K893" s="122"/>
      <c r="L893" s="122"/>
      <c r="M893" s="122"/>
      <c r="N893" s="122"/>
      <c r="O893" s="122"/>
      <c r="P893" s="122"/>
      <c r="Q893" s="122"/>
      <c r="R893" s="122"/>
      <c r="S893" s="122"/>
      <c r="T893" s="122"/>
      <c r="U893" s="122"/>
      <c r="V893" s="122"/>
      <c r="W893" s="122"/>
      <c r="X893" s="122"/>
      <c r="Y893" s="122"/>
      <c r="Z893" s="122"/>
      <c r="AA893" s="122"/>
      <c r="AB893" s="122"/>
      <c r="AC893" s="122"/>
      <c r="AD893" s="122"/>
      <c r="AE893" s="122"/>
      <c r="AF893" s="122"/>
      <c r="AG893" s="122"/>
      <c r="AH893" s="122"/>
      <c r="AI893" s="122"/>
      <c r="AJ893" s="122"/>
      <c r="AK893" s="122"/>
      <c r="AL893" s="122"/>
      <c r="AM893" s="122"/>
      <c r="AN893" s="122"/>
      <c r="AO893" s="122"/>
      <c r="AP893" s="166"/>
      <c r="AQ893" s="122"/>
      <c r="AR893" s="167"/>
      <c r="AS893" s="122"/>
      <c r="AT893" s="122"/>
      <c r="AU893" s="122"/>
      <c r="AV893" s="122"/>
      <c r="AW893" s="122"/>
      <c r="AX893" s="122"/>
      <c r="AY893" s="122"/>
      <c r="AZ893" s="122"/>
      <c r="BA893" s="122"/>
      <c r="BB893" s="122"/>
      <c r="BC893" s="122"/>
      <c r="BD893" s="122"/>
      <c r="BE893" s="122"/>
      <c r="BF893" s="122"/>
      <c r="BG893" s="122"/>
      <c r="BH893" s="122"/>
      <c r="BI893" s="122"/>
      <c r="BJ893" s="122"/>
    </row>
    <row r="894" spans="1:62">
      <c r="A894" s="122"/>
      <c r="B894" s="122"/>
      <c r="C894" s="122"/>
      <c r="D894" s="122"/>
      <c r="E894" s="122"/>
      <c r="F894" s="122"/>
      <c r="G894" s="122"/>
      <c r="H894" s="122"/>
      <c r="I894" s="122"/>
      <c r="J894" s="122"/>
      <c r="K894" s="122"/>
      <c r="L894" s="122"/>
      <c r="M894" s="122"/>
      <c r="N894" s="122"/>
      <c r="O894" s="122"/>
      <c r="P894" s="122"/>
      <c r="Q894" s="122"/>
      <c r="R894" s="122"/>
      <c r="S894" s="122"/>
      <c r="T894" s="122"/>
      <c r="U894" s="122"/>
      <c r="V894" s="122"/>
      <c r="W894" s="122"/>
      <c r="X894" s="122"/>
      <c r="Y894" s="122"/>
      <c r="Z894" s="122"/>
      <c r="AA894" s="122"/>
      <c r="AB894" s="122"/>
      <c r="AC894" s="122"/>
      <c r="AD894" s="122"/>
      <c r="AE894" s="122"/>
      <c r="AF894" s="122"/>
      <c r="AG894" s="122"/>
      <c r="AH894" s="122"/>
      <c r="AI894" s="122"/>
      <c r="AJ894" s="122"/>
      <c r="AK894" s="122"/>
      <c r="AL894" s="122"/>
      <c r="AM894" s="122"/>
      <c r="AN894" s="122"/>
      <c r="AO894" s="122"/>
      <c r="AP894" s="166"/>
      <c r="AQ894" s="122"/>
      <c r="AR894" s="167"/>
      <c r="AS894" s="122"/>
      <c r="AT894" s="122"/>
      <c r="AU894" s="122"/>
      <c r="AV894" s="122"/>
      <c r="AW894" s="122"/>
      <c r="AX894" s="122"/>
      <c r="AY894" s="122"/>
      <c r="AZ894" s="122"/>
      <c r="BA894" s="122"/>
      <c r="BB894" s="122"/>
      <c r="BC894" s="122"/>
      <c r="BD894" s="122"/>
      <c r="BE894" s="122"/>
      <c r="BF894" s="122"/>
      <c r="BG894" s="122"/>
      <c r="BH894" s="122"/>
      <c r="BI894" s="122"/>
      <c r="BJ894" s="122"/>
    </row>
    <row r="895" spans="1:62">
      <c r="A895" s="122"/>
      <c r="B895" s="122"/>
      <c r="C895" s="122"/>
      <c r="D895" s="122"/>
      <c r="E895" s="122"/>
      <c r="F895" s="122"/>
      <c r="G895" s="122"/>
      <c r="H895" s="122"/>
      <c r="I895" s="122"/>
      <c r="J895" s="122"/>
      <c r="K895" s="122"/>
      <c r="L895" s="122"/>
      <c r="M895" s="122"/>
      <c r="N895" s="122"/>
      <c r="O895" s="122"/>
      <c r="P895" s="122"/>
      <c r="Q895" s="122"/>
      <c r="R895" s="122"/>
      <c r="S895" s="122"/>
      <c r="T895" s="122"/>
      <c r="U895" s="122"/>
      <c r="V895" s="122"/>
      <c r="W895" s="122"/>
      <c r="X895" s="122"/>
      <c r="Y895" s="122"/>
      <c r="Z895" s="122"/>
      <c r="AA895" s="122"/>
      <c r="AB895" s="122"/>
      <c r="AC895" s="122"/>
      <c r="AD895" s="122"/>
      <c r="AE895" s="122"/>
      <c r="AF895" s="122"/>
      <c r="AG895" s="122"/>
      <c r="AH895" s="122"/>
      <c r="AI895" s="122"/>
      <c r="AJ895" s="122"/>
      <c r="AK895" s="122"/>
      <c r="AL895" s="122"/>
      <c r="AM895" s="122"/>
      <c r="AN895" s="122"/>
      <c r="AO895" s="122"/>
      <c r="AP895" s="166"/>
      <c r="AQ895" s="122"/>
      <c r="AR895" s="167"/>
      <c r="AS895" s="122"/>
      <c r="AT895" s="122"/>
      <c r="AU895" s="122"/>
      <c r="AV895" s="122"/>
      <c r="AW895" s="122"/>
      <c r="AX895" s="122"/>
      <c r="AY895" s="122"/>
      <c r="AZ895" s="122"/>
      <c r="BA895" s="122"/>
      <c r="BB895" s="122"/>
      <c r="BC895" s="122"/>
      <c r="BD895" s="122"/>
      <c r="BE895" s="122"/>
      <c r="BF895" s="122"/>
      <c r="BG895" s="122"/>
      <c r="BH895" s="122"/>
      <c r="BI895" s="122"/>
      <c r="BJ895" s="122"/>
    </row>
    <row r="896" spans="1:62">
      <c r="A896" s="122"/>
      <c r="B896" s="122"/>
      <c r="C896" s="122"/>
      <c r="D896" s="122"/>
      <c r="E896" s="122"/>
      <c r="F896" s="122"/>
      <c r="G896" s="122"/>
      <c r="H896" s="122"/>
      <c r="I896" s="122"/>
      <c r="J896" s="122"/>
      <c r="K896" s="122"/>
      <c r="L896" s="122"/>
      <c r="M896" s="122"/>
      <c r="N896" s="122"/>
      <c r="O896" s="122"/>
      <c r="P896" s="122"/>
      <c r="Q896" s="122"/>
      <c r="R896" s="122"/>
      <c r="S896" s="122"/>
      <c r="T896" s="122"/>
      <c r="U896" s="122"/>
      <c r="V896" s="122"/>
      <c r="W896" s="122"/>
      <c r="X896" s="122"/>
      <c r="Y896" s="122"/>
      <c r="Z896" s="122"/>
      <c r="AA896" s="122"/>
      <c r="AB896" s="122"/>
      <c r="AC896" s="122"/>
      <c r="AD896" s="122"/>
      <c r="AE896" s="122"/>
      <c r="AF896" s="122"/>
      <c r="AG896" s="122"/>
      <c r="AH896" s="122"/>
      <c r="AI896" s="122"/>
      <c r="AJ896" s="122"/>
      <c r="AK896" s="122"/>
      <c r="AL896" s="122"/>
      <c r="AM896" s="122"/>
      <c r="AN896" s="122"/>
      <c r="AO896" s="122"/>
      <c r="AP896" s="166"/>
      <c r="AQ896" s="122"/>
      <c r="AR896" s="167"/>
      <c r="AS896" s="122"/>
      <c r="AT896" s="122"/>
      <c r="AU896" s="122"/>
      <c r="AV896" s="122"/>
      <c r="AW896" s="122"/>
      <c r="AX896" s="122"/>
      <c r="AY896" s="122"/>
      <c r="AZ896" s="122"/>
      <c r="BA896" s="122"/>
      <c r="BB896" s="122"/>
      <c r="BC896" s="122"/>
      <c r="BD896" s="122"/>
      <c r="BE896" s="122"/>
      <c r="BF896" s="122"/>
      <c r="BG896" s="122"/>
      <c r="BH896" s="122"/>
      <c r="BI896" s="122"/>
      <c r="BJ896" s="122"/>
    </row>
    <row r="897" spans="1:62">
      <c r="A897" s="122"/>
      <c r="B897" s="122"/>
      <c r="C897" s="122"/>
      <c r="D897" s="122"/>
      <c r="E897" s="122"/>
      <c r="F897" s="122"/>
      <c r="G897" s="122"/>
      <c r="H897" s="122"/>
      <c r="I897" s="122"/>
      <c r="J897" s="122"/>
      <c r="K897" s="122"/>
      <c r="L897" s="122"/>
      <c r="M897" s="122"/>
      <c r="N897" s="122"/>
      <c r="O897" s="122"/>
      <c r="P897" s="122"/>
      <c r="Q897" s="122"/>
      <c r="R897" s="122"/>
      <c r="S897" s="122"/>
      <c r="T897" s="122"/>
      <c r="U897" s="122"/>
      <c r="V897" s="122"/>
      <c r="W897" s="122"/>
      <c r="X897" s="122"/>
      <c r="Y897" s="122"/>
      <c r="Z897" s="122"/>
      <c r="AA897" s="122"/>
      <c r="AB897" s="122"/>
      <c r="AC897" s="122"/>
      <c r="AD897" s="122"/>
      <c r="AE897" s="122"/>
      <c r="AF897" s="122"/>
      <c r="AG897" s="122"/>
      <c r="AH897" s="122"/>
      <c r="AI897" s="122"/>
      <c r="AJ897" s="122"/>
      <c r="AK897" s="122"/>
      <c r="AL897" s="122"/>
      <c r="AM897" s="122"/>
      <c r="AN897" s="122"/>
      <c r="AO897" s="122"/>
      <c r="AP897" s="166"/>
      <c r="AQ897" s="122"/>
      <c r="AR897" s="167"/>
      <c r="AS897" s="122"/>
      <c r="AT897" s="122"/>
      <c r="AU897" s="122"/>
      <c r="AV897" s="122"/>
      <c r="AW897" s="122"/>
      <c r="AX897" s="122"/>
      <c r="AY897" s="122"/>
      <c r="AZ897" s="122"/>
      <c r="BA897" s="122"/>
      <c r="BB897" s="122"/>
      <c r="BC897" s="122"/>
      <c r="BD897" s="122"/>
      <c r="BE897" s="122"/>
      <c r="BF897" s="122"/>
      <c r="BG897" s="122"/>
      <c r="BH897" s="122"/>
      <c r="BI897" s="122"/>
      <c r="BJ897" s="122"/>
    </row>
    <row r="898" spans="1:62">
      <c r="A898" s="122"/>
      <c r="B898" s="122"/>
      <c r="C898" s="122"/>
      <c r="D898" s="122"/>
      <c r="E898" s="122"/>
      <c r="F898" s="122"/>
      <c r="G898" s="122"/>
      <c r="H898" s="122"/>
      <c r="I898" s="122"/>
      <c r="J898" s="122"/>
      <c r="K898" s="122"/>
      <c r="L898" s="122"/>
      <c r="M898" s="122"/>
      <c r="N898" s="122"/>
      <c r="O898" s="122"/>
      <c r="P898" s="122"/>
      <c r="Q898" s="122"/>
      <c r="R898" s="122"/>
      <c r="S898" s="122"/>
      <c r="T898" s="122"/>
      <c r="U898" s="122"/>
      <c r="V898" s="122"/>
      <c r="W898" s="122"/>
      <c r="X898" s="122"/>
      <c r="Y898" s="122"/>
      <c r="Z898" s="122"/>
      <c r="AA898" s="122"/>
      <c r="AB898" s="122"/>
      <c r="AC898" s="122"/>
      <c r="AD898" s="122"/>
      <c r="AE898" s="122"/>
      <c r="AF898" s="122"/>
      <c r="AG898" s="122"/>
      <c r="AH898" s="122"/>
      <c r="AI898" s="122"/>
      <c r="AJ898" s="122"/>
      <c r="AK898" s="122"/>
      <c r="AL898" s="122"/>
      <c r="AM898" s="122"/>
      <c r="AN898" s="122"/>
      <c r="AO898" s="122"/>
      <c r="AP898" s="166"/>
      <c r="AQ898" s="122"/>
      <c r="AR898" s="167"/>
      <c r="AS898" s="122"/>
      <c r="AT898" s="122"/>
      <c r="AU898" s="122"/>
      <c r="AV898" s="122"/>
      <c r="AW898" s="122"/>
      <c r="AX898" s="122"/>
      <c r="AY898" s="122"/>
      <c r="AZ898" s="122"/>
      <c r="BA898" s="122"/>
      <c r="BB898" s="122"/>
      <c r="BC898" s="122"/>
      <c r="BD898" s="122"/>
      <c r="BE898" s="122"/>
      <c r="BF898" s="122"/>
      <c r="BG898" s="122"/>
      <c r="BH898" s="122"/>
      <c r="BI898" s="122"/>
      <c r="BJ898" s="122"/>
    </row>
    <row r="899" spans="1:62">
      <c r="A899" s="122"/>
      <c r="B899" s="122"/>
      <c r="C899" s="122"/>
      <c r="D899" s="122"/>
      <c r="E899" s="122"/>
      <c r="F899" s="122"/>
      <c r="G899" s="122"/>
      <c r="H899" s="122"/>
      <c r="I899" s="122"/>
      <c r="J899" s="122"/>
      <c r="K899" s="122"/>
      <c r="L899" s="122"/>
      <c r="M899" s="122"/>
      <c r="N899" s="122"/>
      <c r="O899" s="122"/>
      <c r="P899" s="122"/>
      <c r="Q899" s="122"/>
      <c r="R899" s="122"/>
      <c r="S899" s="122"/>
      <c r="T899" s="122"/>
      <c r="U899" s="122"/>
      <c r="V899" s="122"/>
      <c r="W899" s="122"/>
      <c r="X899" s="122"/>
      <c r="Y899" s="122"/>
      <c r="Z899" s="122"/>
      <c r="AA899" s="122"/>
      <c r="AB899" s="122"/>
      <c r="AC899" s="122"/>
      <c r="AD899" s="122"/>
      <c r="AE899" s="122"/>
      <c r="AF899" s="122"/>
      <c r="AG899" s="122"/>
      <c r="AH899" s="122"/>
      <c r="AI899" s="122"/>
      <c r="AJ899" s="122"/>
      <c r="AK899" s="122"/>
      <c r="AL899" s="122"/>
      <c r="AM899" s="122"/>
      <c r="AN899" s="122"/>
      <c r="AO899" s="122"/>
      <c r="AP899" s="166"/>
      <c r="AQ899" s="122"/>
      <c r="AR899" s="167"/>
      <c r="AS899" s="122"/>
      <c r="AT899" s="122"/>
      <c r="AU899" s="122"/>
      <c r="AV899" s="122"/>
      <c r="AW899" s="122"/>
      <c r="AX899" s="122"/>
      <c r="AY899" s="122"/>
      <c r="AZ899" s="122"/>
      <c r="BA899" s="122"/>
      <c r="BB899" s="122"/>
      <c r="BC899" s="122"/>
      <c r="BD899" s="122"/>
      <c r="BE899" s="122"/>
      <c r="BF899" s="122"/>
      <c r="BG899" s="122"/>
      <c r="BH899" s="122"/>
      <c r="BI899" s="122"/>
      <c r="BJ899" s="122"/>
    </row>
    <row r="900" spans="1:62">
      <c r="A900" s="122"/>
      <c r="B900" s="122"/>
      <c r="C900" s="122"/>
      <c r="D900" s="122"/>
      <c r="E900" s="122"/>
      <c r="F900" s="122"/>
      <c r="G900" s="122"/>
      <c r="H900" s="122"/>
      <c r="I900" s="122"/>
      <c r="J900" s="122"/>
      <c r="K900" s="122"/>
      <c r="L900" s="122"/>
      <c r="M900" s="122"/>
      <c r="N900" s="122"/>
      <c r="O900" s="122"/>
      <c r="P900" s="122"/>
      <c r="Q900" s="122"/>
      <c r="R900" s="122"/>
      <c r="S900" s="122"/>
      <c r="T900" s="122"/>
      <c r="U900" s="122"/>
      <c r="V900" s="122"/>
      <c r="W900" s="122"/>
      <c r="X900" s="122"/>
      <c r="Y900" s="122"/>
      <c r="Z900" s="122"/>
      <c r="AA900" s="122"/>
      <c r="AB900" s="122"/>
      <c r="AC900" s="122"/>
      <c r="AD900" s="122"/>
      <c r="AE900" s="122"/>
      <c r="AF900" s="122"/>
      <c r="AG900" s="122"/>
      <c r="AH900" s="122"/>
      <c r="AI900" s="122"/>
      <c r="AJ900" s="122"/>
      <c r="AK900" s="122"/>
      <c r="AL900" s="122"/>
      <c r="AM900" s="122"/>
      <c r="AN900" s="122"/>
      <c r="AO900" s="122"/>
      <c r="AP900" s="166"/>
      <c r="AQ900" s="122"/>
      <c r="AR900" s="167"/>
      <c r="AS900" s="122"/>
      <c r="AT900" s="122"/>
      <c r="AU900" s="122"/>
      <c r="AV900" s="122"/>
      <c r="AW900" s="122"/>
      <c r="AX900" s="122"/>
      <c r="AY900" s="122"/>
      <c r="AZ900" s="122"/>
      <c r="BA900" s="122"/>
      <c r="BB900" s="122"/>
      <c r="BC900" s="122"/>
      <c r="BD900" s="122"/>
      <c r="BE900" s="122"/>
      <c r="BF900" s="122"/>
      <c r="BG900" s="122"/>
      <c r="BH900" s="122"/>
      <c r="BI900" s="122"/>
      <c r="BJ900" s="122"/>
    </row>
    <row r="901" spans="1:62">
      <c r="A901" s="122"/>
      <c r="B901" s="122"/>
      <c r="C901" s="122"/>
      <c r="D901" s="122"/>
      <c r="E901" s="122"/>
      <c r="F901" s="122"/>
      <c r="G901" s="122"/>
      <c r="H901" s="122"/>
      <c r="I901" s="122"/>
      <c r="J901" s="122"/>
      <c r="K901" s="122"/>
      <c r="L901" s="122"/>
      <c r="M901" s="122"/>
      <c r="N901" s="122"/>
      <c r="O901" s="122"/>
      <c r="P901" s="122"/>
      <c r="Q901" s="122"/>
      <c r="R901" s="122"/>
      <c r="S901" s="122"/>
      <c r="T901" s="122"/>
      <c r="U901" s="122"/>
      <c r="V901" s="122"/>
      <c r="W901" s="122"/>
      <c r="X901" s="122"/>
      <c r="Y901" s="122"/>
      <c r="Z901" s="122"/>
      <c r="AA901" s="122"/>
      <c r="AB901" s="122"/>
      <c r="AC901" s="122"/>
      <c r="AD901" s="122"/>
      <c r="AE901" s="122"/>
      <c r="AF901" s="122"/>
      <c r="AG901" s="122"/>
      <c r="AH901" s="122"/>
      <c r="AI901" s="122"/>
      <c r="AJ901" s="122"/>
      <c r="AK901" s="122"/>
      <c r="AL901" s="122"/>
      <c r="AM901" s="122"/>
      <c r="AN901" s="122"/>
      <c r="AO901" s="122"/>
      <c r="AP901" s="166"/>
      <c r="AQ901" s="122"/>
      <c r="AR901" s="167"/>
      <c r="AS901" s="122"/>
      <c r="AT901" s="122"/>
      <c r="AU901" s="122"/>
      <c r="AV901" s="122"/>
      <c r="AW901" s="122"/>
      <c r="AX901" s="122"/>
      <c r="AY901" s="122"/>
      <c r="AZ901" s="122"/>
      <c r="BA901" s="122"/>
      <c r="BB901" s="122"/>
      <c r="BC901" s="122"/>
      <c r="BD901" s="122"/>
      <c r="BE901" s="122"/>
      <c r="BF901" s="122"/>
      <c r="BG901" s="122"/>
      <c r="BH901" s="122"/>
      <c r="BI901" s="122"/>
      <c r="BJ901" s="122"/>
    </row>
    <row r="902" spans="1:62">
      <c r="A902" s="122"/>
      <c r="B902" s="122"/>
      <c r="C902" s="122"/>
      <c r="D902" s="122"/>
      <c r="E902" s="122"/>
      <c r="F902" s="122"/>
      <c r="G902" s="122"/>
      <c r="H902" s="122"/>
      <c r="I902" s="122"/>
      <c r="J902" s="122"/>
      <c r="K902" s="122"/>
      <c r="L902" s="122"/>
      <c r="M902" s="122"/>
      <c r="N902" s="122"/>
      <c r="O902" s="122"/>
      <c r="P902" s="122"/>
      <c r="Q902" s="122"/>
      <c r="R902" s="122"/>
      <c r="S902" s="122"/>
      <c r="T902" s="122"/>
      <c r="U902" s="122"/>
      <c r="V902" s="122"/>
      <c r="W902" s="122"/>
      <c r="X902" s="122"/>
      <c r="Y902" s="122"/>
      <c r="Z902" s="122"/>
      <c r="AA902" s="122"/>
      <c r="AB902" s="122"/>
      <c r="AC902" s="122"/>
      <c r="AD902" s="122"/>
      <c r="AE902" s="122"/>
      <c r="AF902" s="122"/>
      <c r="AG902" s="122"/>
      <c r="AH902" s="122"/>
      <c r="AI902" s="122"/>
      <c r="AJ902" s="122"/>
      <c r="AK902" s="122"/>
      <c r="AL902" s="122"/>
      <c r="AM902" s="122"/>
      <c r="AN902" s="122"/>
      <c r="AO902" s="122"/>
      <c r="AP902" s="166"/>
      <c r="AQ902" s="122"/>
      <c r="AR902" s="167"/>
      <c r="AS902" s="122"/>
      <c r="AT902" s="122"/>
      <c r="AU902" s="122"/>
      <c r="AV902" s="122"/>
      <c r="AW902" s="122"/>
      <c r="AX902" s="122"/>
      <c r="AY902" s="122"/>
      <c r="AZ902" s="122"/>
      <c r="BA902" s="122"/>
      <c r="BB902" s="122"/>
      <c r="BC902" s="122"/>
      <c r="BD902" s="122"/>
      <c r="BE902" s="122"/>
      <c r="BF902" s="122"/>
      <c r="BG902" s="122"/>
      <c r="BH902" s="122"/>
      <c r="BI902" s="122"/>
      <c r="BJ902" s="122"/>
    </row>
    <row r="903" spans="1:62">
      <c r="A903" s="122"/>
      <c r="B903" s="122"/>
      <c r="C903" s="122"/>
      <c r="D903" s="122"/>
      <c r="E903" s="122"/>
      <c r="F903" s="122"/>
      <c r="G903" s="122"/>
      <c r="H903" s="122"/>
      <c r="I903" s="122"/>
      <c r="J903" s="122"/>
      <c r="K903" s="122"/>
      <c r="L903" s="122"/>
      <c r="M903" s="122"/>
      <c r="N903" s="122"/>
      <c r="O903" s="122"/>
      <c r="P903" s="122"/>
      <c r="Q903" s="122"/>
      <c r="R903" s="122"/>
      <c r="S903" s="122"/>
      <c r="T903" s="122"/>
      <c r="U903" s="122"/>
      <c r="V903" s="122"/>
      <c r="W903" s="122"/>
      <c r="X903" s="122"/>
      <c r="Y903" s="122"/>
      <c r="Z903" s="122"/>
      <c r="AA903" s="122"/>
      <c r="AB903" s="122"/>
      <c r="AC903" s="122"/>
      <c r="AD903" s="122"/>
      <c r="AE903" s="122"/>
      <c r="AF903" s="122"/>
      <c r="AG903" s="122"/>
      <c r="AH903" s="122"/>
      <c r="AI903" s="122"/>
      <c r="AJ903" s="122"/>
      <c r="AK903" s="122"/>
      <c r="AL903" s="122"/>
      <c r="AM903" s="122"/>
      <c r="AN903" s="122"/>
      <c r="AO903" s="122"/>
      <c r="AP903" s="166"/>
      <c r="AQ903" s="122"/>
      <c r="AR903" s="167"/>
      <c r="AS903" s="122"/>
      <c r="AT903" s="122"/>
      <c r="AU903" s="122"/>
      <c r="AV903" s="122"/>
      <c r="AW903" s="122"/>
      <c r="AX903" s="122"/>
      <c r="AY903" s="122"/>
      <c r="AZ903" s="122"/>
      <c r="BA903" s="122"/>
      <c r="BB903" s="122"/>
      <c r="BC903" s="122"/>
      <c r="BD903" s="122"/>
      <c r="BE903" s="122"/>
      <c r="BF903" s="122"/>
      <c r="BG903" s="122"/>
      <c r="BH903" s="122"/>
      <c r="BI903" s="122"/>
      <c r="BJ903" s="122"/>
    </row>
    <row r="904" spans="1:62">
      <c r="A904" s="122"/>
      <c r="B904" s="122"/>
      <c r="C904" s="122"/>
      <c r="D904" s="122"/>
      <c r="E904" s="122"/>
      <c r="F904" s="122"/>
      <c r="G904" s="122"/>
      <c r="H904" s="122"/>
      <c r="I904" s="122"/>
      <c r="J904" s="122"/>
      <c r="K904" s="122"/>
      <c r="L904" s="122"/>
      <c r="M904" s="122"/>
      <c r="N904" s="122"/>
      <c r="O904" s="122"/>
      <c r="P904" s="122"/>
      <c r="Q904" s="122"/>
      <c r="R904" s="122"/>
      <c r="S904" s="122"/>
      <c r="T904" s="122"/>
      <c r="U904" s="122"/>
      <c r="V904" s="122"/>
      <c r="W904" s="122"/>
      <c r="X904" s="122"/>
      <c r="Y904" s="122"/>
      <c r="Z904" s="122"/>
      <c r="AA904" s="122"/>
      <c r="AB904" s="122"/>
      <c r="AC904" s="122"/>
      <c r="AD904" s="122"/>
      <c r="AE904" s="122"/>
      <c r="AF904" s="122"/>
      <c r="AG904" s="122"/>
      <c r="AH904" s="122"/>
      <c r="AI904" s="122"/>
      <c r="AJ904" s="122"/>
      <c r="AK904" s="122"/>
      <c r="AL904" s="122"/>
      <c r="AM904" s="122"/>
      <c r="AN904" s="122"/>
      <c r="AO904" s="122"/>
      <c r="AP904" s="166"/>
      <c r="AQ904" s="122"/>
      <c r="AR904" s="167"/>
      <c r="AS904" s="122"/>
      <c r="AT904" s="122"/>
      <c r="AU904" s="122"/>
      <c r="AV904" s="122"/>
      <c r="AW904" s="122"/>
      <c r="AX904" s="122"/>
      <c r="AY904" s="122"/>
      <c r="AZ904" s="122"/>
      <c r="BA904" s="122"/>
      <c r="BB904" s="122"/>
      <c r="BC904" s="122"/>
      <c r="BD904" s="122"/>
      <c r="BE904" s="122"/>
      <c r="BF904" s="122"/>
      <c r="BG904" s="122"/>
      <c r="BH904" s="122"/>
      <c r="BI904" s="122"/>
      <c r="BJ904" s="122"/>
    </row>
    <row r="905" spans="1:62">
      <c r="A905" s="122"/>
      <c r="B905" s="122"/>
      <c r="C905" s="122"/>
      <c r="D905" s="122"/>
      <c r="E905" s="122"/>
      <c r="F905" s="122"/>
      <c r="G905" s="122"/>
      <c r="H905" s="122"/>
      <c r="I905" s="122"/>
      <c r="J905" s="122"/>
      <c r="K905" s="122"/>
      <c r="L905" s="122"/>
      <c r="M905" s="122"/>
      <c r="N905" s="122"/>
      <c r="O905" s="122"/>
      <c r="P905" s="122"/>
      <c r="Q905" s="122"/>
      <c r="R905" s="122"/>
      <c r="S905" s="122"/>
      <c r="T905" s="122"/>
      <c r="U905" s="122"/>
      <c r="V905" s="122"/>
      <c r="W905" s="122"/>
      <c r="X905" s="122"/>
      <c r="Y905" s="122"/>
      <c r="Z905" s="122"/>
      <c r="AA905" s="122"/>
      <c r="AB905" s="122"/>
      <c r="AC905" s="122"/>
      <c r="AD905" s="122"/>
      <c r="AE905" s="122"/>
      <c r="AF905" s="122"/>
      <c r="AG905" s="122"/>
      <c r="AH905" s="122"/>
      <c r="AI905" s="122"/>
      <c r="AJ905" s="122"/>
      <c r="AK905" s="122"/>
      <c r="AL905" s="122"/>
      <c r="AM905" s="122"/>
      <c r="AN905" s="122"/>
      <c r="AO905" s="122"/>
      <c r="AP905" s="166"/>
      <c r="AQ905" s="122"/>
      <c r="AR905" s="167"/>
      <c r="AS905" s="122"/>
      <c r="AT905" s="122"/>
      <c r="AU905" s="122"/>
      <c r="AV905" s="122"/>
      <c r="AW905" s="122"/>
      <c r="AX905" s="122"/>
      <c r="AY905" s="122"/>
      <c r="AZ905" s="122"/>
      <c r="BA905" s="122"/>
      <c r="BB905" s="122"/>
      <c r="BC905" s="122"/>
      <c r="BD905" s="122"/>
      <c r="BE905" s="122"/>
      <c r="BF905" s="122"/>
      <c r="BG905" s="122"/>
      <c r="BH905" s="122"/>
      <c r="BI905" s="122"/>
      <c r="BJ905" s="122"/>
    </row>
    <row r="906" spans="1:62">
      <c r="A906" s="122"/>
      <c r="B906" s="122"/>
      <c r="C906" s="122"/>
      <c r="D906" s="122"/>
      <c r="E906" s="122"/>
      <c r="F906" s="122"/>
      <c r="G906" s="122"/>
      <c r="H906" s="122"/>
      <c r="I906" s="122"/>
      <c r="J906" s="122"/>
      <c r="K906" s="122"/>
      <c r="L906" s="122"/>
      <c r="M906" s="122"/>
      <c r="N906" s="122"/>
      <c r="O906" s="122"/>
      <c r="P906" s="122"/>
      <c r="Q906" s="122"/>
      <c r="R906" s="122"/>
      <c r="S906" s="122"/>
      <c r="T906" s="122"/>
      <c r="U906" s="122"/>
      <c r="V906" s="122"/>
      <c r="W906" s="122"/>
      <c r="X906" s="122"/>
      <c r="Y906" s="122"/>
      <c r="Z906" s="122"/>
      <c r="AA906" s="122"/>
      <c r="AB906" s="122"/>
      <c r="AC906" s="122"/>
      <c r="AD906" s="122"/>
      <c r="AE906" s="122"/>
      <c r="AF906" s="122"/>
      <c r="AG906" s="122"/>
      <c r="AH906" s="122"/>
      <c r="AI906" s="122"/>
      <c r="AJ906" s="122"/>
      <c r="AK906" s="122"/>
      <c r="AL906" s="122"/>
      <c r="AM906" s="122"/>
      <c r="AN906" s="122"/>
      <c r="AO906" s="122"/>
      <c r="AP906" s="166"/>
      <c r="AQ906" s="122"/>
      <c r="AR906" s="167"/>
      <c r="AS906" s="122"/>
      <c r="AT906" s="122"/>
      <c r="AU906" s="122"/>
      <c r="AV906" s="122"/>
      <c r="AW906" s="122"/>
      <c r="AX906" s="122"/>
      <c r="AY906" s="122"/>
      <c r="AZ906" s="122"/>
      <c r="BA906" s="122"/>
      <c r="BB906" s="122"/>
      <c r="BC906" s="122"/>
      <c r="BD906" s="122"/>
      <c r="BE906" s="122"/>
      <c r="BF906" s="122"/>
      <c r="BG906" s="122"/>
      <c r="BH906" s="122"/>
      <c r="BI906" s="122"/>
      <c r="BJ906" s="122"/>
    </row>
    <row r="907" spans="1:62">
      <c r="A907" s="122"/>
      <c r="B907" s="122"/>
      <c r="C907" s="122"/>
      <c r="D907" s="122"/>
      <c r="E907" s="122"/>
      <c r="F907" s="122"/>
      <c r="G907" s="122"/>
      <c r="H907" s="122"/>
      <c r="I907" s="122"/>
      <c r="J907" s="122"/>
      <c r="K907" s="122"/>
      <c r="L907" s="122"/>
      <c r="M907" s="122"/>
      <c r="N907" s="122"/>
      <c r="O907" s="122"/>
      <c r="P907" s="122"/>
      <c r="Q907" s="122"/>
      <c r="R907" s="122"/>
      <c r="S907" s="122"/>
      <c r="T907" s="122"/>
      <c r="U907" s="122"/>
      <c r="V907" s="122"/>
      <c r="W907" s="122"/>
      <c r="X907" s="122"/>
      <c r="Y907" s="122"/>
      <c r="Z907" s="122"/>
      <c r="AA907" s="122"/>
      <c r="AB907" s="122"/>
      <c r="AC907" s="122"/>
      <c r="AD907" s="122"/>
      <c r="AE907" s="122"/>
      <c r="AF907" s="122"/>
      <c r="AG907" s="122"/>
      <c r="AH907" s="122"/>
      <c r="AI907" s="122"/>
      <c r="AJ907" s="122"/>
      <c r="AK907" s="122"/>
      <c r="AL907" s="122"/>
      <c r="AM907" s="122"/>
      <c r="AN907" s="122"/>
      <c r="AO907" s="122"/>
      <c r="AP907" s="166"/>
      <c r="AQ907" s="122"/>
      <c r="AR907" s="167"/>
      <c r="AS907" s="122"/>
      <c r="AT907" s="122"/>
      <c r="AU907" s="122"/>
      <c r="AV907" s="122"/>
      <c r="AW907" s="122"/>
      <c r="AX907" s="122"/>
      <c r="AY907" s="122"/>
      <c r="AZ907" s="122"/>
      <c r="BA907" s="122"/>
      <c r="BB907" s="122"/>
      <c r="BC907" s="122"/>
      <c r="BD907" s="122"/>
      <c r="BE907" s="122"/>
      <c r="BF907" s="122"/>
      <c r="BG907" s="122"/>
      <c r="BH907" s="122"/>
      <c r="BI907" s="122"/>
      <c r="BJ907" s="122"/>
    </row>
    <row r="908" spans="1:62">
      <c r="A908" s="122"/>
      <c r="B908" s="122"/>
      <c r="C908" s="122"/>
      <c r="D908" s="122"/>
      <c r="E908" s="122"/>
      <c r="F908" s="122"/>
      <c r="G908" s="122"/>
      <c r="H908" s="122"/>
      <c r="I908" s="122"/>
      <c r="J908" s="122"/>
      <c r="K908" s="122"/>
      <c r="L908" s="122"/>
      <c r="M908" s="122"/>
      <c r="N908" s="122"/>
      <c r="O908" s="122"/>
      <c r="P908" s="122"/>
      <c r="Q908" s="122"/>
      <c r="R908" s="122"/>
      <c r="S908" s="122"/>
      <c r="T908" s="122"/>
      <c r="U908" s="122"/>
      <c r="V908" s="122"/>
      <c r="W908" s="122"/>
      <c r="X908" s="122"/>
      <c r="Y908" s="122"/>
      <c r="Z908" s="122"/>
      <c r="AA908" s="122"/>
      <c r="AB908" s="122"/>
      <c r="AC908" s="122"/>
      <c r="AD908" s="122"/>
      <c r="AE908" s="122"/>
      <c r="AF908" s="122"/>
      <c r="AG908" s="122"/>
      <c r="AH908" s="122"/>
      <c r="AI908" s="122"/>
      <c r="AJ908" s="122"/>
      <c r="AK908" s="122"/>
      <c r="AL908" s="122"/>
      <c r="AM908" s="122"/>
      <c r="AN908" s="122"/>
      <c r="AO908" s="122"/>
      <c r="AP908" s="166"/>
      <c r="AQ908" s="122"/>
      <c r="AR908" s="167"/>
      <c r="AS908" s="122"/>
      <c r="AT908" s="122"/>
      <c r="AU908" s="122"/>
      <c r="AV908" s="122"/>
      <c r="AW908" s="122"/>
      <c r="AX908" s="122"/>
      <c r="AY908" s="122"/>
      <c r="AZ908" s="122"/>
      <c r="BA908" s="122"/>
      <c r="BB908" s="122"/>
      <c r="BC908" s="122"/>
      <c r="BD908" s="122"/>
      <c r="BE908" s="122"/>
      <c r="BF908" s="122"/>
      <c r="BG908" s="122"/>
      <c r="BH908" s="122"/>
      <c r="BI908" s="122"/>
      <c r="BJ908" s="122"/>
    </row>
    <row r="909" spans="1:62">
      <c r="A909" s="122"/>
      <c r="B909" s="122"/>
      <c r="C909" s="122"/>
      <c r="D909" s="122"/>
      <c r="E909" s="122"/>
      <c r="F909" s="122"/>
      <c r="G909" s="122"/>
      <c r="H909" s="122"/>
      <c r="I909" s="122"/>
      <c r="J909" s="122"/>
      <c r="K909" s="122"/>
      <c r="L909" s="122"/>
      <c r="M909" s="122"/>
      <c r="N909" s="122"/>
      <c r="O909" s="122"/>
      <c r="P909" s="122"/>
      <c r="Q909" s="122"/>
      <c r="R909" s="122"/>
      <c r="S909" s="122"/>
      <c r="T909" s="122"/>
      <c r="U909" s="122"/>
      <c r="V909" s="122"/>
      <c r="W909" s="122"/>
      <c r="X909" s="122"/>
      <c r="Y909" s="122"/>
      <c r="Z909" s="122"/>
      <c r="AA909" s="122"/>
      <c r="AB909" s="122"/>
      <c r="AC909" s="122"/>
      <c r="AD909" s="122"/>
      <c r="AE909" s="122"/>
      <c r="AF909" s="122"/>
      <c r="AG909" s="122"/>
      <c r="AH909" s="122"/>
      <c r="AI909" s="122"/>
      <c r="AJ909" s="122"/>
      <c r="AK909" s="122"/>
      <c r="AL909" s="122"/>
      <c r="AM909" s="122"/>
      <c r="AN909" s="122"/>
      <c r="AO909" s="122"/>
      <c r="AP909" s="166"/>
      <c r="AQ909" s="122"/>
      <c r="AR909" s="167"/>
      <c r="AS909" s="122"/>
      <c r="AT909" s="122"/>
      <c r="AU909" s="122"/>
      <c r="AV909" s="122"/>
      <c r="AW909" s="122"/>
      <c r="AX909" s="122"/>
      <c r="AY909" s="122"/>
      <c r="AZ909" s="122"/>
      <c r="BA909" s="122"/>
      <c r="BB909" s="122"/>
      <c r="BC909" s="122"/>
      <c r="BD909" s="122"/>
      <c r="BE909" s="122"/>
      <c r="BF909" s="122"/>
      <c r="BG909" s="122"/>
      <c r="BH909" s="122"/>
      <c r="BI909" s="122"/>
      <c r="BJ909" s="122"/>
    </row>
    <row r="910" spans="1:62">
      <c r="A910" s="122"/>
      <c r="B910" s="122"/>
      <c r="C910" s="122"/>
      <c r="D910" s="122"/>
      <c r="E910" s="122"/>
      <c r="F910" s="122"/>
      <c r="G910" s="122"/>
      <c r="H910" s="122"/>
      <c r="I910" s="122"/>
      <c r="J910" s="122"/>
      <c r="K910" s="122"/>
      <c r="L910" s="122"/>
      <c r="M910" s="122"/>
      <c r="N910" s="122"/>
      <c r="O910" s="122"/>
      <c r="P910" s="122"/>
      <c r="Q910" s="122"/>
      <c r="R910" s="122"/>
      <c r="S910" s="122"/>
      <c r="T910" s="122"/>
      <c r="U910" s="122"/>
      <c r="V910" s="122"/>
      <c r="W910" s="122"/>
      <c r="X910" s="122"/>
      <c r="Y910" s="122"/>
      <c r="Z910" s="122"/>
      <c r="AA910" s="122"/>
      <c r="AB910" s="122"/>
      <c r="AC910" s="122"/>
      <c r="AD910" s="122"/>
      <c r="AE910" s="122"/>
      <c r="AF910" s="122"/>
      <c r="AG910" s="122"/>
      <c r="AH910" s="122"/>
      <c r="AI910" s="122"/>
      <c r="AJ910" s="122"/>
      <c r="AK910" s="122"/>
      <c r="AL910" s="122"/>
      <c r="AM910" s="122"/>
      <c r="AN910" s="122"/>
      <c r="AO910" s="122"/>
      <c r="AP910" s="166"/>
      <c r="AQ910" s="122"/>
      <c r="AR910" s="167"/>
      <c r="AS910" s="122"/>
      <c r="AT910" s="122"/>
      <c r="AU910" s="122"/>
      <c r="AV910" s="122"/>
      <c r="AW910" s="122"/>
      <c r="AX910" s="122"/>
      <c r="AY910" s="122"/>
      <c r="AZ910" s="122"/>
      <c r="BA910" s="122"/>
      <c r="BB910" s="122"/>
      <c r="BC910" s="122"/>
      <c r="BD910" s="122"/>
      <c r="BE910" s="122"/>
      <c r="BF910" s="122"/>
      <c r="BG910" s="122"/>
      <c r="BH910" s="122"/>
      <c r="BI910" s="122"/>
      <c r="BJ910" s="122"/>
    </row>
    <row r="911" spans="1:62">
      <c r="A911" s="122"/>
      <c r="B911" s="122"/>
      <c r="C911" s="122"/>
      <c r="D911" s="122"/>
      <c r="E911" s="122"/>
      <c r="F911" s="122"/>
      <c r="G911" s="122"/>
      <c r="H911" s="122"/>
      <c r="I911" s="122"/>
      <c r="J911" s="122"/>
      <c r="K911" s="122"/>
      <c r="L911" s="122"/>
      <c r="M911" s="122"/>
      <c r="N911" s="122"/>
      <c r="O911" s="122"/>
      <c r="P911" s="122"/>
      <c r="Q911" s="122"/>
      <c r="R911" s="122"/>
      <c r="S911" s="122"/>
      <c r="T911" s="122"/>
      <c r="U911" s="122"/>
      <c r="V911" s="122"/>
      <c r="W911" s="122"/>
      <c r="X911" s="122"/>
      <c r="Y911" s="122"/>
      <c r="Z911" s="122"/>
      <c r="AA911" s="122"/>
      <c r="AB911" s="122"/>
      <c r="AC911" s="122"/>
      <c r="AD911" s="122"/>
      <c r="AE911" s="122"/>
      <c r="AF911" s="122"/>
      <c r="AG911" s="122"/>
      <c r="AH911" s="122"/>
      <c r="AI911" s="122"/>
      <c r="AJ911" s="122"/>
      <c r="AK911" s="122"/>
      <c r="AL911" s="122"/>
      <c r="AM911" s="122"/>
      <c r="AN911" s="122"/>
      <c r="AO911" s="122"/>
      <c r="AP911" s="166"/>
      <c r="AQ911" s="122"/>
      <c r="AR911" s="167"/>
      <c r="AS911" s="122"/>
      <c r="AT911" s="122"/>
      <c r="AU911" s="122"/>
      <c r="AV911" s="122"/>
      <c r="AW911" s="122"/>
      <c r="AX911" s="122"/>
      <c r="AY911" s="122"/>
      <c r="AZ911" s="122"/>
      <c r="BA911" s="122"/>
      <c r="BB911" s="122"/>
      <c r="BC911" s="122"/>
      <c r="BD911" s="122"/>
      <c r="BE911" s="122"/>
      <c r="BF911" s="122"/>
      <c r="BG911" s="122"/>
      <c r="BH911" s="122"/>
      <c r="BI911" s="122"/>
      <c r="BJ911" s="122"/>
    </row>
    <row r="912" spans="1:62">
      <c r="A912" s="122"/>
      <c r="B912" s="122"/>
      <c r="C912" s="122"/>
      <c r="D912" s="122"/>
      <c r="E912" s="122"/>
      <c r="F912" s="122"/>
      <c r="G912" s="122"/>
      <c r="H912" s="122"/>
      <c r="I912" s="122"/>
      <c r="J912" s="122"/>
      <c r="K912" s="122"/>
      <c r="L912" s="122"/>
      <c r="M912" s="122"/>
      <c r="N912" s="122"/>
      <c r="O912" s="122"/>
      <c r="P912" s="122"/>
      <c r="Q912" s="122"/>
      <c r="R912" s="122"/>
      <c r="S912" s="122"/>
      <c r="T912" s="122"/>
      <c r="U912" s="122"/>
      <c r="V912" s="122"/>
      <c r="W912" s="122"/>
      <c r="X912" s="122"/>
      <c r="Y912" s="122"/>
      <c r="Z912" s="122"/>
      <c r="AA912" s="122"/>
      <c r="AB912" s="122"/>
      <c r="AC912" s="122"/>
      <c r="AD912" s="122"/>
      <c r="AE912" s="122"/>
      <c r="AF912" s="122"/>
      <c r="AG912" s="122"/>
      <c r="AH912" s="122"/>
      <c r="AI912" s="122"/>
      <c r="AJ912" s="122"/>
      <c r="AK912" s="122"/>
      <c r="AL912" s="122"/>
      <c r="AM912" s="122"/>
      <c r="AN912" s="122"/>
      <c r="AO912" s="122"/>
      <c r="AP912" s="166"/>
      <c r="AQ912" s="122"/>
      <c r="AR912" s="167"/>
      <c r="AS912" s="122"/>
      <c r="AT912" s="122"/>
      <c r="AU912" s="122"/>
      <c r="AV912" s="122"/>
      <c r="AW912" s="122"/>
      <c r="AX912" s="122"/>
      <c r="AY912" s="122"/>
      <c r="AZ912" s="122"/>
      <c r="BA912" s="122"/>
      <c r="BB912" s="122"/>
      <c r="BC912" s="122"/>
      <c r="BD912" s="122"/>
      <c r="BE912" s="122"/>
      <c r="BF912" s="122"/>
      <c r="BG912" s="122"/>
      <c r="BH912" s="122"/>
      <c r="BI912" s="122"/>
      <c r="BJ912" s="122"/>
    </row>
    <row r="913" spans="1:62">
      <c r="A913" s="122"/>
      <c r="B913" s="122"/>
      <c r="C913" s="122"/>
      <c r="D913" s="122"/>
      <c r="E913" s="122"/>
      <c r="F913" s="122"/>
      <c r="G913" s="122"/>
      <c r="H913" s="122"/>
      <c r="I913" s="122"/>
      <c r="J913" s="122"/>
      <c r="K913" s="122"/>
      <c r="L913" s="122"/>
      <c r="M913" s="122"/>
      <c r="N913" s="122"/>
      <c r="O913" s="122"/>
      <c r="P913" s="122"/>
      <c r="Q913" s="122"/>
      <c r="R913" s="122"/>
      <c r="S913" s="122"/>
      <c r="T913" s="122"/>
      <c r="U913" s="122"/>
      <c r="V913" s="122"/>
      <c r="W913" s="122"/>
      <c r="X913" s="122"/>
      <c r="Y913" s="122"/>
      <c r="Z913" s="122"/>
      <c r="AA913" s="122"/>
      <c r="AB913" s="122"/>
      <c r="AC913" s="122"/>
      <c r="AD913" s="122"/>
      <c r="AE913" s="122"/>
      <c r="AF913" s="122"/>
      <c r="AG913" s="122"/>
      <c r="AH913" s="122"/>
      <c r="AI913" s="122"/>
      <c r="AJ913" s="122"/>
      <c r="AK913" s="122"/>
      <c r="AL913" s="122"/>
      <c r="AM913" s="122"/>
      <c r="AN913" s="122"/>
      <c r="AO913" s="122"/>
      <c r="AP913" s="166"/>
      <c r="AQ913" s="122"/>
      <c r="AR913" s="167"/>
      <c r="AS913" s="122"/>
      <c r="AT913" s="122"/>
      <c r="AU913" s="122"/>
      <c r="AV913" s="122"/>
      <c r="AW913" s="122"/>
      <c r="AX913" s="122"/>
      <c r="AY913" s="122"/>
      <c r="AZ913" s="122"/>
      <c r="BA913" s="122"/>
      <c r="BB913" s="122"/>
      <c r="BC913" s="122"/>
      <c r="BD913" s="122"/>
      <c r="BE913" s="122"/>
      <c r="BF913" s="122"/>
      <c r="BG913" s="122"/>
      <c r="BH913" s="122"/>
      <c r="BI913" s="122"/>
      <c r="BJ913" s="122"/>
    </row>
    <row r="914" spans="1:62">
      <c r="A914" s="122"/>
      <c r="B914" s="122"/>
      <c r="C914" s="122"/>
      <c r="D914" s="122"/>
      <c r="E914" s="122"/>
      <c r="F914" s="122"/>
      <c r="G914" s="122"/>
      <c r="H914" s="122"/>
      <c r="I914" s="122"/>
      <c r="J914" s="122"/>
      <c r="K914" s="122"/>
      <c r="L914" s="122"/>
      <c r="M914" s="122"/>
      <c r="N914" s="122"/>
      <c r="O914" s="122"/>
      <c r="P914" s="122"/>
      <c r="Q914" s="122"/>
      <c r="R914" s="122"/>
      <c r="S914" s="122"/>
      <c r="T914" s="122"/>
      <c r="U914" s="122"/>
      <c r="V914" s="122"/>
      <c r="W914" s="122"/>
      <c r="X914" s="122"/>
      <c r="Y914" s="122"/>
      <c r="Z914" s="122"/>
      <c r="AA914" s="122"/>
      <c r="AB914" s="122"/>
      <c r="AC914" s="122"/>
      <c r="AD914" s="122"/>
      <c r="AE914" s="122"/>
      <c r="AF914" s="122"/>
      <c r="AG914" s="122"/>
      <c r="AH914" s="122"/>
      <c r="AI914" s="122"/>
      <c r="AJ914" s="122"/>
      <c r="AK914" s="122"/>
      <c r="AL914" s="122"/>
      <c r="AM914" s="122"/>
      <c r="AN914" s="122"/>
      <c r="AO914" s="122"/>
      <c r="AP914" s="166"/>
      <c r="AQ914" s="122"/>
      <c r="AR914" s="167"/>
      <c r="AS914" s="122"/>
      <c r="AT914" s="122"/>
      <c r="AU914" s="122"/>
      <c r="AV914" s="122"/>
      <c r="AW914" s="122"/>
      <c r="AX914" s="122"/>
      <c r="AY914" s="122"/>
      <c r="AZ914" s="122"/>
      <c r="BA914" s="122"/>
      <c r="BB914" s="122"/>
      <c r="BC914" s="122"/>
      <c r="BD914" s="122"/>
      <c r="BE914" s="122"/>
      <c r="BF914" s="122"/>
      <c r="BG914" s="122"/>
      <c r="BH914" s="122"/>
      <c r="BI914" s="122"/>
      <c r="BJ914" s="122"/>
    </row>
    <row r="915" spans="1:62">
      <c r="A915" s="122"/>
      <c r="B915" s="122"/>
      <c r="C915" s="122"/>
      <c r="D915" s="122"/>
      <c r="E915" s="122"/>
      <c r="F915" s="122"/>
      <c r="G915" s="122"/>
      <c r="H915" s="122"/>
      <c r="I915" s="122"/>
      <c r="J915" s="122"/>
      <c r="K915" s="122"/>
      <c r="L915" s="122"/>
      <c r="M915" s="122"/>
      <c r="N915" s="122"/>
      <c r="O915" s="122"/>
      <c r="P915" s="122"/>
      <c r="Q915" s="122"/>
      <c r="R915" s="122"/>
      <c r="S915" s="122"/>
      <c r="T915" s="122"/>
      <c r="U915" s="122"/>
      <c r="V915" s="122"/>
      <c r="W915" s="122"/>
      <c r="X915" s="122"/>
      <c r="Y915" s="122"/>
      <c r="Z915" s="122"/>
      <c r="AA915" s="122"/>
      <c r="AB915" s="122"/>
      <c r="AC915" s="122"/>
      <c r="AD915" s="122"/>
      <c r="AE915" s="122"/>
      <c r="AF915" s="122"/>
      <c r="AG915" s="122"/>
      <c r="AH915" s="122"/>
      <c r="AI915" s="122"/>
      <c r="AJ915" s="122"/>
      <c r="AK915" s="122"/>
      <c r="AL915" s="122"/>
      <c r="AM915" s="122"/>
      <c r="AN915" s="122"/>
      <c r="AO915" s="122"/>
      <c r="AP915" s="166"/>
      <c r="AQ915" s="122"/>
      <c r="AR915" s="167"/>
      <c r="AS915" s="122"/>
      <c r="AT915" s="122"/>
      <c r="AU915" s="122"/>
      <c r="AV915" s="122"/>
      <c r="AW915" s="122"/>
      <c r="AX915" s="122"/>
      <c r="AY915" s="122"/>
      <c r="AZ915" s="122"/>
      <c r="BA915" s="122"/>
      <c r="BB915" s="122"/>
      <c r="BC915" s="122"/>
      <c r="BD915" s="122"/>
      <c r="BE915" s="122"/>
      <c r="BF915" s="122"/>
      <c r="BG915" s="122"/>
      <c r="BH915" s="122"/>
      <c r="BI915" s="122"/>
      <c r="BJ915" s="122"/>
    </row>
    <row r="916" spans="1:62">
      <c r="A916" s="122"/>
      <c r="B916" s="122"/>
      <c r="C916" s="122"/>
      <c r="D916" s="122"/>
      <c r="E916" s="122"/>
      <c r="F916" s="122"/>
      <c r="G916" s="122"/>
      <c r="H916" s="122"/>
      <c r="I916" s="122"/>
      <c r="J916" s="122"/>
      <c r="K916" s="122"/>
      <c r="L916" s="122"/>
      <c r="M916" s="122"/>
      <c r="N916" s="122"/>
      <c r="O916" s="122"/>
      <c r="P916" s="122"/>
      <c r="Q916" s="122"/>
      <c r="R916" s="122"/>
      <c r="S916" s="122"/>
      <c r="T916" s="122"/>
      <c r="U916" s="122"/>
      <c r="V916" s="122"/>
      <c r="W916" s="122"/>
      <c r="X916" s="122"/>
      <c r="Y916" s="122"/>
      <c r="Z916" s="122"/>
      <c r="AA916" s="122"/>
      <c r="AB916" s="122"/>
      <c r="AC916" s="122"/>
      <c r="AD916" s="122"/>
      <c r="AE916" s="122"/>
      <c r="AF916" s="122"/>
      <c r="AG916" s="122"/>
      <c r="AH916" s="122"/>
      <c r="AI916" s="122"/>
      <c r="AJ916" s="122"/>
      <c r="AK916" s="122"/>
      <c r="AL916" s="122"/>
      <c r="AM916" s="122"/>
      <c r="AN916" s="122"/>
      <c r="AO916" s="122"/>
      <c r="AP916" s="166"/>
      <c r="AQ916" s="122"/>
      <c r="AR916" s="167"/>
      <c r="AS916" s="122"/>
      <c r="AT916" s="122"/>
      <c r="AU916" s="122"/>
      <c r="AV916" s="122"/>
      <c r="AW916" s="122"/>
      <c r="AX916" s="122"/>
      <c r="AY916" s="122"/>
      <c r="AZ916" s="122"/>
      <c r="BA916" s="122"/>
      <c r="BB916" s="122"/>
      <c r="BC916" s="122"/>
      <c r="BD916" s="122"/>
      <c r="BE916" s="122"/>
      <c r="BF916" s="122"/>
      <c r="BG916" s="122"/>
      <c r="BH916" s="122"/>
      <c r="BI916" s="122"/>
      <c r="BJ916" s="122"/>
    </row>
    <row r="917" spans="1:62">
      <c r="A917" s="122"/>
      <c r="B917" s="122"/>
      <c r="C917" s="122"/>
      <c r="D917" s="122"/>
      <c r="E917" s="122"/>
      <c r="F917" s="122"/>
      <c r="G917" s="122"/>
      <c r="H917" s="122"/>
      <c r="I917" s="122"/>
      <c r="J917" s="122"/>
      <c r="K917" s="122"/>
      <c r="L917" s="122"/>
      <c r="M917" s="122"/>
      <c r="N917" s="122"/>
      <c r="O917" s="122"/>
      <c r="P917" s="122"/>
      <c r="Q917" s="122"/>
      <c r="R917" s="122"/>
      <c r="S917" s="122"/>
      <c r="T917" s="122"/>
      <c r="U917" s="122"/>
      <c r="V917" s="122"/>
      <c r="W917" s="122"/>
      <c r="X917" s="122"/>
      <c r="Y917" s="122"/>
      <c r="Z917" s="122"/>
      <c r="AA917" s="122"/>
      <c r="AB917" s="122"/>
      <c r="AC917" s="122"/>
      <c r="AD917" s="122"/>
      <c r="AE917" s="122"/>
      <c r="AF917" s="122"/>
      <c r="AG917" s="122"/>
      <c r="AH917" s="122"/>
      <c r="AI917" s="122"/>
      <c r="AJ917" s="122"/>
      <c r="AK917" s="122"/>
      <c r="AL917" s="122"/>
      <c r="AM917" s="122"/>
      <c r="AN917" s="122"/>
      <c r="AO917" s="122"/>
      <c r="AP917" s="166"/>
      <c r="AQ917" s="122"/>
      <c r="AR917" s="167"/>
      <c r="AS917" s="122"/>
      <c r="AT917" s="122"/>
      <c r="AU917" s="122"/>
      <c r="AV917" s="122"/>
      <c r="AW917" s="122"/>
      <c r="AX917" s="122"/>
      <c r="AY917" s="122"/>
      <c r="AZ917" s="122"/>
      <c r="BA917" s="122"/>
      <c r="BB917" s="122"/>
      <c r="BC917" s="122"/>
      <c r="BD917" s="122"/>
      <c r="BE917" s="122"/>
      <c r="BF917" s="122"/>
      <c r="BG917" s="122"/>
      <c r="BH917" s="122"/>
      <c r="BI917" s="122"/>
      <c r="BJ917" s="122"/>
    </row>
    <row r="918" spans="1:62">
      <c r="A918" s="122"/>
      <c r="B918" s="122"/>
      <c r="C918" s="122"/>
      <c r="D918" s="122"/>
      <c r="E918" s="122"/>
      <c r="F918" s="122"/>
      <c r="G918" s="122"/>
      <c r="H918" s="122"/>
      <c r="I918" s="122"/>
      <c r="J918" s="122"/>
      <c r="K918" s="122"/>
      <c r="L918" s="122"/>
      <c r="M918" s="122"/>
      <c r="N918" s="122"/>
      <c r="O918" s="122"/>
      <c r="P918" s="122"/>
      <c r="Q918" s="122"/>
      <c r="R918" s="122"/>
      <c r="S918" s="122"/>
      <c r="T918" s="122"/>
      <c r="U918" s="122"/>
      <c r="V918" s="122"/>
      <c r="W918" s="122"/>
      <c r="X918" s="122"/>
      <c r="Y918" s="122"/>
      <c r="Z918" s="122"/>
      <c r="AA918" s="122"/>
      <c r="AB918" s="122"/>
      <c r="AC918" s="122"/>
      <c r="AD918" s="122"/>
      <c r="AE918" s="122"/>
      <c r="AF918" s="122"/>
      <c r="AG918" s="122"/>
      <c r="AH918" s="122"/>
      <c r="AI918" s="122"/>
      <c r="AJ918" s="122"/>
      <c r="AK918" s="122"/>
      <c r="AL918" s="122"/>
      <c r="AM918" s="122"/>
      <c r="AN918" s="122"/>
      <c r="AO918" s="122"/>
      <c r="AP918" s="166"/>
      <c r="AQ918" s="122"/>
      <c r="AR918" s="167"/>
      <c r="AS918" s="122"/>
      <c r="AT918" s="122"/>
      <c r="AU918" s="122"/>
      <c r="AV918" s="122"/>
      <c r="AW918" s="122"/>
      <c r="AX918" s="122"/>
      <c r="AY918" s="122"/>
      <c r="AZ918" s="122"/>
      <c r="BA918" s="122"/>
      <c r="BB918" s="122"/>
      <c r="BC918" s="122"/>
      <c r="BD918" s="122"/>
      <c r="BE918" s="122"/>
      <c r="BF918" s="122"/>
      <c r="BG918" s="122"/>
      <c r="BH918" s="122"/>
      <c r="BI918" s="122"/>
      <c r="BJ918" s="122"/>
    </row>
    <row r="919" spans="1:62">
      <c r="A919" s="122"/>
      <c r="B919" s="122"/>
      <c r="C919" s="122"/>
      <c r="D919" s="122"/>
      <c r="E919" s="122"/>
      <c r="F919" s="122"/>
      <c r="G919" s="122"/>
      <c r="H919" s="122"/>
      <c r="I919" s="122"/>
      <c r="J919" s="122"/>
      <c r="K919" s="122"/>
      <c r="L919" s="122"/>
      <c r="M919" s="122"/>
      <c r="N919" s="122"/>
      <c r="O919" s="122"/>
      <c r="P919" s="122"/>
      <c r="Q919" s="122"/>
      <c r="R919" s="122"/>
      <c r="S919" s="122"/>
      <c r="T919" s="122"/>
      <c r="U919" s="122"/>
      <c r="V919" s="122"/>
      <c r="W919" s="122"/>
      <c r="X919" s="122"/>
      <c r="Y919" s="122"/>
      <c r="Z919" s="122"/>
      <c r="AA919" s="122"/>
      <c r="AB919" s="122"/>
      <c r="AC919" s="122"/>
      <c r="AD919" s="122"/>
      <c r="AE919" s="122"/>
      <c r="AF919" s="122"/>
      <c r="AG919" s="122"/>
      <c r="AH919" s="122"/>
      <c r="AI919" s="122"/>
      <c r="AJ919" s="122"/>
      <c r="AK919" s="122"/>
      <c r="AL919" s="122"/>
      <c r="AM919" s="122"/>
      <c r="AN919" s="122"/>
      <c r="AO919" s="122"/>
      <c r="AP919" s="166"/>
      <c r="AQ919" s="122"/>
      <c r="AR919" s="167"/>
      <c r="AS919" s="122"/>
      <c r="AT919" s="122"/>
      <c r="AU919" s="122"/>
      <c r="AV919" s="122"/>
      <c r="AW919" s="122"/>
      <c r="AX919" s="122"/>
      <c r="AY919" s="122"/>
      <c r="AZ919" s="122"/>
      <c r="BA919" s="122"/>
      <c r="BB919" s="122"/>
      <c r="BC919" s="122"/>
      <c r="BD919" s="122"/>
      <c r="BE919" s="122"/>
      <c r="BF919" s="122"/>
      <c r="BG919" s="122"/>
      <c r="BH919" s="122"/>
      <c r="BI919" s="122"/>
      <c r="BJ919" s="122"/>
    </row>
    <row r="920" spans="1:62">
      <c r="A920" s="122"/>
      <c r="B920" s="122"/>
      <c r="C920" s="122"/>
      <c r="D920" s="122"/>
      <c r="E920" s="122"/>
      <c r="F920" s="122"/>
      <c r="G920" s="122"/>
      <c r="H920" s="122"/>
      <c r="I920" s="122"/>
      <c r="J920" s="122"/>
      <c r="K920" s="122"/>
      <c r="L920" s="122"/>
      <c r="M920" s="122"/>
      <c r="N920" s="122"/>
      <c r="O920" s="122"/>
      <c r="P920" s="122"/>
      <c r="Q920" s="122"/>
      <c r="R920" s="122"/>
      <c r="S920" s="122"/>
      <c r="T920" s="122"/>
      <c r="U920" s="122"/>
      <c r="V920" s="122"/>
      <c r="W920" s="122"/>
      <c r="X920" s="122"/>
      <c r="Y920" s="122"/>
      <c r="Z920" s="122"/>
      <c r="AA920" s="122"/>
      <c r="AB920" s="122"/>
      <c r="AC920" s="122"/>
      <c r="AD920" s="122"/>
      <c r="AE920" s="122"/>
      <c r="AF920" s="122"/>
      <c r="AG920" s="122"/>
      <c r="AH920" s="122"/>
      <c r="AI920" s="122"/>
      <c r="AJ920" s="122"/>
      <c r="AK920" s="122"/>
      <c r="AL920" s="122"/>
      <c r="AM920" s="122"/>
      <c r="AN920" s="122"/>
      <c r="AO920" s="122"/>
      <c r="AP920" s="166"/>
      <c r="AQ920" s="122"/>
      <c r="AR920" s="167"/>
      <c r="AS920" s="122"/>
      <c r="AT920" s="122"/>
      <c r="AU920" s="122"/>
      <c r="AV920" s="122"/>
      <c r="AW920" s="122"/>
      <c r="AX920" s="122"/>
      <c r="AY920" s="122"/>
      <c r="AZ920" s="122"/>
      <c r="BA920" s="122"/>
      <c r="BB920" s="122"/>
      <c r="BC920" s="122"/>
      <c r="BD920" s="122"/>
      <c r="BE920" s="122"/>
      <c r="BF920" s="122"/>
      <c r="BG920" s="122"/>
      <c r="BH920" s="122"/>
      <c r="BI920" s="122"/>
      <c r="BJ920" s="122"/>
    </row>
    <row r="921" spans="1:62">
      <c r="A921" s="122"/>
      <c r="B921" s="122"/>
      <c r="C921" s="122"/>
      <c r="D921" s="122"/>
      <c r="E921" s="122"/>
      <c r="F921" s="122"/>
      <c r="G921" s="122"/>
      <c r="H921" s="122"/>
      <c r="I921" s="122"/>
      <c r="J921" s="122"/>
      <c r="K921" s="122"/>
      <c r="L921" s="122"/>
      <c r="M921" s="122"/>
      <c r="N921" s="122"/>
      <c r="O921" s="122"/>
      <c r="P921" s="122"/>
      <c r="Q921" s="122"/>
      <c r="R921" s="122"/>
      <c r="S921" s="122"/>
      <c r="T921" s="122"/>
      <c r="U921" s="122"/>
      <c r="V921" s="122"/>
      <c r="W921" s="122"/>
      <c r="X921" s="122"/>
      <c r="Y921" s="122"/>
      <c r="Z921" s="122"/>
      <c r="AA921" s="122"/>
      <c r="AB921" s="122"/>
      <c r="AC921" s="122"/>
      <c r="AD921" s="122"/>
      <c r="AE921" s="122"/>
      <c r="AF921" s="122"/>
      <c r="AG921" s="122"/>
      <c r="AH921" s="122"/>
      <c r="AI921" s="122"/>
      <c r="AJ921" s="122"/>
      <c r="AK921" s="122"/>
      <c r="AL921" s="122"/>
      <c r="AM921" s="122"/>
      <c r="AN921" s="122"/>
      <c r="AO921" s="122"/>
      <c r="AP921" s="166"/>
      <c r="AQ921" s="122"/>
      <c r="AR921" s="167"/>
      <c r="AS921" s="122"/>
      <c r="AT921" s="122"/>
      <c r="AU921" s="122"/>
      <c r="AV921" s="122"/>
      <c r="AW921" s="122"/>
      <c r="AX921" s="122"/>
      <c r="AY921" s="122"/>
      <c r="AZ921" s="122"/>
      <c r="BA921" s="122"/>
      <c r="BB921" s="122"/>
      <c r="BC921" s="122"/>
      <c r="BD921" s="122"/>
      <c r="BE921" s="122"/>
      <c r="BF921" s="122"/>
      <c r="BG921" s="122"/>
      <c r="BH921" s="122"/>
      <c r="BI921" s="122"/>
      <c r="BJ921" s="122"/>
    </row>
    <row r="922" spans="1:62">
      <c r="A922" s="122"/>
      <c r="B922" s="122"/>
      <c r="C922" s="122"/>
      <c r="D922" s="122"/>
      <c r="E922" s="122"/>
      <c r="F922" s="122"/>
      <c r="G922" s="122"/>
      <c r="H922" s="122"/>
      <c r="I922" s="122"/>
      <c r="J922" s="122"/>
      <c r="K922" s="122"/>
      <c r="L922" s="122"/>
      <c r="M922" s="122"/>
      <c r="N922" s="122"/>
      <c r="O922" s="122"/>
      <c r="P922" s="122"/>
      <c r="Q922" s="122"/>
      <c r="R922" s="122"/>
      <c r="S922" s="122"/>
      <c r="T922" s="122"/>
      <c r="U922" s="122"/>
      <c r="V922" s="122"/>
      <c r="W922" s="122"/>
      <c r="X922" s="122"/>
      <c r="Y922" s="122"/>
      <c r="Z922" s="122"/>
      <c r="AA922" s="122"/>
      <c r="AB922" s="122"/>
      <c r="AC922" s="122"/>
      <c r="AD922" s="122"/>
      <c r="AE922" s="122"/>
      <c r="AF922" s="122"/>
      <c r="AG922" s="122"/>
      <c r="AH922" s="122"/>
      <c r="AI922" s="122"/>
      <c r="AJ922" s="122"/>
      <c r="AK922" s="122"/>
      <c r="AL922" s="122"/>
      <c r="AM922" s="122"/>
      <c r="AN922" s="122"/>
      <c r="AO922" s="122"/>
      <c r="AP922" s="166"/>
      <c r="AQ922" s="122"/>
      <c r="AR922" s="167"/>
      <c r="AS922" s="122"/>
      <c r="AT922" s="122"/>
      <c r="AU922" s="122"/>
      <c r="AV922" s="122"/>
      <c r="AW922" s="122"/>
      <c r="AX922" s="122"/>
      <c r="AY922" s="122"/>
      <c r="AZ922" s="122"/>
      <c r="BA922" s="122"/>
      <c r="BB922" s="122"/>
      <c r="BC922" s="122"/>
      <c r="BD922" s="122"/>
      <c r="BE922" s="122"/>
      <c r="BF922" s="122"/>
      <c r="BG922" s="122"/>
      <c r="BH922" s="122"/>
      <c r="BI922" s="122"/>
      <c r="BJ922" s="122"/>
    </row>
    <row r="923" spans="1:62">
      <c r="A923" s="122"/>
      <c r="B923" s="122"/>
      <c r="C923" s="122"/>
      <c r="D923" s="122"/>
      <c r="E923" s="122"/>
      <c r="F923" s="122"/>
      <c r="G923" s="122"/>
      <c r="H923" s="122"/>
      <c r="I923" s="122"/>
      <c r="J923" s="122"/>
      <c r="K923" s="122"/>
      <c r="L923" s="122"/>
      <c r="M923" s="122"/>
      <c r="N923" s="122"/>
      <c r="O923" s="122"/>
      <c r="P923" s="122"/>
      <c r="Q923" s="122"/>
      <c r="R923" s="122"/>
      <c r="S923" s="122"/>
      <c r="T923" s="122"/>
      <c r="U923" s="122"/>
      <c r="V923" s="122"/>
      <c r="W923" s="122"/>
      <c r="X923" s="122"/>
      <c r="Y923" s="122"/>
      <c r="Z923" s="122"/>
      <c r="AA923" s="122"/>
      <c r="AB923" s="122"/>
      <c r="AC923" s="122"/>
      <c r="AD923" s="122"/>
      <c r="AE923" s="122"/>
      <c r="AF923" s="122"/>
      <c r="AG923" s="122"/>
      <c r="AH923" s="122"/>
      <c r="AI923" s="122"/>
      <c r="AJ923" s="122"/>
      <c r="AK923" s="122"/>
      <c r="AL923" s="122"/>
      <c r="AM923" s="122"/>
      <c r="AN923" s="122"/>
      <c r="AO923" s="122"/>
      <c r="AP923" s="166"/>
      <c r="AQ923" s="122"/>
      <c r="AR923" s="167"/>
      <c r="AS923" s="122"/>
      <c r="AT923" s="122"/>
      <c r="AU923" s="122"/>
      <c r="AV923" s="122"/>
      <c r="AW923" s="122"/>
      <c r="AX923" s="122"/>
      <c r="AY923" s="122"/>
      <c r="AZ923" s="122"/>
      <c r="BA923" s="122"/>
      <c r="BB923" s="122"/>
      <c r="BC923" s="122"/>
      <c r="BD923" s="122"/>
      <c r="BE923" s="122"/>
      <c r="BF923" s="122"/>
      <c r="BG923" s="122"/>
      <c r="BH923" s="122"/>
      <c r="BI923" s="122"/>
      <c r="BJ923" s="122"/>
    </row>
    <row r="924" spans="1:62">
      <c r="A924" s="122"/>
      <c r="B924" s="122"/>
      <c r="C924" s="122"/>
      <c r="D924" s="122"/>
      <c r="E924" s="122"/>
      <c r="F924" s="122"/>
      <c r="G924" s="122"/>
      <c r="H924" s="122"/>
      <c r="I924" s="122"/>
      <c r="J924" s="122"/>
      <c r="K924" s="122"/>
      <c r="L924" s="122"/>
      <c r="M924" s="122"/>
      <c r="N924" s="122"/>
      <c r="O924" s="122"/>
      <c r="P924" s="122"/>
      <c r="Q924" s="122"/>
      <c r="R924" s="122"/>
      <c r="S924" s="122"/>
      <c r="T924" s="122"/>
      <c r="U924" s="122"/>
      <c r="V924" s="122"/>
      <c r="W924" s="122"/>
      <c r="X924" s="122"/>
      <c r="Y924" s="122"/>
      <c r="Z924" s="122"/>
      <c r="AA924" s="122"/>
      <c r="AB924" s="122"/>
      <c r="AC924" s="122"/>
      <c r="AD924" s="122"/>
      <c r="AE924" s="122"/>
      <c r="AF924" s="122"/>
      <c r="AG924" s="122"/>
      <c r="AH924" s="122"/>
      <c r="AI924" s="122"/>
      <c r="AJ924" s="122"/>
      <c r="AK924" s="122"/>
      <c r="AL924" s="122"/>
      <c r="AM924" s="122"/>
      <c r="AN924" s="122"/>
      <c r="AO924" s="122"/>
      <c r="AP924" s="166"/>
      <c r="AQ924" s="122"/>
      <c r="AR924" s="167"/>
      <c r="AS924" s="122"/>
      <c r="AT924" s="122"/>
      <c r="AU924" s="122"/>
      <c r="AV924" s="122"/>
      <c r="AW924" s="122"/>
      <c r="AX924" s="122"/>
      <c r="AY924" s="122"/>
      <c r="AZ924" s="122"/>
      <c r="BA924" s="122"/>
      <c r="BB924" s="122"/>
      <c r="BC924" s="122"/>
      <c r="BD924" s="122"/>
      <c r="BE924" s="122"/>
      <c r="BF924" s="122"/>
      <c r="BG924" s="122"/>
      <c r="BH924" s="122"/>
      <c r="BI924" s="122"/>
      <c r="BJ924" s="122"/>
    </row>
    <row r="925" spans="1:62">
      <c r="A925" s="122"/>
      <c r="B925" s="122"/>
      <c r="C925" s="122"/>
      <c r="D925" s="122"/>
      <c r="E925" s="122"/>
      <c r="F925" s="122"/>
      <c r="G925" s="122"/>
      <c r="H925" s="122"/>
      <c r="I925" s="122"/>
      <c r="J925" s="122"/>
      <c r="K925" s="122"/>
      <c r="L925" s="122"/>
      <c r="M925" s="122"/>
      <c r="N925" s="122"/>
      <c r="O925" s="122"/>
      <c r="P925" s="122"/>
      <c r="Q925" s="122"/>
      <c r="R925" s="122"/>
      <c r="S925" s="122"/>
      <c r="T925" s="122"/>
      <c r="U925" s="122"/>
      <c r="V925" s="122"/>
      <c r="W925" s="122"/>
      <c r="X925" s="122"/>
      <c r="Y925" s="122"/>
      <c r="Z925" s="122"/>
      <c r="AA925" s="122"/>
      <c r="AB925" s="122"/>
      <c r="AC925" s="122"/>
      <c r="AD925" s="122"/>
      <c r="AE925" s="122"/>
      <c r="AF925" s="122"/>
      <c r="AG925" s="122"/>
      <c r="AH925" s="122"/>
      <c r="AI925" s="122"/>
      <c r="AJ925" s="122"/>
      <c r="AK925" s="122"/>
      <c r="AL925" s="122"/>
      <c r="AM925" s="122"/>
      <c r="AN925" s="122"/>
      <c r="AO925" s="122"/>
      <c r="AP925" s="166"/>
      <c r="AQ925" s="122"/>
      <c r="AR925" s="167"/>
      <c r="AS925" s="122"/>
      <c r="AT925" s="122"/>
      <c r="AU925" s="122"/>
      <c r="AV925" s="122"/>
      <c r="AW925" s="122"/>
      <c r="AX925" s="122"/>
      <c r="AY925" s="122"/>
      <c r="AZ925" s="122"/>
      <c r="BA925" s="122"/>
      <c r="BB925" s="122"/>
      <c r="BC925" s="122"/>
      <c r="BD925" s="122"/>
      <c r="BE925" s="122"/>
      <c r="BF925" s="122"/>
      <c r="BG925" s="122"/>
      <c r="BH925" s="122"/>
      <c r="BI925" s="122"/>
      <c r="BJ925" s="122"/>
    </row>
    <row r="926" spans="1:62">
      <c r="A926" s="122"/>
      <c r="B926" s="122"/>
      <c r="C926" s="122"/>
      <c r="D926" s="122"/>
      <c r="E926" s="122"/>
      <c r="F926" s="122"/>
      <c r="G926" s="122"/>
      <c r="H926" s="122"/>
      <c r="I926" s="122"/>
      <c r="J926" s="122"/>
      <c r="K926" s="122"/>
      <c r="L926" s="122"/>
      <c r="M926" s="122"/>
      <c r="N926" s="122"/>
      <c r="O926" s="122"/>
      <c r="P926" s="122"/>
      <c r="Q926" s="122"/>
      <c r="R926" s="122"/>
      <c r="S926" s="122"/>
      <c r="T926" s="122"/>
      <c r="U926" s="122"/>
      <c r="V926" s="122"/>
      <c r="W926" s="122"/>
      <c r="X926" s="122"/>
      <c r="Y926" s="122"/>
      <c r="Z926" s="122"/>
      <c r="AA926" s="122"/>
      <c r="AB926" s="122"/>
      <c r="AC926" s="122"/>
      <c r="AD926" s="122"/>
      <c r="AE926" s="122"/>
      <c r="AF926" s="122"/>
      <c r="AG926" s="122"/>
      <c r="AH926" s="122"/>
      <c r="AI926" s="122"/>
      <c r="AJ926" s="122"/>
      <c r="AK926" s="122"/>
      <c r="AL926" s="122"/>
      <c r="AM926" s="122"/>
      <c r="AN926" s="122"/>
      <c r="AO926" s="122"/>
      <c r="AP926" s="166"/>
      <c r="AQ926" s="122"/>
      <c r="AR926" s="167"/>
      <c r="AS926" s="122"/>
      <c r="AT926" s="122"/>
      <c r="AU926" s="122"/>
      <c r="AV926" s="122"/>
      <c r="AW926" s="122"/>
      <c r="AX926" s="122"/>
      <c r="AY926" s="122"/>
      <c r="AZ926" s="122"/>
      <c r="BA926" s="122"/>
      <c r="BB926" s="122"/>
      <c r="BC926" s="122"/>
      <c r="BD926" s="122"/>
      <c r="BE926" s="122"/>
      <c r="BF926" s="122"/>
      <c r="BG926" s="122"/>
      <c r="BH926" s="122"/>
      <c r="BI926" s="122"/>
      <c r="BJ926" s="122"/>
    </row>
    <row r="927" spans="1:62">
      <c r="A927" s="122"/>
      <c r="B927" s="122"/>
      <c r="C927" s="122"/>
      <c r="D927" s="122"/>
      <c r="E927" s="122"/>
      <c r="F927" s="122"/>
      <c r="G927" s="122"/>
      <c r="H927" s="122"/>
      <c r="I927" s="122"/>
      <c r="J927" s="122"/>
      <c r="K927" s="122"/>
      <c r="L927" s="122"/>
      <c r="M927" s="122"/>
      <c r="N927" s="122"/>
      <c r="O927" s="122"/>
      <c r="P927" s="122"/>
      <c r="Q927" s="122"/>
      <c r="R927" s="122"/>
      <c r="S927" s="122"/>
      <c r="T927" s="122"/>
      <c r="U927" s="122"/>
      <c r="V927" s="122"/>
      <c r="W927" s="122"/>
      <c r="X927" s="122"/>
      <c r="Y927" s="122"/>
      <c r="Z927" s="122"/>
      <c r="AA927" s="122"/>
      <c r="AB927" s="122"/>
      <c r="AC927" s="122"/>
      <c r="AD927" s="122"/>
      <c r="AE927" s="122"/>
      <c r="AF927" s="122"/>
      <c r="AG927" s="122"/>
      <c r="AH927" s="122"/>
      <c r="AI927" s="122"/>
      <c r="AJ927" s="122"/>
      <c r="AK927" s="122"/>
      <c r="AL927" s="122"/>
      <c r="AM927" s="122"/>
      <c r="AN927" s="122"/>
      <c r="AO927" s="122"/>
      <c r="AP927" s="166"/>
      <c r="AQ927" s="122"/>
      <c r="AR927" s="167"/>
      <c r="AS927" s="122"/>
      <c r="AT927" s="122"/>
      <c r="AU927" s="122"/>
      <c r="AV927" s="122"/>
      <c r="AW927" s="122"/>
      <c r="AX927" s="122"/>
      <c r="AY927" s="122"/>
      <c r="AZ927" s="122"/>
      <c r="BA927" s="122"/>
      <c r="BB927" s="122"/>
      <c r="BC927" s="122"/>
      <c r="BD927" s="122"/>
      <c r="BE927" s="122"/>
      <c r="BF927" s="122"/>
      <c r="BG927" s="122"/>
      <c r="BH927" s="122"/>
      <c r="BI927" s="122"/>
      <c r="BJ927" s="122"/>
    </row>
    <row r="928" spans="1:62">
      <c r="A928" s="122"/>
      <c r="B928" s="122"/>
      <c r="C928" s="122"/>
      <c r="D928" s="122"/>
      <c r="E928" s="122"/>
      <c r="F928" s="122"/>
      <c r="G928" s="122"/>
      <c r="H928" s="122"/>
      <c r="I928" s="122"/>
      <c r="J928" s="122"/>
      <c r="K928" s="122"/>
      <c r="L928" s="122"/>
      <c r="M928" s="122"/>
      <c r="N928" s="122"/>
      <c r="O928" s="122"/>
      <c r="P928" s="122"/>
      <c r="Q928" s="122"/>
      <c r="R928" s="122"/>
      <c r="S928" s="122"/>
      <c r="T928" s="122"/>
      <c r="U928" s="122"/>
      <c r="V928" s="122"/>
      <c r="W928" s="122"/>
      <c r="X928" s="122"/>
      <c r="Y928" s="122"/>
      <c r="Z928" s="122"/>
      <c r="AA928" s="122"/>
      <c r="AB928" s="122"/>
      <c r="AC928" s="122"/>
      <c r="AD928" s="122"/>
      <c r="AE928" s="122"/>
      <c r="AF928" s="122"/>
      <c r="AG928" s="122"/>
      <c r="AH928" s="122"/>
      <c r="AI928" s="122"/>
      <c r="AJ928" s="122"/>
      <c r="AK928" s="122"/>
      <c r="AL928" s="122"/>
      <c r="AM928" s="122"/>
      <c r="AN928" s="122"/>
      <c r="AO928" s="122"/>
      <c r="AP928" s="166"/>
      <c r="AQ928" s="122"/>
      <c r="AR928" s="167"/>
      <c r="AS928" s="122"/>
      <c r="AT928" s="122"/>
      <c r="AU928" s="122"/>
      <c r="AV928" s="122"/>
      <c r="AW928" s="122"/>
      <c r="AX928" s="122"/>
      <c r="AY928" s="122"/>
      <c r="AZ928" s="122"/>
      <c r="BA928" s="122"/>
      <c r="BB928" s="122"/>
      <c r="BC928" s="122"/>
      <c r="BD928" s="122"/>
      <c r="BE928" s="122"/>
      <c r="BF928" s="122"/>
      <c r="BG928" s="122"/>
      <c r="BH928" s="122"/>
      <c r="BI928" s="122"/>
      <c r="BJ928" s="122"/>
    </row>
    <row r="929" spans="1:62">
      <c r="A929" s="122"/>
      <c r="B929" s="122"/>
      <c r="C929" s="122"/>
      <c r="D929" s="122"/>
      <c r="E929" s="122"/>
      <c r="F929" s="122"/>
      <c r="G929" s="122"/>
      <c r="H929" s="122"/>
      <c r="I929" s="122"/>
      <c r="J929" s="122"/>
      <c r="K929" s="122"/>
      <c r="L929" s="122"/>
      <c r="M929" s="122"/>
      <c r="N929" s="122"/>
      <c r="O929" s="122"/>
      <c r="P929" s="122"/>
      <c r="Q929" s="122"/>
      <c r="R929" s="122"/>
      <c r="S929" s="122"/>
      <c r="T929" s="122"/>
      <c r="U929" s="122"/>
      <c r="V929" s="122"/>
      <c r="W929" s="122"/>
      <c r="X929" s="122"/>
      <c r="Y929" s="122"/>
      <c r="Z929" s="122"/>
      <c r="AA929" s="122"/>
      <c r="AB929" s="122"/>
      <c r="AC929" s="122"/>
      <c r="AD929" s="122"/>
      <c r="AE929" s="122"/>
      <c r="AF929" s="122"/>
      <c r="AG929" s="122"/>
      <c r="AH929" s="122"/>
      <c r="AI929" s="122"/>
      <c r="AJ929" s="122"/>
      <c r="AK929" s="122"/>
      <c r="AL929" s="122"/>
      <c r="AM929" s="122"/>
      <c r="AN929" s="122"/>
      <c r="AO929" s="122"/>
      <c r="AP929" s="166"/>
      <c r="AQ929" s="122"/>
      <c r="AR929" s="167"/>
      <c r="AS929" s="122"/>
      <c r="AT929" s="122"/>
      <c r="AU929" s="122"/>
      <c r="AV929" s="122"/>
      <c r="AW929" s="122"/>
      <c r="AX929" s="122"/>
      <c r="AY929" s="122"/>
      <c r="AZ929" s="122"/>
      <c r="BA929" s="122"/>
      <c r="BB929" s="122"/>
      <c r="BC929" s="122"/>
      <c r="BD929" s="122"/>
      <c r="BE929" s="122"/>
      <c r="BF929" s="122"/>
      <c r="BG929" s="122"/>
      <c r="BH929" s="122"/>
      <c r="BI929" s="122"/>
      <c r="BJ929" s="122"/>
    </row>
    <row r="930" spans="1:62">
      <c r="A930" s="122"/>
      <c r="B930" s="122"/>
      <c r="C930" s="122"/>
      <c r="D930" s="122"/>
      <c r="E930" s="122"/>
      <c r="F930" s="122"/>
      <c r="G930" s="122"/>
      <c r="H930" s="122"/>
      <c r="I930" s="122"/>
      <c r="J930" s="122"/>
      <c r="K930" s="122"/>
      <c r="L930" s="122"/>
      <c r="M930" s="122"/>
      <c r="N930" s="122"/>
      <c r="O930" s="122"/>
      <c r="P930" s="122"/>
      <c r="Q930" s="122"/>
      <c r="R930" s="122"/>
      <c r="S930" s="122"/>
      <c r="T930" s="122"/>
      <c r="U930" s="122"/>
      <c r="V930" s="122"/>
      <c r="W930" s="122"/>
      <c r="X930" s="122"/>
      <c r="Y930" s="122"/>
      <c r="Z930" s="122"/>
      <c r="AA930" s="122"/>
      <c r="AB930" s="122"/>
      <c r="AC930" s="122"/>
      <c r="AD930" s="122"/>
      <c r="AE930" s="122"/>
      <c r="AF930" s="122"/>
      <c r="AG930" s="122"/>
      <c r="AH930" s="122"/>
      <c r="AI930" s="122"/>
      <c r="AJ930" s="122"/>
      <c r="AK930" s="122"/>
      <c r="AL930" s="122"/>
      <c r="AM930" s="122"/>
      <c r="AN930" s="122"/>
      <c r="AO930" s="122"/>
      <c r="AP930" s="166"/>
      <c r="AQ930" s="122"/>
      <c r="AR930" s="167"/>
      <c r="AS930" s="122"/>
      <c r="AT930" s="122"/>
      <c r="AU930" s="122"/>
      <c r="AV930" s="122"/>
      <c r="AW930" s="122"/>
      <c r="AX930" s="122"/>
      <c r="AY930" s="122"/>
      <c r="AZ930" s="122"/>
      <c r="BA930" s="122"/>
      <c r="BB930" s="122"/>
      <c r="BC930" s="122"/>
      <c r="BD930" s="122"/>
      <c r="BE930" s="122"/>
      <c r="BF930" s="122"/>
      <c r="BG930" s="122"/>
      <c r="BH930" s="122"/>
      <c r="BI930" s="122"/>
      <c r="BJ930" s="122"/>
    </row>
    <row r="931" spans="1:62">
      <c r="A931" s="122"/>
      <c r="B931" s="122"/>
      <c r="C931" s="122"/>
      <c r="D931" s="122"/>
      <c r="E931" s="122"/>
      <c r="F931" s="122"/>
      <c r="G931" s="122"/>
      <c r="H931" s="122"/>
      <c r="I931" s="122"/>
      <c r="J931" s="122"/>
      <c r="K931" s="122"/>
      <c r="L931" s="122"/>
      <c r="M931" s="122"/>
      <c r="N931" s="122"/>
      <c r="O931" s="122"/>
      <c r="P931" s="122"/>
      <c r="Q931" s="122"/>
      <c r="R931" s="122"/>
      <c r="S931" s="122"/>
      <c r="T931" s="122"/>
      <c r="U931" s="122"/>
      <c r="V931" s="122"/>
      <c r="W931" s="122"/>
      <c r="X931" s="122"/>
      <c r="Y931" s="122"/>
      <c r="Z931" s="122"/>
      <c r="AA931" s="122"/>
      <c r="AB931" s="122"/>
      <c r="AC931" s="122"/>
      <c r="AD931" s="122"/>
      <c r="AE931" s="122"/>
      <c r="AF931" s="122"/>
      <c r="AG931" s="122"/>
      <c r="AH931" s="122"/>
      <c r="AI931" s="122"/>
      <c r="AJ931" s="122"/>
      <c r="AK931" s="122"/>
      <c r="AL931" s="122"/>
      <c r="AM931" s="122"/>
      <c r="AN931" s="122"/>
      <c r="AO931" s="122"/>
      <c r="AP931" s="166"/>
      <c r="AQ931" s="122"/>
      <c r="AR931" s="167"/>
      <c r="AS931" s="122"/>
      <c r="AT931" s="122"/>
      <c r="AU931" s="122"/>
      <c r="AV931" s="122"/>
      <c r="AW931" s="122"/>
      <c r="AX931" s="122"/>
      <c r="AY931" s="122"/>
      <c r="AZ931" s="122"/>
      <c r="BA931" s="122"/>
      <c r="BB931" s="122"/>
      <c r="BC931" s="122"/>
      <c r="BD931" s="122"/>
      <c r="BE931" s="122"/>
      <c r="BF931" s="122"/>
      <c r="BG931" s="122"/>
      <c r="BH931" s="122"/>
      <c r="BI931" s="122"/>
      <c r="BJ931" s="122"/>
    </row>
    <row r="932" spans="1:62">
      <c r="A932" s="122"/>
      <c r="B932" s="122"/>
      <c r="C932" s="122"/>
      <c r="D932" s="122"/>
      <c r="E932" s="122"/>
      <c r="F932" s="122"/>
      <c r="G932" s="122"/>
      <c r="H932" s="122"/>
      <c r="I932" s="122"/>
      <c r="J932" s="122"/>
      <c r="K932" s="122"/>
      <c r="L932" s="122"/>
      <c r="M932" s="122"/>
      <c r="N932" s="122"/>
      <c r="O932" s="122"/>
      <c r="P932" s="122"/>
      <c r="Q932" s="122"/>
      <c r="R932" s="122"/>
      <c r="S932" s="122"/>
      <c r="T932" s="122"/>
      <c r="U932" s="122"/>
      <c r="V932" s="122"/>
      <c r="W932" s="122"/>
      <c r="X932" s="122"/>
      <c r="Y932" s="122"/>
      <c r="Z932" s="122"/>
      <c r="AA932" s="122"/>
      <c r="AB932" s="122"/>
      <c r="AC932" s="122"/>
      <c r="AD932" s="122"/>
      <c r="AE932" s="122"/>
      <c r="AF932" s="122"/>
      <c r="AG932" s="122"/>
      <c r="AH932" s="122"/>
      <c r="AI932" s="122"/>
      <c r="AJ932" s="122"/>
      <c r="AK932" s="122"/>
      <c r="AL932" s="122"/>
      <c r="AM932" s="122"/>
      <c r="AN932" s="122"/>
      <c r="AO932" s="122"/>
      <c r="AP932" s="166"/>
      <c r="AQ932" s="122"/>
      <c r="AR932" s="167"/>
      <c r="AS932" s="122"/>
      <c r="AT932" s="122"/>
      <c r="AU932" s="122"/>
      <c r="AV932" s="122"/>
      <c r="AW932" s="122"/>
      <c r="AX932" s="122"/>
      <c r="AY932" s="122"/>
      <c r="AZ932" s="122"/>
      <c r="BA932" s="122"/>
      <c r="BB932" s="122"/>
      <c r="BC932" s="122"/>
      <c r="BD932" s="122"/>
      <c r="BE932" s="122"/>
      <c r="BF932" s="122"/>
      <c r="BG932" s="122"/>
      <c r="BH932" s="122"/>
      <c r="BI932" s="122"/>
      <c r="BJ932" s="122"/>
    </row>
    <row r="933" spans="1:62">
      <c r="A933" s="122"/>
      <c r="B933" s="122"/>
      <c r="C933" s="122"/>
      <c r="D933" s="122"/>
      <c r="E933" s="122"/>
      <c r="F933" s="122"/>
      <c r="G933" s="122"/>
      <c r="H933" s="122"/>
      <c r="I933" s="122"/>
      <c r="J933" s="122"/>
      <c r="K933" s="122"/>
      <c r="L933" s="122"/>
      <c r="M933" s="122"/>
      <c r="N933" s="122"/>
      <c r="O933" s="122"/>
      <c r="P933" s="122"/>
      <c r="Q933" s="122"/>
      <c r="R933" s="122"/>
      <c r="S933" s="122"/>
      <c r="T933" s="122"/>
      <c r="U933" s="122"/>
      <c r="V933" s="122"/>
      <c r="W933" s="122"/>
      <c r="X933" s="122"/>
      <c r="Y933" s="122"/>
      <c r="Z933" s="122"/>
      <c r="AA933" s="122"/>
      <c r="AB933" s="122"/>
      <c r="AC933" s="122"/>
      <c r="AD933" s="122"/>
      <c r="AE933" s="122"/>
      <c r="AF933" s="122"/>
      <c r="AG933" s="122"/>
      <c r="AH933" s="122"/>
      <c r="AI933" s="122"/>
      <c r="AJ933" s="122"/>
      <c r="AK933" s="122"/>
      <c r="AL933" s="122"/>
      <c r="AM933" s="122"/>
      <c r="AN933" s="122"/>
      <c r="AO933" s="122"/>
      <c r="AP933" s="166"/>
      <c r="AQ933" s="122"/>
      <c r="AR933" s="167"/>
      <c r="AS933" s="122"/>
      <c r="AT933" s="122"/>
      <c r="AU933" s="122"/>
      <c r="AV933" s="122"/>
      <c r="AW933" s="122"/>
      <c r="AX933" s="122"/>
      <c r="AY933" s="122"/>
      <c r="AZ933" s="122"/>
      <c r="BA933" s="122"/>
      <c r="BB933" s="122"/>
      <c r="BC933" s="122"/>
      <c r="BD933" s="122"/>
      <c r="BE933" s="122"/>
      <c r="BF933" s="122"/>
      <c r="BG933" s="122"/>
      <c r="BH933" s="122"/>
      <c r="BI933" s="122"/>
      <c r="BJ933" s="122"/>
    </row>
    <row r="934" spans="1:62">
      <c r="A934" s="122"/>
      <c r="B934" s="122"/>
      <c r="C934" s="122"/>
      <c r="D934" s="122"/>
      <c r="E934" s="122"/>
      <c r="F934" s="122"/>
      <c r="G934" s="122"/>
      <c r="H934" s="122"/>
      <c r="I934" s="122"/>
      <c r="J934" s="122"/>
      <c r="K934" s="122"/>
      <c r="L934" s="122"/>
      <c r="M934" s="122"/>
      <c r="N934" s="122"/>
      <c r="O934" s="122"/>
      <c r="P934" s="122"/>
      <c r="Q934" s="122"/>
      <c r="R934" s="122"/>
      <c r="S934" s="122"/>
      <c r="T934" s="122"/>
      <c r="U934" s="122"/>
      <c r="V934" s="122"/>
      <c r="W934" s="122"/>
      <c r="X934" s="122"/>
      <c r="Y934" s="122"/>
      <c r="Z934" s="122"/>
      <c r="AA934" s="122"/>
      <c r="AB934" s="122"/>
      <c r="AC934" s="122"/>
      <c r="AD934" s="122"/>
      <c r="AE934" s="122"/>
      <c r="AF934" s="122"/>
      <c r="AG934" s="122"/>
      <c r="AH934" s="122"/>
      <c r="AI934" s="122"/>
      <c r="AJ934" s="122"/>
      <c r="AK934" s="122"/>
      <c r="AL934" s="122"/>
      <c r="AM934" s="122"/>
      <c r="AN934" s="122"/>
      <c r="AO934" s="122"/>
      <c r="AP934" s="166"/>
      <c r="AQ934" s="122"/>
      <c r="AR934" s="167"/>
      <c r="AS934" s="122"/>
      <c r="AT934" s="122"/>
      <c r="AU934" s="122"/>
      <c r="AV934" s="122"/>
      <c r="AW934" s="122"/>
      <c r="AX934" s="122"/>
      <c r="AY934" s="122"/>
      <c r="AZ934" s="122"/>
      <c r="BA934" s="122"/>
      <c r="BB934" s="122"/>
      <c r="BC934" s="122"/>
      <c r="BD934" s="122"/>
      <c r="BE934" s="122"/>
      <c r="BF934" s="122"/>
      <c r="BG934" s="122"/>
      <c r="BH934" s="122"/>
      <c r="BI934" s="122"/>
      <c r="BJ934" s="122"/>
    </row>
    <row r="935" spans="1:62">
      <c r="A935" s="122"/>
      <c r="B935" s="122"/>
      <c r="C935" s="122"/>
      <c r="D935" s="122"/>
      <c r="E935" s="122"/>
      <c r="F935" s="122"/>
      <c r="G935" s="122"/>
      <c r="H935" s="122"/>
      <c r="I935" s="122"/>
      <c r="J935" s="122"/>
      <c r="K935" s="122"/>
      <c r="L935" s="122"/>
      <c r="M935" s="122"/>
      <c r="N935" s="122"/>
      <c r="O935" s="122"/>
      <c r="P935" s="122"/>
      <c r="Q935" s="122"/>
      <c r="R935" s="122"/>
      <c r="S935" s="122"/>
      <c r="T935" s="122"/>
      <c r="U935" s="122"/>
      <c r="V935" s="122"/>
      <c r="W935" s="122"/>
      <c r="X935" s="122"/>
      <c r="Y935" s="122"/>
      <c r="Z935" s="122"/>
      <c r="AA935" s="122"/>
      <c r="AB935" s="122"/>
      <c r="AC935" s="122"/>
      <c r="AD935" s="122"/>
      <c r="AE935" s="122"/>
      <c r="AF935" s="122"/>
      <c r="AG935" s="122"/>
      <c r="AH935" s="122"/>
      <c r="AI935" s="122"/>
      <c r="AJ935" s="122"/>
      <c r="AK935" s="122"/>
      <c r="AL935" s="122"/>
      <c r="AM935" s="122"/>
      <c r="AN935" s="122"/>
      <c r="AO935" s="122"/>
      <c r="AP935" s="166"/>
      <c r="AQ935" s="122"/>
      <c r="AR935" s="167"/>
      <c r="AS935" s="122"/>
      <c r="AT935" s="122"/>
      <c r="AU935" s="122"/>
      <c r="AV935" s="122"/>
      <c r="AW935" s="122"/>
      <c r="AX935" s="122"/>
      <c r="AY935" s="122"/>
      <c r="AZ935" s="122"/>
      <c r="BA935" s="122"/>
      <c r="BB935" s="122"/>
      <c r="BC935" s="122"/>
      <c r="BD935" s="122"/>
      <c r="BE935" s="122"/>
      <c r="BF935" s="122"/>
      <c r="BG935" s="122"/>
      <c r="BH935" s="122"/>
      <c r="BI935" s="122"/>
      <c r="BJ935" s="122"/>
    </row>
    <row r="936" spans="1:62">
      <c r="A936" s="122"/>
      <c r="B936" s="122"/>
      <c r="C936" s="122"/>
      <c r="D936" s="122"/>
      <c r="E936" s="122"/>
      <c r="F936" s="122"/>
      <c r="G936" s="122"/>
      <c r="H936" s="122"/>
      <c r="I936" s="122"/>
      <c r="J936" s="122"/>
      <c r="K936" s="122"/>
      <c r="L936" s="122"/>
      <c r="M936" s="122"/>
      <c r="N936" s="122"/>
      <c r="O936" s="122"/>
      <c r="P936" s="122"/>
      <c r="Q936" s="122"/>
      <c r="R936" s="122"/>
      <c r="S936" s="122"/>
      <c r="T936" s="122"/>
      <c r="U936" s="122"/>
      <c r="V936" s="122"/>
      <c r="W936" s="122"/>
      <c r="X936" s="122"/>
      <c r="Y936" s="122"/>
      <c r="Z936" s="122"/>
      <c r="AA936" s="122"/>
      <c r="AB936" s="122"/>
      <c r="AC936" s="122"/>
      <c r="AD936" s="122"/>
      <c r="AE936" s="122"/>
      <c r="AF936" s="122"/>
      <c r="AG936" s="122"/>
      <c r="AH936" s="122"/>
      <c r="AI936" s="122"/>
      <c r="AJ936" s="122"/>
      <c r="AK936" s="122"/>
      <c r="AL936" s="122"/>
      <c r="AM936" s="122"/>
      <c r="AN936" s="122"/>
      <c r="AO936" s="122"/>
      <c r="AP936" s="166"/>
      <c r="AQ936" s="122"/>
      <c r="AR936" s="167"/>
      <c r="AS936" s="122"/>
      <c r="AT936" s="122"/>
      <c r="AU936" s="122"/>
      <c r="AV936" s="122"/>
      <c r="AW936" s="122"/>
      <c r="AX936" s="122"/>
      <c r="AY936" s="122"/>
      <c r="AZ936" s="122"/>
      <c r="BA936" s="122"/>
      <c r="BB936" s="122"/>
      <c r="BC936" s="122"/>
      <c r="BD936" s="122"/>
      <c r="BE936" s="122"/>
      <c r="BF936" s="122"/>
      <c r="BG936" s="122"/>
      <c r="BH936" s="122"/>
      <c r="BI936" s="122"/>
      <c r="BJ936" s="122"/>
    </row>
    <row r="937" spans="1:62">
      <c r="A937" s="122"/>
      <c r="B937" s="122"/>
      <c r="C937" s="122"/>
      <c r="D937" s="122"/>
      <c r="E937" s="122"/>
      <c r="F937" s="122"/>
      <c r="G937" s="122"/>
      <c r="H937" s="122"/>
      <c r="I937" s="122"/>
      <c r="J937" s="122"/>
      <c r="K937" s="122"/>
      <c r="L937" s="122"/>
      <c r="M937" s="122"/>
      <c r="N937" s="122"/>
      <c r="O937" s="122"/>
      <c r="P937" s="122"/>
      <c r="Q937" s="122"/>
      <c r="R937" s="122"/>
      <c r="S937" s="122"/>
      <c r="T937" s="122"/>
      <c r="U937" s="122"/>
      <c r="V937" s="122"/>
      <c r="W937" s="122"/>
      <c r="X937" s="122"/>
      <c r="Y937" s="122"/>
      <c r="Z937" s="122"/>
      <c r="AA937" s="122"/>
      <c r="AB937" s="122"/>
      <c r="AC937" s="122"/>
      <c r="AD937" s="122"/>
      <c r="AE937" s="122"/>
      <c r="AF937" s="122"/>
      <c r="AG937" s="122"/>
      <c r="AH937" s="122"/>
      <c r="AI937" s="122"/>
      <c r="AJ937" s="122"/>
      <c r="AK937" s="122"/>
      <c r="AL937" s="122"/>
      <c r="AM937" s="122"/>
      <c r="AN937" s="122"/>
      <c r="AO937" s="122"/>
      <c r="AP937" s="166"/>
      <c r="AQ937" s="122"/>
      <c r="AR937" s="167"/>
      <c r="AS937" s="122"/>
      <c r="AT937" s="122"/>
      <c r="AU937" s="122"/>
      <c r="AV937" s="122"/>
      <c r="AW937" s="122"/>
      <c r="AX937" s="122"/>
      <c r="AY937" s="122"/>
      <c r="AZ937" s="122"/>
      <c r="BA937" s="122"/>
      <c r="BB937" s="122"/>
      <c r="BC937" s="122"/>
      <c r="BD937" s="122"/>
      <c r="BE937" s="122"/>
      <c r="BF937" s="122"/>
      <c r="BG937" s="122"/>
      <c r="BH937" s="122"/>
      <c r="BI937" s="122"/>
      <c r="BJ937" s="122"/>
    </row>
    <row r="938" spans="1:62">
      <c r="A938" s="122"/>
      <c r="B938" s="122"/>
      <c r="C938" s="122"/>
      <c r="D938" s="122"/>
      <c r="E938" s="122"/>
      <c r="F938" s="122"/>
      <c r="G938" s="122"/>
      <c r="H938" s="122"/>
      <c r="I938" s="122"/>
      <c r="J938" s="122"/>
      <c r="K938" s="122"/>
      <c r="L938" s="122"/>
      <c r="M938" s="122"/>
      <c r="N938" s="122"/>
      <c r="O938" s="122"/>
      <c r="P938" s="122"/>
      <c r="Q938" s="122"/>
      <c r="R938" s="122"/>
      <c r="S938" s="122"/>
      <c r="T938" s="122"/>
      <c r="U938" s="122"/>
      <c r="V938" s="122"/>
      <c r="W938" s="122"/>
      <c r="X938" s="122"/>
      <c r="Y938" s="122"/>
      <c r="Z938" s="122"/>
      <c r="AA938" s="122"/>
      <c r="AB938" s="122"/>
      <c r="AC938" s="122"/>
      <c r="AD938" s="122"/>
      <c r="AE938" s="122"/>
      <c r="AF938" s="122"/>
      <c r="AG938" s="122"/>
      <c r="AH938" s="122"/>
      <c r="AI938" s="122"/>
      <c r="AJ938" s="122"/>
      <c r="AK938" s="122"/>
      <c r="AL938" s="122"/>
      <c r="AM938" s="122"/>
      <c r="AN938" s="122"/>
      <c r="AO938" s="122"/>
      <c r="AP938" s="166"/>
      <c r="AQ938" s="122"/>
      <c r="AR938" s="167"/>
      <c r="AS938" s="122"/>
      <c r="AT938" s="122"/>
      <c r="AU938" s="122"/>
      <c r="AV938" s="122"/>
      <c r="AW938" s="122"/>
      <c r="AX938" s="122"/>
      <c r="AY938" s="122"/>
      <c r="AZ938" s="122"/>
      <c r="BA938" s="122"/>
      <c r="BB938" s="122"/>
      <c r="BC938" s="122"/>
      <c r="BD938" s="122"/>
      <c r="BE938" s="122"/>
      <c r="BF938" s="122"/>
      <c r="BG938" s="122"/>
      <c r="BH938" s="122"/>
      <c r="BI938" s="122"/>
      <c r="BJ938" s="122"/>
    </row>
    <row r="939" spans="1:62">
      <c r="A939" s="122"/>
      <c r="B939" s="122"/>
      <c r="C939" s="122"/>
      <c r="D939" s="122"/>
      <c r="E939" s="122"/>
      <c r="F939" s="122"/>
      <c r="G939" s="122"/>
      <c r="H939" s="122"/>
      <c r="I939" s="122"/>
      <c r="J939" s="122"/>
      <c r="K939" s="122"/>
      <c r="L939" s="122"/>
      <c r="M939" s="122"/>
      <c r="N939" s="122"/>
      <c r="O939" s="122"/>
      <c r="P939" s="122"/>
      <c r="Q939" s="122"/>
      <c r="R939" s="122"/>
      <c r="S939" s="122"/>
      <c r="T939" s="122"/>
      <c r="U939" s="122"/>
      <c r="V939" s="122"/>
      <c r="W939" s="122"/>
      <c r="X939" s="122"/>
      <c r="Y939" s="122"/>
      <c r="Z939" s="122"/>
      <c r="AA939" s="122"/>
      <c r="AB939" s="122"/>
      <c r="AC939" s="122"/>
      <c r="AD939" s="122"/>
      <c r="AE939" s="122"/>
      <c r="AF939" s="122"/>
      <c r="AG939" s="122"/>
      <c r="AH939" s="122"/>
      <c r="AI939" s="122"/>
      <c r="AJ939" s="122"/>
      <c r="AK939" s="122"/>
      <c r="AL939" s="122"/>
      <c r="AM939" s="122"/>
      <c r="AN939" s="122"/>
      <c r="AO939" s="122"/>
      <c r="AP939" s="166"/>
      <c r="AQ939" s="122"/>
      <c r="AR939" s="167"/>
      <c r="AS939" s="122"/>
      <c r="AT939" s="122"/>
      <c r="AU939" s="122"/>
      <c r="AV939" s="122"/>
      <c r="AW939" s="122"/>
      <c r="AX939" s="122"/>
      <c r="AY939" s="122"/>
      <c r="AZ939" s="122"/>
      <c r="BA939" s="122"/>
      <c r="BB939" s="122"/>
      <c r="BC939" s="122"/>
      <c r="BD939" s="122"/>
      <c r="BE939" s="122"/>
      <c r="BF939" s="122"/>
      <c r="BG939" s="122"/>
      <c r="BH939" s="122"/>
      <c r="BI939" s="122"/>
      <c r="BJ939" s="122"/>
    </row>
    <row r="940" spans="1:62">
      <c r="A940" s="122"/>
      <c r="B940" s="122"/>
      <c r="C940" s="122"/>
      <c r="D940" s="122"/>
      <c r="E940" s="122"/>
      <c r="F940" s="122"/>
      <c r="G940" s="122"/>
      <c r="H940" s="122"/>
      <c r="I940" s="122"/>
      <c r="J940" s="122"/>
      <c r="K940" s="122"/>
      <c r="L940" s="122"/>
      <c r="M940" s="122"/>
      <c r="N940" s="122"/>
      <c r="O940" s="122"/>
      <c r="P940" s="122"/>
      <c r="Q940" s="122"/>
      <c r="R940" s="122"/>
      <c r="S940" s="122"/>
      <c r="T940" s="122"/>
      <c r="U940" s="122"/>
      <c r="V940" s="122"/>
      <c r="W940" s="122"/>
      <c r="X940" s="122"/>
      <c r="Y940" s="122"/>
      <c r="Z940" s="122"/>
      <c r="AA940" s="122"/>
      <c r="AB940" s="122"/>
      <c r="AC940" s="122"/>
      <c r="AD940" s="122"/>
      <c r="AE940" s="122"/>
      <c r="AF940" s="122"/>
      <c r="AG940" s="122"/>
      <c r="AH940" s="122"/>
      <c r="AI940" s="122"/>
      <c r="AJ940" s="122"/>
      <c r="AK940" s="122"/>
      <c r="AL940" s="122"/>
      <c r="AM940" s="122"/>
      <c r="AN940" s="122"/>
      <c r="AO940" s="122"/>
      <c r="AP940" s="166"/>
      <c r="AQ940" s="122"/>
      <c r="AR940" s="167"/>
      <c r="AS940" s="122"/>
      <c r="AT940" s="122"/>
      <c r="AU940" s="122"/>
      <c r="AV940" s="122"/>
      <c r="AW940" s="122"/>
      <c r="AX940" s="122"/>
      <c r="AY940" s="122"/>
      <c r="AZ940" s="122"/>
      <c r="BA940" s="122"/>
      <c r="BB940" s="122"/>
      <c r="BC940" s="122"/>
      <c r="BD940" s="122"/>
      <c r="BE940" s="122"/>
      <c r="BF940" s="122"/>
      <c r="BG940" s="122"/>
      <c r="BH940" s="122"/>
      <c r="BI940" s="122"/>
      <c r="BJ940" s="122"/>
    </row>
    <row r="941" spans="1:62">
      <c r="A941" s="122"/>
      <c r="B941" s="122"/>
      <c r="C941" s="122"/>
      <c r="D941" s="122"/>
      <c r="E941" s="122"/>
      <c r="F941" s="122"/>
      <c r="G941" s="122"/>
      <c r="H941" s="122"/>
      <c r="I941" s="122"/>
      <c r="J941" s="122"/>
      <c r="K941" s="122"/>
      <c r="L941" s="122"/>
      <c r="M941" s="122"/>
      <c r="N941" s="122"/>
      <c r="O941" s="122"/>
      <c r="P941" s="122"/>
      <c r="Q941" s="122"/>
      <c r="R941" s="122"/>
      <c r="S941" s="122"/>
      <c r="T941" s="122"/>
      <c r="U941" s="122"/>
      <c r="V941" s="122"/>
      <c r="W941" s="122"/>
      <c r="X941" s="122"/>
      <c r="Y941" s="122"/>
      <c r="Z941" s="122"/>
      <c r="AA941" s="122"/>
      <c r="AB941" s="122"/>
      <c r="AC941" s="122"/>
      <c r="AD941" s="122"/>
      <c r="AE941" s="122"/>
      <c r="AF941" s="122"/>
      <c r="AG941" s="122"/>
      <c r="AH941" s="122"/>
      <c r="AI941" s="122"/>
      <c r="AJ941" s="122"/>
      <c r="AK941" s="122"/>
      <c r="AL941" s="122"/>
      <c r="AM941" s="122"/>
      <c r="AN941" s="122"/>
      <c r="AO941" s="122"/>
      <c r="AP941" s="166"/>
      <c r="AQ941" s="122"/>
      <c r="AR941" s="167"/>
      <c r="AS941" s="122"/>
      <c r="AT941" s="122"/>
      <c r="AU941" s="122"/>
      <c r="AV941" s="122"/>
      <c r="AW941" s="122"/>
      <c r="AX941" s="122"/>
      <c r="AY941" s="122"/>
      <c r="AZ941" s="122"/>
      <c r="BA941" s="122"/>
      <c r="BB941" s="122"/>
      <c r="BC941" s="122"/>
      <c r="BD941" s="122"/>
      <c r="BE941" s="122"/>
      <c r="BF941" s="122"/>
      <c r="BG941" s="122"/>
      <c r="BH941" s="122"/>
      <c r="BI941" s="122"/>
      <c r="BJ941" s="122"/>
    </row>
    <row r="942" spans="1:62">
      <c r="A942" s="122"/>
      <c r="B942" s="122"/>
      <c r="C942" s="122"/>
      <c r="D942" s="122"/>
      <c r="E942" s="122"/>
      <c r="F942" s="122"/>
      <c r="G942" s="122"/>
      <c r="H942" s="122"/>
      <c r="I942" s="122"/>
      <c r="J942" s="122"/>
      <c r="K942" s="122"/>
      <c r="L942" s="122"/>
      <c r="M942" s="122"/>
      <c r="N942" s="122"/>
      <c r="O942" s="122"/>
      <c r="P942" s="122"/>
      <c r="Q942" s="122"/>
      <c r="R942" s="122"/>
      <c r="S942" s="122"/>
      <c r="T942" s="122"/>
      <c r="U942" s="122"/>
      <c r="V942" s="122"/>
      <c r="W942" s="122"/>
      <c r="X942" s="122"/>
      <c r="Y942" s="122"/>
      <c r="Z942" s="122"/>
      <c r="AA942" s="122"/>
      <c r="AB942" s="122"/>
      <c r="AC942" s="122"/>
      <c r="AD942" s="122"/>
      <c r="AE942" s="122"/>
      <c r="AF942" s="122"/>
      <c r="AG942" s="122"/>
      <c r="AH942" s="122"/>
      <c r="AI942" s="122"/>
      <c r="AJ942" s="122"/>
      <c r="AK942" s="122"/>
      <c r="AL942" s="122"/>
      <c r="AM942" s="122"/>
      <c r="AN942" s="122"/>
      <c r="AO942" s="122"/>
      <c r="AP942" s="166"/>
      <c r="AQ942" s="122"/>
      <c r="AR942" s="167"/>
      <c r="AS942" s="122"/>
      <c r="AT942" s="122"/>
      <c r="AU942" s="122"/>
      <c r="AV942" s="122"/>
      <c r="AW942" s="122"/>
      <c r="AX942" s="122"/>
      <c r="AY942" s="122"/>
      <c r="AZ942" s="122"/>
      <c r="BA942" s="122"/>
      <c r="BB942" s="122"/>
      <c r="BC942" s="122"/>
      <c r="BD942" s="122"/>
      <c r="BE942" s="122"/>
      <c r="BF942" s="122"/>
      <c r="BG942" s="122"/>
      <c r="BH942" s="122"/>
      <c r="BI942" s="122"/>
      <c r="BJ942" s="122"/>
    </row>
    <row r="943" spans="1:62">
      <c r="A943" s="122"/>
      <c r="B943" s="122"/>
      <c r="C943" s="122"/>
      <c r="D943" s="122"/>
      <c r="E943" s="122"/>
      <c r="F943" s="122"/>
      <c r="G943" s="122"/>
      <c r="H943" s="122"/>
      <c r="I943" s="122"/>
      <c r="J943" s="122"/>
      <c r="K943" s="122"/>
      <c r="L943" s="122"/>
      <c r="M943" s="122"/>
      <c r="N943" s="122"/>
      <c r="O943" s="122"/>
      <c r="P943" s="122"/>
      <c r="Q943" s="122"/>
      <c r="R943" s="122"/>
      <c r="S943" s="122"/>
      <c r="T943" s="122"/>
      <c r="U943" s="122"/>
      <c r="V943" s="122"/>
      <c r="W943" s="122"/>
      <c r="X943" s="122"/>
      <c r="Y943" s="122"/>
      <c r="Z943" s="122"/>
      <c r="AA943" s="122"/>
      <c r="AB943" s="122"/>
      <c r="AC943" s="122"/>
      <c r="AD943" s="122"/>
      <c r="AE943" s="122"/>
      <c r="AF943" s="122"/>
      <c r="AG943" s="122"/>
      <c r="AH943" s="122"/>
      <c r="AI943" s="122"/>
      <c r="AJ943" s="122"/>
      <c r="AK943" s="122"/>
      <c r="AL943" s="122"/>
      <c r="AM943" s="122"/>
      <c r="AN943" s="122"/>
      <c r="AO943" s="122"/>
      <c r="AP943" s="166"/>
      <c r="AQ943" s="122"/>
      <c r="AR943" s="167"/>
      <c r="AS943" s="122"/>
      <c r="AT943" s="122"/>
      <c r="AU943" s="122"/>
      <c r="AV943" s="122"/>
      <c r="AW943" s="122"/>
      <c r="AX943" s="122"/>
      <c r="AY943" s="122"/>
      <c r="AZ943" s="122"/>
      <c r="BA943" s="122"/>
      <c r="BB943" s="122"/>
      <c r="BC943" s="122"/>
      <c r="BD943" s="122"/>
      <c r="BE943" s="122"/>
      <c r="BF943" s="122"/>
      <c r="BG943" s="122"/>
      <c r="BH943" s="122"/>
      <c r="BI943" s="122"/>
      <c r="BJ943" s="122"/>
    </row>
    <row r="944" spans="1:62">
      <c r="A944" s="122"/>
      <c r="B944" s="122"/>
      <c r="C944" s="122"/>
      <c r="D944" s="122"/>
      <c r="E944" s="122"/>
      <c r="F944" s="122"/>
      <c r="G944" s="122"/>
      <c r="H944" s="122"/>
      <c r="I944" s="122"/>
      <c r="J944" s="122"/>
      <c r="K944" s="122"/>
      <c r="L944" s="122"/>
      <c r="M944" s="122"/>
      <c r="N944" s="122"/>
      <c r="O944" s="122"/>
      <c r="P944" s="122"/>
      <c r="Q944" s="122"/>
      <c r="R944" s="122"/>
      <c r="S944" s="122"/>
      <c r="T944" s="122"/>
      <c r="U944" s="122"/>
      <c r="V944" s="122"/>
      <c r="W944" s="122"/>
      <c r="X944" s="122"/>
      <c r="Y944" s="122"/>
      <c r="Z944" s="122"/>
      <c r="AA944" s="122"/>
      <c r="AB944" s="122"/>
      <c r="AC944" s="122"/>
      <c r="AD944" s="122"/>
      <c r="AE944" s="122"/>
      <c r="AF944" s="122"/>
      <c r="AG944" s="122"/>
      <c r="AH944" s="122"/>
      <c r="AI944" s="122"/>
      <c r="AJ944" s="122"/>
      <c r="AK944" s="122"/>
      <c r="AL944" s="122"/>
      <c r="AM944" s="122"/>
      <c r="AN944" s="122"/>
      <c r="AO944" s="122"/>
      <c r="AP944" s="166"/>
      <c r="AQ944" s="122"/>
      <c r="AR944" s="167"/>
      <c r="AS944" s="122"/>
      <c r="AT944" s="122"/>
      <c r="AU944" s="122"/>
      <c r="AV944" s="122"/>
      <c r="AW944" s="122"/>
      <c r="AX944" s="122"/>
      <c r="AY944" s="122"/>
      <c r="AZ944" s="122"/>
      <c r="BA944" s="122"/>
      <c r="BB944" s="122"/>
      <c r="BC944" s="122"/>
      <c r="BD944" s="122"/>
      <c r="BE944" s="122"/>
      <c r="BF944" s="122"/>
      <c r="BG944" s="122"/>
      <c r="BH944" s="122"/>
      <c r="BI944" s="122"/>
      <c r="BJ944" s="122"/>
    </row>
    <row r="945" spans="1:62">
      <c r="A945" s="122"/>
      <c r="B945" s="122"/>
      <c r="C945" s="122"/>
      <c r="D945" s="122"/>
      <c r="E945" s="122"/>
      <c r="F945" s="122"/>
      <c r="G945" s="122"/>
      <c r="H945" s="122"/>
      <c r="I945" s="122"/>
      <c r="J945" s="122"/>
      <c r="K945" s="122"/>
      <c r="L945" s="122"/>
      <c r="M945" s="122"/>
      <c r="N945" s="122"/>
      <c r="O945" s="122"/>
      <c r="P945" s="122"/>
      <c r="Q945" s="122"/>
      <c r="R945" s="122"/>
      <c r="S945" s="122"/>
      <c r="T945" s="122"/>
      <c r="U945" s="122"/>
      <c r="V945" s="122"/>
      <c r="W945" s="122"/>
      <c r="X945" s="122"/>
      <c r="Y945" s="122"/>
      <c r="Z945" s="122"/>
      <c r="AA945" s="122"/>
      <c r="AB945" s="122"/>
      <c r="AC945" s="122"/>
      <c r="AD945" s="122"/>
      <c r="AE945" s="122"/>
      <c r="AF945" s="122"/>
      <c r="AG945" s="122"/>
      <c r="AH945" s="122"/>
      <c r="AI945" s="122"/>
      <c r="AJ945" s="122"/>
      <c r="AK945" s="122"/>
      <c r="AL945" s="122"/>
      <c r="AM945" s="122"/>
      <c r="AN945" s="122"/>
      <c r="AO945" s="122"/>
      <c r="AP945" s="166"/>
      <c r="AQ945" s="122"/>
      <c r="AR945" s="167"/>
      <c r="AS945" s="122"/>
      <c r="AT945" s="122"/>
      <c r="AU945" s="122"/>
      <c r="AV945" s="122"/>
      <c r="AW945" s="122"/>
      <c r="AX945" s="122"/>
      <c r="AY945" s="122"/>
      <c r="AZ945" s="122"/>
      <c r="BA945" s="122"/>
      <c r="BB945" s="122"/>
      <c r="BC945" s="122"/>
      <c r="BD945" s="122"/>
      <c r="BE945" s="122"/>
      <c r="BF945" s="122"/>
      <c r="BG945" s="122"/>
      <c r="BH945" s="122"/>
      <c r="BI945" s="122"/>
      <c r="BJ945" s="122"/>
    </row>
    <row r="946" spans="1:62">
      <c r="A946" s="122"/>
      <c r="B946" s="122"/>
      <c r="C946" s="122"/>
      <c r="D946" s="122"/>
      <c r="E946" s="122"/>
      <c r="F946" s="122"/>
      <c r="G946" s="122"/>
      <c r="H946" s="122"/>
      <c r="I946" s="122"/>
      <c r="J946" s="122"/>
      <c r="K946" s="122"/>
      <c r="L946" s="122"/>
      <c r="M946" s="122"/>
      <c r="N946" s="122"/>
      <c r="O946" s="122"/>
      <c r="P946" s="122"/>
      <c r="Q946" s="122"/>
      <c r="R946" s="122"/>
      <c r="S946" s="122"/>
      <c r="T946" s="122"/>
      <c r="U946" s="122"/>
      <c r="V946" s="122"/>
      <c r="W946" s="122"/>
      <c r="X946" s="122"/>
      <c r="Y946" s="122"/>
      <c r="Z946" s="122"/>
      <c r="AA946" s="122"/>
      <c r="AB946" s="122"/>
      <c r="AC946" s="122"/>
      <c r="AD946" s="122"/>
      <c r="AE946" s="122"/>
      <c r="AF946" s="122"/>
      <c r="AG946" s="122"/>
      <c r="AH946" s="122"/>
      <c r="AI946" s="122"/>
      <c r="AJ946" s="122"/>
      <c r="AK946" s="122"/>
      <c r="AL946" s="122"/>
      <c r="AM946" s="122"/>
      <c r="AN946" s="122"/>
      <c r="AO946" s="122"/>
      <c r="AP946" s="166"/>
      <c r="AQ946" s="122"/>
      <c r="AR946" s="167"/>
      <c r="AS946" s="122"/>
      <c r="AT946" s="122"/>
      <c r="AU946" s="122"/>
      <c r="AV946" s="122"/>
      <c r="AW946" s="122"/>
      <c r="AX946" s="122"/>
      <c r="AY946" s="122"/>
      <c r="AZ946" s="122"/>
      <c r="BA946" s="122"/>
      <c r="BB946" s="122"/>
      <c r="BC946" s="122"/>
      <c r="BD946" s="122"/>
      <c r="BE946" s="122"/>
      <c r="BF946" s="122"/>
      <c r="BG946" s="122"/>
      <c r="BH946" s="122"/>
      <c r="BI946" s="122"/>
      <c r="BJ946" s="122"/>
    </row>
    <row r="947" spans="1:62">
      <c r="A947" s="122"/>
      <c r="B947" s="122"/>
      <c r="C947" s="122"/>
      <c r="D947" s="122"/>
      <c r="E947" s="122"/>
      <c r="F947" s="122"/>
      <c r="G947" s="122"/>
      <c r="H947" s="122"/>
      <c r="I947" s="122"/>
      <c r="J947" s="122"/>
      <c r="K947" s="122"/>
      <c r="L947" s="122"/>
      <c r="M947" s="122"/>
      <c r="N947" s="122"/>
      <c r="O947" s="122"/>
      <c r="P947" s="122"/>
      <c r="Q947" s="122"/>
      <c r="R947" s="122"/>
      <c r="S947" s="122"/>
      <c r="T947" s="122"/>
      <c r="U947" s="122"/>
      <c r="V947" s="122"/>
      <c r="W947" s="122"/>
      <c r="X947" s="122"/>
      <c r="Y947" s="122"/>
      <c r="Z947" s="122"/>
      <c r="AA947" s="122"/>
      <c r="AB947" s="122"/>
      <c r="AC947" s="122"/>
      <c r="AD947" s="122"/>
      <c r="AE947" s="122"/>
      <c r="AF947" s="122"/>
      <c r="AG947" s="122"/>
      <c r="AH947" s="122"/>
      <c r="AI947" s="122"/>
      <c r="AJ947" s="122"/>
      <c r="AK947" s="122"/>
      <c r="AL947" s="122"/>
      <c r="AM947" s="122"/>
      <c r="AN947" s="122"/>
      <c r="AO947" s="122"/>
      <c r="AP947" s="166"/>
      <c r="AQ947" s="122"/>
      <c r="AR947" s="167"/>
      <c r="AS947" s="122"/>
      <c r="AT947" s="122"/>
      <c r="AU947" s="122"/>
      <c r="AV947" s="122"/>
      <c r="AW947" s="122"/>
      <c r="AX947" s="122"/>
      <c r="AY947" s="122"/>
      <c r="AZ947" s="122"/>
      <c r="BA947" s="122"/>
      <c r="BB947" s="122"/>
      <c r="BC947" s="122"/>
      <c r="BD947" s="122"/>
      <c r="BE947" s="122"/>
      <c r="BF947" s="122"/>
      <c r="BG947" s="122"/>
      <c r="BH947" s="122"/>
      <c r="BI947" s="122"/>
      <c r="BJ947" s="122"/>
    </row>
    <row r="948" spans="1:62">
      <c r="A948" s="122"/>
      <c r="B948" s="122"/>
      <c r="C948" s="122"/>
      <c r="D948" s="122"/>
      <c r="E948" s="122"/>
      <c r="F948" s="122"/>
      <c r="G948" s="122"/>
      <c r="H948" s="122"/>
      <c r="I948" s="122"/>
      <c r="J948" s="122"/>
      <c r="K948" s="122"/>
      <c r="L948" s="122"/>
      <c r="M948" s="122"/>
      <c r="N948" s="122"/>
      <c r="O948" s="122"/>
      <c r="P948" s="122"/>
      <c r="Q948" s="122"/>
      <c r="R948" s="122"/>
      <c r="S948" s="122"/>
      <c r="T948" s="122"/>
      <c r="U948" s="122"/>
      <c r="V948" s="122"/>
      <c r="W948" s="122"/>
      <c r="X948" s="122"/>
      <c r="Y948" s="122"/>
      <c r="Z948" s="122"/>
      <c r="AA948" s="122"/>
      <c r="AB948" s="122"/>
      <c r="AC948" s="122"/>
      <c r="AD948" s="122"/>
      <c r="AE948" s="122"/>
      <c r="AF948" s="122"/>
      <c r="AG948" s="122"/>
      <c r="AH948" s="122"/>
      <c r="AI948" s="122"/>
      <c r="AJ948" s="122"/>
      <c r="AK948" s="122"/>
      <c r="AL948" s="122"/>
      <c r="AM948" s="122"/>
      <c r="AN948" s="122"/>
      <c r="AO948" s="122"/>
      <c r="AP948" s="166"/>
      <c r="AQ948" s="122"/>
      <c r="AR948" s="167"/>
      <c r="AS948" s="122"/>
      <c r="AT948" s="122"/>
      <c r="AU948" s="122"/>
      <c r="AV948" s="122"/>
      <c r="AW948" s="122"/>
      <c r="AX948" s="122"/>
      <c r="AY948" s="122"/>
      <c r="AZ948" s="122"/>
      <c r="BA948" s="122"/>
      <c r="BB948" s="122"/>
      <c r="BC948" s="122"/>
      <c r="BD948" s="122"/>
      <c r="BE948" s="122"/>
      <c r="BF948" s="122"/>
      <c r="BG948" s="122"/>
      <c r="BH948" s="122"/>
      <c r="BI948" s="122"/>
      <c r="BJ948" s="122"/>
    </row>
    <row r="949" spans="1:62">
      <c r="A949" s="122"/>
      <c r="B949" s="122"/>
      <c r="C949" s="122"/>
      <c r="D949" s="122"/>
      <c r="E949" s="122"/>
      <c r="F949" s="122"/>
      <c r="G949" s="122"/>
      <c r="H949" s="122"/>
      <c r="I949" s="122"/>
      <c r="J949" s="122"/>
      <c r="K949" s="122"/>
      <c r="L949" s="122"/>
      <c r="M949" s="122"/>
      <c r="N949" s="122"/>
      <c r="O949" s="122"/>
      <c r="P949" s="122"/>
      <c r="Q949" s="122"/>
      <c r="R949" s="122"/>
      <c r="S949" s="122"/>
      <c r="T949" s="122"/>
      <c r="U949" s="122"/>
      <c r="V949" s="122"/>
      <c r="W949" s="122"/>
      <c r="X949" s="122"/>
      <c r="Y949" s="122"/>
      <c r="Z949" s="122"/>
      <c r="AA949" s="122"/>
      <c r="AB949" s="122"/>
      <c r="AC949" s="122"/>
      <c r="AD949" s="122"/>
      <c r="AE949" s="122"/>
      <c r="AF949" s="122"/>
      <c r="AG949" s="122"/>
      <c r="AH949" s="122"/>
      <c r="AI949" s="122"/>
      <c r="AJ949" s="122"/>
      <c r="AK949" s="122"/>
      <c r="AL949" s="122"/>
      <c r="AM949" s="122"/>
      <c r="AN949" s="122"/>
      <c r="AO949" s="122"/>
      <c r="AP949" s="166"/>
      <c r="AQ949" s="122"/>
      <c r="AR949" s="167"/>
      <c r="AS949" s="122"/>
      <c r="AT949" s="122"/>
      <c r="AU949" s="122"/>
      <c r="AV949" s="122"/>
      <c r="AW949" s="122"/>
      <c r="AX949" s="122"/>
      <c r="AY949" s="122"/>
      <c r="AZ949" s="122"/>
      <c r="BA949" s="122"/>
      <c r="BB949" s="122"/>
      <c r="BC949" s="122"/>
      <c r="BD949" s="122"/>
      <c r="BE949" s="122"/>
      <c r="BF949" s="122"/>
      <c r="BG949" s="122"/>
      <c r="BH949" s="122"/>
      <c r="BI949" s="122"/>
      <c r="BJ949" s="122"/>
    </row>
    <row r="950" spans="1:62">
      <c r="A950" s="122"/>
      <c r="B950" s="122"/>
      <c r="C950" s="122"/>
      <c r="D950" s="122"/>
      <c r="E950" s="122"/>
      <c r="F950" s="122"/>
      <c r="G950" s="122"/>
      <c r="H950" s="122"/>
      <c r="I950" s="122"/>
      <c r="J950" s="122"/>
      <c r="K950" s="122"/>
      <c r="L950" s="122"/>
      <c r="M950" s="122"/>
      <c r="N950" s="122"/>
      <c r="O950" s="122"/>
      <c r="P950" s="122"/>
      <c r="Q950" s="122"/>
      <c r="R950" s="122"/>
      <c r="S950" s="122"/>
      <c r="T950" s="122"/>
      <c r="U950" s="122"/>
      <c r="V950" s="122"/>
      <c r="W950" s="122"/>
      <c r="X950" s="122"/>
      <c r="Y950" s="122"/>
      <c r="Z950" s="122"/>
      <c r="AA950" s="122"/>
      <c r="AB950" s="122"/>
      <c r="AC950" s="122"/>
      <c r="AD950" s="122"/>
      <c r="AE950" s="122"/>
      <c r="AF950" s="122"/>
      <c r="AG950" s="122"/>
      <c r="AH950" s="122"/>
      <c r="AI950" s="122"/>
      <c r="AJ950" s="122"/>
      <c r="AK950" s="122"/>
      <c r="AL950" s="122"/>
      <c r="AM950" s="122"/>
      <c r="AN950" s="122"/>
      <c r="AO950" s="122"/>
      <c r="AP950" s="166"/>
      <c r="AQ950" s="122"/>
      <c r="AR950" s="167"/>
      <c r="AS950" s="122"/>
      <c r="AT950" s="122"/>
      <c r="AU950" s="122"/>
      <c r="AV950" s="122"/>
      <c r="AW950" s="122"/>
      <c r="AX950" s="122"/>
      <c r="AY950" s="122"/>
      <c r="AZ950" s="122"/>
      <c r="BA950" s="122"/>
      <c r="BB950" s="122"/>
      <c r="BC950" s="122"/>
      <c r="BD950" s="122"/>
      <c r="BE950" s="122"/>
      <c r="BF950" s="122"/>
      <c r="BG950" s="122"/>
      <c r="BH950" s="122"/>
      <c r="BI950" s="122"/>
      <c r="BJ950" s="122"/>
    </row>
    <row r="951" spans="1:62">
      <c r="A951" s="122"/>
      <c r="B951" s="122"/>
      <c r="C951" s="122"/>
      <c r="D951" s="122"/>
      <c r="E951" s="122"/>
      <c r="F951" s="122"/>
      <c r="G951" s="122"/>
      <c r="H951" s="122"/>
      <c r="I951" s="122"/>
      <c r="J951" s="122"/>
      <c r="K951" s="122"/>
      <c r="L951" s="122"/>
      <c r="M951" s="122"/>
      <c r="N951" s="122"/>
      <c r="O951" s="122"/>
      <c r="P951" s="122"/>
      <c r="Q951" s="122"/>
      <c r="R951" s="122"/>
      <c r="S951" s="122"/>
      <c r="T951" s="122"/>
      <c r="U951" s="122"/>
      <c r="V951" s="122"/>
      <c r="W951" s="122"/>
      <c r="X951" s="122"/>
      <c r="Y951" s="122"/>
      <c r="Z951" s="122"/>
      <c r="AA951" s="122"/>
      <c r="AB951" s="122"/>
      <c r="AC951" s="122"/>
      <c r="AD951" s="122"/>
      <c r="AE951" s="122"/>
      <c r="AF951" s="122"/>
      <c r="AG951" s="122"/>
      <c r="AH951" s="122"/>
      <c r="AI951" s="122"/>
      <c r="AJ951" s="122"/>
      <c r="AK951" s="122"/>
      <c r="AL951" s="122"/>
      <c r="AM951" s="122"/>
      <c r="AN951" s="122"/>
      <c r="AO951" s="122"/>
      <c r="AP951" s="166"/>
      <c r="AQ951" s="122"/>
      <c r="AR951" s="167"/>
      <c r="AS951" s="122"/>
      <c r="AT951" s="122"/>
      <c r="AU951" s="122"/>
      <c r="AV951" s="122"/>
      <c r="AW951" s="122"/>
      <c r="AX951" s="122"/>
      <c r="AY951" s="122"/>
      <c r="AZ951" s="122"/>
      <c r="BA951" s="122"/>
      <c r="BB951" s="122"/>
      <c r="BC951" s="122"/>
      <c r="BD951" s="122"/>
      <c r="BE951" s="122"/>
      <c r="BF951" s="122"/>
      <c r="BG951" s="122"/>
      <c r="BH951" s="122"/>
      <c r="BI951" s="122"/>
      <c r="BJ951" s="122"/>
    </row>
    <row r="952" spans="1:62">
      <c r="A952" s="122"/>
      <c r="B952" s="122"/>
      <c r="C952" s="122"/>
      <c r="D952" s="122"/>
      <c r="E952" s="122"/>
      <c r="F952" s="122"/>
      <c r="G952" s="122"/>
      <c r="H952" s="122"/>
      <c r="I952" s="122"/>
      <c r="J952" s="122"/>
      <c r="K952" s="122"/>
      <c r="L952" s="122"/>
      <c r="M952" s="122"/>
      <c r="N952" s="122"/>
      <c r="O952" s="122"/>
      <c r="P952" s="122"/>
      <c r="Q952" s="122"/>
      <c r="R952" s="122"/>
      <c r="S952" s="122"/>
      <c r="T952" s="122"/>
      <c r="U952" s="122"/>
      <c r="V952" s="122"/>
      <c r="W952" s="122"/>
      <c r="X952" s="122"/>
      <c r="Y952" s="122"/>
      <c r="Z952" s="122"/>
      <c r="AA952" s="122"/>
      <c r="AB952" s="122"/>
      <c r="AC952" s="122"/>
      <c r="AD952" s="122"/>
      <c r="AE952" s="122"/>
      <c r="AF952" s="122"/>
      <c r="AG952" s="122"/>
      <c r="AH952" s="122"/>
      <c r="AI952" s="122"/>
      <c r="AJ952" s="122"/>
      <c r="AK952" s="122"/>
      <c r="AL952" s="122"/>
      <c r="AM952" s="122"/>
      <c r="AN952" s="122"/>
      <c r="AO952" s="122"/>
      <c r="AP952" s="166"/>
      <c r="AQ952" s="122"/>
      <c r="AR952" s="167"/>
      <c r="AS952" s="122"/>
      <c r="AT952" s="122"/>
      <c r="AU952" s="122"/>
      <c r="AV952" s="122"/>
      <c r="AW952" s="122"/>
      <c r="AX952" s="122"/>
      <c r="AY952" s="122"/>
      <c r="AZ952" s="122"/>
      <c r="BA952" s="122"/>
      <c r="BB952" s="122"/>
      <c r="BC952" s="122"/>
      <c r="BD952" s="122"/>
      <c r="BE952" s="122"/>
      <c r="BF952" s="122"/>
      <c r="BG952" s="122"/>
      <c r="BH952" s="122"/>
      <c r="BI952" s="122"/>
      <c r="BJ952" s="122"/>
    </row>
    <row r="953" spans="1:62">
      <c r="A953" s="122"/>
      <c r="B953" s="122"/>
      <c r="C953" s="122"/>
      <c r="D953" s="122"/>
      <c r="E953" s="122"/>
      <c r="F953" s="122"/>
      <c r="G953" s="122"/>
      <c r="H953" s="122"/>
      <c r="I953" s="122"/>
      <c r="J953" s="122"/>
      <c r="K953" s="122"/>
      <c r="L953" s="122"/>
      <c r="M953" s="122"/>
      <c r="N953" s="122"/>
      <c r="O953" s="122"/>
      <c r="P953" s="122"/>
      <c r="Q953" s="122"/>
      <c r="R953" s="122"/>
      <c r="S953" s="122"/>
      <c r="T953" s="122"/>
      <c r="U953" s="122"/>
      <c r="V953" s="122"/>
      <c r="W953" s="122"/>
      <c r="X953" s="122"/>
      <c r="Y953" s="122"/>
      <c r="Z953" s="122"/>
      <c r="AA953" s="122"/>
      <c r="AB953" s="122"/>
      <c r="AC953" s="122"/>
      <c r="AD953" s="122"/>
      <c r="AE953" s="122"/>
      <c r="AF953" s="122"/>
      <c r="AG953" s="122"/>
      <c r="AH953" s="122"/>
      <c r="AI953" s="122"/>
      <c r="AJ953" s="122"/>
      <c r="AK953" s="122"/>
      <c r="AL953" s="122"/>
      <c r="AM953" s="122"/>
      <c r="AN953" s="122"/>
      <c r="AO953" s="122"/>
      <c r="AP953" s="166"/>
      <c r="AQ953" s="122"/>
      <c r="AR953" s="167"/>
      <c r="AS953" s="122"/>
      <c r="AT953" s="122"/>
      <c r="AU953" s="122"/>
      <c r="AV953" s="122"/>
      <c r="AW953" s="122"/>
      <c r="AX953" s="122"/>
      <c r="AY953" s="122"/>
      <c r="AZ953" s="122"/>
      <c r="BA953" s="122"/>
      <c r="BB953" s="122"/>
      <c r="BC953" s="122"/>
      <c r="BD953" s="122"/>
      <c r="BE953" s="122"/>
      <c r="BF953" s="122"/>
      <c r="BG953" s="122"/>
      <c r="BH953" s="122"/>
      <c r="BI953" s="122"/>
      <c r="BJ953" s="122"/>
    </row>
    <row r="954" spans="1:62">
      <c r="A954" s="122"/>
      <c r="B954" s="122"/>
      <c r="C954" s="122"/>
      <c r="D954" s="122"/>
      <c r="E954" s="122"/>
      <c r="F954" s="122"/>
      <c r="G954" s="122"/>
      <c r="H954" s="122"/>
      <c r="I954" s="122"/>
      <c r="J954" s="122"/>
      <c r="K954" s="122"/>
      <c r="L954" s="122"/>
      <c r="M954" s="122"/>
      <c r="N954" s="122"/>
      <c r="O954" s="122"/>
      <c r="P954" s="122"/>
      <c r="Q954" s="122"/>
      <c r="R954" s="122"/>
      <c r="S954" s="122"/>
      <c r="T954" s="122"/>
      <c r="U954" s="122"/>
      <c r="V954" s="122"/>
      <c r="W954" s="122"/>
      <c r="X954" s="122"/>
      <c r="Y954" s="122"/>
      <c r="Z954" s="122"/>
      <c r="AA954" s="122"/>
      <c r="AB954" s="122"/>
      <c r="AC954" s="122"/>
      <c r="AD954" s="122"/>
      <c r="AE954" s="122"/>
      <c r="AF954" s="122"/>
      <c r="AG954" s="122"/>
      <c r="AH954" s="122"/>
      <c r="AI954" s="122"/>
      <c r="AJ954" s="122"/>
      <c r="AK954" s="122"/>
      <c r="AL954" s="122"/>
      <c r="AM954" s="122"/>
      <c r="AN954" s="122"/>
      <c r="AO954" s="122"/>
      <c r="AP954" s="166"/>
      <c r="AQ954" s="122"/>
      <c r="AR954" s="167"/>
      <c r="AS954" s="122"/>
      <c r="AT954" s="122"/>
      <c r="AU954" s="122"/>
      <c r="AV954" s="122"/>
      <c r="AW954" s="122"/>
      <c r="AX954" s="122"/>
      <c r="AY954" s="122"/>
      <c r="AZ954" s="122"/>
      <c r="BA954" s="122"/>
      <c r="BB954" s="122"/>
      <c r="BC954" s="122"/>
      <c r="BD954" s="122"/>
      <c r="BE954" s="122"/>
      <c r="BF954" s="122"/>
      <c r="BG954" s="122"/>
      <c r="BH954" s="122"/>
      <c r="BI954" s="122"/>
      <c r="BJ954" s="122"/>
    </row>
    <row r="955" spans="1:62">
      <c r="A955" s="122"/>
      <c r="B955" s="122"/>
      <c r="C955" s="122"/>
      <c r="D955" s="122"/>
      <c r="E955" s="122"/>
      <c r="F955" s="122"/>
      <c r="G955" s="122"/>
      <c r="H955" s="122"/>
      <c r="I955" s="122"/>
      <c r="J955" s="122"/>
      <c r="K955" s="122"/>
      <c r="L955" s="122"/>
      <c r="M955" s="122"/>
      <c r="N955" s="122"/>
      <c r="O955" s="122"/>
      <c r="P955" s="122"/>
      <c r="Q955" s="122"/>
      <c r="R955" s="122"/>
      <c r="S955" s="122"/>
      <c r="T955" s="122"/>
      <c r="U955" s="122"/>
      <c r="V955" s="122"/>
      <c r="W955" s="122"/>
      <c r="X955" s="122"/>
      <c r="Y955" s="122"/>
      <c r="Z955" s="122"/>
      <c r="AA955" s="122"/>
      <c r="AB955" s="122"/>
      <c r="AC955" s="122"/>
      <c r="AD955" s="122"/>
      <c r="AE955" s="122"/>
      <c r="AF955" s="122"/>
      <c r="AG955" s="122"/>
      <c r="AH955" s="122"/>
      <c r="AI955" s="122"/>
      <c r="AJ955" s="122"/>
      <c r="AK955" s="122"/>
      <c r="AL955" s="122"/>
      <c r="AM955" s="122"/>
      <c r="AN955" s="122"/>
      <c r="AO955" s="122"/>
      <c r="AP955" s="166"/>
      <c r="AQ955" s="122"/>
      <c r="AR955" s="167"/>
      <c r="AS955" s="122"/>
      <c r="AT955" s="122"/>
      <c r="AU955" s="122"/>
      <c r="AV955" s="122"/>
      <c r="AW955" s="122"/>
      <c r="AX955" s="122"/>
      <c r="AY955" s="122"/>
      <c r="AZ955" s="122"/>
      <c r="BA955" s="122"/>
      <c r="BB955" s="122"/>
      <c r="BC955" s="122"/>
      <c r="BD955" s="122"/>
      <c r="BE955" s="122"/>
      <c r="BF955" s="122"/>
      <c r="BG955" s="122"/>
      <c r="BH955" s="122"/>
      <c r="BI955" s="122"/>
      <c r="BJ955" s="122"/>
    </row>
    <row r="956" spans="1:62">
      <c r="A956" s="122"/>
      <c r="B956" s="122"/>
      <c r="C956" s="122"/>
      <c r="D956" s="122"/>
      <c r="E956" s="122"/>
      <c r="F956" s="122"/>
      <c r="G956" s="122"/>
      <c r="H956" s="122"/>
      <c r="I956" s="122"/>
      <c r="J956" s="122"/>
      <c r="K956" s="122"/>
      <c r="L956" s="122"/>
      <c r="M956" s="122"/>
      <c r="N956" s="122"/>
      <c r="O956" s="122"/>
      <c r="P956" s="122"/>
      <c r="Q956" s="122"/>
      <c r="R956" s="122"/>
      <c r="S956" s="122"/>
      <c r="T956" s="122"/>
      <c r="U956" s="122"/>
      <c r="V956" s="122"/>
      <c r="W956" s="122"/>
      <c r="X956" s="122"/>
      <c r="Y956" s="122"/>
      <c r="Z956" s="122"/>
      <c r="AA956" s="122"/>
      <c r="AB956" s="122"/>
      <c r="AC956" s="122"/>
      <c r="AD956" s="122"/>
      <c r="AE956" s="122"/>
      <c r="AF956" s="122"/>
      <c r="AG956" s="122"/>
      <c r="AH956" s="122"/>
      <c r="AI956" s="122"/>
      <c r="AJ956" s="122"/>
      <c r="AK956" s="122"/>
      <c r="AL956" s="122"/>
      <c r="AM956" s="122"/>
      <c r="AN956" s="122"/>
      <c r="AO956" s="122"/>
      <c r="AP956" s="166"/>
      <c r="AQ956" s="122"/>
      <c r="AR956" s="167"/>
      <c r="AS956" s="122"/>
      <c r="AT956" s="122"/>
      <c r="AU956" s="122"/>
      <c r="AV956" s="122"/>
      <c r="AW956" s="122"/>
      <c r="AX956" s="122"/>
      <c r="AY956" s="122"/>
      <c r="AZ956" s="122"/>
      <c r="BA956" s="122"/>
      <c r="BB956" s="122"/>
      <c r="BC956" s="122"/>
      <c r="BD956" s="122"/>
      <c r="BE956" s="122"/>
      <c r="BF956" s="122"/>
      <c r="BG956" s="122"/>
      <c r="BH956" s="122"/>
      <c r="BI956" s="122"/>
      <c r="BJ956" s="122"/>
    </row>
    <row r="957" spans="1:62">
      <c r="A957" s="122"/>
      <c r="B957" s="122"/>
      <c r="C957" s="122"/>
      <c r="D957" s="122"/>
      <c r="E957" s="122"/>
      <c r="F957" s="122"/>
      <c r="G957" s="122"/>
      <c r="H957" s="122"/>
      <c r="I957" s="122"/>
      <c r="J957" s="122"/>
      <c r="K957" s="122"/>
      <c r="L957" s="122"/>
      <c r="M957" s="122"/>
      <c r="N957" s="122"/>
      <c r="O957" s="122"/>
      <c r="P957" s="122"/>
      <c r="Q957" s="122"/>
      <c r="R957" s="122"/>
      <c r="S957" s="122"/>
      <c r="T957" s="122"/>
      <c r="U957" s="122"/>
      <c r="V957" s="122"/>
      <c r="W957" s="122"/>
      <c r="X957" s="122"/>
      <c r="Y957" s="122"/>
      <c r="Z957" s="122"/>
      <c r="AA957" s="122"/>
      <c r="AB957" s="122"/>
      <c r="AC957" s="122"/>
      <c r="AD957" s="122"/>
      <c r="AE957" s="122"/>
      <c r="AF957" s="122"/>
      <c r="AG957" s="122"/>
      <c r="AH957" s="122"/>
      <c r="AI957" s="122"/>
      <c r="AJ957" s="122"/>
      <c r="AK957" s="122"/>
      <c r="AL957" s="122"/>
      <c r="AM957" s="122"/>
      <c r="AN957" s="122"/>
      <c r="AO957" s="122"/>
      <c r="AP957" s="166"/>
      <c r="AQ957" s="122"/>
      <c r="AR957" s="167"/>
      <c r="AS957" s="122"/>
      <c r="AT957" s="122"/>
      <c r="AU957" s="122"/>
      <c r="AV957" s="122"/>
      <c r="AW957" s="122"/>
      <c r="AX957" s="122"/>
      <c r="AY957" s="122"/>
      <c r="AZ957" s="122"/>
      <c r="BA957" s="122"/>
      <c r="BB957" s="122"/>
      <c r="BC957" s="122"/>
      <c r="BD957" s="122"/>
      <c r="BE957" s="122"/>
      <c r="BF957" s="122"/>
      <c r="BG957" s="122"/>
      <c r="BH957" s="122"/>
      <c r="BI957" s="122"/>
      <c r="BJ957" s="122"/>
    </row>
    <row r="958" spans="1:62">
      <c r="A958" s="122"/>
      <c r="B958" s="122"/>
      <c r="C958" s="122"/>
      <c r="D958" s="122"/>
      <c r="E958" s="122"/>
      <c r="F958" s="122"/>
      <c r="G958" s="122"/>
      <c r="H958" s="122"/>
      <c r="I958" s="122"/>
      <c r="J958" s="122"/>
      <c r="K958" s="122"/>
      <c r="L958" s="122"/>
      <c r="M958" s="122"/>
      <c r="N958" s="122"/>
      <c r="O958" s="122"/>
      <c r="P958" s="122"/>
      <c r="Q958" s="122"/>
      <c r="R958" s="122"/>
      <c r="S958" s="122"/>
      <c r="T958" s="122"/>
      <c r="U958" s="122"/>
      <c r="V958" s="122"/>
      <c r="W958" s="122"/>
      <c r="X958" s="122"/>
      <c r="Y958" s="122"/>
      <c r="Z958" s="122"/>
      <c r="AA958" s="122"/>
      <c r="AB958" s="122"/>
      <c r="AC958" s="122"/>
      <c r="AD958" s="122"/>
      <c r="AE958" s="122"/>
      <c r="AF958" s="122"/>
      <c r="AG958" s="122"/>
      <c r="AH958" s="122"/>
      <c r="AI958" s="122"/>
      <c r="AJ958" s="122"/>
      <c r="AK958" s="122"/>
      <c r="AL958" s="122"/>
      <c r="AM958" s="122"/>
      <c r="AN958" s="122"/>
      <c r="AO958" s="122"/>
      <c r="AP958" s="166"/>
      <c r="AQ958" s="122"/>
      <c r="AR958" s="167"/>
      <c r="AS958" s="122"/>
      <c r="AT958" s="122"/>
      <c r="AU958" s="122"/>
      <c r="AV958" s="122"/>
      <c r="AW958" s="122"/>
      <c r="AX958" s="122"/>
      <c r="AY958" s="122"/>
      <c r="AZ958" s="122"/>
      <c r="BA958" s="122"/>
      <c r="BB958" s="122"/>
      <c r="BC958" s="122"/>
      <c r="BD958" s="122"/>
      <c r="BE958" s="122"/>
      <c r="BF958" s="122"/>
      <c r="BG958" s="122"/>
      <c r="BH958" s="122"/>
      <c r="BI958" s="122"/>
      <c r="BJ958" s="122"/>
    </row>
    <row r="959" spans="1:62">
      <c r="A959" s="122"/>
      <c r="B959" s="122"/>
      <c r="C959" s="122"/>
      <c r="D959" s="122"/>
      <c r="E959" s="122"/>
      <c r="F959" s="122"/>
      <c r="G959" s="122"/>
      <c r="H959" s="122"/>
      <c r="I959" s="122"/>
      <c r="J959" s="122"/>
      <c r="K959" s="122"/>
      <c r="L959" s="122"/>
      <c r="M959" s="122"/>
      <c r="N959" s="122"/>
      <c r="O959" s="122"/>
      <c r="P959" s="122"/>
      <c r="Q959" s="122"/>
      <c r="R959" s="122"/>
      <c r="S959" s="122"/>
      <c r="T959" s="122"/>
      <c r="U959" s="122"/>
      <c r="V959" s="122"/>
      <c r="W959" s="122"/>
      <c r="X959" s="122"/>
      <c r="Y959" s="122"/>
      <c r="Z959" s="122"/>
      <c r="AA959" s="122"/>
      <c r="AB959" s="122"/>
      <c r="AC959" s="122"/>
      <c r="AD959" s="122"/>
      <c r="AE959" s="122"/>
      <c r="AF959" s="122"/>
      <c r="AG959" s="122"/>
      <c r="AH959" s="122"/>
      <c r="AI959" s="122"/>
      <c r="AJ959" s="122"/>
      <c r="AK959" s="122"/>
      <c r="AL959" s="122"/>
      <c r="AM959" s="122"/>
      <c r="AN959" s="122"/>
      <c r="AO959" s="122"/>
      <c r="AP959" s="166"/>
      <c r="AQ959" s="122"/>
      <c r="AR959" s="167"/>
      <c r="AS959" s="122"/>
      <c r="AT959" s="122"/>
      <c r="AU959" s="122"/>
      <c r="AV959" s="122"/>
      <c r="AW959" s="122"/>
      <c r="AX959" s="122"/>
      <c r="AY959" s="122"/>
      <c r="AZ959" s="122"/>
      <c r="BA959" s="122"/>
      <c r="BB959" s="122"/>
      <c r="BC959" s="122"/>
      <c r="BD959" s="122"/>
      <c r="BE959" s="122"/>
      <c r="BF959" s="122"/>
      <c r="BG959" s="122"/>
      <c r="BH959" s="122"/>
      <c r="BI959" s="122"/>
      <c r="BJ959" s="122"/>
    </row>
    <row r="960" spans="1:62">
      <c r="A960" s="122"/>
      <c r="B960" s="122"/>
      <c r="C960" s="122"/>
      <c r="D960" s="122"/>
      <c r="E960" s="122"/>
      <c r="F960" s="122"/>
      <c r="G960" s="122"/>
      <c r="H960" s="122"/>
      <c r="I960" s="122"/>
      <c r="J960" s="122"/>
      <c r="K960" s="122"/>
      <c r="L960" s="122"/>
      <c r="M960" s="122"/>
      <c r="N960" s="122"/>
      <c r="O960" s="122"/>
      <c r="P960" s="122"/>
      <c r="Q960" s="122"/>
      <c r="R960" s="122"/>
      <c r="S960" s="122"/>
      <c r="T960" s="122"/>
      <c r="U960" s="122"/>
      <c r="V960" s="122"/>
      <c r="W960" s="122"/>
      <c r="X960" s="122"/>
      <c r="Y960" s="122"/>
      <c r="Z960" s="122"/>
      <c r="AA960" s="122"/>
      <c r="AB960" s="122"/>
      <c r="AC960" s="122"/>
      <c r="AD960" s="122"/>
      <c r="AE960" s="122"/>
      <c r="AF960" s="122"/>
      <c r="AG960" s="122"/>
      <c r="AH960" s="122"/>
      <c r="AI960" s="122"/>
      <c r="AJ960" s="122"/>
      <c r="AK960" s="122"/>
      <c r="AL960" s="122"/>
      <c r="AM960" s="122"/>
      <c r="AN960" s="122"/>
      <c r="AO960" s="122"/>
      <c r="AP960" s="166"/>
      <c r="AQ960" s="122"/>
      <c r="AR960" s="167"/>
      <c r="AS960" s="122"/>
      <c r="AT960" s="122"/>
      <c r="AU960" s="122"/>
      <c r="AV960" s="122"/>
      <c r="AW960" s="122"/>
      <c r="AX960" s="122"/>
      <c r="AY960" s="122"/>
      <c r="AZ960" s="122"/>
      <c r="BA960" s="122"/>
      <c r="BB960" s="122"/>
      <c r="BC960" s="122"/>
      <c r="BD960" s="122"/>
      <c r="BE960" s="122"/>
      <c r="BF960" s="122"/>
      <c r="BG960" s="122"/>
      <c r="BH960" s="122"/>
      <c r="BI960" s="122"/>
      <c r="BJ960" s="122"/>
    </row>
    <row r="961" spans="1:62">
      <c r="A961" s="122"/>
      <c r="B961" s="122"/>
      <c r="C961" s="122"/>
      <c r="D961" s="122"/>
      <c r="E961" s="122"/>
      <c r="F961" s="122"/>
      <c r="G961" s="122"/>
      <c r="H961" s="122"/>
      <c r="I961" s="122"/>
      <c r="J961" s="122"/>
      <c r="K961" s="122"/>
      <c r="L961" s="122"/>
      <c r="M961" s="122"/>
      <c r="N961" s="122"/>
      <c r="O961" s="122"/>
      <c r="P961" s="122"/>
      <c r="Q961" s="122"/>
      <c r="R961" s="122"/>
      <c r="S961" s="122"/>
      <c r="T961" s="122"/>
      <c r="U961" s="122"/>
      <c r="V961" s="122"/>
      <c r="W961" s="122"/>
      <c r="X961" s="122"/>
      <c r="Y961" s="122"/>
      <c r="Z961" s="122"/>
      <c r="AA961" s="122"/>
      <c r="AB961" s="122"/>
      <c r="AC961" s="122"/>
      <c r="AD961" s="122"/>
      <c r="AE961" s="122"/>
      <c r="AF961" s="122"/>
      <c r="AG961" s="122"/>
      <c r="AH961" s="122"/>
      <c r="AI961" s="122"/>
      <c r="AJ961" s="122"/>
      <c r="AK961" s="122"/>
      <c r="AL961" s="122"/>
      <c r="AM961" s="122"/>
      <c r="AN961" s="122"/>
      <c r="AO961" s="122"/>
      <c r="AP961" s="166"/>
      <c r="AQ961" s="122"/>
      <c r="AR961" s="167"/>
      <c r="AS961" s="122"/>
      <c r="AT961" s="122"/>
      <c r="AU961" s="122"/>
      <c r="AV961" s="122"/>
      <c r="AW961" s="122"/>
      <c r="AX961" s="122"/>
      <c r="AY961" s="122"/>
      <c r="AZ961" s="122"/>
      <c r="BA961" s="122"/>
      <c r="BB961" s="122"/>
      <c r="BC961" s="122"/>
      <c r="BD961" s="122"/>
      <c r="BE961" s="122"/>
      <c r="BF961" s="122"/>
      <c r="BG961" s="122"/>
      <c r="BH961" s="122"/>
      <c r="BI961" s="122"/>
      <c r="BJ961" s="122"/>
    </row>
    <row r="962" spans="1:62">
      <c r="A962" s="122"/>
      <c r="B962" s="122"/>
      <c r="C962" s="122"/>
      <c r="D962" s="122"/>
      <c r="E962" s="122"/>
      <c r="F962" s="122"/>
      <c r="G962" s="122"/>
      <c r="H962" s="122"/>
      <c r="I962" s="122"/>
      <c r="J962" s="122"/>
      <c r="K962" s="122"/>
      <c r="L962" s="122"/>
      <c r="M962" s="122"/>
      <c r="N962" s="122"/>
      <c r="O962" s="122"/>
      <c r="P962" s="122"/>
      <c r="Q962" s="122"/>
      <c r="R962" s="122"/>
      <c r="S962" s="122"/>
      <c r="T962" s="122"/>
      <c r="U962" s="122"/>
      <c r="V962" s="122"/>
      <c r="W962" s="122"/>
      <c r="X962" s="122"/>
      <c r="Y962" s="122"/>
      <c r="Z962" s="122"/>
      <c r="AA962" s="122"/>
      <c r="AB962" s="122"/>
      <c r="AC962" s="122"/>
      <c r="AD962" s="122"/>
      <c r="AE962" s="122"/>
      <c r="AF962" s="122"/>
      <c r="AG962" s="122"/>
      <c r="AH962" s="122"/>
      <c r="AI962" s="122"/>
      <c r="AJ962" s="122"/>
      <c r="AK962" s="122"/>
      <c r="AL962" s="122"/>
      <c r="AM962" s="122"/>
      <c r="AN962" s="122"/>
      <c r="AO962" s="122"/>
      <c r="AP962" s="166"/>
      <c r="AQ962" s="122"/>
      <c r="AR962" s="167"/>
      <c r="AS962" s="122"/>
      <c r="AT962" s="122"/>
      <c r="AU962" s="122"/>
      <c r="AV962" s="122"/>
      <c r="AW962" s="122"/>
      <c r="AX962" s="122"/>
      <c r="AY962" s="122"/>
      <c r="AZ962" s="122"/>
      <c r="BA962" s="122"/>
      <c r="BB962" s="122"/>
      <c r="BC962" s="122"/>
      <c r="BD962" s="122"/>
      <c r="BE962" s="122"/>
      <c r="BF962" s="122"/>
      <c r="BG962" s="122"/>
      <c r="BH962" s="122"/>
      <c r="BI962" s="122"/>
      <c r="BJ962" s="122"/>
    </row>
    <row r="963" spans="1:62">
      <c r="A963" s="122"/>
      <c r="B963" s="122"/>
      <c r="C963" s="122"/>
      <c r="D963" s="122"/>
      <c r="E963" s="122"/>
      <c r="F963" s="122"/>
      <c r="G963" s="122"/>
      <c r="H963" s="122"/>
      <c r="I963" s="122"/>
      <c r="J963" s="122"/>
      <c r="K963" s="122"/>
      <c r="L963" s="122"/>
      <c r="M963" s="122"/>
      <c r="N963" s="122"/>
      <c r="O963" s="122"/>
      <c r="P963" s="122"/>
      <c r="Q963" s="122"/>
      <c r="R963" s="122"/>
      <c r="S963" s="122"/>
      <c r="T963" s="122"/>
      <c r="U963" s="122"/>
      <c r="V963" s="122"/>
      <c r="W963" s="122"/>
      <c r="X963" s="122"/>
      <c r="Y963" s="122"/>
      <c r="Z963" s="122"/>
      <c r="AA963" s="122"/>
      <c r="AB963" s="122"/>
      <c r="AC963" s="122"/>
      <c r="AD963" s="122"/>
      <c r="AE963" s="122"/>
      <c r="AF963" s="122"/>
      <c r="AG963" s="122"/>
      <c r="AH963" s="122"/>
      <c r="AI963" s="122"/>
      <c r="AJ963" s="122"/>
      <c r="AK963" s="122"/>
      <c r="AL963" s="122"/>
      <c r="AM963" s="122"/>
      <c r="AN963" s="122"/>
      <c r="AO963" s="122"/>
      <c r="AP963" s="166"/>
      <c r="AQ963" s="122"/>
      <c r="AR963" s="167"/>
      <c r="AS963" s="122"/>
      <c r="AT963" s="122"/>
      <c r="AU963" s="122"/>
      <c r="AV963" s="122"/>
      <c r="AW963" s="122"/>
      <c r="AX963" s="122"/>
      <c r="AY963" s="122"/>
      <c r="AZ963" s="122"/>
      <c r="BA963" s="122"/>
      <c r="BB963" s="122"/>
      <c r="BC963" s="122"/>
      <c r="BD963" s="122"/>
      <c r="BE963" s="122"/>
      <c r="BF963" s="122"/>
      <c r="BG963" s="122"/>
      <c r="BH963" s="122"/>
      <c r="BI963" s="122"/>
      <c r="BJ963" s="122"/>
    </row>
    <row r="964" spans="1:62">
      <c r="A964" s="122"/>
      <c r="B964" s="122"/>
      <c r="C964" s="122"/>
      <c r="D964" s="122"/>
      <c r="E964" s="122"/>
      <c r="F964" s="122"/>
      <c r="G964" s="122"/>
      <c r="H964" s="122"/>
      <c r="I964" s="122"/>
      <c r="J964" s="122"/>
      <c r="K964" s="122"/>
      <c r="L964" s="122"/>
      <c r="M964" s="122"/>
      <c r="N964" s="122"/>
      <c r="O964" s="122"/>
      <c r="P964" s="122"/>
      <c r="Q964" s="122"/>
      <c r="R964" s="122"/>
      <c r="S964" s="122"/>
      <c r="T964" s="122"/>
      <c r="U964" s="122"/>
      <c r="V964" s="122"/>
      <c r="W964" s="122"/>
      <c r="X964" s="122"/>
      <c r="Y964" s="122"/>
      <c r="Z964" s="122"/>
      <c r="AA964" s="122"/>
      <c r="AB964" s="122"/>
      <c r="AC964" s="122"/>
      <c r="AD964" s="122"/>
      <c r="AE964" s="122"/>
      <c r="AF964" s="122"/>
      <c r="AG964" s="122"/>
      <c r="AH964" s="122"/>
      <c r="AI964" s="122"/>
      <c r="AJ964" s="122"/>
      <c r="AK964" s="122"/>
      <c r="AL964" s="122"/>
      <c r="AM964" s="122"/>
      <c r="AN964" s="122"/>
      <c r="AO964" s="122"/>
      <c r="AP964" s="166"/>
      <c r="AQ964" s="122"/>
      <c r="AR964" s="167"/>
      <c r="AS964" s="122"/>
      <c r="AT964" s="122"/>
      <c r="AU964" s="122"/>
      <c r="AV964" s="122"/>
      <c r="AW964" s="122"/>
      <c r="AX964" s="122"/>
      <c r="AY964" s="122"/>
      <c r="AZ964" s="122"/>
      <c r="BA964" s="122"/>
      <c r="BB964" s="122"/>
      <c r="BC964" s="122"/>
      <c r="BD964" s="122"/>
      <c r="BE964" s="122"/>
      <c r="BF964" s="122"/>
      <c r="BG964" s="122"/>
      <c r="BH964" s="122"/>
      <c r="BI964" s="122"/>
      <c r="BJ964" s="122"/>
    </row>
    <row r="965" spans="1:62">
      <c r="A965" s="122"/>
      <c r="B965" s="122"/>
      <c r="C965" s="122"/>
      <c r="D965" s="122"/>
      <c r="E965" s="122"/>
      <c r="F965" s="122"/>
      <c r="G965" s="122"/>
      <c r="H965" s="122"/>
      <c r="I965" s="122"/>
      <c r="J965" s="122"/>
      <c r="K965" s="122"/>
      <c r="L965" s="122"/>
      <c r="M965" s="122"/>
      <c r="N965" s="122"/>
      <c r="O965" s="122"/>
      <c r="P965" s="122"/>
      <c r="Q965" s="122"/>
      <c r="R965" s="122"/>
      <c r="S965" s="122"/>
      <c r="T965" s="122"/>
      <c r="U965" s="122"/>
      <c r="V965" s="122"/>
      <c r="W965" s="122"/>
      <c r="X965" s="122"/>
      <c r="Y965" s="122"/>
      <c r="Z965" s="122"/>
      <c r="AA965" s="122"/>
      <c r="AB965" s="122"/>
      <c r="AC965" s="122"/>
      <c r="AD965" s="122"/>
      <c r="AE965" s="122"/>
      <c r="AF965" s="122"/>
      <c r="AG965" s="122"/>
      <c r="AH965" s="122"/>
      <c r="AI965" s="122"/>
      <c r="AJ965" s="122"/>
      <c r="AK965" s="122"/>
      <c r="AL965" s="122"/>
      <c r="AM965" s="122"/>
      <c r="AN965" s="122"/>
      <c r="AO965" s="122"/>
      <c r="AP965" s="166"/>
      <c r="AQ965" s="122"/>
      <c r="AR965" s="167"/>
      <c r="AS965" s="122"/>
      <c r="AT965" s="122"/>
      <c r="AU965" s="122"/>
      <c r="AV965" s="122"/>
      <c r="AW965" s="122"/>
      <c r="AX965" s="122"/>
      <c r="AY965" s="122"/>
      <c r="AZ965" s="122"/>
      <c r="BA965" s="122"/>
      <c r="BB965" s="122"/>
      <c r="BC965" s="122"/>
      <c r="BD965" s="122"/>
      <c r="BE965" s="122"/>
      <c r="BF965" s="122"/>
      <c r="BG965" s="122"/>
      <c r="BH965" s="122"/>
      <c r="BI965" s="122"/>
      <c r="BJ965" s="122"/>
    </row>
    <row r="966" spans="1:62">
      <c r="A966" s="122"/>
      <c r="B966" s="122"/>
      <c r="C966" s="122"/>
      <c r="D966" s="122"/>
      <c r="E966" s="122"/>
      <c r="F966" s="122"/>
      <c r="G966" s="122"/>
      <c r="H966" s="122"/>
      <c r="I966" s="122"/>
      <c r="J966" s="122"/>
      <c r="K966" s="122"/>
      <c r="L966" s="122"/>
      <c r="M966" s="122"/>
      <c r="N966" s="122"/>
      <c r="O966" s="122"/>
      <c r="P966" s="122"/>
      <c r="Q966" s="122"/>
      <c r="R966" s="122"/>
      <c r="S966" s="122"/>
      <c r="T966" s="122"/>
      <c r="U966" s="122"/>
      <c r="V966" s="122"/>
      <c r="W966" s="122"/>
      <c r="X966" s="122"/>
      <c r="Y966" s="122"/>
      <c r="Z966" s="122"/>
      <c r="AA966" s="122"/>
      <c r="AB966" s="122"/>
      <c r="AC966" s="122"/>
      <c r="AD966" s="122"/>
      <c r="AE966" s="122"/>
      <c r="AF966" s="122"/>
      <c r="AG966" s="122"/>
      <c r="AH966" s="122"/>
      <c r="AI966" s="122"/>
      <c r="AJ966" s="122"/>
      <c r="AK966" s="122"/>
      <c r="AL966" s="122"/>
      <c r="AM966" s="122"/>
      <c r="AN966" s="122"/>
      <c r="AO966" s="122"/>
      <c r="AP966" s="166"/>
      <c r="AQ966" s="122"/>
      <c r="AR966" s="167"/>
      <c r="AS966" s="122"/>
      <c r="AT966" s="122"/>
      <c r="AU966" s="122"/>
      <c r="AV966" s="122"/>
      <c r="AW966" s="122"/>
      <c r="AX966" s="122"/>
      <c r="AY966" s="122"/>
      <c r="AZ966" s="122"/>
      <c r="BA966" s="122"/>
      <c r="BB966" s="122"/>
      <c r="BC966" s="122"/>
      <c r="BD966" s="122"/>
      <c r="BE966" s="122"/>
      <c r="BF966" s="122"/>
      <c r="BG966" s="122"/>
      <c r="BH966" s="122"/>
      <c r="BI966" s="122"/>
      <c r="BJ966" s="122"/>
    </row>
    <row r="967" spans="1:62">
      <c r="A967" s="122"/>
      <c r="B967" s="122"/>
      <c r="C967" s="122"/>
      <c r="D967" s="122"/>
      <c r="E967" s="122"/>
      <c r="F967" s="122"/>
      <c r="G967" s="122"/>
      <c r="H967" s="122"/>
      <c r="I967" s="122"/>
      <c r="J967" s="122"/>
      <c r="K967" s="122"/>
      <c r="L967" s="122"/>
      <c r="M967" s="122"/>
      <c r="N967" s="122"/>
      <c r="O967" s="122"/>
      <c r="P967" s="122"/>
      <c r="Q967" s="122"/>
      <c r="R967" s="122"/>
      <c r="S967" s="122"/>
      <c r="T967" s="122"/>
      <c r="U967" s="122"/>
      <c r="V967" s="122"/>
      <c r="W967" s="122"/>
      <c r="X967" s="122"/>
      <c r="Y967" s="122"/>
      <c r="Z967" s="122"/>
      <c r="AA967" s="122"/>
      <c r="AB967" s="122"/>
      <c r="AC967" s="122"/>
      <c r="AD967" s="122"/>
      <c r="AE967" s="122"/>
      <c r="AF967" s="122"/>
      <c r="AG967" s="122"/>
      <c r="AH967" s="122"/>
      <c r="AI967" s="122"/>
      <c r="AJ967" s="122"/>
      <c r="AK967" s="122"/>
      <c r="AL967" s="122"/>
      <c r="AM967" s="122"/>
      <c r="AN967" s="122"/>
      <c r="AO967" s="122"/>
      <c r="AP967" s="166"/>
      <c r="AQ967" s="122"/>
      <c r="AR967" s="167"/>
      <c r="AS967" s="122"/>
      <c r="AT967" s="122"/>
      <c r="AU967" s="122"/>
      <c r="AV967" s="122"/>
      <c r="AW967" s="122"/>
      <c r="AX967" s="122"/>
      <c r="AY967" s="122"/>
      <c r="AZ967" s="122"/>
      <c r="BA967" s="122"/>
      <c r="BB967" s="122"/>
      <c r="BC967" s="122"/>
      <c r="BD967" s="122"/>
      <c r="BE967" s="122"/>
      <c r="BF967" s="122"/>
      <c r="BG967" s="122"/>
      <c r="BH967" s="122"/>
      <c r="BI967" s="122"/>
      <c r="BJ967" s="122"/>
    </row>
    <row r="968" spans="1:62">
      <c r="A968" s="122"/>
      <c r="B968" s="122"/>
      <c r="C968" s="122"/>
      <c r="D968" s="122"/>
      <c r="E968" s="122"/>
      <c r="F968" s="122"/>
      <c r="G968" s="122"/>
      <c r="H968" s="122"/>
      <c r="I968" s="122"/>
      <c r="J968" s="122"/>
      <c r="K968" s="122"/>
      <c r="L968" s="122"/>
      <c r="M968" s="122"/>
      <c r="N968" s="122"/>
      <c r="O968" s="122"/>
      <c r="P968" s="122"/>
      <c r="Q968" s="122"/>
      <c r="R968" s="122"/>
      <c r="S968" s="122"/>
      <c r="T968" s="122"/>
      <c r="U968" s="122"/>
      <c r="V968" s="122"/>
      <c r="W968" s="122"/>
      <c r="X968" s="122"/>
      <c r="Y968" s="122"/>
      <c r="Z968" s="122"/>
      <c r="AA968" s="122"/>
      <c r="AB968" s="122"/>
      <c r="AC968" s="122"/>
      <c r="AD968" s="122"/>
      <c r="AE968" s="122"/>
      <c r="AF968" s="122"/>
      <c r="AG968" s="122"/>
      <c r="AH968" s="122"/>
      <c r="AI968" s="122"/>
      <c r="AJ968" s="122"/>
      <c r="AK968" s="122"/>
      <c r="AL968" s="122"/>
      <c r="AM968" s="122"/>
      <c r="AN968" s="122"/>
      <c r="AO968" s="122"/>
      <c r="AP968" s="166"/>
      <c r="AQ968" s="122"/>
      <c r="AR968" s="167"/>
      <c r="AS968" s="122"/>
      <c r="AT968" s="122"/>
      <c r="AU968" s="122"/>
      <c r="AV968" s="122"/>
      <c r="AW968" s="122"/>
      <c r="AX968" s="122"/>
      <c r="AY968" s="122"/>
      <c r="AZ968" s="122"/>
      <c r="BA968" s="122"/>
      <c r="BB968" s="122"/>
      <c r="BC968" s="122"/>
      <c r="BD968" s="122"/>
      <c r="BE968" s="122"/>
      <c r="BF968" s="122"/>
      <c r="BG968" s="122"/>
      <c r="BH968" s="122"/>
      <c r="BI968" s="122"/>
      <c r="BJ968" s="122"/>
    </row>
    <row r="969" spans="1:62">
      <c r="A969" s="122"/>
      <c r="B969" s="122"/>
      <c r="C969" s="122"/>
      <c r="D969" s="122"/>
      <c r="E969" s="122"/>
      <c r="F969" s="122"/>
      <c r="G969" s="122"/>
      <c r="H969" s="122"/>
      <c r="I969" s="122"/>
      <c r="J969" s="122"/>
      <c r="K969" s="122"/>
      <c r="L969" s="122"/>
      <c r="M969" s="122"/>
      <c r="N969" s="122"/>
      <c r="O969" s="122"/>
      <c r="P969" s="122"/>
      <c r="Q969" s="122"/>
      <c r="R969" s="122"/>
      <c r="S969" s="122"/>
      <c r="T969" s="122"/>
      <c r="U969" s="122"/>
      <c r="V969" s="122"/>
      <c r="W969" s="122"/>
      <c r="X969" s="122"/>
      <c r="Y969" s="122"/>
      <c r="Z969" s="122"/>
      <c r="AA969" s="122"/>
      <c r="AB969" s="122"/>
      <c r="AC969" s="122"/>
      <c r="AD969" s="122"/>
      <c r="AE969" s="122"/>
      <c r="AF969" s="122"/>
      <c r="AG969" s="122"/>
      <c r="AH969" s="122"/>
      <c r="AI969" s="122"/>
      <c r="AJ969" s="122"/>
      <c r="AK969" s="122"/>
      <c r="AL969" s="122"/>
      <c r="AM969" s="122"/>
      <c r="AN969" s="122"/>
      <c r="AO969" s="122"/>
      <c r="AP969" s="166"/>
      <c r="AQ969" s="122"/>
      <c r="AR969" s="167"/>
      <c r="AS969" s="122"/>
      <c r="AT969" s="122"/>
      <c r="AU969" s="122"/>
      <c r="AV969" s="122"/>
      <c r="AW969" s="122"/>
      <c r="AX969" s="122"/>
      <c r="AY969" s="122"/>
      <c r="AZ969" s="122"/>
      <c r="BA969" s="122"/>
      <c r="BB969" s="122"/>
      <c r="BC969" s="122"/>
      <c r="BD969" s="122"/>
      <c r="BE969" s="122"/>
      <c r="BF969" s="122"/>
      <c r="BG969" s="122"/>
      <c r="BH969" s="122"/>
      <c r="BI969" s="122"/>
      <c r="BJ969" s="122"/>
    </row>
    <row r="970" spans="1:62">
      <c r="A970" s="122"/>
      <c r="B970" s="122"/>
      <c r="C970" s="122"/>
      <c r="D970" s="122"/>
      <c r="E970" s="122"/>
      <c r="F970" s="122"/>
      <c r="G970" s="122"/>
      <c r="H970" s="122"/>
      <c r="I970" s="122"/>
      <c r="J970" s="122"/>
      <c r="K970" s="122"/>
      <c r="L970" s="122"/>
      <c r="M970" s="122"/>
      <c r="N970" s="122"/>
      <c r="O970" s="122"/>
      <c r="P970" s="122"/>
      <c r="Q970" s="122"/>
      <c r="R970" s="122"/>
      <c r="S970" s="122"/>
      <c r="T970" s="122"/>
      <c r="U970" s="122"/>
      <c r="V970" s="122"/>
      <c r="W970" s="122"/>
      <c r="X970" s="122"/>
      <c r="Y970" s="122"/>
      <c r="Z970" s="122"/>
      <c r="AA970" s="122"/>
      <c r="AB970" s="122"/>
      <c r="AC970" s="122"/>
      <c r="AD970" s="122"/>
      <c r="AE970" s="122"/>
      <c r="AF970" s="122"/>
      <c r="AG970" s="122"/>
      <c r="AH970" s="122"/>
      <c r="AI970" s="122"/>
      <c r="AJ970" s="122"/>
      <c r="AK970" s="122"/>
      <c r="AL970" s="122"/>
      <c r="AM970" s="122"/>
      <c r="AN970" s="122"/>
      <c r="AO970" s="122"/>
      <c r="AP970" s="166"/>
      <c r="AQ970" s="122"/>
      <c r="AR970" s="167"/>
      <c r="AS970" s="122"/>
      <c r="AT970" s="122"/>
      <c r="AU970" s="122"/>
      <c r="AV970" s="122"/>
      <c r="AW970" s="122"/>
      <c r="AX970" s="122"/>
      <c r="AY970" s="122"/>
      <c r="AZ970" s="122"/>
      <c r="BA970" s="122"/>
      <c r="BB970" s="122"/>
      <c r="BC970" s="122"/>
      <c r="BD970" s="122"/>
      <c r="BE970" s="122"/>
      <c r="BF970" s="122"/>
      <c r="BG970" s="122"/>
      <c r="BH970" s="122"/>
      <c r="BI970" s="122"/>
      <c r="BJ970" s="122"/>
    </row>
    <row r="971" spans="1:62">
      <c r="A971" s="122"/>
      <c r="B971" s="122"/>
      <c r="C971" s="122"/>
      <c r="D971" s="122"/>
      <c r="E971" s="122"/>
      <c r="F971" s="122"/>
      <c r="G971" s="122"/>
      <c r="H971" s="122"/>
      <c r="I971" s="122"/>
      <c r="J971" s="122"/>
      <c r="K971" s="122"/>
      <c r="L971" s="122"/>
      <c r="M971" s="122"/>
      <c r="N971" s="122"/>
      <c r="O971" s="122"/>
      <c r="P971" s="122"/>
      <c r="Q971" s="122"/>
      <c r="R971" s="122"/>
      <c r="S971" s="122"/>
      <c r="T971" s="122"/>
      <c r="U971" s="122"/>
      <c r="V971" s="122"/>
      <c r="W971" s="122"/>
      <c r="X971" s="122"/>
      <c r="Y971" s="122"/>
      <c r="Z971" s="122"/>
      <c r="AA971" s="122"/>
      <c r="AB971" s="122"/>
      <c r="AC971" s="122"/>
      <c r="AD971" s="122"/>
      <c r="AE971" s="122"/>
      <c r="AF971" s="122"/>
      <c r="AG971" s="122"/>
      <c r="AH971" s="122"/>
      <c r="AI971" s="122"/>
      <c r="AJ971" s="122"/>
      <c r="AK971" s="122"/>
      <c r="AL971" s="122"/>
      <c r="AM971" s="122"/>
      <c r="AN971" s="122"/>
      <c r="AO971" s="122"/>
      <c r="AP971" s="166"/>
      <c r="AQ971" s="122"/>
      <c r="AR971" s="167"/>
      <c r="AS971" s="122"/>
      <c r="AT971" s="122"/>
      <c r="AU971" s="122"/>
      <c r="AV971" s="122"/>
      <c r="AW971" s="122"/>
      <c r="AX971" s="122"/>
      <c r="AY971" s="122"/>
      <c r="AZ971" s="122"/>
      <c r="BA971" s="122"/>
      <c r="BB971" s="122"/>
      <c r="BC971" s="122"/>
      <c r="BD971" s="122"/>
      <c r="BE971" s="122"/>
      <c r="BF971" s="122"/>
      <c r="BG971" s="122"/>
      <c r="BH971" s="122"/>
      <c r="BI971" s="122"/>
      <c r="BJ971" s="122"/>
    </row>
    <row r="972" spans="1:62">
      <c r="A972" s="122"/>
      <c r="B972" s="122"/>
      <c r="C972" s="122"/>
      <c r="D972" s="122"/>
      <c r="E972" s="122"/>
      <c r="F972" s="122"/>
      <c r="G972" s="122"/>
      <c r="H972" s="122"/>
      <c r="I972" s="122"/>
      <c r="J972" s="122"/>
      <c r="K972" s="122"/>
      <c r="L972" s="122"/>
      <c r="M972" s="122"/>
      <c r="N972" s="122"/>
      <c r="O972" s="122"/>
      <c r="P972" s="122"/>
      <c r="Q972" s="122"/>
      <c r="R972" s="122"/>
      <c r="S972" s="122"/>
      <c r="T972" s="122"/>
      <c r="U972" s="122"/>
      <c r="V972" s="122"/>
      <c r="W972" s="122"/>
      <c r="X972" s="122"/>
      <c r="Y972" s="122"/>
      <c r="Z972" s="122"/>
      <c r="AA972" s="122"/>
      <c r="AB972" s="122"/>
      <c r="AC972" s="122"/>
      <c r="AD972" s="122"/>
      <c r="AE972" s="122"/>
      <c r="AF972" s="122"/>
      <c r="AG972" s="122"/>
      <c r="AH972" s="122"/>
      <c r="AI972" s="122"/>
      <c r="AJ972" s="122"/>
      <c r="AK972" s="122"/>
      <c r="AL972" s="122"/>
      <c r="AM972" s="122"/>
      <c r="AN972" s="122"/>
      <c r="AO972" s="122"/>
      <c r="AP972" s="166"/>
      <c r="AQ972" s="122"/>
      <c r="AR972" s="167"/>
      <c r="AS972" s="122"/>
      <c r="AT972" s="122"/>
      <c r="AU972" s="122"/>
      <c r="AV972" s="122"/>
      <c r="AW972" s="122"/>
      <c r="AX972" s="122"/>
      <c r="AY972" s="122"/>
      <c r="AZ972" s="122"/>
      <c r="BA972" s="122"/>
      <c r="BB972" s="122"/>
      <c r="BC972" s="122"/>
      <c r="BD972" s="122"/>
      <c r="BE972" s="122"/>
      <c r="BF972" s="122"/>
      <c r="BG972" s="122"/>
      <c r="BH972" s="122"/>
      <c r="BI972" s="122"/>
      <c r="BJ972" s="122"/>
    </row>
    <row r="973" spans="1:62">
      <c r="A973" s="122"/>
      <c r="B973" s="122"/>
      <c r="C973" s="122"/>
      <c r="D973" s="122"/>
      <c r="E973" s="122"/>
      <c r="F973" s="122"/>
      <c r="G973" s="122"/>
      <c r="H973" s="122"/>
      <c r="I973" s="122"/>
      <c r="J973" s="122"/>
      <c r="K973" s="122"/>
      <c r="L973" s="122"/>
      <c r="M973" s="122"/>
      <c r="N973" s="122"/>
      <c r="O973" s="122"/>
      <c r="P973" s="122"/>
      <c r="Q973" s="122"/>
      <c r="R973" s="122"/>
      <c r="S973" s="122"/>
      <c r="T973" s="122"/>
      <c r="U973" s="122"/>
      <c r="V973" s="122"/>
      <c r="W973" s="122"/>
      <c r="X973" s="122"/>
      <c r="Y973" s="122"/>
      <c r="Z973" s="122"/>
      <c r="AA973" s="122"/>
      <c r="AB973" s="122"/>
      <c r="AC973" s="122"/>
      <c r="AD973" s="122"/>
      <c r="AE973" s="122"/>
      <c r="AF973" s="122"/>
      <c r="AG973" s="122"/>
      <c r="AH973" s="122"/>
      <c r="AI973" s="122"/>
      <c r="AJ973" s="122"/>
      <c r="AK973" s="122"/>
      <c r="AL973" s="122"/>
      <c r="AM973" s="122"/>
      <c r="AN973" s="122"/>
      <c r="AO973" s="122"/>
      <c r="AP973" s="166"/>
      <c r="AQ973" s="122"/>
      <c r="AR973" s="167"/>
      <c r="AS973" s="122"/>
      <c r="AT973" s="122"/>
      <c r="AU973" s="122"/>
      <c r="AV973" s="122"/>
      <c r="AW973" s="122"/>
      <c r="AX973" s="122"/>
      <c r="AY973" s="122"/>
      <c r="AZ973" s="122"/>
      <c r="BA973" s="122"/>
      <c r="BB973" s="122"/>
      <c r="BC973" s="122"/>
      <c r="BD973" s="122"/>
      <c r="BE973" s="122"/>
      <c r="BF973" s="122"/>
      <c r="BG973" s="122"/>
      <c r="BH973" s="122"/>
      <c r="BI973" s="122"/>
      <c r="BJ973" s="122"/>
    </row>
    <row r="974" spans="1:62">
      <c r="A974" s="122"/>
      <c r="B974" s="122"/>
      <c r="C974" s="122"/>
      <c r="D974" s="122"/>
      <c r="E974" s="122"/>
      <c r="F974" s="122"/>
      <c r="G974" s="122"/>
      <c r="H974" s="122"/>
      <c r="I974" s="122"/>
      <c r="J974" s="122"/>
      <c r="K974" s="122"/>
      <c r="L974" s="122"/>
      <c r="M974" s="122"/>
      <c r="N974" s="122"/>
      <c r="O974" s="122"/>
      <c r="P974" s="122"/>
      <c r="Q974" s="122"/>
      <c r="R974" s="122"/>
      <c r="S974" s="122"/>
      <c r="T974" s="122"/>
      <c r="U974" s="122"/>
      <c r="V974" s="122"/>
      <c r="W974" s="122"/>
      <c r="X974" s="122"/>
      <c r="Y974" s="122"/>
      <c r="Z974" s="122"/>
      <c r="AA974" s="122"/>
      <c r="AB974" s="122"/>
      <c r="AC974" s="122"/>
      <c r="AD974" s="122"/>
      <c r="AE974" s="122"/>
      <c r="AF974" s="122"/>
      <c r="AG974" s="122"/>
      <c r="AH974" s="122"/>
      <c r="AI974" s="122"/>
      <c r="AJ974" s="122"/>
      <c r="AK974" s="122"/>
      <c r="AL974" s="122"/>
      <c r="AM974" s="122"/>
      <c r="AN974" s="122"/>
      <c r="AO974" s="122"/>
      <c r="AP974" s="166"/>
      <c r="AQ974" s="122"/>
      <c r="AR974" s="167"/>
      <c r="AS974" s="122"/>
      <c r="AT974" s="122"/>
      <c r="AU974" s="122"/>
      <c r="AV974" s="122"/>
      <c r="AW974" s="122"/>
      <c r="AX974" s="122"/>
      <c r="AY974" s="122"/>
      <c r="AZ974" s="122"/>
      <c r="BA974" s="122"/>
      <c r="BB974" s="122"/>
      <c r="BC974" s="122"/>
      <c r="BD974" s="122"/>
      <c r="BE974" s="122"/>
      <c r="BF974" s="122"/>
      <c r="BG974" s="122"/>
      <c r="BH974" s="122"/>
      <c r="BI974" s="122"/>
      <c r="BJ974" s="122"/>
    </row>
    <row r="975" spans="1:62">
      <c r="A975" s="122"/>
      <c r="B975" s="122"/>
      <c r="C975" s="122"/>
      <c r="D975" s="122"/>
      <c r="E975" s="122"/>
      <c r="F975" s="122"/>
      <c r="G975" s="122"/>
      <c r="H975" s="122"/>
      <c r="I975" s="122"/>
      <c r="J975" s="122"/>
      <c r="K975" s="122"/>
      <c r="L975" s="122"/>
      <c r="M975" s="122"/>
      <c r="N975" s="122"/>
      <c r="O975" s="122"/>
      <c r="P975" s="122"/>
      <c r="Q975" s="122"/>
      <c r="R975" s="122"/>
      <c r="S975" s="122"/>
      <c r="T975" s="122"/>
      <c r="U975" s="122"/>
      <c r="V975" s="122"/>
      <c r="W975" s="122"/>
      <c r="X975" s="122"/>
      <c r="Y975" s="122"/>
      <c r="Z975" s="122"/>
      <c r="AA975" s="122"/>
      <c r="AB975" s="122"/>
      <c r="AC975" s="122"/>
      <c r="AD975" s="122"/>
      <c r="AE975" s="122"/>
      <c r="AF975" s="122"/>
      <c r="AG975" s="122"/>
      <c r="AH975" s="122"/>
      <c r="AI975" s="122"/>
      <c r="AJ975" s="122"/>
      <c r="AK975" s="122"/>
      <c r="AL975" s="122"/>
      <c r="AM975" s="122"/>
      <c r="AN975" s="122"/>
      <c r="AO975" s="122"/>
      <c r="AP975" s="166"/>
      <c r="AQ975" s="122"/>
      <c r="AR975" s="167"/>
      <c r="AS975" s="122"/>
      <c r="AT975" s="122"/>
      <c r="AU975" s="122"/>
      <c r="AV975" s="122"/>
      <c r="AW975" s="122"/>
      <c r="AX975" s="122"/>
      <c r="AY975" s="122"/>
      <c r="AZ975" s="122"/>
      <c r="BA975" s="122"/>
      <c r="BB975" s="122"/>
      <c r="BC975" s="122"/>
      <c r="BD975" s="122"/>
      <c r="BE975" s="122"/>
      <c r="BF975" s="122"/>
      <c r="BG975" s="122"/>
      <c r="BH975" s="122"/>
      <c r="BI975" s="122"/>
      <c r="BJ975" s="122"/>
    </row>
    <row r="976" spans="1:62">
      <c r="A976" s="122"/>
      <c r="B976" s="122"/>
      <c r="C976" s="122"/>
      <c r="D976" s="122"/>
      <c r="E976" s="122"/>
      <c r="F976" s="122"/>
      <c r="G976" s="122"/>
      <c r="H976" s="122"/>
      <c r="I976" s="122"/>
      <c r="J976" s="122"/>
      <c r="K976" s="122"/>
      <c r="L976" s="122"/>
      <c r="M976" s="122"/>
      <c r="N976" s="122"/>
      <c r="O976" s="122"/>
      <c r="P976" s="122"/>
      <c r="Q976" s="122"/>
      <c r="R976" s="122"/>
      <c r="S976" s="122"/>
      <c r="T976" s="122"/>
      <c r="U976" s="122"/>
      <c r="V976" s="122"/>
      <c r="W976" s="122"/>
      <c r="X976" s="122"/>
      <c r="Y976" s="122"/>
      <c r="Z976" s="122"/>
      <c r="AA976" s="122"/>
      <c r="AB976" s="122"/>
      <c r="AC976" s="122"/>
      <c r="AD976" s="122"/>
      <c r="AE976" s="122"/>
      <c r="AF976" s="122"/>
      <c r="AG976" s="122"/>
      <c r="AH976" s="122"/>
      <c r="AI976" s="122"/>
      <c r="AJ976" s="122"/>
      <c r="AK976" s="122"/>
      <c r="AL976" s="122"/>
      <c r="AM976" s="122"/>
      <c r="AN976" s="122"/>
      <c r="AO976" s="122"/>
      <c r="AP976" s="166"/>
      <c r="AQ976" s="122"/>
      <c r="AR976" s="167"/>
      <c r="AS976" s="122"/>
      <c r="AT976" s="122"/>
      <c r="AU976" s="122"/>
      <c r="AV976" s="122"/>
      <c r="AW976" s="122"/>
      <c r="AX976" s="122"/>
      <c r="AY976" s="122"/>
      <c r="AZ976" s="122"/>
      <c r="BA976" s="122"/>
      <c r="BB976" s="122"/>
      <c r="BC976" s="122"/>
      <c r="BD976" s="122"/>
      <c r="BE976" s="122"/>
      <c r="BF976" s="122"/>
      <c r="BG976" s="122"/>
      <c r="BH976" s="122"/>
      <c r="BI976" s="122"/>
      <c r="BJ976" s="122"/>
    </row>
    <row r="977" spans="1:62">
      <c r="A977" s="122"/>
      <c r="B977" s="122"/>
      <c r="C977" s="122"/>
      <c r="D977" s="122"/>
      <c r="E977" s="122"/>
      <c r="F977" s="122"/>
      <c r="G977" s="122"/>
      <c r="H977" s="122"/>
      <c r="I977" s="122"/>
      <c r="J977" s="122"/>
      <c r="K977" s="122"/>
      <c r="L977" s="122"/>
      <c r="M977" s="122"/>
      <c r="N977" s="122"/>
      <c r="O977" s="122"/>
      <c r="P977" s="122"/>
      <c r="Q977" s="122"/>
      <c r="R977" s="122"/>
      <c r="S977" s="122"/>
      <c r="T977" s="122"/>
      <c r="U977" s="122"/>
      <c r="V977" s="122"/>
      <c r="W977" s="122"/>
      <c r="X977" s="122"/>
      <c r="Y977" s="122"/>
      <c r="Z977" s="122"/>
      <c r="AA977" s="122"/>
      <c r="AB977" s="122"/>
      <c r="AC977" s="122"/>
      <c r="AD977" s="122"/>
      <c r="AE977" s="122"/>
      <c r="AF977" s="122"/>
      <c r="AG977" s="122"/>
      <c r="AH977" s="122"/>
      <c r="AI977" s="122"/>
      <c r="AJ977" s="122"/>
      <c r="AK977" s="122"/>
      <c r="AL977" s="122"/>
      <c r="AM977" s="122"/>
      <c r="AN977" s="122"/>
      <c r="AO977" s="122"/>
      <c r="AP977" s="166"/>
      <c r="AQ977" s="122"/>
      <c r="AR977" s="167"/>
      <c r="AS977" s="122"/>
      <c r="AT977" s="122"/>
      <c r="AU977" s="122"/>
      <c r="AV977" s="122"/>
      <c r="AW977" s="122"/>
      <c r="AX977" s="122"/>
      <c r="AY977" s="122"/>
      <c r="AZ977" s="122"/>
      <c r="BA977" s="122"/>
      <c r="BB977" s="122"/>
      <c r="BC977" s="122"/>
      <c r="BD977" s="122"/>
      <c r="BE977" s="122"/>
      <c r="BF977" s="122"/>
      <c r="BG977" s="122"/>
      <c r="BH977" s="122"/>
      <c r="BI977" s="122"/>
      <c r="BJ977" s="122"/>
    </row>
    <row r="978" spans="1:62">
      <c r="A978" s="122"/>
      <c r="B978" s="122"/>
      <c r="C978" s="122"/>
      <c r="D978" s="122"/>
      <c r="E978" s="122"/>
      <c r="F978" s="122"/>
      <c r="G978" s="122"/>
      <c r="H978" s="122"/>
      <c r="I978" s="122"/>
      <c r="J978" s="122"/>
      <c r="K978" s="122"/>
      <c r="L978" s="122"/>
      <c r="M978" s="122"/>
      <c r="N978" s="122"/>
      <c r="O978" s="122"/>
      <c r="P978" s="122"/>
      <c r="Q978" s="122"/>
      <c r="R978" s="122"/>
      <c r="S978" s="122"/>
      <c r="T978" s="122"/>
      <c r="U978" s="122"/>
      <c r="V978" s="122"/>
      <c r="W978" s="122"/>
      <c r="X978" s="122"/>
      <c r="Y978" s="122"/>
      <c r="Z978" s="122"/>
      <c r="AA978" s="122"/>
      <c r="AB978" s="122"/>
      <c r="AC978" s="122"/>
      <c r="AD978" s="122"/>
      <c r="AE978" s="122"/>
      <c r="AF978" s="122"/>
      <c r="AG978" s="122"/>
      <c r="AH978" s="122"/>
      <c r="AI978" s="122"/>
      <c r="AJ978" s="122"/>
      <c r="AK978" s="122"/>
      <c r="AL978" s="122"/>
      <c r="AM978" s="122"/>
      <c r="AN978" s="122"/>
      <c r="AO978" s="122"/>
      <c r="AP978" s="166"/>
      <c r="AQ978" s="122"/>
      <c r="AR978" s="167"/>
      <c r="AS978" s="122"/>
      <c r="AT978" s="122"/>
      <c r="AU978" s="122"/>
      <c r="AV978" s="122"/>
      <c r="AW978" s="122"/>
      <c r="AX978" s="122"/>
      <c r="AY978" s="122"/>
      <c r="AZ978" s="122"/>
      <c r="BA978" s="122"/>
      <c r="BB978" s="122"/>
      <c r="BC978" s="122"/>
      <c r="BD978" s="122"/>
      <c r="BE978" s="122"/>
      <c r="BF978" s="122"/>
      <c r="BG978" s="122"/>
      <c r="BH978" s="122"/>
      <c r="BI978" s="122"/>
      <c r="BJ978" s="122"/>
    </row>
    <row r="979" spans="1:62">
      <c r="A979" s="122"/>
      <c r="B979" s="122"/>
      <c r="C979" s="122"/>
      <c r="D979" s="122"/>
      <c r="E979" s="122"/>
      <c r="F979" s="122"/>
      <c r="G979" s="122"/>
      <c r="H979" s="122"/>
      <c r="I979" s="122"/>
      <c r="J979" s="122"/>
      <c r="K979" s="122"/>
      <c r="L979" s="122"/>
      <c r="M979" s="122"/>
      <c r="N979" s="122"/>
      <c r="O979" s="122"/>
      <c r="P979" s="122"/>
      <c r="Q979" s="122"/>
      <c r="R979" s="122"/>
      <c r="S979" s="122"/>
      <c r="T979" s="122"/>
      <c r="U979" s="122"/>
      <c r="V979" s="122"/>
      <c r="W979" s="122"/>
      <c r="X979" s="122"/>
      <c r="Y979" s="122"/>
      <c r="Z979" s="122"/>
      <c r="AA979" s="122"/>
      <c r="AB979" s="122"/>
      <c r="AC979" s="122"/>
      <c r="AD979" s="122"/>
      <c r="AE979" s="122"/>
      <c r="AF979" s="122"/>
      <c r="AG979" s="122"/>
      <c r="AH979" s="122"/>
      <c r="AI979" s="122"/>
      <c r="AJ979" s="122"/>
      <c r="AK979" s="122"/>
      <c r="AL979" s="122"/>
      <c r="AM979" s="122"/>
      <c r="AN979" s="122"/>
      <c r="AO979" s="122"/>
      <c r="AP979" s="166"/>
      <c r="AQ979" s="122"/>
      <c r="AR979" s="167"/>
      <c r="AS979" s="122"/>
      <c r="AT979" s="122"/>
      <c r="AU979" s="122"/>
      <c r="AV979" s="122"/>
      <c r="AW979" s="122"/>
      <c r="AX979" s="122"/>
      <c r="AY979" s="122"/>
      <c r="AZ979" s="122"/>
      <c r="BA979" s="122"/>
      <c r="BB979" s="122"/>
      <c r="BC979" s="122"/>
      <c r="BD979" s="122"/>
      <c r="BE979" s="122"/>
      <c r="BF979" s="122"/>
      <c r="BG979" s="122"/>
      <c r="BH979" s="122"/>
      <c r="BI979" s="122"/>
      <c r="BJ979" s="122"/>
    </row>
    <row r="980" spans="1:62">
      <c r="A980" s="122"/>
      <c r="B980" s="122"/>
      <c r="C980" s="122"/>
      <c r="D980" s="122"/>
      <c r="E980" s="122"/>
      <c r="F980" s="122"/>
      <c r="G980" s="122"/>
      <c r="H980" s="122"/>
      <c r="I980" s="122"/>
      <c r="J980" s="122"/>
      <c r="K980" s="122"/>
      <c r="L980" s="122"/>
      <c r="M980" s="122"/>
      <c r="N980" s="122"/>
      <c r="O980" s="122"/>
      <c r="P980" s="122"/>
      <c r="Q980" s="122"/>
      <c r="R980" s="122"/>
      <c r="S980" s="122"/>
      <c r="T980" s="122"/>
      <c r="U980" s="122"/>
      <c r="V980" s="122"/>
      <c r="W980" s="122"/>
      <c r="X980" s="122"/>
      <c r="Y980" s="122"/>
      <c r="Z980" s="122"/>
      <c r="AA980" s="122"/>
      <c r="AB980" s="122"/>
      <c r="AC980" s="122"/>
      <c r="AD980" s="122"/>
      <c r="AE980" s="122"/>
      <c r="AF980" s="122"/>
      <c r="AG980" s="122"/>
      <c r="AH980" s="122"/>
      <c r="AI980" s="122"/>
      <c r="AJ980" s="122"/>
      <c r="AK980" s="122"/>
      <c r="AL980" s="122"/>
      <c r="AM980" s="122"/>
      <c r="AN980" s="122"/>
      <c r="AO980" s="122"/>
      <c r="AP980" s="166"/>
      <c r="AQ980" s="122"/>
      <c r="AR980" s="167"/>
      <c r="AS980" s="122"/>
      <c r="AT980" s="122"/>
      <c r="AU980" s="122"/>
      <c r="AV980" s="122"/>
      <c r="AW980" s="122"/>
      <c r="AX980" s="122"/>
      <c r="AY980" s="122"/>
      <c r="AZ980" s="122"/>
      <c r="BA980" s="122"/>
      <c r="BB980" s="122"/>
      <c r="BC980" s="122"/>
      <c r="BD980" s="122"/>
      <c r="BE980" s="122"/>
      <c r="BF980" s="122"/>
      <c r="BG980" s="122"/>
      <c r="BH980" s="122"/>
      <c r="BI980" s="122"/>
      <c r="BJ980" s="122"/>
    </row>
    <row r="981" spans="1:62">
      <c r="A981" s="122"/>
      <c r="B981" s="122"/>
      <c r="C981" s="122"/>
      <c r="D981" s="122"/>
      <c r="E981" s="122"/>
      <c r="F981" s="122"/>
      <c r="G981" s="122"/>
      <c r="H981" s="122"/>
      <c r="I981" s="122"/>
      <c r="J981" s="122"/>
      <c r="K981" s="122"/>
      <c r="L981" s="122"/>
      <c r="M981" s="122"/>
      <c r="N981" s="122"/>
      <c r="O981" s="122"/>
      <c r="P981" s="122"/>
      <c r="Q981" s="122"/>
      <c r="R981" s="122"/>
      <c r="S981" s="122"/>
      <c r="T981" s="122"/>
      <c r="U981" s="122"/>
      <c r="V981" s="122"/>
      <c r="W981" s="122"/>
      <c r="X981" s="122"/>
      <c r="Y981" s="122"/>
      <c r="Z981" s="122"/>
      <c r="AA981" s="122"/>
      <c r="AB981" s="122"/>
      <c r="AC981" s="122"/>
      <c r="AD981" s="122"/>
      <c r="AE981" s="122"/>
      <c r="AF981" s="122"/>
      <c r="AG981" s="122"/>
      <c r="AH981" s="122"/>
      <c r="AI981" s="122"/>
      <c r="AJ981" s="122"/>
      <c r="AK981" s="122"/>
      <c r="AL981" s="122"/>
      <c r="AM981" s="122"/>
      <c r="AN981" s="122"/>
      <c r="AO981" s="122"/>
      <c r="AP981" s="166"/>
      <c r="AQ981" s="122"/>
      <c r="AR981" s="167"/>
      <c r="AS981" s="122"/>
      <c r="AT981" s="122"/>
      <c r="AU981" s="122"/>
      <c r="AV981" s="122"/>
      <c r="AW981" s="122"/>
      <c r="AX981" s="122"/>
      <c r="AY981" s="122"/>
      <c r="AZ981" s="122"/>
      <c r="BA981" s="122"/>
      <c r="BB981" s="122"/>
      <c r="BC981" s="122"/>
      <c r="BD981" s="122"/>
      <c r="BE981" s="122"/>
      <c r="BF981" s="122"/>
      <c r="BG981" s="122"/>
      <c r="BH981" s="122"/>
      <c r="BI981" s="122"/>
      <c r="BJ981" s="122"/>
    </row>
    <row r="982" spans="1:62">
      <c r="A982" s="122"/>
      <c r="B982" s="122"/>
      <c r="C982" s="122"/>
      <c r="D982" s="122"/>
      <c r="E982" s="122"/>
      <c r="F982" s="122"/>
      <c r="G982" s="122"/>
      <c r="H982" s="122"/>
      <c r="I982" s="122"/>
      <c r="J982" s="122"/>
      <c r="K982" s="122"/>
      <c r="L982" s="122"/>
      <c r="M982" s="122"/>
      <c r="N982" s="122"/>
      <c r="O982" s="122"/>
      <c r="P982" s="122"/>
      <c r="Q982" s="122"/>
      <c r="R982" s="122"/>
      <c r="S982" s="122"/>
      <c r="T982" s="122"/>
      <c r="U982" s="122"/>
      <c r="V982" s="122"/>
      <c r="W982" s="122"/>
      <c r="X982" s="122"/>
      <c r="Y982" s="122"/>
      <c r="Z982" s="122"/>
      <c r="AA982" s="122"/>
      <c r="AB982" s="122"/>
      <c r="AC982" s="122"/>
      <c r="AD982" s="122"/>
      <c r="AE982" s="122"/>
      <c r="AF982" s="122"/>
      <c r="AG982" s="122"/>
      <c r="AH982" s="122"/>
      <c r="AI982" s="122"/>
      <c r="AJ982" s="122"/>
      <c r="AK982" s="122"/>
      <c r="AL982" s="122"/>
      <c r="AM982" s="122"/>
      <c r="AN982" s="122"/>
      <c r="AO982" s="122"/>
      <c r="AP982" s="166"/>
      <c r="AQ982" s="122"/>
      <c r="AR982" s="167"/>
      <c r="AS982" s="122"/>
      <c r="AT982" s="122"/>
      <c r="AU982" s="122"/>
      <c r="AV982" s="122"/>
      <c r="AW982" s="122"/>
      <c r="AX982" s="122"/>
      <c r="AY982" s="122"/>
      <c r="AZ982" s="122"/>
      <c r="BA982" s="122"/>
      <c r="BB982" s="122"/>
      <c r="BC982" s="122"/>
      <c r="BD982" s="122"/>
      <c r="BE982" s="122"/>
      <c r="BF982" s="122"/>
      <c r="BG982" s="122"/>
      <c r="BH982" s="122"/>
      <c r="BI982" s="122"/>
      <c r="BJ982" s="122"/>
    </row>
    <row r="983" spans="1:62">
      <c r="A983" s="122"/>
      <c r="B983" s="122"/>
      <c r="C983" s="122"/>
      <c r="D983" s="122"/>
      <c r="E983" s="122"/>
      <c r="F983" s="122"/>
      <c r="G983" s="122"/>
      <c r="H983" s="122"/>
      <c r="I983" s="122"/>
      <c r="J983" s="122"/>
      <c r="K983" s="122"/>
      <c r="L983" s="122"/>
      <c r="M983" s="122"/>
      <c r="N983" s="122"/>
      <c r="O983" s="122"/>
      <c r="P983" s="122"/>
      <c r="Q983" s="122"/>
      <c r="R983" s="122"/>
      <c r="S983" s="122"/>
      <c r="T983" s="122"/>
      <c r="U983" s="122"/>
      <c r="V983" s="122"/>
      <c r="W983" s="122"/>
      <c r="X983" s="122"/>
      <c r="Y983" s="122"/>
      <c r="Z983" s="122"/>
      <c r="AA983" s="122"/>
      <c r="AB983" s="122"/>
      <c r="AC983" s="122"/>
      <c r="AD983" s="122"/>
      <c r="AE983" s="122"/>
      <c r="AF983" s="122"/>
      <c r="AG983" s="122"/>
      <c r="AH983" s="122"/>
      <c r="AI983" s="122"/>
      <c r="AJ983" s="122"/>
      <c r="AK983" s="122"/>
      <c r="AL983" s="122"/>
      <c r="AM983" s="122"/>
      <c r="AN983" s="122"/>
      <c r="AO983" s="122"/>
      <c r="AP983" s="166"/>
      <c r="AQ983" s="122"/>
      <c r="AR983" s="167"/>
      <c r="AS983" s="122"/>
      <c r="AT983" s="122"/>
      <c r="AU983" s="122"/>
      <c r="AV983" s="122"/>
      <c r="AW983" s="122"/>
      <c r="AX983" s="122"/>
      <c r="AY983" s="122"/>
      <c r="AZ983" s="122"/>
      <c r="BA983" s="122"/>
      <c r="BB983" s="122"/>
      <c r="BC983" s="122"/>
      <c r="BD983" s="122"/>
      <c r="BE983" s="122"/>
      <c r="BF983" s="122"/>
      <c r="BG983" s="122"/>
      <c r="BH983" s="122"/>
      <c r="BI983" s="122"/>
      <c r="BJ983" s="122"/>
    </row>
    <row r="984" spans="1:62">
      <c r="A984" s="122"/>
      <c r="B984" s="122"/>
      <c r="C984" s="122"/>
      <c r="D984" s="122"/>
      <c r="E984" s="122"/>
      <c r="F984" s="122"/>
      <c r="G984" s="122"/>
      <c r="H984" s="122"/>
      <c r="I984" s="122"/>
      <c r="J984" s="122"/>
      <c r="K984" s="122"/>
      <c r="L984" s="122"/>
      <c r="M984" s="122"/>
      <c r="N984" s="122"/>
      <c r="O984" s="122"/>
      <c r="P984" s="122"/>
      <c r="Q984" s="122"/>
      <c r="R984" s="122"/>
      <c r="S984" s="122"/>
      <c r="T984" s="122"/>
      <c r="U984" s="122"/>
      <c r="V984" s="122"/>
      <c r="W984" s="122"/>
      <c r="X984" s="122"/>
      <c r="Y984" s="122"/>
      <c r="Z984" s="122"/>
      <c r="AA984" s="122"/>
      <c r="AB984" s="122"/>
      <c r="AC984" s="122"/>
      <c r="AD984" s="122"/>
      <c r="AE984" s="122"/>
      <c r="AF984" s="122"/>
      <c r="AG984" s="122"/>
      <c r="AH984" s="122"/>
      <c r="AI984" s="122"/>
      <c r="AJ984" s="122"/>
      <c r="AK984" s="122"/>
      <c r="AL984" s="122"/>
      <c r="AM984" s="122"/>
      <c r="AN984" s="122"/>
      <c r="AO984" s="122"/>
      <c r="AP984" s="166"/>
      <c r="AQ984" s="122"/>
      <c r="AR984" s="167"/>
      <c r="AS984" s="122"/>
      <c r="AT984" s="122"/>
      <c r="AU984" s="122"/>
      <c r="AV984" s="122"/>
      <c r="AW984" s="122"/>
      <c r="AX984" s="122"/>
      <c r="AY984" s="122"/>
      <c r="AZ984" s="122"/>
      <c r="BA984" s="122"/>
      <c r="BB984" s="122"/>
      <c r="BC984" s="122"/>
      <c r="BD984" s="122"/>
      <c r="BE984" s="122"/>
      <c r="BF984" s="122"/>
      <c r="BG984" s="122"/>
      <c r="BH984" s="122"/>
      <c r="BI984" s="122"/>
      <c r="BJ984" s="122"/>
    </row>
    <row r="985" spans="1:62">
      <c r="A985" s="122"/>
      <c r="B985" s="122"/>
      <c r="C985" s="122"/>
      <c r="D985" s="122"/>
      <c r="E985" s="122"/>
      <c r="F985" s="122"/>
      <c r="G985" s="122"/>
      <c r="H985" s="122"/>
      <c r="I985" s="122"/>
      <c r="J985" s="122"/>
      <c r="K985" s="122"/>
      <c r="L985" s="122"/>
      <c r="M985" s="122"/>
      <c r="N985" s="122"/>
      <c r="O985" s="122"/>
      <c r="P985" s="122"/>
      <c r="Q985" s="122"/>
      <c r="R985" s="122"/>
      <c r="S985" s="122"/>
      <c r="T985" s="122"/>
      <c r="U985" s="122"/>
      <c r="V985" s="122"/>
      <c r="W985" s="122"/>
      <c r="X985" s="122"/>
      <c r="Y985" s="122"/>
      <c r="Z985" s="122"/>
      <c r="AA985" s="122"/>
      <c r="AB985" s="122"/>
      <c r="AC985" s="122"/>
      <c r="AD985" s="122"/>
      <c r="AE985" s="122"/>
      <c r="AF985" s="122"/>
      <c r="AG985" s="122"/>
      <c r="AH985" s="122"/>
      <c r="AI985" s="122"/>
      <c r="AJ985" s="122"/>
      <c r="AK985" s="122"/>
      <c r="AL985" s="122"/>
      <c r="AM985" s="122"/>
      <c r="AN985" s="122"/>
      <c r="AO985" s="122"/>
      <c r="AP985" s="166"/>
      <c r="AQ985" s="122"/>
      <c r="AR985" s="167"/>
      <c r="AS985" s="122"/>
      <c r="AT985" s="122"/>
      <c r="AU985" s="122"/>
      <c r="AV985" s="122"/>
      <c r="AW985" s="122"/>
      <c r="AX985" s="122"/>
      <c r="AY985" s="122"/>
      <c r="AZ985" s="122"/>
      <c r="BA985" s="122"/>
      <c r="BB985" s="122"/>
      <c r="BC985" s="122"/>
      <c r="BD985" s="122"/>
      <c r="BE985" s="122"/>
      <c r="BF985" s="122"/>
      <c r="BG985" s="122"/>
      <c r="BH985" s="122"/>
      <c r="BI985" s="122"/>
      <c r="BJ985" s="122"/>
    </row>
    <row r="986" spans="1:62">
      <c r="A986" s="122"/>
      <c r="B986" s="122"/>
      <c r="C986" s="122"/>
      <c r="D986" s="122"/>
      <c r="E986" s="122"/>
      <c r="F986" s="122"/>
      <c r="G986" s="122"/>
      <c r="H986" s="122"/>
      <c r="I986" s="122"/>
      <c r="J986" s="122"/>
      <c r="K986" s="122"/>
      <c r="L986" s="122"/>
      <c r="M986" s="122"/>
      <c r="N986" s="122"/>
      <c r="O986" s="122"/>
      <c r="P986" s="122"/>
      <c r="Q986" s="122"/>
      <c r="R986" s="122"/>
      <c r="S986" s="122"/>
      <c r="T986" s="122"/>
      <c r="U986" s="122"/>
      <c r="V986" s="122"/>
      <c r="W986" s="122"/>
      <c r="X986" s="122"/>
      <c r="Y986" s="122"/>
      <c r="Z986" s="122"/>
      <c r="AA986" s="122"/>
      <c r="AB986" s="122"/>
      <c r="AC986" s="122"/>
      <c r="AD986" s="122"/>
      <c r="AE986" s="122"/>
      <c r="AF986" s="122"/>
      <c r="AG986" s="122"/>
      <c r="AH986" s="122"/>
      <c r="AI986" s="122"/>
      <c r="AJ986" s="122"/>
      <c r="AK986" s="122"/>
      <c r="AL986" s="122"/>
      <c r="AM986" s="122"/>
      <c r="AN986" s="122"/>
      <c r="AO986" s="122"/>
      <c r="AP986" s="166"/>
      <c r="AQ986" s="122"/>
      <c r="AR986" s="167"/>
      <c r="AS986" s="122"/>
      <c r="AT986" s="122"/>
      <c r="AU986" s="122"/>
      <c r="AV986" s="122"/>
      <c r="AW986" s="122"/>
      <c r="AX986" s="122"/>
      <c r="AY986" s="122"/>
      <c r="AZ986" s="122"/>
      <c r="BA986" s="122"/>
      <c r="BB986" s="122"/>
      <c r="BC986" s="122"/>
      <c r="BD986" s="122"/>
      <c r="BE986" s="122"/>
      <c r="BF986" s="122"/>
      <c r="BG986" s="122"/>
      <c r="BH986" s="122"/>
      <c r="BI986" s="122"/>
      <c r="BJ986" s="122"/>
    </row>
    <row r="987" spans="1:62">
      <c r="A987" s="122"/>
      <c r="B987" s="122"/>
      <c r="C987" s="122"/>
      <c r="D987" s="122"/>
      <c r="E987" s="122"/>
      <c r="F987" s="122"/>
      <c r="G987" s="122"/>
      <c r="H987" s="122"/>
      <c r="I987" s="122"/>
      <c r="J987" s="122"/>
      <c r="K987" s="122"/>
      <c r="L987" s="122"/>
      <c r="M987" s="122"/>
      <c r="N987" s="122"/>
      <c r="O987" s="122"/>
      <c r="P987" s="122"/>
      <c r="Q987" s="122"/>
      <c r="R987" s="122"/>
      <c r="S987" s="122"/>
      <c r="T987" s="122"/>
      <c r="U987" s="122"/>
      <c r="V987" s="122"/>
      <c r="W987" s="122"/>
      <c r="X987" s="122"/>
      <c r="Y987" s="122"/>
      <c r="Z987" s="122"/>
      <c r="AA987" s="122"/>
      <c r="AB987" s="122"/>
      <c r="AC987" s="122"/>
      <c r="AD987" s="122"/>
      <c r="AE987" s="122"/>
      <c r="AF987" s="122"/>
      <c r="AG987" s="122"/>
      <c r="AH987" s="122"/>
      <c r="AI987" s="122"/>
      <c r="AJ987" s="122"/>
      <c r="AK987" s="122"/>
      <c r="AL987" s="122"/>
      <c r="AM987" s="122"/>
      <c r="AN987" s="122"/>
      <c r="AO987" s="122"/>
      <c r="AP987" s="166"/>
      <c r="AQ987" s="122"/>
      <c r="AR987" s="167"/>
      <c r="AS987" s="122"/>
      <c r="AT987" s="122"/>
      <c r="AU987" s="122"/>
      <c r="AV987" s="122"/>
      <c r="AW987" s="122"/>
      <c r="AX987" s="122"/>
      <c r="AY987" s="122"/>
      <c r="AZ987" s="122"/>
      <c r="BA987" s="122"/>
      <c r="BB987" s="122"/>
      <c r="BC987" s="122"/>
      <c r="BD987" s="122"/>
      <c r="BE987" s="122"/>
      <c r="BF987" s="122"/>
      <c r="BG987" s="122"/>
      <c r="BH987" s="122"/>
      <c r="BI987" s="122"/>
      <c r="BJ987" s="122"/>
    </row>
    <row r="988" spans="1:62">
      <c r="A988" s="122"/>
      <c r="B988" s="122"/>
      <c r="C988" s="122"/>
      <c r="D988" s="122"/>
      <c r="E988" s="122"/>
      <c r="F988" s="122"/>
      <c r="G988" s="122"/>
      <c r="H988" s="122"/>
      <c r="I988" s="122"/>
      <c r="J988" s="122"/>
      <c r="K988" s="122"/>
      <c r="L988" s="122"/>
      <c r="M988" s="122"/>
      <c r="N988" s="122"/>
      <c r="O988" s="122"/>
      <c r="P988" s="122"/>
      <c r="Q988" s="122"/>
      <c r="R988" s="122"/>
      <c r="S988" s="122"/>
      <c r="T988" s="122"/>
      <c r="U988" s="122"/>
      <c r="V988" s="122"/>
      <c r="W988" s="122"/>
      <c r="X988" s="122"/>
      <c r="Y988" s="122"/>
      <c r="Z988" s="122"/>
      <c r="AA988" s="122"/>
      <c r="AB988" s="122"/>
      <c r="AC988" s="122"/>
      <c r="AD988" s="122"/>
      <c r="AE988" s="122"/>
      <c r="AF988" s="122"/>
      <c r="AG988" s="122"/>
      <c r="AH988" s="122"/>
      <c r="AI988" s="122"/>
      <c r="AJ988" s="122"/>
      <c r="AK988" s="122"/>
      <c r="AL988" s="122"/>
      <c r="AM988" s="122"/>
      <c r="AN988" s="122"/>
      <c r="AO988" s="122"/>
      <c r="AP988" s="166"/>
      <c r="AQ988" s="122"/>
      <c r="AR988" s="167"/>
      <c r="AS988" s="122"/>
      <c r="AT988" s="122"/>
      <c r="AU988" s="122"/>
      <c r="AV988" s="122"/>
      <c r="AW988" s="122"/>
      <c r="AX988" s="122"/>
      <c r="AY988" s="122"/>
      <c r="AZ988" s="122"/>
      <c r="BA988" s="122"/>
      <c r="BB988" s="122"/>
      <c r="BC988" s="122"/>
      <c r="BD988" s="122"/>
      <c r="BE988" s="122"/>
      <c r="BF988" s="122"/>
      <c r="BG988" s="122"/>
      <c r="BH988" s="122"/>
      <c r="BI988" s="122"/>
      <c r="BJ988" s="122"/>
    </row>
    <row r="989" spans="1:62">
      <c r="A989" s="122"/>
      <c r="B989" s="122"/>
      <c r="C989" s="122"/>
      <c r="D989" s="122"/>
      <c r="E989" s="122"/>
      <c r="F989" s="122"/>
      <c r="G989" s="122"/>
      <c r="H989" s="122"/>
      <c r="I989" s="122"/>
      <c r="J989" s="122"/>
      <c r="K989" s="122"/>
      <c r="L989" s="122"/>
      <c r="M989" s="122"/>
      <c r="N989" s="122"/>
      <c r="O989" s="122"/>
      <c r="P989" s="122"/>
      <c r="Q989" s="122"/>
      <c r="R989" s="122"/>
      <c r="S989" s="122"/>
      <c r="T989" s="122"/>
      <c r="U989" s="122"/>
      <c r="V989" s="122"/>
      <c r="W989" s="122"/>
      <c r="X989" s="122"/>
      <c r="Y989" s="122"/>
      <c r="Z989" s="122"/>
      <c r="AA989" s="122"/>
      <c r="AB989" s="122"/>
      <c r="AC989" s="122"/>
      <c r="AD989" s="122"/>
      <c r="AE989" s="122"/>
      <c r="AF989" s="122"/>
      <c r="AG989" s="122"/>
      <c r="AH989" s="122"/>
      <c r="AI989" s="122"/>
      <c r="AJ989" s="122"/>
      <c r="AK989" s="122"/>
      <c r="AL989" s="122"/>
      <c r="AM989" s="122"/>
      <c r="AN989" s="122"/>
      <c r="AO989" s="122"/>
      <c r="AP989" s="166"/>
      <c r="AQ989" s="122"/>
      <c r="AR989" s="167"/>
      <c r="AS989" s="122"/>
      <c r="AT989" s="122"/>
      <c r="AU989" s="122"/>
      <c r="AV989" s="122"/>
      <c r="AW989" s="122"/>
      <c r="AX989" s="122"/>
      <c r="AY989" s="122"/>
      <c r="AZ989" s="122"/>
      <c r="BA989" s="122"/>
      <c r="BB989" s="122"/>
      <c r="BC989" s="122"/>
      <c r="BD989" s="122"/>
      <c r="BE989" s="122"/>
      <c r="BF989" s="122"/>
      <c r="BG989" s="122"/>
      <c r="BH989" s="122"/>
      <c r="BI989" s="122"/>
      <c r="BJ989" s="122"/>
    </row>
    <row r="990" spans="1:62">
      <c r="A990" s="122"/>
      <c r="B990" s="122"/>
      <c r="C990" s="122"/>
      <c r="D990" s="122"/>
      <c r="E990" s="122"/>
      <c r="F990" s="122"/>
      <c r="G990" s="122"/>
      <c r="H990" s="122"/>
      <c r="I990" s="122"/>
      <c r="J990" s="122"/>
      <c r="K990" s="122"/>
      <c r="L990" s="122"/>
      <c r="M990" s="122"/>
      <c r="N990" s="122"/>
      <c r="O990" s="122"/>
      <c r="P990" s="122"/>
      <c r="Q990" s="122"/>
      <c r="R990" s="122"/>
      <c r="S990" s="122"/>
      <c r="T990" s="122"/>
      <c r="U990" s="122"/>
      <c r="V990" s="122"/>
      <c r="W990" s="122"/>
      <c r="X990" s="122"/>
      <c r="Y990" s="122"/>
      <c r="Z990" s="122"/>
      <c r="AA990" s="122"/>
      <c r="AB990" s="122"/>
      <c r="AC990" s="122"/>
      <c r="AD990" s="122"/>
      <c r="AE990" s="122"/>
      <c r="AF990" s="122"/>
      <c r="AG990" s="122"/>
      <c r="AH990" s="122"/>
      <c r="AI990" s="122"/>
      <c r="AJ990" s="122"/>
      <c r="AK990" s="122"/>
      <c r="AL990" s="122"/>
      <c r="AM990" s="122"/>
      <c r="AN990" s="122"/>
      <c r="AO990" s="122"/>
      <c r="AP990" s="166"/>
      <c r="AQ990" s="122"/>
      <c r="AR990" s="167"/>
      <c r="AS990" s="122"/>
      <c r="AT990" s="122"/>
      <c r="AU990" s="122"/>
      <c r="AV990" s="122"/>
      <c r="AW990" s="122"/>
      <c r="AX990" s="122"/>
      <c r="AY990" s="122"/>
      <c r="AZ990" s="122"/>
      <c r="BA990" s="122"/>
      <c r="BB990" s="122"/>
      <c r="BC990" s="122"/>
      <c r="BD990" s="122"/>
      <c r="BE990" s="122"/>
      <c r="BF990" s="122"/>
      <c r="BG990" s="122"/>
      <c r="BH990" s="122"/>
      <c r="BI990" s="122"/>
      <c r="BJ990" s="122"/>
    </row>
    <row r="991" spans="1:62">
      <c r="A991" s="122"/>
      <c r="B991" s="122"/>
      <c r="C991" s="122"/>
      <c r="D991" s="122"/>
      <c r="E991" s="122"/>
      <c r="F991" s="122"/>
      <c r="G991" s="122"/>
      <c r="H991" s="122"/>
      <c r="I991" s="122"/>
      <c r="J991" s="122"/>
      <c r="K991" s="122"/>
      <c r="L991" s="122"/>
      <c r="M991" s="122"/>
      <c r="N991" s="122"/>
      <c r="O991" s="122"/>
      <c r="P991" s="122"/>
      <c r="Q991" s="122"/>
      <c r="R991" s="122"/>
      <c r="S991" s="122"/>
      <c r="T991" s="122"/>
      <c r="U991" s="122"/>
      <c r="V991" s="122"/>
      <c r="W991" s="122"/>
      <c r="X991" s="122"/>
      <c r="Y991" s="122"/>
      <c r="Z991" s="122"/>
      <c r="AA991" s="122"/>
      <c r="AB991" s="122"/>
      <c r="AC991" s="122"/>
      <c r="AD991" s="122"/>
      <c r="AE991" s="122"/>
      <c r="AF991" s="122"/>
      <c r="AG991" s="122"/>
      <c r="AH991" s="122"/>
      <c r="AI991" s="122"/>
      <c r="AJ991" s="122"/>
      <c r="AK991" s="122"/>
      <c r="AL991" s="122"/>
      <c r="AM991" s="122"/>
      <c r="AN991" s="122"/>
      <c r="AO991" s="122"/>
      <c r="AP991" s="166"/>
      <c r="AQ991" s="122"/>
      <c r="AR991" s="167"/>
      <c r="AS991" s="122"/>
      <c r="AT991" s="122"/>
      <c r="AU991" s="122"/>
      <c r="AV991" s="122"/>
      <c r="AW991" s="122"/>
      <c r="AX991" s="122"/>
      <c r="AY991" s="122"/>
      <c r="AZ991" s="122"/>
      <c r="BA991" s="122"/>
      <c r="BB991" s="122"/>
      <c r="BC991" s="122"/>
      <c r="BD991" s="122"/>
      <c r="BE991" s="122"/>
      <c r="BF991" s="122"/>
      <c r="BG991" s="122"/>
      <c r="BH991" s="122"/>
      <c r="BI991" s="122"/>
      <c r="BJ991" s="122"/>
    </row>
    <row r="992" spans="1:62">
      <c r="A992" s="122"/>
      <c r="B992" s="122"/>
      <c r="C992" s="122"/>
      <c r="D992" s="122"/>
      <c r="E992" s="122"/>
      <c r="F992" s="122"/>
      <c r="G992" s="122"/>
      <c r="H992" s="122"/>
      <c r="I992" s="122"/>
      <c r="J992" s="122"/>
      <c r="K992" s="122"/>
      <c r="L992" s="122"/>
      <c r="M992" s="122"/>
      <c r="N992" s="122"/>
      <c r="O992" s="122"/>
      <c r="P992" s="122"/>
      <c r="Q992" s="122"/>
      <c r="R992" s="122"/>
      <c r="S992" s="122"/>
      <c r="T992" s="122"/>
      <c r="U992" s="122"/>
      <c r="V992" s="122"/>
      <c r="W992" s="122"/>
      <c r="X992" s="122"/>
      <c r="Y992" s="122"/>
      <c r="Z992" s="122"/>
      <c r="AA992" s="122"/>
      <c r="AB992" s="122"/>
      <c r="AC992" s="122"/>
      <c r="AD992" s="122"/>
      <c r="AE992" s="122"/>
      <c r="AF992" s="122"/>
      <c r="AG992" s="122"/>
      <c r="AH992" s="122"/>
      <c r="AI992" s="122"/>
      <c r="AJ992" s="122"/>
      <c r="AK992" s="122"/>
      <c r="AL992" s="122"/>
      <c r="AM992" s="122"/>
      <c r="AN992" s="122"/>
      <c r="AO992" s="122"/>
      <c r="AP992" s="166"/>
      <c r="AQ992" s="122"/>
      <c r="AR992" s="167"/>
      <c r="AS992" s="122"/>
      <c r="AT992" s="122"/>
      <c r="AU992" s="122"/>
      <c r="AV992" s="122"/>
      <c r="AW992" s="122"/>
      <c r="AX992" s="122"/>
      <c r="AY992" s="122"/>
      <c r="AZ992" s="122"/>
      <c r="BA992" s="122"/>
      <c r="BB992" s="122"/>
      <c r="BC992" s="122"/>
      <c r="BD992" s="122"/>
      <c r="BE992" s="122"/>
      <c r="BF992" s="122"/>
      <c r="BG992" s="122"/>
      <c r="BH992" s="122"/>
      <c r="BI992" s="122"/>
      <c r="BJ992" s="122"/>
    </row>
    <row r="993" spans="1:62">
      <c r="A993" s="122"/>
      <c r="B993" s="122"/>
      <c r="C993" s="122"/>
      <c r="D993" s="122"/>
      <c r="E993" s="122"/>
      <c r="F993" s="122"/>
      <c r="G993" s="122"/>
      <c r="H993" s="122"/>
      <c r="I993" s="122"/>
      <c r="J993" s="122"/>
      <c r="K993" s="122"/>
      <c r="L993" s="122"/>
      <c r="M993" s="122"/>
      <c r="N993" s="122"/>
      <c r="O993" s="122"/>
      <c r="P993" s="122"/>
      <c r="Q993" s="122"/>
      <c r="R993" s="122"/>
      <c r="S993" s="122"/>
      <c r="T993" s="122"/>
      <c r="U993" s="122"/>
      <c r="V993" s="122"/>
      <c r="W993" s="122"/>
      <c r="X993" s="122"/>
      <c r="Y993" s="122"/>
      <c r="Z993" s="122"/>
      <c r="AA993" s="122"/>
      <c r="AB993" s="122"/>
      <c r="AC993" s="122"/>
      <c r="AD993" s="122"/>
      <c r="AE993" s="122"/>
      <c r="AF993" s="122"/>
      <c r="AG993" s="122"/>
      <c r="AH993" s="122"/>
      <c r="AI993" s="122"/>
      <c r="AJ993" s="122"/>
      <c r="AK993" s="122"/>
      <c r="AL993" s="122"/>
      <c r="AM993" s="122"/>
      <c r="AN993" s="122"/>
      <c r="AO993" s="122"/>
      <c r="AP993" s="166"/>
      <c r="AQ993" s="122"/>
      <c r="AR993" s="167"/>
      <c r="AS993" s="122"/>
      <c r="AT993" s="122"/>
      <c r="AU993" s="122"/>
      <c r="AV993" s="122"/>
      <c r="AW993" s="122"/>
      <c r="AX993" s="122"/>
      <c r="AY993" s="122"/>
      <c r="AZ993" s="122"/>
      <c r="BA993" s="122"/>
      <c r="BB993" s="122"/>
      <c r="BC993" s="122"/>
      <c r="BD993" s="122"/>
      <c r="BE993" s="122"/>
      <c r="BF993" s="122"/>
      <c r="BG993" s="122"/>
      <c r="BH993" s="122"/>
      <c r="BI993" s="122"/>
      <c r="BJ993" s="122"/>
    </row>
    <row r="994" spans="1:62">
      <c r="A994" s="122"/>
      <c r="B994" s="122"/>
      <c r="C994" s="122"/>
      <c r="D994" s="122"/>
      <c r="E994" s="122"/>
      <c r="F994" s="122"/>
      <c r="G994" s="122"/>
      <c r="H994" s="122"/>
      <c r="I994" s="122"/>
      <c r="J994" s="122"/>
      <c r="K994" s="122"/>
      <c r="L994" s="122"/>
      <c r="M994" s="122"/>
      <c r="N994" s="122"/>
      <c r="O994" s="122"/>
      <c r="P994" s="122"/>
      <c r="Q994" s="122"/>
      <c r="R994" s="122"/>
      <c r="S994" s="122"/>
      <c r="T994" s="122"/>
      <c r="U994" s="122"/>
      <c r="V994" s="122"/>
      <c r="W994" s="122"/>
      <c r="X994" s="122"/>
      <c r="Y994" s="122"/>
      <c r="Z994" s="122"/>
      <c r="AA994" s="122"/>
      <c r="AB994" s="122"/>
      <c r="AC994" s="122"/>
      <c r="AD994" s="122"/>
      <c r="AE994" s="122"/>
      <c r="AF994" s="122"/>
      <c r="AG994" s="122"/>
      <c r="AH994" s="122"/>
      <c r="AI994" s="122"/>
      <c r="AJ994" s="122"/>
      <c r="AK994" s="122"/>
      <c r="AL994" s="122"/>
      <c r="AM994" s="122"/>
      <c r="AN994" s="122"/>
      <c r="AO994" s="122"/>
      <c r="AP994" s="166"/>
      <c r="AQ994" s="122"/>
      <c r="AR994" s="167"/>
      <c r="AS994" s="122"/>
      <c r="AT994" s="122"/>
      <c r="AU994" s="122"/>
      <c r="AV994" s="122"/>
      <c r="AW994" s="122"/>
      <c r="AX994" s="122"/>
      <c r="AY994" s="122"/>
      <c r="AZ994" s="122"/>
      <c r="BA994" s="122"/>
      <c r="BB994" s="122"/>
      <c r="BC994" s="122"/>
      <c r="BD994" s="122"/>
      <c r="BE994" s="122"/>
      <c r="BF994" s="122"/>
      <c r="BG994" s="122"/>
      <c r="BH994" s="122"/>
      <c r="BI994" s="122"/>
      <c r="BJ994" s="122"/>
    </row>
    <row r="995" spans="1:62">
      <c r="A995" s="122"/>
      <c r="B995" s="122"/>
      <c r="C995" s="122"/>
      <c r="D995" s="122"/>
      <c r="E995" s="122"/>
      <c r="F995" s="122"/>
      <c r="G995" s="122"/>
      <c r="H995" s="122"/>
      <c r="I995" s="122"/>
      <c r="J995" s="122"/>
      <c r="K995" s="122"/>
      <c r="L995" s="122"/>
      <c r="M995" s="122"/>
      <c r="N995" s="122"/>
      <c r="O995" s="122"/>
      <c r="P995" s="122"/>
      <c r="Q995" s="122"/>
      <c r="R995" s="122"/>
      <c r="S995" s="122"/>
      <c r="T995" s="122"/>
      <c r="U995" s="122"/>
      <c r="V995" s="122"/>
      <c r="W995" s="122"/>
      <c r="X995" s="122"/>
      <c r="Y995" s="122"/>
      <c r="Z995" s="122"/>
      <c r="AA995" s="122"/>
      <c r="AB995" s="122"/>
      <c r="AC995" s="122"/>
      <c r="AD995" s="122"/>
      <c r="AE995" s="122"/>
      <c r="AF995" s="122"/>
      <c r="AG995" s="122"/>
      <c r="AH995" s="122"/>
      <c r="AI995" s="122"/>
      <c r="AJ995" s="122"/>
      <c r="AK995" s="122"/>
      <c r="AL995" s="122"/>
      <c r="AM995" s="122"/>
      <c r="AN995" s="122"/>
      <c r="AO995" s="122"/>
      <c r="AP995" s="166"/>
      <c r="AQ995" s="122"/>
      <c r="AR995" s="167"/>
      <c r="AS995" s="122"/>
      <c r="AT995" s="122"/>
      <c r="AU995" s="122"/>
      <c r="AV995" s="122"/>
      <c r="AW995" s="122"/>
      <c r="AX995" s="122"/>
      <c r="AY995" s="122"/>
      <c r="AZ995" s="122"/>
      <c r="BA995" s="122"/>
      <c r="BB995" s="122"/>
      <c r="BC995" s="122"/>
      <c r="BD995" s="122"/>
      <c r="BE995" s="122"/>
      <c r="BF995" s="122"/>
      <c r="BG995" s="122"/>
      <c r="BH995" s="122"/>
      <c r="BI995" s="122"/>
      <c r="BJ995" s="122"/>
    </row>
    <row r="996" spans="1:62">
      <c r="A996" s="122"/>
      <c r="B996" s="122"/>
      <c r="C996" s="122"/>
      <c r="D996" s="122"/>
      <c r="E996" s="122"/>
      <c r="F996" s="122"/>
      <c r="G996" s="122"/>
      <c r="H996" s="122"/>
      <c r="I996" s="122"/>
      <c r="J996" s="122"/>
      <c r="K996" s="122"/>
      <c r="L996" s="122"/>
      <c r="M996" s="122"/>
      <c r="N996" s="122"/>
      <c r="O996" s="122"/>
      <c r="P996" s="122"/>
      <c r="Q996" s="122"/>
      <c r="R996" s="122"/>
      <c r="S996" s="122"/>
      <c r="T996" s="122"/>
      <c r="U996" s="122"/>
      <c r="V996" s="122"/>
      <c r="W996" s="122"/>
      <c r="X996" s="122"/>
      <c r="Y996" s="122"/>
      <c r="Z996" s="122"/>
      <c r="AA996" s="122"/>
      <c r="AB996" s="122"/>
      <c r="AC996" s="122"/>
      <c r="AD996" s="122"/>
      <c r="AE996" s="122"/>
      <c r="AF996" s="122"/>
      <c r="AG996" s="122"/>
      <c r="AH996" s="122"/>
      <c r="AI996" s="122"/>
      <c r="AJ996" s="122"/>
      <c r="AK996" s="122"/>
      <c r="AL996" s="122"/>
      <c r="AM996" s="122"/>
      <c r="AN996" s="122"/>
      <c r="AO996" s="122"/>
      <c r="AP996" s="166"/>
      <c r="AQ996" s="122"/>
      <c r="AR996" s="167"/>
      <c r="AS996" s="122"/>
      <c r="AT996" s="122"/>
      <c r="AU996" s="122"/>
      <c r="AV996" s="122"/>
      <c r="AW996" s="122"/>
      <c r="AX996" s="122"/>
      <c r="AY996" s="122"/>
      <c r="AZ996" s="122"/>
      <c r="BA996" s="122"/>
      <c r="BB996" s="122"/>
      <c r="BC996" s="122"/>
      <c r="BD996" s="122"/>
      <c r="BE996" s="122"/>
      <c r="BF996" s="122"/>
      <c r="BG996" s="122"/>
      <c r="BH996" s="122"/>
      <c r="BI996" s="122"/>
      <c r="BJ996" s="122"/>
    </row>
    <row r="997" spans="1:62">
      <c r="A997" s="122"/>
      <c r="B997" s="122"/>
      <c r="C997" s="122"/>
      <c r="D997" s="122"/>
      <c r="E997" s="122"/>
      <c r="F997" s="122"/>
      <c r="G997" s="122"/>
      <c r="H997" s="122"/>
      <c r="I997" s="122"/>
      <c r="J997" s="122"/>
      <c r="K997" s="122"/>
      <c r="L997" s="122"/>
      <c r="M997" s="122"/>
      <c r="N997" s="122"/>
      <c r="O997" s="122"/>
      <c r="P997" s="122"/>
      <c r="Q997" s="122"/>
      <c r="R997" s="122"/>
      <c r="S997" s="122"/>
      <c r="T997" s="122"/>
      <c r="U997" s="122"/>
      <c r="V997" s="122"/>
      <c r="W997" s="122"/>
      <c r="X997" s="122"/>
      <c r="Y997" s="122"/>
      <c r="Z997" s="122"/>
      <c r="AA997" s="122"/>
      <c r="AB997" s="122"/>
      <c r="AC997" s="122"/>
      <c r="AD997" s="122"/>
      <c r="AE997" s="122"/>
      <c r="AF997" s="122"/>
      <c r="AG997" s="122"/>
      <c r="AH997" s="122"/>
      <c r="AI997" s="122"/>
      <c r="AJ997" s="122"/>
      <c r="AK997" s="122"/>
      <c r="AL997" s="122"/>
      <c r="AM997" s="122"/>
      <c r="AN997" s="122"/>
      <c r="AO997" s="122"/>
      <c r="AP997" s="166"/>
      <c r="AQ997" s="122"/>
      <c r="AR997" s="167"/>
      <c r="AS997" s="122"/>
      <c r="AT997" s="122"/>
      <c r="AU997" s="122"/>
      <c r="AV997" s="122"/>
      <c r="AW997" s="122"/>
      <c r="AX997" s="122"/>
      <c r="AY997" s="122"/>
      <c r="AZ997" s="122"/>
      <c r="BA997" s="122"/>
      <c r="BB997" s="122"/>
      <c r="BC997" s="122"/>
      <c r="BD997" s="122"/>
      <c r="BE997" s="122"/>
      <c r="BF997" s="122"/>
      <c r="BG997" s="122"/>
      <c r="BH997" s="122"/>
      <c r="BI997" s="122"/>
      <c r="BJ997" s="122"/>
    </row>
    <row r="998" spans="1:62">
      <c r="A998" s="122"/>
      <c r="B998" s="122"/>
      <c r="C998" s="122"/>
      <c r="D998" s="122"/>
      <c r="E998" s="122"/>
      <c r="F998" s="122"/>
      <c r="G998" s="122"/>
      <c r="H998" s="122"/>
      <c r="I998" s="122"/>
      <c r="J998" s="122"/>
      <c r="K998" s="122"/>
      <c r="L998" s="122"/>
      <c r="M998" s="122"/>
      <c r="N998" s="122"/>
      <c r="O998" s="122"/>
      <c r="P998" s="122"/>
      <c r="Q998" s="122"/>
      <c r="R998" s="122"/>
      <c r="S998" s="122"/>
      <c r="T998" s="122"/>
      <c r="U998" s="122"/>
      <c r="V998" s="122"/>
      <c r="W998" s="122"/>
      <c r="X998" s="122"/>
      <c r="Y998" s="122"/>
      <c r="Z998" s="122"/>
      <c r="AA998" s="122"/>
      <c r="AB998" s="122"/>
      <c r="AC998" s="122"/>
      <c r="AD998" s="122"/>
      <c r="AE998" s="122"/>
      <c r="AF998" s="122"/>
      <c r="AG998" s="122"/>
      <c r="AH998" s="122"/>
      <c r="AI998" s="122"/>
      <c r="AJ998" s="122"/>
      <c r="AK998" s="122"/>
      <c r="AL998" s="122"/>
      <c r="AM998" s="122"/>
      <c r="AN998" s="122"/>
      <c r="AO998" s="122"/>
      <c r="AP998" s="166"/>
      <c r="AQ998" s="122"/>
      <c r="AR998" s="167"/>
      <c r="AS998" s="122"/>
      <c r="AT998" s="122"/>
      <c r="AU998" s="122"/>
      <c r="AV998" s="122"/>
      <c r="AW998" s="122"/>
      <c r="AX998" s="122"/>
      <c r="AY998" s="122"/>
      <c r="AZ998" s="122"/>
      <c r="BA998" s="122"/>
      <c r="BB998" s="122"/>
      <c r="BC998" s="122"/>
      <c r="BD998" s="122"/>
      <c r="BE998" s="122"/>
      <c r="BF998" s="122"/>
      <c r="BG998" s="122"/>
      <c r="BH998" s="122"/>
      <c r="BI998" s="122"/>
      <c r="BJ998" s="122"/>
    </row>
    <row r="999" spans="1:62">
      <c r="A999" s="122"/>
      <c r="B999" s="122"/>
      <c r="C999" s="122"/>
      <c r="D999" s="122"/>
      <c r="E999" s="122"/>
      <c r="F999" s="122"/>
      <c r="G999" s="122"/>
      <c r="H999" s="122"/>
      <c r="I999" s="122"/>
      <c r="J999" s="122"/>
      <c r="K999" s="122"/>
      <c r="L999" s="122"/>
      <c r="M999" s="122"/>
      <c r="N999" s="122"/>
      <c r="O999" s="122"/>
      <c r="P999" s="122"/>
      <c r="Q999" s="122"/>
      <c r="R999" s="122"/>
      <c r="S999" s="122"/>
      <c r="T999" s="122"/>
      <c r="U999" s="122"/>
      <c r="V999" s="122"/>
      <c r="W999" s="122"/>
      <c r="X999" s="122"/>
      <c r="Y999" s="122"/>
      <c r="Z999" s="122"/>
      <c r="AA999" s="122"/>
      <c r="AB999" s="122"/>
      <c r="AC999" s="122"/>
      <c r="AD999" s="122"/>
      <c r="AE999" s="122"/>
      <c r="AF999" s="122"/>
      <c r="AG999" s="122"/>
      <c r="AH999" s="122"/>
      <c r="AI999" s="122"/>
      <c r="AJ999" s="122"/>
      <c r="AK999" s="122"/>
      <c r="AL999" s="122"/>
      <c r="AM999" s="122"/>
      <c r="AN999" s="122"/>
      <c r="AO999" s="122"/>
      <c r="AP999" s="166"/>
      <c r="AQ999" s="122"/>
      <c r="AR999" s="167"/>
      <c r="AS999" s="122"/>
      <c r="AT999" s="122"/>
      <c r="AU999" s="122"/>
      <c r="AV999" s="122"/>
      <c r="AW999" s="122"/>
      <c r="AX999" s="122"/>
      <c r="AY999" s="122"/>
      <c r="AZ999" s="122"/>
      <c r="BA999" s="122"/>
      <c r="BB999" s="122"/>
      <c r="BC999" s="122"/>
      <c r="BD999" s="122"/>
      <c r="BE999" s="122"/>
      <c r="BF999" s="122"/>
      <c r="BG999" s="122"/>
      <c r="BH999" s="122"/>
      <c r="BI999" s="122"/>
      <c r="BJ999" s="122"/>
    </row>
    <row r="1000" spans="1:62">
      <c r="A1000" s="122"/>
      <c r="B1000" s="122"/>
      <c r="C1000" s="122"/>
      <c r="D1000" s="122"/>
      <c r="E1000" s="122"/>
      <c r="F1000" s="122"/>
      <c r="G1000" s="122"/>
      <c r="H1000" s="122"/>
      <c r="I1000" s="122"/>
      <c r="J1000" s="122"/>
      <c r="K1000" s="122"/>
      <c r="L1000" s="122"/>
      <c r="M1000" s="122"/>
      <c r="N1000" s="122"/>
      <c r="O1000" s="122"/>
      <c r="P1000" s="122"/>
      <c r="Q1000" s="122"/>
      <c r="R1000" s="122"/>
      <c r="S1000" s="122"/>
      <c r="T1000" s="122"/>
      <c r="U1000" s="122"/>
      <c r="V1000" s="122"/>
      <c r="W1000" s="122"/>
      <c r="X1000" s="122"/>
      <c r="Y1000" s="122"/>
      <c r="Z1000" s="122"/>
      <c r="AA1000" s="122"/>
      <c r="AB1000" s="122"/>
      <c r="AC1000" s="122"/>
      <c r="AD1000" s="122"/>
      <c r="AE1000" s="122"/>
      <c r="AF1000" s="122"/>
      <c r="AG1000" s="122"/>
      <c r="AH1000" s="122"/>
      <c r="AI1000" s="122"/>
      <c r="AJ1000" s="122"/>
      <c r="AK1000" s="122"/>
      <c r="AL1000" s="122"/>
      <c r="AM1000" s="122"/>
      <c r="AN1000" s="122"/>
      <c r="AO1000" s="122"/>
      <c r="AP1000" s="166"/>
      <c r="AQ1000" s="122"/>
      <c r="AR1000" s="167"/>
      <c r="AS1000" s="122"/>
      <c r="AT1000" s="122"/>
      <c r="AU1000" s="122"/>
      <c r="AV1000" s="122"/>
      <c r="AW1000" s="122"/>
      <c r="AX1000" s="122"/>
      <c r="AY1000" s="122"/>
      <c r="AZ1000" s="122"/>
      <c r="BA1000" s="122"/>
      <c r="BB1000" s="122"/>
      <c r="BC1000" s="122"/>
      <c r="BD1000" s="122"/>
      <c r="BE1000" s="122"/>
      <c r="BF1000" s="122"/>
      <c r="BG1000" s="122"/>
      <c r="BH1000" s="122"/>
      <c r="BI1000" s="122"/>
      <c r="BJ1000" s="122"/>
    </row>
    <row r="1001" spans="1:62">
      <c r="A1001" s="122"/>
      <c r="B1001" s="122"/>
      <c r="C1001" s="122"/>
      <c r="D1001" s="122"/>
      <c r="E1001" s="122"/>
      <c r="F1001" s="122"/>
      <c r="G1001" s="122"/>
      <c r="H1001" s="122"/>
      <c r="I1001" s="122"/>
      <c r="J1001" s="122"/>
      <c r="K1001" s="122"/>
      <c r="L1001" s="122"/>
      <c r="M1001" s="122"/>
      <c r="N1001" s="122"/>
      <c r="O1001" s="122"/>
      <c r="P1001" s="122"/>
      <c r="Q1001" s="122"/>
      <c r="R1001" s="122"/>
      <c r="S1001" s="122"/>
      <c r="T1001" s="122"/>
      <c r="U1001" s="122"/>
      <c r="V1001" s="122"/>
      <c r="W1001" s="122"/>
      <c r="X1001" s="122"/>
      <c r="Y1001" s="122"/>
      <c r="Z1001" s="122"/>
      <c r="AA1001" s="122"/>
      <c r="AB1001" s="122"/>
      <c r="AC1001" s="122"/>
      <c r="AD1001" s="122"/>
      <c r="AE1001" s="122"/>
      <c r="AF1001" s="122"/>
      <c r="AG1001" s="122"/>
      <c r="AH1001" s="122"/>
      <c r="AI1001" s="122"/>
      <c r="AJ1001" s="122"/>
      <c r="AK1001" s="122"/>
      <c r="AL1001" s="122"/>
      <c r="AM1001" s="122"/>
      <c r="AN1001" s="122"/>
      <c r="AO1001" s="122"/>
      <c r="AP1001" s="166"/>
      <c r="AQ1001" s="122"/>
      <c r="AR1001" s="167"/>
      <c r="AS1001" s="122"/>
      <c r="AT1001" s="122"/>
      <c r="AU1001" s="122"/>
      <c r="AV1001" s="122"/>
      <c r="AW1001" s="122"/>
      <c r="AX1001" s="122"/>
      <c r="AY1001" s="122"/>
      <c r="AZ1001" s="122"/>
      <c r="BA1001" s="122"/>
      <c r="BB1001" s="122"/>
      <c r="BC1001" s="122"/>
      <c r="BD1001" s="122"/>
      <c r="BE1001" s="122"/>
      <c r="BF1001" s="122"/>
      <c r="BG1001" s="122"/>
      <c r="BH1001" s="122"/>
      <c r="BI1001" s="122"/>
      <c r="BJ1001" s="122"/>
    </row>
    <row r="1002" spans="1:62">
      <c r="A1002" s="122"/>
      <c r="B1002" s="122"/>
      <c r="C1002" s="122"/>
      <c r="D1002" s="122"/>
      <c r="E1002" s="122"/>
      <c r="F1002" s="122"/>
      <c r="G1002" s="122"/>
      <c r="H1002" s="122"/>
      <c r="I1002" s="122"/>
      <c r="J1002" s="122"/>
      <c r="K1002" s="122"/>
      <c r="L1002" s="122"/>
      <c r="M1002" s="122"/>
      <c r="N1002" s="122"/>
      <c r="O1002" s="122"/>
      <c r="P1002" s="122"/>
      <c r="Q1002" s="122"/>
      <c r="R1002" s="122"/>
      <c r="S1002" s="122"/>
      <c r="T1002" s="122"/>
      <c r="U1002" s="122"/>
      <c r="V1002" s="122"/>
      <c r="W1002" s="122"/>
      <c r="X1002" s="122"/>
      <c r="Y1002" s="122"/>
      <c r="Z1002" s="122"/>
      <c r="AA1002" s="122"/>
      <c r="AB1002" s="122"/>
      <c r="AC1002" s="122"/>
      <c r="AD1002" s="122"/>
      <c r="AE1002" s="122"/>
      <c r="AF1002" s="122"/>
      <c r="AG1002" s="122"/>
      <c r="AH1002" s="122"/>
      <c r="AI1002" s="122"/>
      <c r="AJ1002" s="122"/>
      <c r="AK1002" s="122"/>
      <c r="AL1002" s="122"/>
      <c r="AM1002" s="122"/>
      <c r="AN1002" s="122"/>
      <c r="AO1002" s="122"/>
      <c r="AP1002" s="166"/>
      <c r="AQ1002" s="122"/>
      <c r="AR1002" s="167"/>
      <c r="AS1002" s="122"/>
      <c r="AT1002" s="122"/>
      <c r="AU1002" s="122"/>
      <c r="AV1002" s="122"/>
      <c r="AW1002" s="122"/>
      <c r="AX1002" s="122"/>
      <c r="AY1002" s="122"/>
      <c r="AZ1002" s="122"/>
      <c r="BA1002" s="122"/>
      <c r="BB1002" s="122"/>
      <c r="BC1002" s="122"/>
      <c r="BD1002" s="122"/>
      <c r="BE1002" s="122"/>
      <c r="BF1002" s="122"/>
      <c r="BG1002" s="122"/>
      <c r="BH1002" s="122"/>
      <c r="BI1002" s="122"/>
      <c r="BJ1002" s="122"/>
    </row>
    <row r="1003" spans="1:62">
      <c r="A1003" s="122"/>
      <c r="B1003" s="122"/>
      <c r="C1003" s="122"/>
      <c r="D1003" s="122"/>
      <c r="E1003" s="122"/>
      <c r="F1003" s="122"/>
      <c r="G1003" s="122"/>
      <c r="H1003" s="122"/>
      <c r="I1003" s="122"/>
      <c r="J1003" s="122"/>
      <c r="K1003" s="122"/>
      <c r="L1003" s="122"/>
      <c r="M1003" s="122"/>
      <c r="N1003" s="122"/>
      <c r="O1003" s="122"/>
      <c r="P1003" s="122"/>
      <c r="Q1003" s="122"/>
      <c r="R1003" s="122"/>
      <c r="S1003" s="122"/>
      <c r="T1003" s="122"/>
      <c r="U1003" s="122"/>
      <c r="V1003" s="122"/>
      <c r="W1003" s="122"/>
      <c r="X1003" s="122"/>
      <c r="Y1003" s="122"/>
      <c r="Z1003" s="122"/>
      <c r="AA1003" s="122"/>
      <c r="AB1003" s="122"/>
      <c r="AC1003" s="122"/>
      <c r="AD1003" s="122"/>
      <c r="AE1003" s="122"/>
      <c r="AF1003" s="122"/>
      <c r="AG1003" s="122"/>
      <c r="AH1003" s="122"/>
      <c r="AI1003" s="122"/>
      <c r="AJ1003" s="122"/>
      <c r="AK1003" s="122"/>
      <c r="AL1003" s="122"/>
      <c r="AM1003" s="122"/>
      <c r="AN1003" s="122"/>
      <c r="AO1003" s="122"/>
      <c r="AP1003" s="166"/>
      <c r="AQ1003" s="122"/>
      <c r="AR1003" s="167"/>
      <c r="AS1003" s="122"/>
      <c r="AT1003" s="122"/>
      <c r="AU1003" s="122"/>
      <c r="AV1003" s="122"/>
      <c r="AW1003" s="122"/>
      <c r="AX1003" s="122"/>
      <c r="AY1003" s="122"/>
      <c r="AZ1003" s="122"/>
      <c r="BA1003" s="122"/>
      <c r="BB1003" s="122"/>
      <c r="BC1003" s="122"/>
      <c r="BD1003" s="122"/>
      <c r="BE1003" s="122"/>
      <c r="BF1003" s="122"/>
      <c r="BG1003" s="122"/>
      <c r="BH1003" s="122"/>
      <c r="BI1003" s="122"/>
      <c r="BJ1003" s="122"/>
    </row>
    <row r="1004" spans="1:62">
      <c r="A1004" s="122"/>
      <c r="B1004" s="122"/>
      <c r="C1004" s="122"/>
      <c r="D1004" s="122"/>
      <c r="E1004" s="122"/>
      <c r="F1004" s="122"/>
      <c r="G1004" s="122"/>
      <c r="H1004" s="122"/>
      <c r="I1004" s="122"/>
      <c r="J1004" s="122"/>
      <c r="K1004" s="122"/>
      <c r="L1004" s="122"/>
      <c r="M1004" s="122"/>
      <c r="N1004" s="122"/>
      <c r="O1004" s="122"/>
      <c r="P1004" s="122"/>
      <c r="Q1004" s="122"/>
      <c r="R1004" s="122"/>
      <c r="S1004" s="122"/>
      <c r="T1004" s="122"/>
      <c r="U1004" s="122"/>
      <c r="V1004" s="122"/>
      <c r="W1004" s="122"/>
      <c r="X1004" s="122"/>
      <c r="Y1004" s="122"/>
      <c r="Z1004" s="122"/>
      <c r="AA1004" s="122"/>
      <c r="AB1004" s="122"/>
      <c r="AC1004" s="122"/>
      <c r="AD1004" s="122"/>
      <c r="AE1004" s="122"/>
      <c r="AF1004" s="122"/>
      <c r="AG1004" s="122"/>
      <c r="AH1004" s="122"/>
      <c r="AI1004" s="122"/>
      <c r="AJ1004" s="122"/>
      <c r="AK1004" s="122"/>
      <c r="AL1004" s="122"/>
      <c r="AM1004" s="122"/>
      <c r="AN1004" s="122"/>
      <c r="AO1004" s="122"/>
      <c r="AP1004" s="166"/>
      <c r="AQ1004" s="122"/>
      <c r="AR1004" s="167"/>
      <c r="AS1004" s="122"/>
      <c r="AT1004" s="122"/>
      <c r="AU1004" s="122"/>
      <c r="AV1004" s="122"/>
      <c r="AW1004" s="122"/>
      <c r="AX1004" s="122"/>
      <c r="AY1004" s="122"/>
      <c r="AZ1004" s="122"/>
      <c r="BA1004" s="122"/>
      <c r="BB1004" s="122"/>
      <c r="BC1004" s="122"/>
      <c r="BD1004" s="122"/>
      <c r="BE1004" s="122"/>
      <c r="BF1004" s="122"/>
      <c r="BG1004" s="122"/>
      <c r="BH1004" s="122"/>
      <c r="BI1004" s="122"/>
      <c r="BJ1004" s="122"/>
    </row>
    <row r="1005" spans="1:62">
      <c r="A1005" s="122"/>
      <c r="B1005" s="122"/>
      <c r="C1005" s="122"/>
      <c r="D1005" s="122"/>
      <c r="E1005" s="122"/>
      <c r="F1005" s="122"/>
      <c r="G1005" s="122"/>
      <c r="H1005" s="122"/>
      <c r="I1005" s="122"/>
      <c r="J1005" s="122"/>
      <c r="K1005" s="122"/>
      <c r="L1005" s="122"/>
      <c r="M1005" s="122"/>
      <c r="N1005" s="122"/>
      <c r="O1005" s="122"/>
      <c r="P1005" s="122"/>
      <c r="Q1005" s="122"/>
      <c r="R1005" s="122"/>
      <c r="S1005" s="122"/>
      <c r="T1005" s="122"/>
      <c r="U1005" s="122"/>
      <c r="V1005" s="122"/>
      <c r="W1005" s="122"/>
      <c r="X1005" s="122"/>
      <c r="Y1005" s="122"/>
      <c r="Z1005" s="122"/>
      <c r="AA1005" s="122"/>
      <c r="AB1005" s="122"/>
      <c r="AC1005" s="122"/>
      <c r="AD1005" s="122"/>
      <c r="AE1005" s="122"/>
      <c r="AF1005" s="122"/>
      <c r="AG1005" s="122"/>
      <c r="AH1005" s="122"/>
      <c r="AI1005" s="122"/>
      <c r="AJ1005" s="122"/>
      <c r="AK1005" s="122"/>
      <c r="AL1005" s="122"/>
      <c r="AM1005" s="122"/>
      <c r="AN1005" s="122"/>
      <c r="AO1005" s="122"/>
      <c r="AP1005" s="166"/>
      <c r="AQ1005" s="122"/>
      <c r="AR1005" s="167"/>
      <c r="AS1005" s="122"/>
      <c r="AT1005" s="122"/>
      <c r="AU1005" s="122"/>
      <c r="AV1005" s="122"/>
      <c r="AW1005" s="122"/>
      <c r="AX1005" s="122"/>
      <c r="AY1005" s="122"/>
      <c r="AZ1005" s="122"/>
      <c r="BA1005" s="122"/>
      <c r="BB1005" s="122"/>
      <c r="BC1005" s="122"/>
      <c r="BD1005" s="122"/>
      <c r="BE1005" s="122"/>
      <c r="BF1005" s="122"/>
      <c r="BG1005" s="122"/>
      <c r="BH1005" s="122"/>
      <c r="BI1005" s="122"/>
      <c r="BJ1005" s="122"/>
    </row>
    <row r="1006" spans="1:62">
      <c r="A1006" s="122"/>
      <c r="B1006" s="122"/>
      <c r="C1006" s="122"/>
      <c r="D1006" s="122"/>
      <c r="E1006" s="122"/>
      <c r="F1006" s="122"/>
      <c r="G1006" s="122"/>
      <c r="H1006" s="122"/>
      <c r="I1006" s="122"/>
      <c r="J1006" s="122"/>
      <c r="K1006" s="122"/>
      <c r="L1006" s="122"/>
      <c r="M1006" s="122"/>
      <c r="N1006" s="122"/>
      <c r="O1006" s="122"/>
      <c r="P1006" s="122"/>
      <c r="Q1006" s="122"/>
      <c r="R1006" s="122"/>
      <c r="S1006" s="122"/>
      <c r="T1006" s="122"/>
      <c r="U1006" s="122"/>
      <c r="V1006" s="122"/>
      <c r="W1006" s="122"/>
      <c r="X1006" s="122"/>
      <c r="Y1006" s="122"/>
      <c r="Z1006" s="122"/>
      <c r="AA1006" s="122"/>
      <c r="AB1006" s="122"/>
      <c r="AC1006" s="122"/>
      <c r="AD1006" s="122"/>
      <c r="AE1006" s="122"/>
      <c r="AF1006" s="122"/>
      <c r="AG1006" s="122"/>
      <c r="AH1006" s="122"/>
      <c r="AI1006" s="122"/>
      <c r="AJ1006" s="122"/>
      <c r="AK1006" s="122"/>
      <c r="AL1006" s="122"/>
      <c r="AM1006" s="122"/>
      <c r="AN1006" s="122"/>
      <c r="AO1006" s="122"/>
      <c r="AP1006" s="166"/>
      <c r="AQ1006" s="122"/>
      <c r="AR1006" s="167"/>
      <c r="AS1006" s="122"/>
      <c r="AT1006" s="122"/>
      <c r="AU1006" s="122"/>
      <c r="AV1006" s="122"/>
      <c r="AW1006" s="122"/>
      <c r="AX1006" s="122"/>
      <c r="AY1006" s="122"/>
      <c r="AZ1006" s="122"/>
      <c r="BA1006" s="122"/>
      <c r="BB1006" s="122"/>
      <c r="BC1006" s="122"/>
      <c r="BD1006" s="122"/>
      <c r="BE1006" s="122"/>
      <c r="BF1006" s="122"/>
      <c r="BG1006" s="122"/>
      <c r="BH1006" s="122"/>
      <c r="BI1006" s="122"/>
      <c r="BJ1006" s="122"/>
    </row>
    <row r="1007" spans="1:62">
      <c r="A1007" s="122"/>
      <c r="B1007" s="122"/>
      <c r="C1007" s="122"/>
      <c r="D1007" s="122"/>
      <c r="E1007" s="122"/>
      <c r="F1007" s="122"/>
      <c r="G1007" s="122"/>
      <c r="H1007" s="122"/>
      <c r="I1007" s="122"/>
      <c r="J1007" s="122"/>
      <c r="K1007" s="122"/>
      <c r="L1007" s="122"/>
      <c r="M1007" s="122"/>
      <c r="N1007" s="122"/>
      <c r="O1007" s="122"/>
      <c r="P1007" s="122"/>
      <c r="Q1007" s="122"/>
      <c r="R1007" s="122"/>
      <c r="S1007" s="122"/>
      <c r="T1007" s="122"/>
      <c r="U1007" s="122"/>
      <c r="V1007" s="122"/>
      <c r="W1007" s="122"/>
      <c r="X1007" s="122"/>
      <c r="Y1007" s="122"/>
      <c r="Z1007" s="122"/>
      <c r="AA1007" s="122"/>
      <c r="AB1007" s="122"/>
      <c r="AC1007" s="122"/>
      <c r="AD1007" s="122"/>
      <c r="AE1007" s="122"/>
      <c r="AF1007" s="122"/>
      <c r="AG1007" s="122"/>
      <c r="AH1007" s="122"/>
      <c r="AI1007" s="122"/>
      <c r="AJ1007" s="122"/>
      <c r="AK1007" s="122"/>
      <c r="AL1007" s="122"/>
      <c r="AM1007" s="122"/>
      <c r="AN1007" s="122"/>
      <c r="AO1007" s="122"/>
      <c r="AP1007" s="166"/>
      <c r="AQ1007" s="122"/>
      <c r="AR1007" s="167"/>
      <c r="AS1007" s="122"/>
      <c r="AT1007" s="122"/>
      <c r="AU1007" s="122"/>
      <c r="AV1007" s="122"/>
      <c r="AW1007" s="122"/>
      <c r="AX1007" s="122"/>
      <c r="AY1007" s="122"/>
      <c r="AZ1007" s="122"/>
      <c r="BA1007" s="122"/>
      <c r="BB1007" s="122"/>
      <c r="BC1007" s="122"/>
      <c r="BD1007" s="122"/>
      <c r="BE1007" s="122"/>
      <c r="BF1007" s="122"/>
      <c r="BG1007" s="122"/>
      <c r="BH1007" s="122"/>
      <c r="BI1007" s="122"/>
      <c r="BJ1007" s="122"/>
    </row>
    <row r="1008" spans="1:62">
      <c r="A1008" s="122"/>
      <c r="B1008" s="122"/>
      <c r="C1008" s="122"/>
      <c r="D1008" s="122"/>
      <c r="E1008" s="122"/>
      <c r="F1008" s="122"/>
      <c r="G1008" s="122"/>
      <c r="H1008" s="122"/>
      <c r="I1008" s="122"/>
      <c r="J1008" s="122"/>
      <c r="K1008" s="122"/>
      <c r="L1008" s="122"/>
      <c r="M1008" s="122"/>
      <c r="N1008" s="122"/>
      <c r="O1008" s="122"/>
      <c r="P1008" s="122"/>
      <c r="Q1008" s="122"/>
      <c r="R1008" s="122"/>
      <c r="S1008" s="122"/>
      <c r="T1008" s="122"/>
      <c r="U1008" s="122"/>
      <c r="V1008" s="122"/>
      <c r="W1008" s="122"/>
      <c r="X1008" s="122"/>
      <c r="Y1008" s="122"/>
      <c r="Z1008" s="122"/>
      <c r="AA1008" s="122"/>
      <c r="AB1008" s="122"/>
      <c r="AC1008" s="122"/>
      <c r="AD1008" s="122"/>
      <c r="AE1008" s="122"/>
      <c r="AF1008" s="122"/>
      <c r="AG1008" s="122"/>
      <c r="AH1008" s="122"/>
      <c r="AI1008" s="122"/>
      <c r="AJ1008" s="122"/>
      <c r="AK1008" s="122"/>
      <c r="AL1008" s="122"/>
      <c r="AM1008" s="122"/>
      <c r="AN1008" s="122"/>
      <c r="AO1008" s="122"/>
      <c r="AP1008" s="166"/>
      <c r="AQ1008" s="122"/>
      <c r="AR1008" s="167"/>
      <c r="AS1008" s="122"/>
      <c r="AT1008" s="122"/>
      <c r="AU1008" s="122"/>
      <c r="AV1008" s="122"/>
      <c r="AW1008" s="122"/>
      <c r="AX1008" s="122"/>
      <c r="AY1008" s="122"/>
      <c r="AZ1008" s="122"/>
      <c r="BA1008" s="122"/>
      <c r="BB1008" s="122"/>
      <c r="BC1008" s="122"/>
      <c r="BD1008" s="122"/>
      <c r="BE1008" s="122"/>
      <c r="BF1008" s="122"/>
      <c r="BG1008" s="122"/>
      <c r="BH1008" s="122"/>
      <c r="BI1008" s="122"/>
      <c r="BJ1008" s="122"/>
    </row>
    <row r="1009" spans="1:62">
      <c r="A1009" s="122"/>
      <c r="B1009" s="122"/>
      <c r="C1009" s="122"/>
      <c r="D1009" s="122"/>
      <c r="E1009" s="122"/>
      <c r="F1009" s="122"/>
      <c r="G1009" s="122"/>
      <c r="H1009" s="122"/>
      <c r="I1009" s="122"/>
      <c r="J1009" s="122"/>
      <c r="K1009" s="122"/>
      <c r="L1009" s="122"/>
      <c r="M1009" s="122"/>
      <c r="N1009" s="122"/>
      <c r="O1009" s="122"/>
      <c r="P1009" s="122"/>
      <c r="Q1009" s="122"/>
      <c r="R1009" s="122"/>
      <c r="S1009" s="122"/>
      <c r="T1009" s="122"/>
      <c r="U1009" s="122"/>
      <c r="V1009" s="122"/>
      <c r="W1009" s="122"/>
      <c r="X1009" s="122"/>
      <c r="Y1009" s="122"/>
      <c r="Z1009" s="122"/>
      <c r="AA1009" s="122"/>
      <c r="AB1009" s="122"/>
      <c r="AC1009" s="122"/>
      <c r="AD1009" s="122"/>
      <c r="AE1009" s="122"/>
      <c r="AF1009" s="122"/>
      <c r="AG1009" s="122"/>
      <c r="AH1009" s="122"/>
      <c r="AI1009" s="122"/>
      <c r="AJ1009" s="122"/>
      <c r="AK1009" s="122"/>
      <c r="AL1009" s="122"/>
      <c r="AM1009" s="122"/>
      <c r="AN1009" s="122"/>
      <c r="AO1009" s="122"/>
      <c r="AP1009" s="166"/>
      <c r="AQ1009" s="122"/>
      <c r="AR1009" s="167"/>
      <c r="AS1009" s="122"/>
      <c r="AT1009" s="122"/>
      <c r="AU1009" s="122"/>
      <c r="AV1009" s="122"/>
      <c r="AW1009" s="122"/>
      <c r="AX1009" s="122"/>
      <c r="AY1009" s="122"/>
      <c r="AZ1009" s="122"/>
      <c r="BA1009" s="122"/>
      <c r="BB1009" s="122"/>
      <c r="BC1009" s="122"/>
      <c r="BD1009" s="122"/>
      <c r="BE1009" s="122"/>
      <c r="BF1009" s="122"/>
      <c r="BG1009" s="122"/>
      <c r="BH1009" s="122"/>
      <c r="BI1009" s="122"/>
      <c r="BJ1009" s="122"/>
    </row>
    <row r="1010" spans="1:62">
      <c r="A1010" s="122"/>
      <c r="B1010" s="122"/>
      <c r="C1010" s="122"/>
      <c r="D1010" s="122"/>
      <c r="E1010" s="122"/>
      <c r="F1010" s="122"/>
      <c r="G1010" s="122"/>
      <c r="H1010" s="122"/>
      <c r="I1010" s="122"/>
      <c r="J1010" s="122"/>
      <c r="K1010" s="122"/>
      <c r="L1010" s="122"/>
      <c r="M1010" s="122"/>
      <c r="N1010" s="122"/>
      <c r="O1010" s="122"/>
      <c r="P1010" s="122"/>
      <c r="Q1010" s="122"/>
      <c r="R1010" s="122"/>
      <c r="S1010" s="122"/>
      <c r="T1010" s="122"/>
      <c r="U1010" s="122"/>
      <c r="V1010" s="122"/>
      <c r="W1010" s="122"/>
      <c r="X1010" s="122"/>
      <c r="Y1010" s="122"/>
      <c r="Z1010" s="122"/>
      <c r="AA1010" s="122"/>
      <c r="AB1010" s="122"/>
      <c r="AC1010" s="122"/>
      <c r="AD1010" s="122"/>
      <c r="AE1010" s="122"/>
      <c r="AF1010" s="122"/>
      <c r="AG1010" s="122"/>
      <c r="AH1010" s="122"/>
      <c r="AI1010" s="122"/>
      <c r="AJ1010" s="122"/>
      <c r="AK1010" s="122"/>
      <c r="AL1010" s="122"/>
      <c r="AM1010" s="122"/>
      <c r="AN1010" s="122"/>
      <c r="AO1010" s="122"/>
      <c r="AP1010" s="166"/>
      <c r="AQ1010" s="122"/>
      <c r="AR1010" s="167"/>
      <c r="AS1010" s="122"/>
      <c r="AT1010" s="122"/>
      <c r="AU1010" s="122"/>
      <c r="AV1010" s="122"/>
      <c r="AW1010" s="122"/>
      <c r="AX1010" s="122"/>
      <c r="AY1010" s="122"/>
      <c r="AZ1010" s="122"/>
      <c r="BA1010" s="122"/>
      <c r="BB1010" s="122"/>
      <c r="BC1010" s="122"/>
      <c r="BD1010" s="122"/>
      <c r="BE1010" s="122"/>
      <c r="BF1010" s="122"/>
      <c r="BG1010" s="122"/>
      <c r="BH1010" s="122"/>
      <c r="BI1010" s="122"/>
      <c r="BJ1010" s="122"/>
    </row>
    <row r="1011" spans="1:62">
      <c r="A1011" s="122"/>
      <c r="B1011" s="122"/>
      <c r="C1011" s="122"/>
      <c r="D1011" s="122"/>
      <c r="E1011" s="122"/>
      <c r="F1011" s="122"/>
      <c r="G1011" s="122"/>
      <c r="H1011" s="122"/>
      <c r="I1011" s="122"/>
      <c r="J1011" s="122"/>
      <c r="K1011" s="122"/>
      <c r="L1011" s="122"/>
      <c r="M1011" s="122"/>
      <c r="N1011" s="122"/>
      <c r="O1011" s="122"/>
      <c r="P1011" s="122"/>
      <c r="Q1011" s="122"/>
      <c r="R1011" s="122"/>
      <c r="S1011" s="122"/>
      <c r="T1011" s="122"/>
      <c r="U1011" s="122"/>
      <c r="V1011" s="122"/>
      <c r="W1011" s="122"/>
      <c r="X1011" s="122"/>
      <c r="Y1011" s="122"/>
      <c r="Z1011" s="122"/>
      <c r="AA1011" s="122"/>
      <c r="AB1011" s="122"/>
      <c r="AC1011" s="122"/>
      <c r="AD1011" s="122"/>
      <c r="AE1011" s="122"/>
      <c r="AF1011" s="122"/>
      <c r="AG1011" s="122"/>
      <c r="AH1011" s="122"/>
      <c r="AI1011" s="122"/>
      <c r="AJ1011" s="122"/>
      <c r="AK1011" s="122"/>
      <c r="AL1011" s="122"/>
      <c r="AM1011" s="122"/>
      <c r="AN1011" s="122"/>
      <c r="AO1011" s="122"/>
      <c r="AP1011" s="166"/>
      <c r="AQ1011" s="122"/>
      <c r="AR1011" s="167"/>
      <c r="AS1011" s="122"/>
      <c r="AT1011" s="122"/>
      <c r="AU1011" s="122"/>
      <c r="AV1011" s="122"/>
      <c r="AW1011" s="122"/>
      <c r="AX1011" s="122"/>
      <c r="AY1011" s="122"/>
      <c r="AZ1011" s="122"/>
      <c r="BA1011" s="122"/>
      <c r="BB1011" s="122"/>
      <c r="BC1011" s="122"/>
      <c r="BD1011" s="122"/>
      <c r="BE1011" s="122"/>
      <c r="BF1011" s="122"/>
      <c r="BG1011" s="122"/>
      <c r="BH1011" s="122"/>
      <c r="BI1011" s="122"/>
      <c r="BJ1011" s="122"/>
    </row>
    <row r="1012" spans="1:62">
      <c r="A1012" s="122"/>
      <c r="B1012" s="122"/>
      <c r="C1012" s="122"/>
      <c r="D1012" s="122"/>
      <c r="E1012" s="122"/>
      <c r="F1012" s="122"/>
      <c r="G1012" s="122"/>
      <c r="H1012" s="122"/>
      <c r="I1012" s="122"/>
      <c r="J1012" s="122"/>
      <c r="K1012" s="122"/>
      <c r="L1012" s="122"/>
      <c r="M1012" s="122"/>
      <c r="N1012" s="122"/>
      <c r="O1012" s="122"/>
      <c r="P1012" s="122"/>
      <c r="Q1012" s="122"/>
      <c r="R1012" s="122"/>
      <c r="S1012" s="122"/>
      <c r="T1012" s="122"/>
      <c r="U1012" s="122"/>
      <c r="V1012" s="122"/>
      <c r="W1012" s="122"/>
      <c r="X1012" s="122"/>
      <c r="Y1012" s="122"/>
      <c r="Z1012" s="122"/>
      <c r="AA1012" s="122"/>
      <c r="AB1012" s="122"/>
      <c r="AC1012" s="122"/>
      <c r="AD1012" s="122"/>
      <c r="AE1012" s="122"/>
      <c r="AF1012" s="122"/>
      <c r="AG1012" s="122"/>
      <c r="AH1012" s="122"/>
      <c r="AI1012" s="122"/>
      <c r="AJ1012" s="122"/>
      <c r="AK1012" s="122"/>
      <c r="AL1012" s="122"/>
      <c r="AM1012" s="122"/>
      <c r="AN1012" s="122"/>
      <c r="AO1012" s="122"/>
      <c r="AP1012" s="166"/>
      <c r="AQ1012" s="122"/>
      <c r="AR1012" s="167"/>
      <c r="AS1012" s="122"/>
      <c r="AT1012" s="122"/>
      <c r="AU1012" s="122"/>
      <c r="AV1012" s="122"/>
      <c r="AW1012" s="122"/>
      <c r="AX1012" s="122"/>
      <c r="AY1012" s="122"/>
      <c r="AZ1012" s="122"/>
      <c r="BA1012" s="122"/>
      <c r="BB1012" s="122"/>
      <c r="BC1012" s="122"/>
      <c r="BD1012" s="122"/>
      <c r="BE1012" s="122"/>
      <c r="BF1012" s="122"/>
      <c r="BG1012" s="122"/>
      <c r="BH1012" s="122"/>
      <c r="BI1012" s="122"/>
      <c r="BJ1012" s="122"/>
    </row>
    <row r="1013" spans="1:62">
      <c r="A1013" s="122"/>
      <c r="B1013" s="122"/>
      <c r="C1013" s="122"/>
      <c r="D1013" s="122"/>
      <c r="E1013" s="122"/>
      <c r="F1013" s="122"/>
      <c r="G1013" s="122"/>
      <c r="H1013" s="122"/>
      <c r="I1013" s="122"/>
      <c r="J1013" s="122"/>
      <c r="K1013" s="122"/>
      <c r="L1013" s="122"/>
      <c r="M1013" s="122"/>
      <c r="N1013" s="122"/>
      <c r="O1013" s="122"/>
      <c r="P1013" s="122"/>
      <c r="Q1013" s="122"/>
      <c r="R1013" s="122"/>
      <c r="S1013" s="122"/>
      <c r="T1013" s="122"/>
      <c r="U1013" s="122"/>
      <c r="V1013" s="122"/>
      <c r="W1013" s="122"/>
      <c r="X1013" s="122"/>
      <c r="Y1013" s="122"/>
      <c r="Z1013" s="122"/>
      <c r="AA1013" s="122"/>
      <c r="AB1013" s="122"/>
      <c r="AC1013" s="122"/>
      <c r="AD1013" s="122"/>
      <c r="AE1013" s="122"/>
      <c r="AF1013" s="122"/>
      <c r="AG1013" s="122"/>
      <c r="AH1013" s="122"/>
      <c r="AI1013" s="122"/>
      <c r="AJ1013" s="122"/>
      <c r="AK1013" s="122"/>
      <c r="AL1013" s="122"/>
      <c r="AM1013" s="122"/>
      <c r="AN1013" s="122"/>
      <c r="AO1013" s="122"/>
      <c r="AP1013" s="166"/>
      <c r="AQ1013" s="122"/>
      <c r="AR1013" s="167"/>
      <c r="AS1013" s="122"/>
      <c r="AT1013" s="122"/>
      <c r="AU1013" s="122"/>
      <c r="AV1013" s="122"/>
      <c r="AW1013" s="122"/>
      <c r="AX1013" s="122"/>
      <c r="AY1013" s="122"/>
      <c r="AZ1013" s="122"/>
      <c r="BA1013" s="122"/>
      <c r="BB1013" s="122"/>
      <c r="BC1013" s="122"/>
      <c r="BD1013" s="122"/>
      <c r="BE1013" s="122"/>
      <c r="BF1013" s="122"/>
      <c r="BG1013" s="122"/>
      <c r="BH1013" s="122"/>
      <c r="BI1013" s="122"/>
      <c r="BJ1013" s="122"/>
    </row>
    <row r="1014" spans="1:62">
      <c r="A1014" s="122"/>
      <c r="B1014" s="122"/>
      <c r="C1014" s="122"/>
      <c r="D1014" s="122"/>
      <c r="E1014" s="122"/>
      <c r="F1014" s="122"/>
      <c r="G1014" s="122"/>
      <c r="H1014" s="122"/>
      <c r="I1014" s="122"/>
      <c r="J1014" s="122"/>
      <c r="K1014" s="122"/>
      <c r="L1014" s="122"/>
      <c r="M1014" s="122"/>
      <c r="N1014" s="122"/>
      <c r="O1014" s="122"/>
      <c r="P1014" s="122"/>
      <c r="Q1014" s="122"/>
      <c r="R1014" s="122"/>
      <c r="S1014" s="122"/>
      <c r="T1014" s="122"/>
      <c r="U1014" s="122"/>
      <c r="V1014" s="122"/>
      <c r="W1014" s="122"/>
      <c r="X1014" s="122"/>
      <c r="Y1014" s="122"/>
      <c r="Z1014" s="122"/>
      <c r="AA1014" s="122"/>
      <c r="AB1014" s="122"/>
      <c r="AC1014" s="122"/>
      <c r="AD1014" s="122"/>
      <c r="AE1014" s="122"/>
      <c r="AF1014" s="122"/>
      <c r="AG1014" s="122"/>
      <c r="AH1014" s="122"/>
      <c r="AI1014" s="122"/>
      <c r="AJ1014" s="122"/>
      <c r="AK1014" s="122"/>
      <c r="AL1014" s="122"/>
      <c r="AM1014" s="122"/>
      <c r="AN1014" s="122"/>
      <c r="AO1014" s="122"/>
      <c r="AP1014" s="166"/>
      <c r="AQ1014" s="122"/>
      <c r="AR1014" s="167"/>
      <c r="AS1014" s="122"/>
      <c r="AT1014" s="122"/>
      <c r="AU1014" s="122"/>
      <c r="AV1014" s="122"/>
      <c r="AW1014" s="122"/>
      <c r="AX1014" s="122"/>
      <c r="AY1014" s="122"/>
      <c r="AZ1014" s="122"/>
      <c r="BA1014" s="122"/>
      <c r="BB1014" s="122"/>
      <c r="BC1014" s="122"/>
      <c r="BD1014" s="122"/>
      <c r="BE1014" s="122"/>
      <c r="BF1014" s="122"/>
      <c r="BG1014" s="122"/>
      <c r="BH1014" s="122"/>
      <c r="BI1014" s="122"/>
      <c r="BJ1014" s="122"/>
    </row>
    <row r="1015" spans="1:62">
      <c r="A1015" s="122"/>
      <c r="B1015" s="122"/>
      <c r="C1015" s="122"/>
      <c r="D1015" s="122"/>
      <c r="E1015" s="122"/>
      <c r="F1015" s="122"/>
      <c r="G1015" s="122"/>
      <c r="H1015" s="122"/>
      <c r="I1015" s="122"/>
      <c r="J1015" s="122"/>
      <c r="K1015" s="122"/>
      <c r="L1015" s="122"/>
      <c r="M1015" s="122"/>
      <c r="N1015" s="122"/>
      <c r="O1015" s="122"/>
      <c r="P1015" s="122"/>
      <c r="Q1015" s="122"/>
      <c r="R1015" s="122"/>
      <c r="S1015" s="122"/>
      <c r="T1015" s="122"/>
      <c r="U1015" s="122"/>
      <c r="V1015" s="122"/>
      <c r="W1015" s="122"/>
      <c r="X1015" s="122"/>
      <c r="Y1015" s="122"/>
      <c r="Z1015" s="122"/>
      <c r="AA1015" s="122"/>
      <c r="AB1015" s="122"/>
      <c r="AC1015" s="122"/>
      <c r="AD1015" s="122"/>
      <c r="AE1015" s="122"/>
      <c r="AF1015" s="122"/>
      <c r="AG1015" s="122"/>
      <c r="AH1015" s="122"/>
      <c r="AI1015" s="122"/>
      <c r="AJ1015" s="122"/>
      <c r="AK1015" s="122"/>
      <c r="AL1015" s="122"/>
      <c r="AM1015" s="122"/>
      <c r="AN1015" s="122"/>
      <c r="AO1015" s="122"/>
      <c r="AP1015" s="166"/>
      <c r="AQ1015" s="122"/>
      <c r="AR1015" s="167"/>
      <c r="AS1015" s="122"/>
      <c r="AT1015" s="122"/>
      <c r="AU1015" s="122"/>
      <c r="AV1015" s="122"/>
      <c r="AW1015" s="122"/>
      <c r="AX1015" s="122"/>
      <c r="AY1015" s="122"/>
      <c r="AZ1015" s="122"/>
      <c r="BA1015" s="122"/>
      <c r="BB1015" s="122"/>
      <c r="BC1015" s="122"/>
      <c r="BD1015" s="122"/>
      <c r="BE1015" s="122"/>
      <c r="BF1015" s="122"/>
      <c r="BG1015" s="122"/>
      <c r="BH1015" s="122"/>
      <c r="BI1015" s="122"/>
      <c r="BJ1015" s="122"/>
    </row>
    <row r="1016" spans="1:62">
      <c r="A1016" s="122"/>
      <c r="B1016" s="122"/>
      <c r="C1016" s="122"/>
      <c r="D1016" s="122"/>
      <c r="E1016" s="122"/>
      <c r="F1016" s="122"/>
      <c r="G1016" s="122"/>
      <c r="H1016" s="122"/>
      <c r="I1016" s="122"/>
      <c r="J1016" s="122"/>
      <c r="K1016" s="122"/>
      <c r="L1016" s="122"/>
      <c r="M1016" s="122"/>
      <c r="N1016" s="122"/>
      <c r="O1016" s="122"/>
      <c r="P1016" s="122"/>
      <c r="Q1016" s="122"/>
      <c r="R1016" s="122"/>
      <c r="S1016" s="122"/>
      <c r="T1016" s="122"/>
      <c r="U1016" s="122"/>
      <c r="V1016" s="122"/>
      <c r="W1016" s="122"/>
      <c r="X1016" s="122"/>
      <c r="Y1016" s="122"/>
      <c r="Z1016" s="122"/>
      <c r="AA1016" s="122"/>
      <c r="AB1016" s="122"/>
      <c r="AC1016" s="122"/>
      <c r="AD1016" s="122"/>
      <c r="AE1016" s="122"/>
      <c r="AF1016" s="122"/>
      <c r="AG1016" s="122"/>
      <c r="AH1016" s="122"/>
      <c r="AI1016" s="122"/>
      <c r="AJ1016" s="122"/>
      <c r="AK1016" s="122"/>
      <c r="AL1016" s="122"/>
      <c r="AM1016" s="122"/>
      <c r="AN1016" s="122"/>
      <c r="AO1016" s="122"/>
      <c r="AP1016" s="166"/>
      <c r="AQ1016" s="122"/>
      <c r="AR1016" s="167"/>
      <c r="AS1016" s="122"/>
      <c r="AT1016" s="122"/>
      <c r="AU1016" s="122"/>
      <c r="AV1016" s="122"/>
      <c r="AW1016" s="122"/>
      <c r="AX1016" s="122"/>
      <c r="AY1016" s="122"/>
      <c r="AZ1016" s="122"/>
      <c r="BA1016" s="122"/>
      <c r="BB1016" s="122"/>
      <c r="BC1016" s="122"/>
      <c r="BD1016" s="122"/>
      <c r="BE1016" s="122"/>
      <c r="BF1016" s="122"/>
      <c r="BG1016" s="122"/>
      <c r="BH1016" s="122"/>
      <c r="BI1016" s="122"/>
      <c r="BJ1016" s="122"/>
    </row>
  </sheetData>
  <autoFilter ref="A10:AP57" xr:uid="{00000000-0009-0000-0000-000007000000}"/>
  <mergeCells count="48">
    <mergeCell ref="B36:B37"/>
    <mergeCell ref="B38:B39"/>
    <mergeCell ref="B40:B41"/>
    <mergeCell ref="B42:B43"/>
    <mergeCell ref="B46:B47"/>
    <mergeCell ref="B48:B49"/>
    <mergeCell ref="B50:B51"/>
    <mergeCell ref="B52:B53"/>
    <mergeCell ref="B54:B55"/>
    <mergeCell ref="A46:A47"/>
    <mergeCell ref="A48:A49"/>
    <mergeCell ref="A50:A51"/>
    <mergeCell ref="A52:A53"/>
    <mergeCell ref="A54:A55"/>
    <mergeCell ref="A26:A27"/>
    <mergeCell ref="B26:B27"/>
    <mergeCell ref="B28:B29"/>
    <mergeCell ref="A42:A43"/>
    <mergeCell ref="A44:A45"/>
    <mergeCell ref="A28:A29"/>
    <mergeCell ref="A30:A31"/>
    <mergeCell ref="A32:A33"/>
    <mergeCell ref="A34:A35"/>
    <mergeCell ref="A36:A37"/>
    <mergeCell ref="A38:A39"/>
    <mergeCell ref="A40:A41"/>
    <mergeCell ref="B44:B45"/>
    <mergeCell ref="B30:B31"/>
    <mergeCell ref="B32:B33"/>
    <mergeCell ref="B34:B35"/>
    <mergeCell ref="A20:A21"/>
    <mergeCell ref="B20:B21"/>
    <mergeCell ref="A22:A23"/>
    <mergeCell ref="B22:B23"/>
    <mergeCell ref="A24:A25"/>
    <mergeCell ref="B24:B25"/>
    <mergeCell ref="B14:B15"/>
    <mergeCell ref="A14:A15"/>
    <mergeCell ref="A16:A17"/>
    <mergeCell ref="B16:B17"/>
    <mergeCell ref="A18:A19"/>
    <mergeCell ref="B18:B19"/>
    <mergeCell ref="E10:P10"/>
    <mergeCell ref="Q10:AB10"/>
    <mergeCell ref="AC10:AI10"/>
    <mergeCell ref="AJ10:AP10"/>
    <mergeCell ref="A12:A13"/>
    <mergeCell ref="B12:B13"/>
  </mergeCells>
  <printOptions horizontalCentered="1" gridLines="1"/>
  <pageMargins left="0.7" right="0.7" top="0.75" bottom="0.75" header="0" footer="0"/>
  <pageSetup paperSize="8" pageOrder="overThenDown" orientation="landscape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N166"/>
  <sheetViews>
    <sheetView workbookViewId="0"/>
  </sheetViews>
  <sheetFormatPr defaultColWidth="12.5703125" defaultRowHeight="15.75" customHeight="1"/>
  <cols>
    <col min="1" max="1" width="40" customWidth="1"/>
    <col min="8" max="8" width="30.85546875" customWidth="1"/>
    <col min="9" max="9" width="6.42578125" customWidth="1"/>
    <col min="10" max="10" width="29.42578125" customWidth="1"/>
  </cols>
  <sheetData>
    <row r="1" spans="1:14">
      <c r="A1" s="7" t="s">
        <v>5412</v>
      </c>
      <c r="B1" s="7" t="s">
        <v>4957</v>
      </c>
      <c r="C1" s="7" t="s">
        <v>4951</v>
      </c>
      <c r="D1" s="7" t="s">
        <v>5413</v>
      </c>
      <c r="E1" s="7" t="s">
        <v>5414</v>
      </c>
    </row>
    <row r="2" spans="1:14">
      <c r="A2" s="7" t="s">
        <v>5415</v>
      </c>
      <c r="D2" s="7" t="s">
        <v>5367</v>
      </c>
      <c r="E2" s="7" t="s">
        <v>5416</v>
      </c>
    </row>
    <row r="3" spans="1:14">
      <c r="A3" s="7" t="s">
        <v>5417</v>
      </c>
      <c r="D3" s="7" t="s">
        <v>5418</v>
      </c>
      <c r="E3" s="7" t="s">
        <v>5416</v>
      </c>
    </row>
    <row r="4" spans="1:14">
      <c r="A4" s="7" t="s">
        <v>5419</v>
      </c>
      <c r="D4" s="7" t="s">
        <v>5420</v>
      </c>
      <c r="E4" s="7" t="s">
        <v>5416</v>
      </c>
    </row>
    <row r="5" spans="1:14">
      <c r="A5" s="7" t="s">
        <v>5421</v>
      </c>
      <c r="D5" s="7" t="s">
        <v>5422</v>
      </c>
      <c r="E5" s="7" t="s">
        <v>5416</v>
      </c>
    </row>
    <row r="6" spans="1:14">
      <c r="A6" s="7" t="s">
        <v>5423</v>
      </c>
      <c r="D6" s="7" t="s">
        <v>5424</v>
      </c>
      <c r="E6" s="7" t="s">
        <v>5416</v>
      </c>
      <c r="H6" s="3" t="s">
        <v>5425</v>
      </c>
    </row>
    <row r="7" spans="1:14">
      <c r="A7" s="7" t="s">
        <v>5426</v>
      </c>
      <c r="D7" s="7" t="s">
        <v>5427</v>
      </c>
      <c r="E7" s="7" t="s">
        <v>5416</v>
      </c>
      <c r="H7" s="7" t="s">
        <v>5324</v>
      </c>
      <c r="I7" s="7"/>
    </row>
    <row r="8" spans="1:14">
      <c r="A8" s="7" t="s">
        <v>5428</v>
      </c>
      <c r="D8" s="7" t="s">
        <v>5429</v>
      </c>
      <c r="E8" s="7" t="s">
        <v>5416</v>
      </c>
      <c r="I8" s="7" t="s">
        <v>5430</v>
      </c>
    </row>
    <row r="9" spans="1:14">
      <c r="A9" s="7" t="s">
        <v>5431</v>
      </c>
      <c r="D9" s="7" t="s">
        <v>5432</v>
      </c>
      <c r="E9" s="7" t="s">
        <v>5416</v>
      </c>
      <c r="H9" s="7" t="s">
        <v>4126</v>
      </c>
      <c r="I9" s="168"/>
      <c r="J9" s="7" t="s">
        <v>5433</v>
      </c>
      <c r="K9" s="7" t="s">
        <v>5434</v>
      </c>
      <c r="M9" s="7" t="s">
        <v>5435</v>
      </c>
      <c r="N9" s="7" t="s">
        <v>5436</v>
      </c>
    </row>
    <row r="10" spans="1:14">
      <c r="A10" s="7" t="s">
        <v>5437</v>
      </c>
      <c r="D10" s="7" t="s">
        <v>5438</v>
      </c>
      <c r="E10" s="7" t="s">
        <v>5416</v>
      </c>
      <c r="H10" s="7" t="s">
        <v>4120</v>
      </c>
      <c r="I10" s="169"/>
      <c r="J10" s="7" t="s">
        <v>5439</v>
      </c>
      <c r="K10" s="7" t="s">
        <v>5440</v>
      </c>
      <c r="M10" s="7" t="s">
        <v>5441</v>
      </c>
      <c r="N10" s="7" t="s">
        <v>5442</v>
      </c>
    </row>
    <row r="11" spans="1:14">
      <c r="A11" s="7" t="s">
        <v>5443</v>
      </c>
      <c r="D11" s="7" t="s">
        <v>5444</v>
      </c>
      <c r="E11" s="7" t="s">
        <v>5416</v>
      </c>
      <c r="H11" s="7" t="s">
        <v>4093</v>
      </c>
      <c r="I11" s="19"/>
      <c r="J11" s="7" t="s">
        <v>5445</v>
      </c>
      <c r="K11" s="7" t="s">
        <v>4076</v>
      </c>
      <c r="M11" s="7" t="s">
        <v>5446</v>
      </c>
      <c r="N11" s="7" t="s">
        <v>5447</v>
      </c>
    </row>
    <row r="12" spans="1:14">
      <c r="A12" s="7" t="s">
        <v>5448</v>
      </c>
      <c r="D12" s="7" t="s">
        <v>5449</v>
      </c>
      <c r="E12" s="7" t="s">
        <v>5416</v>
      </c>
      <c r="H12" s="7" t="s">
        <v>4096</v>
      </c>
      <c r="I12" s="170"/>
      <c r="J12" s="7" t="s">
        <v>5450</v>
      </c>
      <c r="K12" s="7" t="s">
        <v>5451</v>
      </c>
    </row>
    <row r="13" spans="1:14">
      <c r="A13" s="7" t="s">
        <v>5452</v>
      </c>
      <c r="B13" s="7"/>
      <c r="D13" s="7" t="s">
        <v>5453</v>
      </c>
      <c r="E13" s="7" t="s">
        <v>5416</v>
      </c>
      <c r="H13" s="7" t="s">
        <v>5454</v>
      </c>
      <c r="I13" s="11"/>
      <c r="J13" s="7" t="s">
        <v>5455</v>
      </c>
      <c r="K13" s="7" t="s">
        <v>4065</v>
      </c>
    </row>
    <row r="14" spans="1:14">
      <c r="A14" s="7" t="s">
        <v>5456</v>
      </c>
      <c r="B14" s="7"/>
      <c r="D14" s="7" t="s">
        <v>4126</v>
      </c>
      <c r="E14" s="7" t="s">
        <v>4126</v>
      </c>
      <c r="H14" s="7" t="s">
        <v>4105</v>
      </c>
      <c r="I14" s="17"/>
      <c r="J14" s="7" t="s">
        <v>5457</v>
      </c>
      <c r="K14" s="7" t="s">
        <v>4072</v>
      </c>
    </row>
    <row r="15" spans="1:14">
      <c r="A15" s="7" t="s">
        <v>5458</v>
      </c>
      <c r="D15" s="7" t="s">
        <v>5459</v>
      </c>
      <c r="E15" s="7" t="s">
        <v>4126</v>
      </c>
      <c r="H15" s="7" t="s">
        <v>5460</v>
      </c>
      <c r="I15" s="15"/>
      <c r="J15" s="7" t="s">
        <v>5461</v>
      </c>
      <c r="K15" s="7" t="s">
        <v>4069</v>
      </c>
    </row>
    <row r="16" spans="1:14">
      <c r="A16" s="7" t="s">
        <v>5462</v>
      </c>
      <c r="D16" s="7" t="s">
        <v>5459</v>
      </c>
      <c r="E16" s="7" t="s">
        <v>4126</v>
      </c>
      <c r="H16" s="7" t="s">
        <v>5416</v>
      </c>
      <c r="I16" s="14"/>
      <c r="J16" s="7" t="s">
        <v>5463</v>
      </c>
      <c r="K16" s="7" t="s">
        <v>5464</v>
      </c>
    </row>
    <row r="17" spans="1:10">
      <c r="A17" s="7" t="s">
        <v>5465</v>
      </c>
      <c r="D17" s="7" t="s">
        <v>4126</v>
      </c>
      <c r="E17" s="7" t="s">
        <v>4126</v>
      </c>
    </row>
    <row r="18" spans="1:10">
      <c r="A18" s="7" t="s">
        <v>5466</v>
      </c>
      <c r="D18" s="7" t="s">
        <v>5467</v>
      </c>
      <c r="E18" s="7" t="s">
        <v>4126</v>
      </c>
      <c r="I18" s="7">
        <v>600000</v>
      </c>
      <c r="J18" s="7">
        <f>I18/700</f>
        <v>857.14285714285711</v>
      </c>
    </row>
    <row r="19" spans="1:10">
      <c r="A19" s="7" t="s">
        <v>5468</v>
      </c>
      <c r="D19" s="7" t="s">
        <v>4120</v>
      </c>
      <c r="E19" s="7" t="s">
        <v>4120</v>
      </c>
    </row>
    <row r="20" spans="1:10">
      <c r="A20" s="7" t="s">
        <v>5469</v>
      </c>
      <c r="D20" s="7" t="s">
        <v>4114</v>
      </c>
      <c r="E20" s="7" t="s">
        <v>4120</v>
      </c>
    </row>
    <row r="21" spans="1:10">
      <c r="A21" s="7" t="s">
        <v>5470</v>
      </c>
      <c r="D21" s="7" t="s">
        <v>4120</v>
      </c>
      <c r="E21" s="7" t="s">
        <v>4120</v>
      </c>
    </row>
    <row r="22" spans="1:10">
      <c r="A22" s="7" t="s">
        <v>5471</v>
      </c>
      <c r="D22" s="7" t="s">
        <v>5472</v>
      </c>
      <c r="E22" s="7" t="s">
        <v>4120</v>
      </c>
      <c r="H22" s="3"/>
      <c r="J22" s="3"/>
    </row>
    <row r="23" spans="1:10">
      <c r="A23" s="7" t="s">
        <v>5473</v>
      </c>
      <c r="D23" s="7" t="s">
        <v>4117</v>
      </c>
      <c r="E23" s="7" t="s">
        <v>4120</v>
      </c>
      <c r="H23" s="3"/>
      <c r="J23" s="3"/>
    </row>
    <row r="24" spans="1:10">
      <c r="A24" s="7" t="s">
        <v>5474</v>
      </c>
      <c r="D24" s="7" t="s">
        <v>5475</v>
      </c>
      <c r="E24" s="7" t="s">
        <v>4120</v>
      </c>
      <c r="H24" s="3"/>
      <c r="J24" s="3"/>
    </row>
    <row r="25" spans="1:10">
      <c r="A25" s="7" t="s">
        <v>5476</v>
      </c>
      <c r="D25" s="7" t="s">
        <v>5477</v>
      </c>
      <c r="E25" s="7" t="s">
        <v>5460</v>
      </c>
      <c r="H25" s="3"/>
      <c r="J25" s="3"/>
    </row>
    <row r="26" spans="1:10">
      <c r="A26" s="7" t="s">
        <v>5478</v>
      </c>
      <c r="D26" s="7" t="s">
        <v>5479</v>
      </c>
      <c r="E26" s="7" t="s">
        <v>5460</v>
      </c>
      <c r="H26" s="3"/>
      <c r="J26" s="3"/>
    </row>
    <row r="27" spans="1:10">
      <c r="A27" s="7" t="s">
        <v>5480</v>
      </c>
      <c r="D27" s="7" t="s">
        <v>5481</v>
      </c>
      <c r="E27" s="7" t="s">
        <v>4096</v>
      </c>
      <c r="H27" s="3"/>
      <c r="J27" s="3"/>
    </row>
    <row r="28" spans="1:10">
      <c r="A28" s="7" t="s">
        <v>5482</v>
      </c>
      <c r="D28" s="7" t="s">
        <v>5483</v>
      </c>
      <c r="E28" s="7" t="s">
        <v>4096</v>
      </c>
      <c r="H28" s="3"/>
      <c r="J28" s="3"/>
    </row>
    <row r="29" spans="1:10">
      <c r="A29" s="7" t="s">
        <v>5484</v>
      </c>
      <c r="D29" s="7" t="s">
        <v>5485</v>
      </c>
      <c r="E29" s="7" t="s">
        <v>4093</v>
      </c>
      <c r="H29" s="3"/>
      <c r="J29" s="3"/>
    </row>
    <row r="30" spans="1:10">
      <c r="A30" s="7" t="s">
        <v>5486</v>
      </c>
      <c r="D30" s="7" t="s">
        <v>5487</v>
      </c>
      <c r="E30" s="7" t="s">
        <v>4093</v>
      </c>
      <c r="H30" s="3"/>
      <c r="J30" s="3"/>
    </row>
    <row r="31" spans="1:10">
      <c r="A31" s="7" t="s">
        <v>5488</v>
      </c>
      <c r="D31" s="7" t="s">
        <v>5489</v>
      </c>
      <c r="E31" s="7" t="s">
        <v>4105</v>
      </c>
      <c r="H31" s="3"/>
      <c r="J31" s="3"/>
    </row>
    <row r="32" spans="1:10">
      <c r="A32" s="7" t="s">
        <v>5490</v>
      </c>
      <c r="D32" s="7" t="s">
        <v>4096</v>
      </c>
      <c r="E32" s="7" t="s">
        <v>4096</v>
      </c>
      <c r="H32" s="3"/>
      <c r="J32" s="3"/>
    </row>
    <row r="33" spans="1:10">
      <c r="A33" s="7" t="s">
        <v>5491</v>
      </c>
      <c r="D33" s="7" t="s">
        <v>4093</v>
      </c>
      <c r="E33" s="7" t="s">
        <v>4093</v>
      </c>
      <c r="H33" s="3"/>
      <c r="J33" s="3"/>
    </row>
    <row r="34" spans="1:10">
      <c r="A34" s="7" t="s">
        <v>5492</v>
      </c>
      <c r="D34" s="7" t="s">
        <v>5493</v>
      </c>
      <c r="E34" s="7" t="s">
        <v>4093</v>
      </c>
      <c r="H34" s="3"/>
      <c r="J34" s="3"/>
    </row>
    <row r="35" spans="1:10">
      <c r="A35" s="7" t="s">
        <v>5494</v>
      </c>
      <c r="D35" s="7" t="s">
        <v>5495</v>
      </c>
      <c r="E35" s="7" t="s">
        <v>4093</v>
      </c>
      <c r="H35" s="3"/>
      <c r="J35" s="3"/>
    </row>
    <row r="36" spans="1:10">
      <c r="A36" s="7" t="s">
        <v>5496</v>
      </c>
      <c r="D36" s="7" t="s">
        <v>5497</v>
      </c>
      <c r="E36" s="7" t="s">
        <v>4093</v>
      </c>
      <c r="H36" s="3"/>
      <c r="J36" s="3"/>
    </row>
    <row r="37" spans="1:10">
      <c r="A37" s="7" t="s">
        <v>5498</v>
      </c>
      <c r="D37" s="7" t="s">
        <v>5499</v>
      </c>
      <c r="E37" s="7" t="s">
        <v>4105</v>
      </c>
      <c r="H37" s="3"/>
      <c r="J37" s="3"/>
    </row>
    <row r="38" spans="1:10">
      <c r="A38" s="7" t="s">
        <v>5500</v>
      </c>
      <c r="D38" s="7" t="s">
        <v>5501</v>
      </c>
      <c r="E38" s="7" t="s">
        <v>5416</v>
      </c>
      <c r="H38" s="3"/>
      <c r="J38" s="3"/>
    </row>
    <row r="39" spans="1:10">
      <c r="A39" s="7" t="s">
        <v>5502</v>
      </c>
      <c r="D39" s="7" t="s">
        <v>5503</v>
      </c>
      <c r="E39" s="7" t="s">
        <v>4126</v>
      </c>
      <c r="H39" s="3"/>
      <c r="J39" s="3"/>
    </row>
    <row r="40" spans="1:10">
      <c r="A40" s="7" t="s">
        <v>5504</v>
      </c>
      <c r="D40" s="7" t="s">
        <v>5505</v>
      </c>
      <c r="E40" s="7" t="s">
        <v>4096</v>
      </c>
      <c r="H40" s="3"/>
      <c r="J40" s="3"/>
    </row>
    <row r="41" spans="1:10">
      <c r="A41" s="7" t="s">
        <v>5506</v>
      </c>
      <c r="D41" s="7" t="s">
        <v>5507</v>
      </c>
      <c r="E41" s="7" t="s">
        <v>4105</v>
      </c>
      <c r="H41" s="3"/>
      <c r="J41" s="3"/>
    </row>
    <row r="42" spans="1:10">
      <c r="A42" s="7" t="s">
        <v>5508</v>
      </c>
      <c r="D42" s="7" t="s">
        <v>5509</v>
      </c>
      <c r="E42" s="7" t="s">
        <v>4126</v>
      </c>
      <c r="H42" s="3"/>
      <c r="J42" s="3"/>
    </row>
    <row r="43" spans="1:10">
      <c r="A43" s="7" t="s">
        <v>5510</v>
      </c>
      <c r="D43" s="7" t="s">
        <v>4135</v>
      </c>
      <c r="E43" s="7" t="s">
        <v>5460</v>
      </c>
      <c r="H43" s="3"/>
      <c r="J43" s="3"/>
    </row>
    <row r="44" spans="1:10">
      <c r="A44" s="7" t="s">
        <v>5511</v>
      </c>
      <c r="D44" s="7" t="s">
        <v>5512</v>
      </c>
      <c r="E44" s="7" t="s">
        <v>5460</v>
      </c>
      <c r="H44" s="3"/>
      <c r="J44" s="3"/>
    </row>
    <row r="45" spans="1:10">
      <c r="A45" s="7" t="s">
        <v>5513</v>
      </c>
      <c r="D45" s="7" t="s">
        <v>5514</v>
      </c>
      <c r="E45" s="7" t="s">
        <v>4105</v>
      </c>
      <c r="H45" s="3"/>
      <c r="J45" s="3"/>
    </row>
    <row r="46" spans="1:10">
      <c r="A46" s="7" t="s">
        <v>5515</v>
      </c>
      <c r="D46" s="7" t="s">
        <v>5460</v>
      </c>
      <c r="E46" s="7" t="s">
        <v>5460</v>
      </c>
      <c r="H46" s="3"/>
      <c r="J46" s="3"/>
    </row>
    <row r="47" spans="1:10">
      <c r="A47" s="7" t="s">
        <v>5486</v>
      </c>
      <c r="D47" s="7" t="s">
        <v>5487</v>
      </c>
      <c r="E47" s="7" t="s">
        <v>4093</v>
      </c>
      <c r="H47" s="3"/>
      <c r="J47" s="3"/>
    </row>
    <row r="48" spans="1:10">
      <c r="A48" s="7" t="s">
        <v>5516</v>
      </c>
      <c r="D48" s="7" t="s">
        <v>5517</v>
      </c>
      <c r="E48" s="7" t="s">
        <v>5460</v>
      </c>
      <c r="H48" s="3"/>
      <c r="J48" s="3"/>
    </row>
    <row r="49" spans="1:10">
      <c r="A49" s="7" t="s">
        <v>5476</v>
      </c>
      <c r="D49" s="7" t="s">
        <v>5477</v>
      </c>
      <c r="E49" s="7" t="s">
        <v>5460</v>
      </c>
      <c r="H49" s="3"/>
      <c r="J49" s="3"/>
    </row>
    <row r="50" spans="1:10">
      <c r="A50" s="7" t="s">
        <v>5511</v>
      </c>
      <c r="D50" s="7" t="s">
        <v>5512</v>
      </c>
      <c r="E50" s="7" t="s">
        <v>5460</v>
      </c>
      <c r="H50" s="3"/>
      <c r="J50" s="3"/>
    </row>
    <row r="51" spans="1:10">
      <c r="A51" s="7" t="s">
        <v>5478</v>
      </c>
      <c r="D51" s="7" t="s">
        <v>5479</v>
      </c>
      <c r="E51" s="7" t="s">
        <v>4096</v>
      </c>
      <c r="H51" s="3"/>
      <c r="J51" s="3"/>
    </row>
    <row r="52" spans="1:10">
      <c r="A52" s="7" t="s">
        <v>5480</v>
      </c>
      <c r="D52" s="7" t="s">
        <v>5481</v>
      </c>
      <c r="E52" s="7" t="s">
        <v>4096</v>
      </c>
      <c r="H52" s="3"/>
      <c r="J52" s="3"/>
    </row>
    <row r="53" spans="1:10">
      <c r="A53" s="7" t="s">
        <v>5482</v>
      </c>
      <c r="D53" s="7" t="s">
        <v>5483</v>
      </c>
      <c r="E53" s="7" t="s">
        <v>4096</v>
      </c>
      <c r="H53" s="3"/>
      <c r="J53" s="3"/>
    </row>
    <row r="54" spans="1:10">
      <c r="A54" s="7" t="s">
        <v>5518</v>
      </c>
      <c r="D54" s="7" t="s">
        <v>5519</v>
      </c>
      <c r="E54" s="7" t="s">
        <v>5416</v>
      </c>
      <c r="H54" s="3"/>
      <c r="J54" s="3"/>
    </row>
    <row r="55" spans="1:10">
      <c r="A55" s="7" t="s">
        <v>5520</v>
      </c>
      <c r="D55" s="7" t="s">
        <v>4120</v>
      </c>
      <c r="E55" s="7" t="s">
        <v>5460</v>
      </c>
    </row>
    <row r="56" spans="1:10">
      <c r="A56" s="7" t="s">
        <v>5521</v>
      </c>
      <c r="D56" s="7" t="s">
        <v>5424</v>
      </c>
      <c r="E56" s="7" t="s">
        <v>5416</v>
      </c>
    </row>
    <row r="57" spans="1:10">
      <c r="A57" s="7" t="s">
        <v>5491</v>
      </c>
      <c r="D57" s="7" t="s">
        <v>4093</v>
      </c>
      <c r="E57" s="7" t="s">
        <v>4093</v>
      </c>
    </row>
    <row r="58" spans="1:10">
      <c r="A58" s="7" t="s">
        <v>5488</v>
      </c>
      <c r="D58" s="7" t="s">
        <v>5489</v>
      </c>
      <c r="E58" s="7" t="s">
        <v>4105</v>
      </c>
    </row>
    <row r="59" spans="1:10">
      <c r="A59" s="7" t="s">
        <v>5511</v>
      </c>
      <c r="D59" s="7" t="s">
        <v>5512</v>
      </c>
      <c r="E59" s="7" t="s">
        <v>5460</v>
      </c>
    </row>
    <row r="60" spans="1:10">
      <c r="A60" s="7" t="s">
        <v>5522</v>
      </c>
      <c r="D60" s="7" t="s">
        <v>5416</v>
      </c>
      <c r="E60" s="7" t="s">
        <v>5416</v>
      </c>
    </row>
    <row r="61" spans="1:10">
      <c r="A61" s="7" t="s">
        <v>5523</v>
      </c>
      <c r="D61" s="7" t="s">
        <v>5524</v>
      </c>
      <c r="E61" s="7" t="s">
        <v>5416</v>
      </c>
    </row>
    <row r="62" spans="1:10">
      <c r="A62" s="7" t="s">
        <v>5525</v>
      </c>
      <c r="D62" s="7" t="s">
        <v>5526</v>
      </c>
      <c r="E62" s="7" t="s">
        <v>5416</v>
      </c>
    </row>
    <row r="63" spans="1:10">
      <c r="A63" s="7" t="s">
        <v>5527</v>
      </c>
      <c r="D63" s="7" t="s">
        <v>5528</v>
      </c>
      <c r="E63" s="7" t="s">
        <v>5416</v>
      </c>
    </row>
    <row r="64" spans="1:10">
      <c r="A64" s="7" t="s">
        <v>5529</v>
      </c>
      <c r="D64" s="7" t="s">
        <v>5530</v>
      </c>
      <c r="E64" s="7" t="s">
        <v>5416</v>
      </c>
    </row>
    <row r="65" spans="1:5">
      <c r="A65" s="7" t="s">
        <v>5531</v>
      </c>
      <c r="D65" s="7" t="s">
        <v>5532</v>
      </c>
      <c r="E65" s="7" t="s">
        <v>5416</v>
      </c>
    </row>
    <row r="66" spans="1:5">
      <c r="A66" s="7" t="s">
        <v>5533</v>
      </c>
      <c r="D66" s="7" t="s">
        <v>5534</v>
      </c>
      <c r="E66" s="7" t="s">
        <v>5416</v>
      </c>
    </row>
    <row r="67" spans="1:5">
      <c r="A67" s="7" t="s">
        <v>5535</v>
      </c>
      <c r="D67" s="7" t="s">
        <v>5536</v>
      </c>
      <c r="E67" s="7" t="s">
        <v>4126</v>
      </c>
    </row>
    <row r="68" spans="1:5">
      <c r="A68" s="7" t="s">
        <v>5537</v>
      </c>
      <c r="D68" s="7" t="s">
        <v>5538</v>
      </c>
      <c r="E68" s="7" t="s">
        <v>5416</v>
      </c>
    </row>
    <row r="69" spans="1:5">
      <c r="A69" s="7" t="s">
        <v>5539</v>
      </c>
      <c r="D69" s="7" t="s">
        <v>5540</v>
      </c>
      <c r="E69" s="7" t="s">
        <v>5416</v>
      </c>
    </row>
    <row r="70" spans="1:5">
      <c r="A70" s="7" t="s">
        <v>5541</v>
      </c>
      <c r="D70" s="7" t="s">
        <v>5542</v>
      </c>
      <c r="E70" s="7" t="s">
        <v>5416</v>
      </c>
    </row>
    <row r="71" spans="1:5">
      <c r="A71" s="7" t="s">
        <v>5543</v>
      </c>
      <c r="D71" s="7" t="s">
        <v>4108</v>
      </c>
      <c r="E71" s="7" t="s">
        <v>5454</v>
      </c>
    </row>
    <row r="72" spans="1:5">
      <c r="A72" s="7" t="s">
        <v>5544</v>
      </c>
      <c r="D72" s="7" t="s">
        <v>5545</v>
      </c>
      <c r="E72" s="7" t="s">
        <v>4105</v>
      </c>
    </row>
    <row r="73" spans="1:5">
      <c r="A73" s="7" t="s">
        <v>5546</v>
      </c>
      <c r="D73" s="7" t="s">
        <v>5547</v>
      </c>
      <c r="E73" s="7" t="s">
        <v>5416</v>
      </c>
    </row>
    <row r="74" spans="1:5">
      <c r="A74" s="7" t="s">
        <v>5548</v>
      </c>
      <c r="D74" s="7" t="s">
        <v>5549</v>
      </c>
      <c r="E74" s="7" t="s">
        <v>5416</v>
      </c>
    </row>
    <row r="75" spans="1:5">
      <c r="A75" s="7" t="s">
        <v>5550</v>
      </c>
      <c r="D75" s="7" t="s">
        <v>5551</v>
      </c>
      <c r="E75" s="7" t="s">
        <v>5416</v>
      </c>
    </row>
    <row r="76" spans="1:5">
      <c r="A76" s="7" t="s">
        <v>5552</v>
      </c>
      <c r="D76" s="7" t="s">
        <v>5553</v>
      </c>
      <c r="E76" s="7" t="s">
        <v>5416</v>
      </c>
    </row>
    <row r="77" spans="1:5">
      <c r="A77" s="7" t="s">
        <v>5554</v>
      </c>
      <c r="D77" s="7" t="s">
        <v>5555</v>
      </c>
      <c r="E77" s="7" t="s">
        <v>5416</v>
      </c>
    </row>
    <row r="78" spans="1:5">
      <c r="A78" s="7" t="s">
        <v>5556</v>
      </c>
      <c r="D78" s="7" t="s">
        <v>5557</v>
      </c>
      <c r="E78" s="7" t="s">
        <v>5416</v>
      </c>
    </row>
    <row r="79" spans="1:5">
      <c r="A79" s="7" t="s">
        <v>5558</v>
      </c>
      <c r="D79" s="7" t="s">
        <v>4117</v>
      </c>
      <c r="E79" s="7" t="s">
        <v>4120</v>
      </c>
    </row>
    <row r="80" spans="1:5">
      <c r="A80" s="7" t="s">
        <v>5559</v>
      </c>
      <c r="D80" s="7" t="s">
        <v>5560</v>
      </c>
      <c r="E80" s="7" t="s">
        <v>5416</v>
      </c>
    </row>
    <row r="81" spans="1:6">
      <c r="A81" s="7" t="s">
        <v>5561</v>
      </c>
      <c r="D81" s="7" t="s">
        <v>5562</v>
      </c>
      <c r="E81" s="7" t="s">
        <v>5416</v>
      </c>
    </row>
    <row r="82" spans="1:6">
      <c r="A82" s="7" t="s">
        <v>5563</v>
      </c>
      <c r="D82" s="7" t="s">
        <v>5564</v>
      </c>
      <c r="E82" s="7" t="s">
        <v>5416</v>
      </c>
      <c r="F82" s="7"/>
    </row>
    <row r="83" spans="1:6">
      <c r="A83" s="7" t="s">
        <v>5565</v>
      </c>
      <c r="D83" s="7" t="s">
        <v>5566</v>
      </c>
      <c r="E83" s="7" t="s">
        <v>5416</v>
      </c>
      <c r="F83" s="7"/>
    </row>
    <row r="84" spans="1:6">
      <c r="A84" s="7" t="s">
        <v>5567</v>
      </c>
      <c r="D84" s="7" t="s">
        <v>5568</v>
      </c>
      <c r="E84" s="7" t="s">
        <v>5416</v>
      </c>
      <c r="F84" s="7"/>
    </row>
    <row r="85" spans="1:6">
      <c r="A85" s="7" t="s">
        <v>5569</v>
      </c>
      <c r="D85" s="7" t="s">
        <v>5570</v>
      </c>
      <c r="E85" s="7" t="s">
        <v>5416</v>
      </c>
      <c r="F85" s="7"/>
    </row>
    <row r="86" spans="1:6">
      <c r="A86" s="7" t="s">
        <v>5571</v>
      </c>
      <c r="D86" s="7" t="s">
        <v>4093</v>
      </c>
      <c r="E86" s="7" t="s">
        <v>5416</v>
      </c>
      <c r="F86" s="7"/>
    </row>
    <row r="87" spans="1:6">
      <c r="A87" s="7" t="s">
        <v>5572</v>
      </c>
      <c r="D87" s="7" t="s">
        <v>5573</v>
      </c>
      <c r="E87" s="7" t="s">
        <v>5416</v>
      </c>
      <c r="F87" s="7"/>
    </row>
    <row r="88" spans="1:6">
      <c r="A88" s="7" t="s">
        <v>5574</v>
      </c>
      <c r="D88" s="7" t="s">
        <v>5575</v>
      </c>
      <c r="E88" s="7" t="s">
        <v>5416</v>
      </c>
      <c r="F88" s="7"/>
    </row>
    <row r="89" spans="1:6">
      <c r="A89" s="7" t="s">
        <v>5576</v>
      </c>
      <c r="D89" s="7" t="s">
        <v>5577</v>
      </c>
      <c r="E89" s="7" t="s">
        <v>5416</v>
      </c>
      <c r="F89" s="7"/>
    </row>
    <row r="90" spans="1:6">
      <c r="A90" s="7" t="s">
        <v>5578</v>
      </c>
      <c r="D90" s="7" t="s">
        <v>5579</v>
      </c>
      <c r="E90" s="7" t="s">
        <v>4096</v>
      </c>
      <c r="F90" s="7"/>
    </row>
    <row r="91" spans="1:6">
      <c r="A91" s="7" t="s">
        <v>5580</v>
      </c>
      <c r="D91" s="7" t="s">
        <v>5467</v>
      </c>
      <c r="E91" s="7" t="s">
        <v>4126</v>
      </c>
      <c r="F91" s="7"/>
    </row>
    <row r="92" spans="1:6">
      <c r="A92" s="7" t="s">
        <v>5581</v>
      </c>
      <c r="D92" s="7" t="s">
        <v>5582</v>
      </c>
      <c r="E92" s="7" t="s">
        <v>5460</v>
      </c>
      <c r="F92" s="7"/>
    </row>
    <row r="93" spans="1:6">
      <c r="A93" s="7" t="s">
        <v>5583</v>
      </c>
      <c r="D93" s="7" t="s">
        <v>5584</v>
      </c>
      <c r="E93" s="7" t="s">
        <v>4126</v>
      </c>
      <c r="F93" s="7"/>
    </row>
    <row r="94" spans="1:6">
      <c r="A94" s="7" t="s">
        <v>5585</v>
      </c>
      <c r="D94" s="7" t="s">
        <v>5586</v>
      </c>
      <c r="E94" s="7" t="s">
        <v>5460</v>
      </c>
      <c r="F94" s="7"/>
    </row>
    <row r="95" spans="1:6">
      <c r="A95" s="7" t="s">
        <v>5587</v>
      </c>
      <c r="D95" s="7" t="s">
        <v>5588</v>
      </c>
      <c r="E95" s="7" t="s">
        <v>5460</v>
      </c>
      <c r="F95" s="7"/>
    </row>
    <row r="96" spans="1:6">
      <c r="A96" s="7" t="s">
        <v>5589</v>
      </c>
      <c r="D96" s="7" t="s">
        <v>5590</v>
      </c>
      <c r="E96" s="7" t="s">
        <v>5460</v>
      </c>
      <c r="F96" s="7"/>
    </row>
    <row r="97" spans="1:6">
      <c r="A97" s="7" t="s">
        <v>5591</v>
      </c>
      <c r="D97" s="7" t="s">
        <v>5592</v>
      </c>
      <c r="E97" s="7" t="s">
        <v>5460</v>
      </c>
      <c r="F97" s="7"/>
    </row>
    <row r="98" spans="1:6">
      <c r="A98" s="7" t="s">
        <v>5593</v>
      </c>
      <c r="D98" s="7" t="s">
        <v>5594</v>
      </c>
      <c r="E98" s="7" t="s">
        <v>5460</v>
      </c>
      <c r="F98" s="7"/>
    </row>
    <row r="99" spans="1:6">
      <c r="A99" s="7" t="s">
        <v>5595</v>
      </c>
      <c r="D99" s="7" t="s">
        <v>5596</v>
      </c>
      <c r="E99" s="7" t="s">
        <v>5416</v>
      </c>
      <c r="F99" s="7"/>
    </row>
    <row r="100" spans="1:6">
      <c r="A100" s="7" t="s">
        <v>5597</v>
      </c>
      <c r="D100" s="7" t="s">
        <v>5598</v>
      </c>
      <c r="E100" s="7" t="s">
        <v>5416</v>
      </c>
      <c r="F100" s="7"/>
    </row>
    <row r="101" spans="1:6">
      <c r="A101" s="7" t="s">
        <v>5599</v>
      </c>
      <c r="D101" s="7" t="s">
        <v>5600</v>
      </c>
      <c r="E101" s="7" t="s">
        <v>5416</v>
      </c>
      <c r="F101" s="7"/>
    </row>
    <row r="102" spans="1:6">
      <c r="A102" s="7" t="s">
        <v>5601</v>
      </c>
      <c r="D102" s="7" t="s">
        <v>5602</v>
      </c>
      <c r="E102" s="7" t="s">
        <v>5416</v>
      </c>
      <c r="F102" s="7"/>
    </row>
    <row r="103" spans="1:6">
      <c r="A103" s="7" t="s">
        <v>5603</v>
      </c>
      <c r="D103" s="7" t="s">
        <v>5424</v>
      </c>
      <c r="E103" s="7" t="s">
        <v>5416</v>
      </c>
      <c r="F103" s="7"/>
    </row>
    <row r="104" spans="1:6">
      <c r="A104" s="7" t="s">
        <v>5604</v>
      </c>
      <c r="D104" s="7" t="s">
        <v>5512</v>
      </c>
      <c r="E104" s="7" t="s">
        <v>5460</v>
      </c>
      <c r="F104" s="7"/>
    </row>
    <row r="105" spans="1:6">
      <c r="A105" s="7" t="s">
        <v>5605</v>
      </c>
      <c r="D105" s="7" t="s">
        <v>5526</v>
      </c>
      <c r="E105" s="7" t="s">
        <v>5416</v>
      </c>
      <c r="F105" s="7"/>
    </row>
    <row r="106" spans="1:6">
      <c r="A106" s="7" t="s">
        <v>5606</v>
      </c>
      <c r="D106" s="7" t="s">
        <v>5607</v>
      </c>
      <c r="E106" s="7" t="s">
        <v>5416</v>
      </c>
      <c r="F106" s="7"/>
    </row>
    <row r="107" spans="1:6">
      <c r="A107" s="7" t="s">
        <v>5608</v>
      </c>
      <c r="D107" s="7" t="s">
        <v>5609</v>
      </c>
      <c r="E107" s="7" t="s">
        <v>5416</v>
      </c>
      <c r="F107" s="7"/>
    </row>
    <row r="108" spans="1:6">
      <c r="A108" s="7" t="s">
        <v>5610</v>
      </c>
      <c r="D108" s="7" t="s">
        <v>5611</v>
      </c>
      <c r="E108" s="7" t="s">
        <v>5416</v>
      </c>
      <c r="F108" s="7"/>
    </row>
    <row r="109" spans="1:6">
      <c r="A109" s="7" t="s">
        <v>5612</v>
      </c>
      <c r="D109" s="7" t="s">
        <v>5613</v>
      </c>
      <c r="E109" s="7" t="s">
        <v>5416</v>
      </c>
      <c r="F109" s="7"/>
    </row>
    <row r="110" spans="1:6">
      <c r="A110" s="7" t="s">
        <v>5614</v>
      </c>
      <c r="D110" s="7" t="s">
        <v>5615</v>
      </c>
      <c r="E110" s="7" t="s">
        <v>5416</v>
      </c>
    </row>
    <row r="111" spans="1:6">
      <c r="A111" s="7" t="s">
        <v>5616</v>
      </c>
      <c r="D111" s="7" t="s">
        <v>5617</v>
      </c>
      <c r="E111" s="7" t="s">
        <v>5416</v>
      </c>
    </row>
    <row r="112" spans="1:6">
      <c r="A112" s="7" t="s">
        <v>5618</v>
      </c>
      <c r="D112" s="7" t="s">
        <v>5619</v>
      </c>
      <c r="E112" s="7" t="s">
        <v>5416</v>
      </c>
    </row>
    <row r="113" spans="1:6">
      <c r="A113" s="7" t="s">
        <v>5620</v>
      </c>
      <c r="D113" s="7" t="s">
        <v>5621</v>
      </c>
      <c r="E113" s="7" t="s">
        <v>5416</v>
      </c>
    </row>
    <row r="114" spans="1:6">
      <c r="A114" s="7" t="s">
        <v>5622</v>
      </c>
      <c r="D114" s="7" t="s">
        <v>5623</v>
      </c>
      <c r="E114" s="7" t="s">
        <v>5416</v>
      </c>
    </row>
    <row r="115" spans="1:6">
      <c r="A115" s="7" t="s">
        <v>5624</v>
      </c>
      <c r="D115" s="7" t="s">
        <v>5625</v>
      </c>
      <c r="E115" s="7" t="s">
        <v>5454</v>
      </c>
    </row>
    <row r="116" spans="1:6">
      <c r="A116" s="7" t="s">
        <v>5626</v>
      </c>
      <c r="D116" s="7" t="s">
        <v>5400</v>
      </c>
      <c r="E116" s="7" t="s">
        <v>5454</v>
      </c>
    </row>
    <row r="117" spans="1:6">
      <c r="A117" s="7" t="s">
        <v>5627</v>
      </c>
      <c r="D117" s="7" t="s">
        <v>5628</v>
      </c>
      <c r="E117" s="7" t="s">
        <v>4093</v>
      </c>
    </row>
    <row r="118" spans="1:6">
      <c r="A118" s="7" t="s">
        <v>5629</v>
      </c>
      <c r="D118" s="7" t="s">
        <v>5630</v>
      </c>
      <c r="E118" s="7" t="s">
        <v>4120</v>
      </c>
    </row>
    <row r="119" spans="1:6">
      <c r="A119" s="7" t="s">
        <v>5631</v>
      </c>
      <c r="D119" s="7" t="s">
        <v>5632</v>
      </c>
      <c r="E119" s="7" t="s">
        <v>4120</v>
      </c>
    </row>
    <row r="120" spans="1:6">
      <c r="A120" s="7" t="s">
        <v>5633</v>
      </c>
      <c r="D120" s="7" t="s">
        <v>5575</v>
      </c>
      <c r="E120" s="7" t="s">
        <v>4120</v>
      </c>
    </row>
    <row r="121" spans="1:6">
      <c r="A121" s="7" t="s">
        <v>5634</v>
      </c>
      <c r="D121" s="7" t="s">
        <v>5635</v>
      </c>
      <c r="E121" s="7" t="s">
        <v>4120</v>
      </c>
    </row>
    <row r="122" spans="1:6">
      <c r="A122" s="7" t="s">
        <v>5636</v>
      </c>
      <c r="D122" s="7" t="s">
        <v>5637</v>
      </c>
      <c r="E122" s="7" t="s">
        <v>5416</v>
      </c>
    </row>
    <row r="123" spans="1:6">
      <c r="A123" s="7" t="s">
        <v>5638</v>
      </c>
      <c r="D123" s="7" t="s">
        <v>5639</v>
      </c>
      <c r="E123" s="7" t="s">
        <v>4120</v>
      </c>
    </row>
    <row r="124" spans="1:6">
      <c r="A124" s="7" t="s">
        <v>5640</v>
      </c>
      <c r="D124" s="7" t="s">
        <v>4135</v>
      </c>
      <c r="E124" s="7" t="s">
        <v>5460</v>
      </c>
      <c r="F124" s="7"/>
    </row>
    <row r="125" spans="1:6">
      <c r="A125" s="7" t="s">
        <v>5641</v>
      </c>
      <c r="D125" s="7" t="s">
        <v>5642</v>
      </c>
      <c r="E125" s="7" t="s">
        <v>4096</v>
      </c>
      <c r="F125" s="7"/>
    </row>
    <row r="126" spans="1:6">
      <c r="A126" s="7" t="s">
        <v>5643</v>
      </c>
      <c r="D126" s="7" t="s">
        <v>5644</v>
      </c>
      <c r="E126" s="7" t="s">
        <v>4096</v>
      </c>
      <c r="F126" s="7"/>
    </row>
    <row r="127" spans="1:6">
      <c r="A127" s="7" t="s">
        <v>5645</v>
      </c>
      <c r="D127" s="7" t="s">
        <v>5646</v>
      </c>
      <c r="E127" s="7" t="s">
        <v>4096</v>
      </c>
      <c r="F127" s="7"/>
    </row>
    <row r="128" spans="1:6">
      <c r="A128" s="7" t="s">
        <v>5647</v>
      </c>
      <c r="D128" s="7" t="s">
        <v>5648</v>
      </c>
      <c r="E128" s="7" t="s">
        <v>4096</v>
      </c>
    </row>
    <row r="129" spans="1:6">
      <c r="A129" s="7" t="s">
        <v>5649</v>
      </c>
      <c r="D129" s="7" t="s">
        <v>5487</v>
      </c>
      <c r="E129" s="7" t="s">
        <v>4093</v>
      </c>
      <c r="F129" s="7"/>
    </row>
    <row r="130" spans="1:6">
      <c r="A130" s="7" t="s">
        <v>5650</v>
      </c>
      <c r="D130" s="7" t="s">
        <v>5651</v>
      </c>
      <c r="E130" s="7" t="s">
        <v>4093</v>
      </c>
      <c r="F130" s="7"/>
    </row>
    <row r="131" spans="1:6">
      <c r="A131" s="7" t="s">
        <v>5652</v>
      </c>
      <c r="D131" s="7" t="s">
        <v>5584</v>
      </c>
      <c r="E131" s="7" t="s">
        <v>4126</v>
      </c>
      <c r="F131" s="7"/>
    </row>
    <row r="132" spans="1:6">
      <c r="F132" s="7"/>
    </row>
    <row r="133" spans="1:6">
      <c r="F133" s="7"/>
    </row>
    <row r="134" spans="1:6">
      <c r="F134" s="7"/>
    </row>
    <row r="135" spans="1:6">
      <c r="F135" s="7"/>
    </row>
    <row r="136" spans="1:6">
      <c r="F136" s="7"/>
    </row>
    <row r="137" spans="1:6">
      <c r="F137" s="7"/>
    </row>
    <row r="138" spans="1:6">
      <c r="F138" s="7"/>
    </row>
    <row r="139" spans="1:6">
      <c r="F139" s="7"/>
    </row>
    <row r="140" spans="1:6">
      <c r="F140" s="7"/>
    </row>
    <row r="141" spans="1:6">
      <c r="F141" s="7"/>
    </row>
    <row r="142" spans="1:6">
      <c r="F142" s="7"/>
    </row>
    <row r="143" spans="1:6">
      <c r="F143" s="7"/>
    </row>
    <row r="144" spans="1:6">
      <c r="F144" s="7"/>
    </row>
    <row r="145" spans="6:6">
      <c r="F145" s="7"/>
    </row>
    <row r="146" spans="6:6">
      <c r="F146" s="7"/>
    </row>
    <row r="147" spans="6:6">
      <c r="F147" s="7"/>
    </row>
    <row r="148" spans="6:6">
      <c r="F148" s="7"/>
    </row>
    <row r="149" spans="6:6">
      <c r="F149" s="7"/>
    </row>
    <row r="150" spans="6:6">
      <c r="F150" s="7"/>
    </row>
    <row r="151" spans="6:6">
      <c r="F151" s="7"/>
    </row>
    <row r="152" spans="6:6">
      <c r="F152" s="7"/>
    </row>
    <row r="153" spans="6:6">
      <c r="F153" s="7"/>
    </row>
    <row r="154" spans="6:6">
      <c r="F154" s="7"/>
    </row>
    <row r="155" spans="6:6">
      <c r="F155" s="7"/>
    </row>
    <row r="156" spans="6:6">
      <c r="F156" s="7"/>
    </row>
    <row r="157" spans="6:6">
      <c r="F157" s="7"/>
    </row>
    <row r="158" spans="6:6">
      <c r="F158" s="7"/>
    </row>
    <row r="159" spans="6:6">
      <c r="F159" s="7"/>
    </row>
    <row r="160" spans="6:6">
      <c r="F160" s="7"/>
    </row>
    <row r="161" spans="6:6">
      <c r="F161" s="7"/>
    </row>
    <row r="162" spans="6:6">
      <c r="F162" s="7"/>
    </row>
    <row r="163" spans="6:6">
      <c r="F163" s="7"/>
    </row>
    <row r="164" spans="6:6">
      <c r="F164" s="7"/>
    </row>
    <row r="165" spans="6:6">
      <c r="F165" s="7"/>
    </row>
    <row r="166" spans="6:6">
      <c r="F166" s="7"/>
    </row>
  </sheetData>
  <autoFilter ref="A1:E1000" xr:uid="{00000000-0009-0000-0000-000008000000}"/>
  <conditionalFormatting sqref="H22:H44 J22:J44">
    <cfRule type="expression" dxfId="20" priority="46">
      <formula>$K22=2</formula>
    </cfRule>
    <cfRule type="expression" dxfId="19" priority="47">
      <formula>$K22=3</formula>
    </cfRule>
    <cfRule type="expression" dxfId="18" priority="48">
      <formula>$K22=4</formula>
    </cfRule>
    <cfRule type="expression" dxfId="17" priority="49">
      <formula>$K22=5</formula>
    </cfRule>
    <cfRule type="expression" dxfId="16" priority="50">
      <formula>$K22=6</formula>
    </cfRule>
  </conditionalFormatting>
  <conditionalFormatting sqref="H45:H54 J45:J54">
    <cfRule type="expression" dxfId="15" priority="1">
      <formula>$K44=2</formula>
    </cfRule>
    <cfRule type="expression" dxfId="14" priority="2">
      <formula>$K44=3</formula>
    </cfRule>
    <cfRule type="expression" dxfId="13" priority="3">
      <formula>$K44=4</formula>
    </cfRule>
    <cfRule type="expression" dxfId="12" priority="4">
      <formula>$K44=5</formula>
    </cfRule>
    <cfRule type="expression" dxfId="11" priority="5">
      <formula>$K44=6</formula>
    </cfRule>
  </conditionalFormatting>
  <conditionalFormatting sqref="I16">
    <cfRule type="notContainsBlanks" dxfId="10" priority="156">
      <formula>LEN(TRIM(I16))&gt;0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F35"/>
  <sheetViews>
    <sheetView workbookViewId="0"/>
  </sheetViews>
  <sheetFormatPr defaultColWidth="12.5703125" defaultRowHeight="15.75" customHeight="1"/>
  <cols>
    <col min="1" max="1" width="52" customWidth="1"/>
    <col min="2" max="2" width="18.85546875" customWidth="1"/>
  </cols>
  <sheetData>
    <row r="1" spans="1:6">
      <c r="A1" s="12" t="s">
        <v>5653</v>
      </c>
      <c r="B1" s="7" t="s">
        <v>5654</v>
      </c>
      <c r="C1" s="7" t="s">
        <v>5655</v>
      </c>
      <c r="D1" s="7" t="s">
        <v>5656</v>
      </c>
      <c r="E1" s="7" t="s">
        <v>5657</v>
      </c>
      <c r="F1" s="7" t="s">
        <v>4939</v>
      </c>
    </row>
    <row r="2" spans="1:6">
      <c r="A2" s="12" t="s">
        <v>5658</v>
      </c>
      <c r="B2" s="7" t="s">
        <v>5659</v>
      </c>
    </row>
    <row r="3" spans="1:6">
      <c r="A3" s="12" t="s">
        <v>5660</v>
      </c>
      <c r="F3" s="7" t="s">
        <v>5661</v>
      </c>
    </row>
    <row r="4" spans="1:6">
      <c r="A4" s="12" t="s">
        <v>5662</v>
      </c>
      <c r="F4" s="7" t="s">
        <v>5661</v>
      </c>
    </row>
    <row r="5" spans="1:6">
      <c r="A5" s="171" t="s">
        <v>5663</v>
      </c>
    </row>
    <row r="6" spans="1:6">
      <c r="A6" s="12" t="s">
        <v>5664</v>
      </c>
    </row>
    <row r="7" spans="1:6">
      <c r="A7" s="12" t="s">
        <v>5665</v>
      </c>
    </row>
    <row r="8" spans="1:6">
      <c r="A8" s="12" t="s">
        <v>5666</v>
      </c>
    </row>
    <row r="9" spans="1:6">
      <c r="A9" s="12" t="s">
        <v>5667</v>
      </c>
    </row>
    <row r="10" spans="1:6">
      <c r="A10" s="12" t="s">
        <v>5668</v>
      </c>
    </row>
    <row r="11" spans="1:6">
      <c r="A11" s="12" t="s">
        <v>5669</v>
      </c>
    </row>
    <row r="12" spans="1:6">
      <c r="A12" s="12" t="s">
        <v>5670</v>
      </c>
    </row>
    <row r="14" spans="1:6">
      <c r="A14" s="172" t="s">
        <v>5671</v>
      </c>
    </row>
    <row r="19" spans="2:3">
      <c r="B19" s="3" t="s">
        <v>5672</v>
      </c>
    </row>
    <row r="20" spans="2:3">
      <c r="B20" s="7" t="s">
        <v>5673</v>
      </c>
      <c r="C20" s="7" t="s">
        <v>5674</v>
      </c>
    </row>
    <row r="21" spans="2:3">
      <c r="B21" s="7" t="s">
        <v>5675</v>
      </c>
      <c r="C21" s="7" t="s">
        <v>5676</v>
      </c>
    </row>
    <row r="22" spans="2:3">
      <c r="B22" s="7" t="s">
        <v>5677</v>
      </c>
      <c r="C22" s="7" t="s">
        <v>5678</v>
      </c>
    </row>
    <row r="23" spans="2:3">
      <c r="B23" s="7" t="s">
        <v>5679</v>
      </c>
      <c r="C23" s="7" t="s">
        <v>5680</v>
      </c>
    </row>
    <row r="35" spans="2:2">
      <c r="B35" s="7" t="s">
        <v>5681</v>
      </c>
    </row>
  </sheetData>
  <hyperlinks>
    <hyperlink ref="A5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  <pageSetUpPr fitToPage="1"/>
  </sheetPr>
  <dimension ref="A1:AH72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17.85546875" customWidth="1"/>
    <col min="2" max="8" width="18.140625" customWidth="1"/>
    <col min="9" max="9" width="56" customWidth="1"/>
    <col min="10" max="10" width="59.28515625" customWidth="1"/>
    <col min="11" max="11" width="14.7109375" customWidth="1"/>
    <col min="12" max="12" width="7.7109375" customWidth="1"/>
    <col min="13" max="15" width="17.42578125" customWidth="1"/>
    <col min="16" max="16" width="27.28515625" customWidth="1"/>
    <col min="17" max="17" width="24.5703125" customWidth="1"/>
    <col min="18" max="18" width="20.85546875" customWidth="1"/>
    <col min="19" max="25" width="17.42578125" customWidth="1"/>
    <col min="28" max="28" width="42.42578125" customWidth="1"/>
    <col min="29" max="29" width="68.140625" customWidth="1"/>
    <col min="30" max="30" width="50.28515625" customWidth="1"/>
  </cols>
  <sheetData>
    <row r="1" spans="1:34">
      <c r="A1" s="173" t="s">
        <v>0</v>
      </c>
      <c r="B1" s="174"/>
      <c r="C1" s="174"/>
      <c r="D1" s="174"/>
      <c r="E1" s="174"/>
      <c r="F1" s="174"/>
      <c r="G1" s="174"/>
      <c r="H1" s="2" t="s">
        <v>0</v>
      </c>
      <c r="I1" s="2" t="s">
        <v>1</v>
      </c>
      <c r="J1" s="175"/>
      <c r="K1" s="176" t="s">
        <v>4182</v>
      </c>
      <c r="M1" s="7" t="s">
        <v>4184</v>
      </c>
      <c r="N1" s="7" t="s">
        <v>4185</v>
      </c>
      <c r="O1" s="7" t="s">
        <v>4186</v>
      </c>
      <c r="P1" s="177" t="s">
        <v>4187</v>
      </c>
      <c r="Q1" s="177" t="s">
        <v>4188</v>
      </c>
      <c r="R1" s="177" t="s">
        <v>4189</v>
      </c>
      <c r="S1" s="177" t="s">
        <v>4190</v>
      </c>
      <c r="AE1" s="35"/>
    </row>
    <row r="2" spans="1:34">
      <c r="A2" s="111" t="s">
        <v>4193</v>
      </c>
      <c r="B2" s="111">
        <f ca="1">IFERROR(__xludf.DUMMYFUNCTION("SPLIT(RIGHT(A2,17),"" "")"),0)</f>
        <v>0</v>
      </c>
      <c r="C2" s="111">
        <f ca="1">IFERROR(__xludf.DUMMYFUNCTION("""COMPUTED_VALUE"""),0)</f>
        <v>0</v>
      </c>
      <c r="D2" s="111">
        <f ca="1">IFERROR(__xludf.DUMMYFUNCTION("""COMPUTED_VALUE"""),0)</f>
        <v>0</v>
      </c>
      <c r="E2" s="111">
        <f ca="1">IFERROR(__xludf.DUMMYFUNCTION("""COMPUTED_VALUE"""),0)</f>
        <v>0</v>
      </c>
      <c r="F2" s="111">
        <f ca="1">IFERROR(__xludf.DUMMYFUNCTION("""COMPUTED_VALUE"""),0)</f>
        <v>0</v>
      </c>
      <c r="G2" s="111">
        <f ca="1">IFERROR(__xludf.DUMMYFUNCTION("""COMPUTED_VALUE"""),0)</f>
        <v>0</v>
      </c>
      <c r="H2" s="3" t="s">
        <v>4194</v>
      </c>
      <c r="I2" s="3" t="s">
        <v>4195</v>
      </c>
      <c r="J2" s="112" t="str">
        <f ca="1">IFERROR(__xludf.DUMMYFUNCTION("JOIN("": "",H2,I2)"),"3E-00-00-00-00-00-00: Elementos de entorno")</f>
        <v>3E-00-00-00-00-00-00: Elementos de entorno</v>
      </c>
      <c r="K2" s="4">
        <v>2</v>
      </c>
      <c r="L2" s="7"/>
      <c r="M2" s="7"/>
      <c r="N2" s="7"/>
      <c r="O2" s="7"/>
      <c r="P2" s="177"/>
      <c r="Q2" s="177"/>
      <c r="R2" s="177"/>
      <c r="S2" s="177"/>
      <c r="AD2" s="7"/>
      <c r="AE2" s="35"/>
      <c r="AH2" s="7"/>
    </row>
    <row r="3" spans="1:34">
      <c r="A3" s="111" t="s">
        <v>3</v>
      </c>
      <c r="B3" s="111">
        <f ca="1">IFERROR(__xludf.DUMMYFUNCTION("SPLIT(RIGHT(A3,17),"" "")"),2)</f>
        <v>2</v>
      </c>
      <c r="C3" s="111">
        <f ca="1">IFERROR(__xludf.DUMMYFUNCTION("""COMPUTED_VALUE"""),0)</f>
        <v>0</v>
      </c>
      <c r="D3" s="111">
        <f ca="1">IFERROR(__xludf.DUMMYFUNCTION("""COMPUTED_VALUE"""),0)</f>
        <v>0</v>
      </c>
      <c r="E3" s="111">
        <f ca="1">IFERROR(__xludf.DUMMYFUNCTION("""COMPUTED_VALUE"""),0)</f>
        <v>0</v>
      </c>
      <c r="F3" s="111">
        <f ca="1">IFERROR(__xludf.DUMMYFUNCTION("""COMPUTED_VALUE"""),0)</f>
        <v>0</v>
      </c>
      <c r="G3" s="111">
        <f ca="1">IFERROR(__xludf.DUMMYFUNCTION("""COMPUTED_VALUE"""),0)</f>
        <v>0</v>
      </c>
      <c r="H3" s="3" t="s">
        <v>4197</v>
      </c>
      <c r="I3" s="3" t="s">
        <v>4</v>
      </c>
      <c r="J3" s="112" t="str">
        <f ca="1">IFERROR(__xludf.DUMMYFUNCTION("JOIN("": "",H3,I3)"),"3E-02-00-00-00-00-00: Elementos de manejo do terreno")</f>
        <v>3E-02-00-00-00-00-00: Elementos de manejo do terreno</v>
      </c>
      <c r="K3" s="4">
        <v>2</v>
      </c>
      <c r="L3" s="7"/>
      <c r="M3" s="7">
        <v>10</v>
      </c>
      <c r="N3" s="7"/>
      <c r="O3" s="7"/>
      <c r="P3" s="177"/>
      <c r="Q3" s="177"/>
      <c r="R3" s="177"/>
      <c r="S3" s="177"/>
      <c r="AD3" s="7"/>
      <c r="AE3" s="35"/>
    </row>
    <row r="4" spans="1:34">
      <c r="A4" s="111" t="s">
        <v>5</v>
      </c>
      <c r="B4" s="111">
        <f ca="1">IFERROR(__xludf.DUMMYFUNCTION("SPLIT(RIGHT(A4,17),"" "")"),2)</f>
        <v>2</v>
      </c>
      <c r="C4" s="111">
        <f ca="1">IFERROR(__xludf.DUMMYFUNCTION("""COMPUTED_VALUE"""),2)</f>
        <v>2</v>
      </c>
      <c r="D4" s="111">
        <f ca="1">IFERROR(__xludf.DUMMYFUNCTION("""COMPUTED_VALUE"""),0)</f>
        <v>0</v>
      </c>
      <c r="E4" s="111">
        <f ca="1">IFERROR(__xludf.DUMMYFUNCTION("""COMPUTED_VALUE"""),0)</f>
        <v>0</v>
      </c>
      <c r="F4" s="111">
        <f ca="1">IFERROR(__xludf.DUMMYFUNCTION("""COMPUTED_VALUE"""),0)</f>
        <v>0</v>
      </c>
      <c r="G4" s="111">
        <f ca="1">IFERROR(__xludf.DUMMYFUNCTION("""COMPUTED_VALUE"""),0)</f>
        <v>0</v>
      </c>
      <c r="H4" s="3" t="s">
        <v>6</v>
      </c>
      <c r="I4" s="3" t="s">
        <v>7</v>
      </c>
      <c r="J4" s="112" t="str">
        <f ca="1">IFERROR(__xludf.DUMMYFUNCTION("JOIN("": "",H4,I4)"),"3E-02-02-00-00-00-00: Elementos de terrapleno")</f>
        <v>3E-02-02-00-00-00-00: Elementos de terrapleno</v>
      </c>
      <c r="K4" s="4">
        <v>3</v>
      </c>
      <c r="L4" s="7"/>
      <c r="M4" s="7"/>
      <c r="N4" s="7">
        <v>1</v>
      </c>
      <c r="O4" s="7"/>
      <c r="P4" s="177"/>
      <c r="Q4" s="177"/>
      <c r="R4" s="177"/>
      <c r="S4" s="177"/>
    </row>
    <row r="5" spans="1:34">
      <c r="A5" s="35" t="s">
        <v>9</v>
      </c>
      <c r="B5" s="111">
        <f ca="1">IFERROR(__xludf.DUMMYFUNCTION("SPLIT(RIGHT(A5,17),"" "")"),2)</f>
        <v>2</v>
      </c>
      <c r="C5" s="35">
        <f ca="1">IFERROR(__xludf.DUMMYFUNCTION("""COMPUTED_VALUE"""),2)</f>
        <v>2</v>
      </c>
      <c r="D5" s="35">
        <f ca="1">IFERROR(__xludf.DUMMYFUNCTION("""COMPUTED_VALUE"""),2)</f>
        <v>2</v>
      </c>
      <c r="E5" s="35">
        <f ca="1">IFERROR(__xludf.DUMMYFUNCTION("""COMPUTED_VALUE"""),0)</f>
        <v>0</v>
      </c>
      <c r="F5" s="35">
        <f ca="1">IFERROR(__xludf.DUMMYFUNCTION("""COMPUTED_VALUE"""),0)</f>
        <v>0</v>
      </c>
      <c r="G5" s="35">
        <f ca="1">IFERROR(__xludf.DUMMYFUNCTION("""COMPUTED_VALUE"""),0)</f>
        <v>0</v>
      </c>
      <c r="H5" s="7" t="s">
        <v>10</v>
      </c>
      <c r="I5" s="7" t="s">
        <v>11</v>
      </c>
      <c r="J5" s="112" t="str">
        <f ca="1">IFERROR(__xludf.DUMMYFUNCTION("JOIN("": "",H5,I5)"),"3E-02-02-02-00-00-00: Solo")</f>
        <v>3E-02-02-02-00-00-00: Solo</v>
      </c>
      <c r="K5" s="4">
        <v>4</v>
      </c>
      <c r="L5" s="7"/>
      <c r="M5" s="7"/>
      <c r="N5" s="7"/>
      <c r="O5" s="7">
        <v>5</v>
      </c>
      <c r="P5" s="177"/>
      <c r="Q5" s="177"/>
      <c r="R5" s="177"/>
      <c r="S5" s="177">
        <f t="shared" ref="S5:S8" si="0">O5*$M$3</f>
        <v>50</v>
      </c>
    </row>
    <row r="6" spans="1:34">
      <c r="A6" s="35" t="s">
        <v>13</v>
      </c>
      <c r="B6" s="111">
        <f ca="1">IFERROR(__xludf.DUMMYFUNCTION("SPLIT(RIGHT(A6,17),"" "")"),2)</f>
        <v>2</v>
      </c>
      <c r="C6" s="35">
        <f ca="1">IFERROR(__xludf.DUMMYFUNCTION("""COMPUTED_VALUE"""),2)</f>
        <v>2</v>
      </c>
      <c r="D6" s="35">
        <f ca="1">IFERROR(__xludf.DUMMYFUNCTION("""COMPUTED_VALUE"""),4)</f>
        <v>4</v>
      </c>
      <c r="E6" s="35">
        <f ca="1">IFERROR(__xludf.DUMMYFUNCTION("""COMPUTED_VALUE"""),0)</f>
        <v>0</v>
      </c>
      <c r="F6" s="35">
        <f ca="1">IFERROR(__xludf.DUMMYFUNCTION("""COMPUTED_VALUE"""),0)</f>
        <v>0</v>
      </c>
      <c r="G6" s="35">
        <f ca="1">IFERROR(__xludf.DUMMYFUNCTION("""COMPUTED_VALUE"""),0)</f>
        <v>0</v>
      </c>
      <c r="H6" s="7" t="s">
        <v>14</v>
      </c>
      <c r="I6" s="7" t="s">
        <v>15</v>
      </c>
      <c r="J6" s="112" t="str">
        <f ca="1">IFERROR(__xludf.DUMMYFUNCTION("JOIN("": "",H6,I6)"),"3E-02-02-04-00-00-00: Camada de solo orgânico")</f>
        <v>3E-02-02-04-00-00-00: Camada de solo orgânico</v>
      </c>
      <c r="K6" s="4">
        <v>4</v>
      </c>
      <c r="L6" s="7"/>
      <c r="M6" s="7"/>
      <c r="N6" s="7"/>
      <c r="O6" s="7">
        <v>6</v>
      </c>
      <c r="P6" s="177"/>
      <c r="Q6" s="177"/>
      <c r="R6" s="177"/>
      <c r="S6" s="177">
        <f t="shared" si="0"/>
        <v>60</v>
      </c>
    </row>
    <row r="7" spans="1:34">
      <c r="A7" s="35" t="s">
        <v>17</v>
      </c>
      <c r="B7" s="111">
        <f ca="1">IFERROR(__xludf.DUMMYFUNCTION("SPLIT(RIGHT(A7,17),"" "")"),2)</f>
        <v>2</v>
      </c>
      <c r="C7" s="35">
        <f ca="1">IFERROR(__xludf.DUMMYFUNCTION("""COMPUTED_VALUE"""),2)</f>
        <v>2</v>
      </c>
      <c r="D7" s="35">
        <f ca="1">IFERROR(__xludf.DUMMYFUNCTION("""COMPUTED_VALUE"""),6)</f>
        <v>6</v>
      </c>
      <c r="E7" s="35">
        <f ca="1">IFERROR(__xludf.DUMMYFUNCTION("""COMPUTED_VALUE"""),0)</f>
        <v>0</v>
      </c>
      <c r="F7" s="35">
        <f ca="1">IFERROR(__xludf.DUMMYFUNCTION("""COMPUTED_VALUE"""),0)</f>
        <v>0</v>
      </c>
      <c r="G7" s="35">
        <f ca="1">IFERROR(__xludf.DUMMYFUNCTION("""COMPUTED_VALUE"""),0)</f>
        <v>0</v>
      </c>
      <c r="H7" s="7" t="s">
        <v>18</v>
      </c>
      <c r="I7" s="7" t="s">
        <v>19</v>
      </c>
      <c r="J7" s="112" t="str">
        <f ca="1">IFERROR(__xludf.DUMMYFUNCTION("JOIN("": "",H7,I7)"),"3E-02-02-06-00-00-00: Platô")</f>
        <v>3E-02-02-06-00-00-00: Platô</v>
      </c>
      <c r="K7" s="4">
        <v>4</v>
      </c>
      <c r="L7" s="7"/>
      <c r="M7" s="7"/>
      <c r="N7" s="7"/>
      <c r="O7" s="7">
        <v>4</v>
      </c>
      <c r="P7" s="177"/>
      <c r="Q7" s="177"/>
      <c r="R7" s="177"/>
      <c r="S7" s="177">
        <f t="shared" si="0"/>
        <v>40</v>
      </c>
    </row>
    <row r="8" spans="1:34">
      <c r="A8" s="35" t="s">
        <v>21</v>
      </c>
      <c r="B8" s="111">
        <f ca="1">IFERROR(__xludf.DUMMYFUNCTION("SPLIT(RIGHT(A8,17),"" "")"),2)</f>
        <v>2</v>
      </c>
      <c r="C8" s="35">
        <f ca="1">IFERROR(__xludf.DUMMYFUNCTION("""COMPUTED_VALUE"""),2)</f>
        <v>2</v>
      </c>
      <c r="D8" s="35">
        <f ca="1">IFERROR(__xludf.DUMMYFUNCTION("""COMPUTED_VALUE"""),8)</f>
        <v>8</v>
      </c>
      <c r="E8" s="35">
        <f ca="1">IFERROR(__xludf.DUMMYFUNCTION("""COMPUTED_VALUE"""),0)</f>
        <v>0</v>
      </c>
      <c r="F8" s="35">
        <f ca="1">IFERROR(__xludf.DUMMYFUNCTION("""COMPUTED_VALUE"""),0)</f>
        <v>0</v>
      </c>
      <c r="G8" s="35">
        <f ca="1">IFERROR(__xludf.DUMMYFUNCTION("""COMPUTED_VALUE"""),0)</f>
        <v>0</v>
      </c>
      <c r="H8" s="7" t="s">
        <v>22</v>
      </c>
      <c r="I8" s="7" t="s">
        <v>23</v>
      </c>
      <c r="J8" s="112" t="str">
        <f ca="1">IFERROR(__xludf.DUMMYFUNCTION("JOIN("": "",H8,I8)"),"3E-02-02-08-00-00-00: Faixa terraplanada")</f>
        <v>3E-02-02-08-00-00-00: Faixa terraplanada</v>
      </c>
      <c r="K8" s="4">
        <v>4</v>
      </c>
      <c r="L8" s="7"/>
      <c r="M8" s="7"/>
      <c r="N8" s="7"/>
      <c r="O8" s="7">
        <v>5</v>
      </c>
      <c r="P8" s="177"/>
      <c r="Q8" s="177"/>
      <c r="R8" s="177"/>
      <c r="S8" s="177">
        <f t="shared" si="0"/>
        <v>50</v>
      </c>
    </row>
    <row r="9" spans="1:34">
      <c r="A9" s="111" t="s">
        <v>25</v>
      </c>
      <c r="B9" s="111">
        <f ca="1">IFERROR(__xludf.DUMMYFUNCTION("SPLIT(RIGHT(A9,17),"" "")"),2)</f>
        <v>2</v>
      </c>
      <c r="C9" s="111">
        <f ca="1">IFERROR(__xludf.DUMMYFUNCTION("""COMPUTED_VALUE"""),4)</f>
        <v>4</v>
      </c>
      <c r="D9" s="111">
        <f ca="1">IFERROR(__xludf.DUMMYFUNCTION("""COMPUTED_VALUE"""),0)</f>
        <v>0</v>
      </c>
      <c r="E9" s="111">
        <f ca="1">IFERROR(__xludf.DUMMYFUNCTION("""COMPUTED_VALUE"""),0)</f>
        <v>0</v>
      </c>
      <c r="F9" s="111">
        <f ca="1">IFERROR(__xludf.DUMMYFUNCTION("""COMPUTED_VALUE"""),0)</f>
        <v>0</v>
      </c>
      <c r="G9" s="111">
        <f ca="1">IFERROR(__xludf.DUMMYFUNCTION("""COMPUTED_VALUE"""),0)</f>
        <v>0</v>
      </c>
      <c r="H9" s="3" t="s">
        <v>26</v>
      </c>
      <c r="I9" s="3" t="s">
        <v>27</v>
      </c>
      <c r="J9" s="112" t="str">
        <f ca="1">IFERROR(__xludf.DUMMYFUNCTION("JOIN("": "",H9,I9)"),"3E-02-04-00-00-00-00: Elementos de contenção")</f>
        <v>3E-02-04-00-00-00-00: Elementos de contenção</v>
      </c>
      <c r="K9" s="4">
        <v>3</v>
      </c>
      <c r="L9" s="7"/>
      <c r="M9" s="7"/>
      <c r="N9" s="7">
        <v>2</v>
      </c>
      <c r="O9" s="7"/>
      <c r="P9" s="177"/>
      <c r="Q9" s="177"/>
      <c r="R9" s="177"/>
      <c r="S9" s="177"/>
    </row>
    <row r="10" spans="1:34">
      <c r="A10" s="35" t="s">
        <v>29</v>
      </c>
      <c r="B10" s="111">
        <f ca="1">IFERROR(__xludf.DUMMYFUNCTION("SPLIT(RIGHT(A10,17),"" "")"),2)</f>
        <v>2</v>
      </c>
      <c r="C10" s="35">
        <f ca="1">IFERROR(__xludf.DUMMYFUNCTION("""COMPUTED_VALUE"""),4)</f>
        <v>4</v>
      </c>
      <c r="D10" s="35">
        <f ca="1">IFERROR(__xludf.DUMMYFUNCTION("""COMPUTED_VALUE"""),2)</f>
        <v>2</v>
      </c>
      <c r="E10" s="35">
        <f ca="1">IFERROR(__xludf.DUMMYFUNCTION("""COMPUTED_VALUE"""),0)</f>
        <v>0</v>
      </c>
      <c r="F10" s="35">
        <f ca="1">IFERROR(__xludf.DUMMYFUNCTION("""COMPUTED_VALUE"""),0)</f>
        <v>0</v>
      </c>
      <c r="G10" s="35">
        <f ca="1">IFERROR(__xludf.DUMMYFUNCTION("""COMPUTED_VALUE"""),0)</f>
        <v>0</v>
      </c>
      <c r="H10" s="7" t="s">
        <v>30</v>
      </c>
      <c r="I10" s="7" t="s">
        <v>31</v>
      </c>
      <c r="J10" s="112" t="str">
        <f ca="1">IFERROR(__xludf.DUMMYFUNCTION("JOIN("": "",H10,I10)"),"3E-02-04-02-00-00-00: Muro de arrimo")</f>
        <v>3E-02-04-02-00-00-00: Muro de arrimo</v>
      </c>
      <c r="K10" s="4">
        <v>4</v>
      </c>
      <c r="L10" s="7"/>
      <c r="M10" s="7"/>
      <c r="N10" s="7"/>
      <c r="O10" s="7">
        <v>2</v>
      </c>
      <c r="P10" s="177"/>
      <c r="Q10" s="177"/>
      <c r="R10" s="177"/>
      <c r="S10" s="177">
        <f>O10*$M$3</f>
        <v>20</v>
      </c>
    </row>
    <row r="11" spans="1:34">
      <c r="A11" s="35" t="s">
        <v>33</v>
      </c>
      <c r="B11" s="111">
        <f ca="1">IFERROR(__xludf.DUMMYFUNCTION("SPLIT(RIGHT(A11,17),"" "")"),2)</f>
        <v>2</v>
      </c>
      <c r="C11" s="35">
        <f ca="1">IFERROR(__xludf.DUMMYFUNCTION("""COMPUTED_VALUE"""),4)</f>
        <v>4</v>
      </c>
      <c r="D11" s="35">
        <f ca="1">IFERROR(__xludf.DUMMYFUNCTION("""COMPUTED_VALUE"""),2)</f>
        <v>2</v>
      </c>
      <c r="E11" s="35">
        <f ca="1">IFERROR(__xludf.DUMMYFUNCTION("""COMPUTED_VALUE"""),2)</f>
        <v>2</v>
      </c>
      <c r="F11" s="35">
        <f ca="1">IFERROR(__xludf.DUMMYFUNCTION("""COMPUTED_VALUE"""),0)</f>
        <v>0</v>
      </c>
      <c r="G11" s="35">
        <f ca="1">IFERROR(__xludf.DUMMYFUNCTION("""COMPUTED_VALUE"""),0)</f>
        <v>0</v>
      </c>
      <c r="H11" s="7" t="s">
        <v>34</v>
      </c>
      <c r="I11" s="7" t="s">
        <v>35</v>
      </c>
      <c r="J11" s="112" t="str">
        <f ca="1">IFERROR(__xludf.DUMMYFUNCTION("JOIN("": "",H11,I11)"),"3E-02-04-02-02-00-00: Muro de arrimo por gravidade")</f>
        <v>3E-02-04-02-02-00-00: Muro de arrimo por gravidade</v>
      </c>
      <c r="K11" s="4">
        <v>5</v>
      </c>
      <c r="L11" s="7"/>
      <c r="M11" s="7"/>
      <c r="N11" s="7"/>
      <c r="O11" s="7"/>
      <c r="P11" s="177"/>
      <c r="Q11" s="177"/>
      <c r="R11" s="177"/>
      <c r="S11" s="177"/>
    </row>
    <row r="12" spans="1:34">
      <c r="A12" s="35" t="s">
        <v>37</v>
      </c>
      <c r="B12" s="111">
        <f ca="1">IFERROR(__xludf.DUMMYFUNCTION("SPLIT(RIGHT(A12,17),"" "")"),2)</f>
        <v>2</v>
      </c>
      <c r="C12" s="35">
        <f ca="1">IFERROR(__xludf.DUMMYFUNCTION("""COMPUTED_VALUE"""),4)</f>
        <v>4</v>
      </c>
      <c r="D12" s="35">
        <f ca="1">IFERROR(__xludf.DUMMYFUNCTION("""COMPUTED_VALUE"""),2)</f>
        <v>2</v>
      </c>
      <c r="E12" s="35">
        <f ca="1">IFERROR(__xludf.DUMMYFUNCTION("""COMPUTED_VALUE"""),4)</f>
        <v>4</v>
      </c>
      <c r="F12" s="35">
        <f ca="1">IFERROR(__xludf.DUMMYFUNCTION("""COMPUTED_VALUE"""),0)</f>
        <v>0</v>
      </c>
      <c r="G12" s="35">
        <f ca="1">IFERROR(__xludf.DUMMYFUNCTION("""COMPUTED_VALUE"""),0)</f>
        <v>0</v>
      </c>
      <c r="H12" s="7" t="s">
        <v>38</v>
      </c>
      <c r="I12" s="7" t="s">
        <v>39</v>
      </c>
      <c r="J12" s="112" t="str">
        <f ca="1">IFERROR(__xludf.DUMMYFUNCTION("JOIN("": "",H12,I12)"),"3E-02-04-02-04-00-00: Muro de arrimo por flexão")</f>
        <v>3E-02-04-02-04-00-00: Muro de arrimo por flexão</v>
      </c>
      <c r="K12" s="4">
        <v>5</v>
      </c>
      <c r="L12" s="7"/>
      <c r="M12" s="7"/>
      <c r="N12" s="7"/>
      <c r="O12" s="7"/>
      <c r="P12" s="177"/>
      <c r="Q12" s="177"/>
      <c r="R12" s="177"/>
      <c r="S12" s="177"/>
    </row>
    <row r="13" spans="1:34">
      <c r="A13" s="35" t="s">
        <v>41</v>
      </c>
      <c r="B13" s="111">
        <f ca="1">IFERROR(__xludf.DUMMYFUNCTION("SPLIT(RIGHT(A13,17),"" "")"),2)</f>
        <v>2</v>
      </c>
      <c r="C13" s="35">
        <f ca="1">IFERROR(__xludf.DUMMYFUNCTION("""COMPUTED_VALUE"""),4)</f>
        <v>4</v>
      </c>
      <c r="D13" s="35">
        <f ca="1">IFERROR(__xludf.DUMMYFUNCTION("""COMPUTED_VALUE"""),2)</f>
        <v>2</v>
      </c>
      <c r="E13" s="35">
        <f ca="1">IFERROR(__xludf.DUMMYFUNCTION("""COMPUTED_VALUE"""),6)</f>
        <v>6</v>
      </c>
      <c r="F13" s="35">
        <f ca="1">IFERROR(__xludf.DUMMYFUNCTION("""COMPUTED_VALUE"""),0)</f>
        <v>0</v>
      </c>
      <c r="G13" s="35">
        <f ca="1">IFERROR(__xludf.DUMMYFUNCTION("""COMPUTED_VALUE"""),0)</f>
        <v>0</v>
      </c>
      <c r="H13" s="7" t="s">
        <v>42</v>
      </c>
      <c r="I13" s="7" t="s">
        <v>43</v>
      </c>
      <c r="J13" s="112" t="str">
        <f ca="1">IFERROR(__xludf.DUMMYFUNCTION("JOIN("": "",H13,I13)"),"3E-02-04-02-06-00-00: Muro de gabião")</f>
        <v>3E-02-04-02-06-00-00: Muro de gabião</v>
      </c>
      <c r="K13" s="4">
        <v>5</v>
      </c>
      <c r="L13" s="7"/>
      <c r="M13" s="7"/>
      <c r="N13" s="7"/>
      <c r="O13" s="7"/>
      <c r="P13" s="177"/>
      <c r="Q13" s="177"/>
      <c r="R13" s="177"/>
      <c r="S13" s="177"/>
    </row>
    <row r="14" spans="1:34">
      <c r="A14" s="35" t="s">
        <v>45</v>
      </c>
      <c r="B14" s="111">
        <f ca="1">IFERROR(__xludf.DUMMYFUNCTION("SPLIT(RIGHT(A14,17),"" "")"),2)</f>
        <v>2</v>
      </c>
      <c r="C14" s="35">
        <f ca="1">IFERROR(__xludf.DUMMYFUNCTION("""COMPUTED_VALUE"""),4)</f>
        <v>4</v>
      </c>
      <c r="D14" s="35">
        <f ca="1">IFERROR(__xludf.DUMMYFUNCTION("""COMPUTED_VALUE"""),2)</f>
        <v>2</v>
      </c>
      <c r="E14" s="35">
        <f ca="1">IFERROR(__xludf.DUMMYFUNCTION("""COMPUTED_VALUE"""),8)</f>
        <v>8</v>
      </c>
      <c r="F14" s="35">
        <f ca="1">IFERROR(__xludf.DUMMYFUNCTION("""COMPUTED_VALUE"""),0)</f>
        <v>0</v>
      </c>
      <c r="G14" s="35">
        <f ca="1">IFERROR(__xludf.DUMMYFUNCTION("""COMPUTED_VALUE"""),0)</f>
        <v>0</v>
      </c>
      <c r="H14" s="7" t="s">
        <v>46</v>
      </c>
      <c r="I14" s="7" t="s">
        <v>47</v>
      </c>
      <c r="J14" s="112" t="str">
        <f ca="1">IFERROR(__xludf.DUMMYFUNCTION("JOIN("": "",H14,I14)"),"3E-02-04-02-08-00-00: Muro de flexão")</f>
        <v>3E-02-04-02-08-00-00: Muro de flexão</v>
      </c>
      <c r="K14" s="4">
        <v>5</v>
      </c>
      <c r="L14" s="7"/>
      <c r="M14" s="7"/>
      <c r="N14" s="7"/>
      <c r="O14" s="7"/>
      <c r="P14" s="177"/>
      <c r="Q14" s="177"/>
      <c r="R14" s="177"/>
      <c r="S14" s="177"/>
    </row>
    <row r="15" spans="1:34">
      <c r="A15" s="35" t="s">
        <v>49</v>
      </c>
      <c r="B15" s="111">
        <f ca="1">IFERROR(__xludf.DUMMYFUNCTION("SPLIT(RIGHT(A15,17),"" "")"),2)</f>
        <v>2</v>
      </c>
      <c r="C15" s="35">
        <f ca="1">IFERROR(__xludf.DUMMYFUNCTION("""COMPUTED_VALUE"""),4)</f>
        <v>4</v>
      </c>
      <c r="D15" s="35">
        <f ca="1">IFERROR(__xludf.DUMMYFUNCTION("""COMPUTED_VALUE"""),4)</f>
        <v>4</v>
      </c>
      <c r="E15" s="35">
        <f ca="1">IFERROR(__xludf.DUMMYFUNCTION("""COMPUTED_VALUE"""),0)</f>
        <v>0</v>
      </c>
      <c r="F15" s="35">
        <f ca="1">IFERROR(__xludf.DUMMYFUNCTION("""COMPUTED_VALUE"""),0)</f>
        <v>0</v>
      </c>
      <c r="G15" s="35">
        <f ca="1">IFERROR(__xludf.DUMMYFUNCTION("""COMPUTED_VALUE"""),0)</f>
        <v>0</v>
      </c>
      <c r="H15" s="7" t="s">
        <v>50</v>
      </c>
      <c r="I15" s="7" t="s">
        <v>51</v>
      </c>
      <c r="J15" s="112" t="str">
        <f ca="1">IFERROR(__xludf.DUMMYFUNCTION("JOIN("": "",H15,I15)"),"3E-02-04-04-00-00-00: Solo grampeado")</f>
        <v>3E-02-04-04-00-00-00: Solo grampeado</v>
      </c>
      <c r="K15" s="4">
        <v>4</v>
      </c>
      <c r="L15" s="7"/>
      <c r="M15" s="7"/>
      <c r="N15" s="7"/>
      <c r="O15" s="7">
        <v>3</v>
      </c>
      <c r="P15" s="177"/>
      <c r="Q15" s="177"/>
      <c r="R15" s="177"/>
      <c r="S15" s="177">
        <f t="shared" ref="S15:S16" si="1">O15*$M$3</f>
        <v>30</v>
      </c>
    </row>
    <row r="16" spans="1:34">
      <c r="A16" s="35" t="s">
        <v>53</v>
      </c>
      <c r="B16" s="111">
        <f ca="1">IFERROR(__xludf.DUMMYFUNCTION("SPLIT(RIGHT(A16,17),"" "")"),2)</f>
        <v>2</v>
      </c>
      <c r="C16" s="35">
        <f ca="1">IFERROR(__xludf.DUMMYFUNCTION("""COMPUTED_VALUE"""),4)</f>
        <v>4</v>
      </c>
      <c r="D16" s="35">
        <f ca="1">IFERROR(__xludf.DUMMYFUNCTION("""COMPUTED_VALUE"""),6)</f>
        <v>6</v>
      </c>
      <c r="E16" s="35">
        <f ca="1">IFERROR(__xludf.DUMMYFUNCTION("""COMPUTED_VALUE"""),0)</f>
        <v>0</v>
      </c>
      <c r="F16" s="35">
        <f ca="1">IFERROR(__xludf.DUMMYFUNCTION("""COMPUTED_VALUE"""),0)</f>
        <v>0</v>
      </c>
      <c r="G16" s="35">
        <f ca="1">IFERROR(__xludf.DUMMYFUNCTION("""COMPUTED_VALUE"""),0)</f>
        <v>0</v>
      </c>
      <c r="H16" s="7" t="s">
        <v>54</v>
      </c>
      <c r="I16" s="7" t="s">
        <v>55</v>
      </c>
      <c r="J16" s="112" t="str">
        <f ca="1">IFERROR(__xludf.DUMMYFUNCTION("JOIN("": "",H16,I16)"),"3E-02-04-06-00-00-00: Cortina de contenção")</f>
        <v>3E-02-04-06-00-00-00: Cortina de contenção</v>
      </c>
      <c r="K16" s="4">
        <v>4</v>
      </c>
      <c r="L16" s="7"/>
      <c r="M16" s="7"/>
      <c r="N16" s="7"/>
      <c r="O16" s="7">
        <v>2</v>
      </c>
      <c r="P16" s="177"/>
      <c r="Q16" s="177"/>
      <c r="R16" s="177"/>
      <c r="S16" s="177">
        <f t="shared" si="1"/>
        <v>20</v>
      </c>
    </row>
    <row r="17" spans="1:19">
      <c r="A17" s="35" t="s">
        <v>57</v>
      </c>
      <c r="B17" s="111">
        <f ca="1">IFERROR(__xludf.DUMMYFUNCTION("SPLIT(RIGHT(A17,17),"" "")"),2)</f>
        <v>2</v>
      </c>
      <c r="C17" s="35">
        <f ca="1">IFERROR(__xludf.DUMMYFUNCTION("""COMPUTED_VALUE"""),4)</f>
        <v>4</v>
      </c>
      <c r="D17" s="35">
        <f ca="1">IFERROR(__xludf.DUMMYFUNCTION("""COMPUTED_VALUE"""),6)</f>
        <v>6</v>
      </c>
      <c r="E17" s="35">
        <f ca="1">IFERROR(__xludf.DUMMYFUNCTION("""COMPUTED_VALUE"""),2)</f>
        <v>2</v>
      </c>
      <c r="F17" s="35">
        <f ca="1">IFERROR(__xludf.DUMMYFUNCTION("""COMPUTED_VALUE"""),0)</f>
        <v>0</v>
      </c>
      <c r="G17" s="35">
        <f ca="1">IFERROR(__xludf.DUMMYFUNCTION("""COMPUTED_VALUE"""),0)</f>
        <v>0</v>
      </c>
      <c r="H17" s="7" t="s">
        <v>58</v>
      </c>
      <c r="I17" s="7" t="s">
        <v>59</v>
      </c>
      <c r="J17" s="112" t="str">
        <f ca="1">IFERROR(__xludf.DUMMYFUNCTION("JOIN("": "",H17,I17)"),"3E-02-04-06-02-00-00: Contenção escorada")</f>
        <v>3E-02-04-06-02-00-00: Contenção escorada</v>
      </c>
      <c r="K17" s="4">
        <v>5</v>
      </c>
      <c r="L17" s="7"/>
      <c r="M17" s="7"/>
      <c r="N17" s="7"/>
      <c r="O17" s="7"/>
      <c r="P17" s="177"/>
      <c r="Q17" s="177"/>
      <c r="R17" s="177"/>
      <c r="S17" s="177"/>
    </row>
    <row r="18" spans="1:19">
      <c r="A18" s="35" t="s">
        <v>61</v>
      </c>
      <c r="B18" s="111">
        <f ca="1">IFERROR(__xludf.DUMMYFUNCTION("SPLIT(RIGHT(A18,17),"" "")"),2)</f>
        <v>2</v>
      </c>
      <c r="C18" s="35">
        <f ca="1">IFERROR(__xludf.DUMMYFUNCTION("""COMPUTED_VALUE"""),4)</f>
        <v>4</v>
      </c>
      <c r="D18" s="35">
        <f ca="1">IFERROR(__xludf.DUMMYFUNCTION("""COMPUTED_VALUE"""),6)</f>
        <v>6</v>
      </c>
      <c r="E18" s="35">
        <f ca="1">IFERROR(__xludf.DUMMYFUNCTION("""COMPUTED_VALUE"""),4)</f>
        <v>4</v>
      </c>
      <c r="F18" s="35">
        <f ca="1">IFERROR(__xludf.DUMMYFUNCTION("""COMPUTED_VALUE"""),0)</f>
        <v>0</v>
      </c>
      <c r="G18" s="35">
        <f ca="1">IFERROR(__xludf.DUMMYFUNCTION("""COMPUTED_VALUE"""),0)</f>
        <v>0</v>
      </c>
      <c r="H18" s="7" t="s">
        <v>62</v>
      </c>
      <c r="I18" s="7" t="s">
        <v>63</v>
      </c>
      <c r="J18" s="112" t="str">
        <f ca="1">IFERROR(__xludf.DUMMYFUNCTION("JOIN("": "",H18,I18)"),"3E-02-04-06-04-00-00: Contenção não escorada")</f>
        <v>3E-02-04-06-04-00-00: Contenção não escorada</v>
      </c>
      <c r="K18" s="4">
        <v>5</v>
      </c>
      <c r="L18" s="7"/>
      <c r="M18" s="7"/>
      <c r="N18" s="7"/>
      <c r="O18" s="7"/>
      <c r="P18" s="177"/>
      <c r="Q18" s="177"/>
      <c r="R18" s="177"/>
      <c r="S18" s="177"/>
    </row>
    <row r="19" spans="1:19">
      <c r="A19" s="35" t="s">
        <v>65</v>
      </c>
      <c r="B19" s="111">
        <f ca="1">IFERROR(__xludf.DUMMYFUNCTION("SPLIT(RIGHT(A19,17),"" "")"),2)</f>
        <v>2</v>
      </c>
      <c r="C19" s="35">
        <f ca="1">IFERROR(__xludf.DUMMYFUNCTION("""COMPUTED_VALUE"""),4)</f>
        <v>4</v>
      </c>
      <c r="D19" s="35">
        <f ca="1">IFERROR(__xludf.DUMMYFUNCTION("""COMPUTED_VALUE"""),6)</f>
        <v>6</v>
      </c>
      <c r="E19" s="35">
        <f ca="1">IFERROR(__xludf.DUMMYFUNCTION("""COMPUTED_VALUE"""),6)</f>
        <v>6</v>
      </c>
      <c r="F19" s="35">
        <f ca="1">IFERROR(__xludf.DUMMYFUNCTION("""COMPUTED_VALUE"""),0)</f>
        <v>0</v>
      </c>
      <c r="G19" s="35">
        <f ca="1">IFERROR(__xludf.DUMMYFUNCTION("""COMPUTED_VALUE"""),0)</f>
        <v>0</v>
      </c>
      <c r="H19" s="7" t="s">
        <v>66</v>
      </c>
      <c r="I19" s="7" t="s">
        <v>67</v>
      </c>
      <c r="J19" s="112" t="str">
        <f ca="1">IFERROR(__xludf.DUMMYFUNCTION("JOIN("": "",H19,I19)"),"3E-02-04-06-06-00-00: Berma")</f>
        <v>3E-02-04-06-06-00-00: Berma</v>
      </c>
      <c r="K19" s="4">
        <v>5</v>
      </c>
      <c r="L19" s="7"/>
      <c r="M19" s="7"/>
      <c r="N19" s="7"/>
      <c r="O19" s="7"/>
      <c r="P19" s="177"/>
      <c r="Q19" s="177"/>
      <c r="R19" s="177"/>
      <c r="S19" s="177"/>
    </row>
    <row r="20" spans="1:19">
      <c r="A20" s="35" t="s">
        <v>69</v>
      </c>
      <c r="B20" s="111">
        <f ca="1">IFERROR(__xludf.DUMMYFUNCTION("SPLIT(RIGHT(A20,17),"" "")"),2)</f>
        <v>2</v>
      </c>
      <c r="C20" s="35">
        <f ca="1">IFERROR(__xludf.DUMMYFUNCTION("""COMPUTED_VALUE"""),4)</f>
        <v>4</v>
      </c>
      <c r="D20" s="35">
        <f ca="1">IFERROR(__xludf.DUMMYFUNCTION("""COMPUTED_VALUE"""),6)</f>
        <v>6</v>
      </c>
      <c r="E20" s="35">
        <f ca="1">IFERROR(__xludf.DUMMYFUNCTION("""COMPUTED_VALUE"""),8)</f>
        <v>8</v>
      </c>
      <c r="F20" s="35">
        <f ca="1">IFERROR(__xludf.DUMMYFUNCTION("""COMPUTED_VALUE"""),0)</f>
        <v>0</v>
      </c>
      <c r="G20" s="35">
        <f ca="1">IFERROR(__xludf.DUMMYFUNCTION("""COMPUTED_VALUE"""),0)</f>
        <v>0</v>
      </c>
      <c r="H20" s="7" t="s">
        <v>70</v>
      </c>
      <c r="I20" s="7" t="s">
        <v>71</v>
      </c>
      <c r="J20" s="112" t="str">
        <f ca="1">IFERROR(__xludf.DUMMYFUNCTION("JOIN("": "",H20,I20)"),"3E-02-04-06-08-00-00: Cortina de contenção com pranchão")</f>
        <v>3E-02-04-06-08-00-00: Cortina de contenção com pranchão</v>
      </c>
      <c r="K20" s="4">
        <v>5</v>
      </c>
      <c r="L20" s="7"/>
      <c r="M20" s="7"/>
      <c r="N20" s="7"/>
      <c r="O20" s="7"/>
      <c r="P20" s="177"/>
      <c r="Q20" s="177"/>
      <c r="R20" s="177"/>
      <c r="S20" s="177"/>
    </row>
    <row r="21" spans="1:19">
      <c r="A21" s="35" t="s">
        <v>73</v>
      </c>
      <c r="B21" s="111">
        <f ca="1">IFERROR(__xludf.DUMMYFUNCTION("SPLIT(RIGHT(A21,17),"" "")"),2)</f>
        <v>2</v>
      </c>
      <c r="C21" s="35">
        <f ca="1">IFERROR(__xludf.DUMMYFUNCTION("""COMPUTED_VALUE"""),4)</f>
        <v>4</v>
      </c>
      <c r="D21" s="35">
        <f ca="1">IFERROR(__xludf.DUMMYFUNCTION("""COMPUTED_VALUE"""),6)</f>
        <v>6</v>
      </c>
      <c r="E21" s="35">
        <f ca="1">IFERROR(__xludf.DUMMYFUNCTION("""COMPUTED_VALUE"""),10)</f>
        <v>10</v>
      </c>
      <c r="F21" s="35">
        <f ca="1">IFERROR(__xludf.DUMMYFUNCTION("""COMPUTED_VALUE"""),0)</f>
        <v>0</v>
      </c>
      <c r="G21" s="35">
        <f ca="1">IFERROR(__xludf.DUMMYFUNCTION("""COMPUTED_VALUE"""),0)</f>
        <v>0</v>
      </c>
      <c r="H21" s="7" t="s">
        <v>74</v>
      </c>
      <c r="I21" s="7" t="s">
        <v>75</v>
      </c>
      <c r="J21" s="112" t="str">
        <f ca="1">IFERROR(__xludf.DUMMYFUNCTION("JOIN("": "",H21,I21)"),"3E-02-04-06-10-00-00: Cortina de contenção com estacas justapostas")</f>
        <v>3E-02-04-06-10-00-00: Cortina de contenção com estacas justapostas</v>
      </c>
      <c r="K21" s="4">
        <v>5</v>
      </c>
      <c r="L21" s="7"/>
      <c r="M21" s="7"/>
      <c r="N21" s="7"/>
      <c r="O21" s="7"/>
      <c r="P21" s="177"/>
      <c r="Q21" s="177"/>
      <c r="R21" s="177"/>
      <c r="S21" s="177"/>
    </row>
    <row r="22" spans="1:19">
      <c r="A22" s="35" t="s">
        <v>77</v>
      </c>
      <c r="B22" s="111">
        <f ca="1">IFERROR(__xludf.DUMMYFUNCTION("SPLIT(RIGHT(A22,17),"" "")"),2)</f>
        <v>2</v>
      </c>
      <c r="C22" s="35">
        <f ca="1">IFERROR(__xludf.DUMMYFUNCTION("""COMPUTED_VALUE"""),4)</f>
        <v>4</v>
      </c>
      <c r="D22" s="35">
        <f ca="1">IFERROR(__xludf.DUMMYFUNCTION("""COMPUTED_VALUE"""),6)</f>
        <v>6</v>
      </c>
      <c r="E22" s="35">
        <f ca="1">IFERROR(__xludf.DUMMYFUNCTION("""COMPUTED_VALUE"""),12)</f>
        <v>12</v>
      </c>
      <c r="F22" s="35">
        <f ca="1">IFERROR(__xludf.DUMMYFUNCTION("""COMPUTED_VALUE"""),0)</f>
        <v>0</v>
      </c>
      <c r="G22" s="35">
        <f ca="1">IFERROR(__xludf.DUMMYFUNCTION("""COMPUTED_VALUE"""),0)</f>
        <v>0</v>
      </c>
      <c r="H22" s="7" t="s">
        <v>78</v>
      </c>
      <c r="I22" s="7" t="s">
        <v>79</v>
      </c>
      <c r="J22" s="112" t="str">
        <f ca="1">IFERROR(__xludf.DUMMYFUNCTION("JOIN("": "",H22,I22)"),"3E-02-04-06-12-00-00: Cortina de contenção com parede diafragma")</f>
        <v>3E-02-04-06-12-00-00: Cortina de contenção com parede diafragma</v>
      </c>
      <c r="K22" s="4">
        <v>5</v>
      </c>
      <c r="L22" s="7"/>
      <c r="M22" s="7"/>
      <c r="N22" s="7"/>
      <c r="O22" s="7"/>
      <c r="P22" s="177"/>
      <c r="Q22" s="177"/>
      <c r="R22" s="177"/>
      <c r="S22" s="177"/>
    </row>
    <row r="23" spans="1:19">
      <c r="A23" s="111" t="s">
        <v>81</v>
      </c>
      <c r="B23" s="111">
        <f ca="1">IFERROR(__xludf.DUMMYFUNCTION("SPLIT(RIGHT(A23,17),"" "")"),2)</f>
        <v>2</v>
      </c>
      <c r="C23" s="111">
        <f ca="1">IFERROR(__xludf.DUMMYFUNCTION("""COMPUTED_VALUE"""),6)</f>
        <v>6</v>
      </c>
      <c r="D23" s="111">
        <f ca="1">IFERROR(__xludf.DUMMYFUNCTION("""COMPUTED_VALUE"""),0)</f>
        <v>0</v>
      </c>
      <c r="E23" s="111">
        <f ca="1">IFERROR(__xludf.DUMMYFUNCTION("""COMPUTED_VALUE"""),0)</f>
        <v>0</v>
      </c>
      <c r="F23" s="111">
        <f ca="1">IFERROR(__xludf.DUMMYFUNCTION("""COMPUTED_VALUE"""),0)</f>
        <v>0</v>
      </c>
      <c r="G23" s="111">
        <f ca="1">IFERROR(__xludf.DUMMYFUNCTION("""COMPUTED_VALUE"""),0)</f>
        <v>0</v>
      </c>
      <c r="H23" s="3" t="s">
        <v>82</v>
      </c>
      <c r="I23" s="3" t="s">
        <v>83</v>
      </c>
      <c r="J23" s="112" t="str">
        <f ca="1">IFERROR(__xludf.DUMMYFUNCTION("JOIN("": "",H23,I23)"),"3E-02-06-00-00-00-00: Elementos de talude")</f>
        <v>3E-02-06-00-00-00-00: Elementos de talude</v>
      </c>
      <c r="K23" s="4">
        <v>3</v>
      </c>
      <c r="L23" s="7"/>
      <c r="M23" s="7"/>
      <c r="N23" s="7"/>
      <c r="O23" s="7"/>
      <c r="P23" s="177"/>
      <c r="Q23" s="177"/>
      <c r="R23" s="177"/>
      <c r="S23" s="177"/>
    </row>
    <row r="24" spans="1:19">
      <c r="A24" s="35" t="s">
        <v>85</v>
      </c>
      <c r="B24" s="111">
        <f ca="1">IFERROR(__xludf.DUMMYFUNCTION("SPLIT(RIGHT(A24,17),"" "")"),2)</f>
        <v>2</v>
      </c>
      <c r="C24" s="35">
        <f ca="1">IFERROR(__xludf.DUMMYFUNCTION("""COMPUTED_VALUE"""),6)</f>
        <v>6</v>
      </c>
      <c r="D24" s="35">
        <f ca="1">IFERROR(__xludf.DUMMYFUNCTION("""COMPUTED_VALUE"""),2)</f>
        <v>2</v>
      </c>
      <c r="E24" s="35">
        <f ca="1">IFERROR(__xludf.DUMMYFUNCTION("""COMPUTED_VALUE"""),0)</f>
        <v>0</v>
      </c>
      <c r="F24" s="35">
        <f ca="1">IFERROR(__xludf.DUMMYFUNCTION("""COMPUTED_VALUE"""),0)</f>
        <v>0</v>
      </c>
      <c r="G24" s="35">
        <f ca="1">IFERROR(__xludf.DUMMYFUNCTION("""COMPUTED_VALUE"""),0)</f>
        <v>0</v>
      </c>
      <c r="H24" s="7" t="s">
        <v>86</v>
      </c>
      <c r="I24" s="7" t="s">
        <v>87</v>
      </c>
      <c r="J24" s="112" t="str">
        <f ca="1">IFERROR(__xludf.DUMMYFUNCTION("JOIN("": "",H24,I24)"),"3E-02-06-02-00-00-00: Talude escalonado")</f>
        <v>3E-02-06-02-00-00-00: Talude escalonado</v>
      </c>
      <c r="K24" s="4">
        <v>4</v>
      </c>
      <c r="L24" s="7"/>
      <c r="M24" s="7"/>
      <c r="N24" s="7"/>
      <c r="O24" s="7">
        <v>5</v>
      </c>
      <c r="P24" s="177"/>
      <c r="Q24" s="177"/>
      <c r="R24" s="177"/>
      <c r="S24" s="177">
        <f t="shared" ref="S24:S26" si="2">$M$23*O24</f>
        <v>0</v>
      </c>
    </row>
    <row r="25" spans="1:19">
      <c r="A25" s="35" t="s">
        <v>89</v>
      </c>
      <c r="B25" s="111">
        <f ca="1">IFERROR(__xludf.DUMMYFUNCTION("SPLIT(RIGHT(A25,17),"" "")"),2)</f>
        <v>2</v>
      </c>
      <c r="C25" s="35">
        <f ca="1">IFERROR(__xludf.DUMMYFUNCTION("""COMPUTED_VALUE"""),6)</f>
        <v>6</v>
      </c>
      <c r="D25" s="35">
        <f ca="1">IFERROR(__xludf.DUMMYFUNCTION("""COMPUTED_VALUE"""),4)</f>
        <v>4</v>
      </c>
      <c r="E25" s="35">
        <f ca="1">IFERROR(__xludf.DUMMYFUNCTION("""COMPUTED_VALUE"""),0)</f>
        <v>0</v>
      </c>
      <c r="F25" s="35">
        <f ca="1">IFERROR(__xludf.DUMMYFUNCTION("""COMPUTED_VALUE"""),0)</f>
        <v>0</v>
      </c>
      <c r="G25" s="35">
        <f ca="1">IFERROR(__xludf.DUMMYFUNCTION("""COMPUTED_VALUE"""),0)</f>
        <v>0</v>
      </c>
      <c r="H25" s="7" t="s">
        <v>90</v>
      </c>
      <c r="I25" s="7" t="s">
        <v>91</v>
      </c>
      <c r="J25" s="112" t="str">
        <f ca="1">IFERROR(__xludf.DUMMYFUNCTION("JOIN("": "",H25,I25)"),"3E-02-06-04-00-00-00: Coroamento do talude")</f>
        <v>3E-02-06-04-00-00-00: Coroamento do talude</v>
      </c>
      <c r="K25" s="4">
        <v>4</v>
      </c>
      <c r="L25" s="7"/>
      <c r="M25" s="7"/>
      <c r="N25" s="7"/>
      <c r="O25" s="7">
        <v>6</v>
      </c>
      <c r="P25" s="177"/>
      <c r="Q25" s="177"/>
      <c r="R25" s="177"/>
      <c r="S25" s="177">
        <f t="shared" si="2"/>
        <v>0</v>
      </c>
    </row>
    <row r="26" spans="1:19">
      <c r="A26" s="35" t="s">
        <v>93</v>
      </c>
      <c r="B26" s="111">
        <f ca="1">IFERROR(__xludf.DUMMYFUNCTION("SPLIT(RIGHT(A26,17),"" "")"),2)</f>
        <v>2</v>
      </c>
      <c r="C26" s="35">
        <f ca="1">IFERROR(__xludf.DUMMYFUNCTION("""COMPUTED_VALUE"""),6)</f>
        <v>6</v>
      </c>
      <c r="D26" s="35">
        <f ca="1">IFERROR(__xludf.DUMMYFUNCTION("""COMPUTED_VALUE"""),6)</f>
        <v>6</v>
      </c>
      <c r="E26" s="35">
        <f ca="1">IFERROR(__xludf.DUMMYFUNCTION("""COMPUTED_VALUE"""),0)</f>
        <v>0</v>
      </c>
      <c r="F26" s="35">
        <f ca="1">IFERROR(__xludf.DUMMYFUNCTION("""COMPUTED_VALUE"""),0)</f>
        <v>0</v>
      </c>
      <c r="G26" s="35">
        <f ca="1">IFERROR(__xludf.DUMMYFUNCTION("""COMPUTED_VALUE"""),0)</f>
        <v>0</v>
      </c>
      <c r="H26" s="7" t="s">
        <v>94</v>
      </c>
      <c r="I26" s="7" t="s">
        <v>95</v>
      </c>
      <c r="J26" s="112" t="str">
        <f ca="1">IFERROR(__xludf.DUMMYFUNCTION("JOIN("": "",H26,I26)"),"3E-02-06-06-00-00-00: Pé do talude")</f>
        <v>3E-02-06-06-00-00-00: Pé do talude</v>
      </c>
      <c r="K26" s="4">
        <v>4</v>
      </c>
      <c r="L26" s="7"/>
      <c r="M26" s="7"/>
      <c r="N26" s="7"/>
      <c r="O26" s="7">
        <v>4</v>
      </c>
      <c r="P26" s="177"/>
      <c r="Q26" s="177"/>
      <c r="R26" s="177"/>
      <c r="S26" s="177">
        <f t="shared" si="2"/>
        <v>0</v>
      </c>
    </row>
    <row r="27" spans="1:19">
      <c r="A27" s="111" t="s">
        <v>97</v>
      </c>
      <c r="B27" s="111">
        <f ca="1">IFERROR(__xludf.DUMMYFUNCTION("SPLIT(RIGHT(A27,17),"" "")"),2)</f>
        <v>2</v>
      </c>
      <c r="C27" s="111">
        <f ca="1">IFERROR(__xludf.DUMMYFUNCTION("""COMPUTED_VALUE"""),8)</f>
        <v>8</v>
      </c>
      <c r="D27" s="111">
        <f ca="1">IFERROR(__xludf.DUMMYFUNCTION("""COMPUTED_VALUE"""),0)</f>
        <v>0</v>
      </c>
      <c r="E27" s="111">
        <f ca="1">IFERROR(__xludf.DUMMYFUNCTION("""COMPUTED_VALUE"""),0)</f>
        <v>0</v>
      </c>
      <c r="F27" s="111">
        <f ca="1">IFERROR(__xludf.DUMMYFUNCTION("""COMPUTED_VALUE"""),0)</f>
        <v>0</v>
      </c>
      <c r="G27" s="111">
        <f ca="1">IFERROR(__xludf.DUMMYFUNCTION("""COMPUTED_VALUE"""),0)</f>
        <v>0</v>
      </c>
      <c r="H27" s="3" t="s">
        <v>98</v>
      </c>
      <c r="I27" s="3" t="s">
        <v>99</v>
      </c>
      <c r="J27" s="112" t="str">
        <f ca="1">IFERROR(__xludf.DUMMYFUNCTION("JOIN("": "",H27,I27)"),"3E-02-08-00-00-00-00: Elementos de aterro")</f>
        <v>3E-02-08-00-00-00-00: Elementos de aterro</v>
      </c>
      <c r="K27" s="4">
        <v>3</v>
      </c>
      <c r="L27" s="7"/>
      <c r="M27" s="7"/>
      <c r="N27" s="7"/>
      <c r="O27" s="7"/>
      <c r="P27" s="177"/>
      <c r="Q27" s="177"/>
      <c r="R27" s="177"/>
      <c r="S27" s="177"/>
    </row>
    <row r="28" spans="1:19">
      <c r="A28" s="35" t="s">
        <v>101</v>
      </c>
      <c r="B28" s="111">
        <f ca="1">IFERROR(__xludf.DUMMYFUNCTION("SPLIT(RIGHT(A28,17),"" "")"),2)</f>
        <v>2</v>
      </c>
      <c r="C28" s="35">
        <f ca="1">IFERROR(__xludf.DUMMYFUNCTION("""COMPUTED_VALUE"""),8)</f>
        <v>8</v>
      </c>
      <c r="D28" s="35">
        <f ca="1">IFERROR(__xludf.DUMMYFUNCTION("""COMPUTED_VALUE"""),2)</f>
        <v>2</v>
      </c>
      <c r="E28" s="35">
        <f ca="1">IFERROR(__xludf.DUMMYFUNCTION("""COMPUTED_VALUE"""),0)</f>
        <v>0</v>
      </c>
      <c r="F28" s="35">
        <f ca="1">IFERROR(__xludf.DUMMYFUNCTION("""COMPUTED_VALUE"""),0)</f>
        <v>0</v>
      </c>
      <c r="G28" s="35">
        <f ca="1">IFERROR(__xludf.DUMMYFUNCTION("""COMPUTED_VALUE"""),0)</f>
        <v>0</v>
      </c>
      <c r="H28" s="7" t="s">
        <v>102</v>
      </c>
      <c r="I28" s="7" t="s">
        <v>103</v>
      </c>
      <c r="J28" s="112" t="str">
        <f ca="1">IFERROR(__xludf.DUMMYFUNCTION("JOIN("": "",H28,I28)"),"3E-02-08-02-00-00-00: Corte do aterro")</f>
        <v>3E-02-08-02-00-00-00: Corte do aterro</v>
      </c>
      <c r="K28" s="4">
        <v>4</v>
      </c>
      <c r="L28" s="7"/>
      <c r="M28" s="7"/>
      <c r="N28" s="7"/>
      <c r="O28" s="7"/>
      <c r="P28" s="177"/>
      <c r="Q28" s="177"/>
      <c r="R28" s="177"/>
      <c r="S28" s="177"/>
    </row>
    <row r="29" spans="1:19">
      <c r="A29" s="35" t="s">
        <v>105</v>
      </c>
      <c r="B29" s="111">
        <f ca="1">IFERROR(__xludf.DUMMYFUNCTION("SPLIT(RIGHT(A29,17),"" "")"),2)</f>
        <v>2</v>
      </c>
      <c r="C29" s="35">
        <f ca="1">IFERROR(__xludf.DUMMYFUNCTION("""COMPUTED_VALUE"""),8)</f>
        <v>8</v>
      </c>
      <c r="D29" s="35">
        <f ca="1">IFERROR(__xludf.DUMMYFUNCTION("""COMPUTED_VALUE"""),2)</f>
        <v>2</v>
      </c>
      <c r="E29" s="35">
        <f ca="1">IFERROR(__xludf.DUMMYFUNCTION("""COMPUTED_VALUE"""),2)</f>
        <v>2</v>
      </c>
      <c r="F29" s="35">
        <f ca="1">IFERROR(__xludf.DUMMYFUNCTION("""COMPUTED_VALUE"""),0)</f>
        <v>0</v>
      </c>
      <c r="G29" s="35">
        <f ca="1">IFERROR(__xludf.DUMMYFUNCTION("""COMPUTED_VALUE"""),0)</f>
        <v>0</v>
      </c>
      <c r="H29" s="7" t="s">
        <v>106</v>
      </c>
      <c r="I29" s="7" t="s">
        <v>107</v>
      </c>
      <c r="J29" s="112" t="str">
        <f ca="1">IFERROR(__xludf.DUMMYFUNCTION("JOIN("": "",H29,I29)"),"3E-02-08-02-02-00-00: Pé do corte")</f>
        <v>3E-02-08-02-02-00-00: Pé do corte</v>
      </c>
      <c r="K29" s="4">
        <v>5</v>
      </c>
      <c r="L29" s="7"/>
      <c r="M29" s="7"/>
      <c r="N29" s="7"/>
      <c r="O29" s="7"/>
      <c r="P29" s="177"/>
      <c r="Q29" s="177"/>
      <c r="R29" s="177"/>
      <c r="S29" s="177"/>
    </row>
    <row r="30" spans="1:19">
      <c r="A30" s="35" t="s">
        <v>109</v>
      </c>
      <c r="B30" s="111">
        <f ca="1">IFERROR(__xludf.DUMMYFUNCTION("SPLIT(RIGHT(A30,17),"" "")"),2)</f>
        <v>2</v>
      </c>
      <c r="C30" s="35">
        <f ca="1">IFERROR(__xludf.DUMMYFUNCTION("""COMPUTED_VALUE"""),8)</f>
        <v>8</v>
      </c>
      <c r="D30" s="35">
        <f ca="1">IFERROR(__xludf.DUMMYFUNCTION("""COMPUTED_VALUE"""),4)</f>
        <v>4</v>
      </c>
      <c r="E30" s="35">
        <f ca="1">IFERROR(__xludf.DUMMYFUNCTION("""COMPUTED_VALUE"""),0)</f>
        <v>0</v>
      </c>
      <c r="F30" s="35">
        <f ca="1">IFERROR(__xludf.DUMMYFUNCTION("""COMPUTED_VALUE"""),0)</f>
        <v>0</v>
      </c>
      <c r="G30" s="35">
        <f ca="1">IFERROR(__xludf.DUMMYFUNCTION("""COMPUTED_VALUE"""),0)</f>
        <v>0</v>
      </c>
      <c r="H30" s="7" t="s">
        <v>110</v>
      </c>
      <c r="I30" s="7" t="s">
        <v>111</v>
      </c>
      <c r="J30" s="112" t="str">
        <f ca="1">IFERROR(__xludf.DUMMYFUNCTION("JOIN("": "",H30,I30)"),"3E-02-08-04-00-00-00: Aterro")</f>
        <v>3E-02-08-04-00-00-00: Aterro</v>
      </c>
      <c r="K30" s="4">
        <v>4</v>
      </c>
      <c r="L30" s="7"/>
      <c r="M30" s="7"/>
      <c r="N30" s="7"/>
      <c r="O30" s="7"/>
      <c r="P30" s="177"/>
      <c r="Q30" s="177"/>
      <c r="R30" s="177"/>
      <c r="S30" s="177"/>
    </row>
    <row r="31" spans="1:19">
      <c r="A31" s="35" t="s">
        <v>113</v>
      </c>
      <c r="B31" s="111">
        <f ca="1">IFERROR(__xludf.DUMMYFUNCTION("SPLIT(RIGHT(A31,17),"" "")"),2)</f>
        <v>2</v>
      </c>
      <c r="C31" s="35">
        <f ca="1">IFERROR(__xludf.DUMMYFUNCTION("""COMPUTED_VALUE"""),8)</f>
        <v>8</v>
      </c>
      <c r="D31" s="35">
        <f ca="1">IFERROR(__xludf.DUMMYFUNCTION("""COMPUTED_VALUE"""),4)</f>
        <v>4</v>
      </c>
      <c r="E31" s="35">
        <f ca="1">IFERROR(__xludf.DUMMYFUNCTION("""COMPUTED_VALUE"""),2)</f>
        <v>2</v>
      </c>
      <c r="F31" s="35">
        <f ca="1">IFERROR(__xludf.DUMMYFUNCTION("""COMPUTED_VALUE"""),0)</f>
        <v>0</v>
      </c>
      <c r="G31" s="35">
        <f ca="1">IFERROR(__xludf.DUMMYFUNCTION("""COMPUTED_VALUE"""),0)</f>
        <v>0</v>
      </c>
      <c r="H31" s="7" t="s">
        <v>114</v>
      </c>
      <c r="I31" s="7" t="s">
        <v>115</v>
      </c>
      <c r="J31" s="112" t="str">
        <f ca="1">IFERROR(__xludf.DUMMYFUNCTION("JOIN("": "",H31,I31)"),"3E-02-08-04-02-00-00: Aterro sobre solo inconsistente")</f>
        <v>3E-02-08-04-02-00-00: Aterro sobre solo inconsistente</v>
      </c>
      <c r="K31" s="4">
        <v>5</v>
      </c>
      <c r="L31" s="7"/>
      <c r="M31" s="7"/>
      <c r="N31" s="7"/>
      <c r="O31" s="7"/>
      <c r="P31" s="177"/>
      <c r="Q31" s="177"/>
      <c r="R31" s="177"/>
      <c r="S31" s="177"/>
    </row>
    <row r="32" spans="1:19">
      <c r="A32" s="35" t="s">
        <v>117</v>
      </c>
      <c r="B32" s="111">
        <f ca="1">IFERROR(__xludf.DUMMYFUNCTION("SPLIT(RIGHT(A32,17),"" "")"),2)</f>
        <v>2</v>
      </c>
      <c r="C32" s="35">
        <f ca="1">IFERROR(__xludf.DUMMYFUNCTION("""COMPUTED_VALUE"""),8)</f>
        <v>8</v>
      </c>
      <c r="D32" s="35">
        <f ca="1">IFERROR(__xludf.DUMMYFUNCTION("""COMPUTED_VALUE"""),4)</f>
        <v>4</v>
      </c>
      <c r="E32" s="35">
        <f ca="1">IFERROR(__xludf.DUMMYFUNCTION("""COMPUTED_VALUE"""),4)</f>
        <v>4</v>
      </c>
      <c r="F32" s="35">
        <f ca="1">IFERROR(__xludf.DUMMYFUNCTION("""COMPUTED_VALUE"""),0)</f>
        <v>0</v>
      </c>
      <c r="G32" s="35">
        <f ca="1">IFERROR(__xludf.DUMMYFUNCTION("""COMPUTED_VALUE"""),0)</f>
        <v>0</v>
      </c>
      <c r="H32" s="7" t="s">
        <v>118</v>
      </c>
      <c r="I32" s="7" t="s">
        <v>119</v>
      </c>
      <c r="J32" s="112" t="str">
        <f ca="1">IFERROR(__xludf.DUMMYFUNCTION("JOIN("": "",H32,I32)"),"3E-02-08-04-04-00-00: Berma de equilíbrio do aterro")</f>
        <v>3E-02-08-04-04-00-00: Berma de equilíbrio do aterro</v>
      </c>
      <c r="K32" s="4">
        <v>5</v>
      </c>
      <c r="L32" s="7"/>
      <c r="M32" s="7"/>
      <c r="N32" s="7"/>
      <c r="O32" s="7"/>
      <c r="P32" s="177"/>
      <c r="Q32" s="177"/>
      <c r="R32" s="177"/>
      <c r="S32" s="177"/>
    </row>
    <row r="33" spans="1:31">
      <c r="A33" s="35" t="s">
        <v>121</v>
      </c>
      <c r="B33" s="111">
        <f ca="1">IFERROR(__xludf.DUMMYFUNCTION("SPLIT(RIGHT(A33,17),"" "")"),2)</f>
        <v>2</v>
      </c>
      <c r="C33" s="35">
        <f ca="1">IFERROR(__xludf.DUMMYFUNCTION("""COMPUTED_VALUE"""),8)</f>
        <v>8</v>
      </c>
      <c r="D33" s="35">
        <f ca="1">IFERROR(__xludf.DUMMYFUNCTION("""COMPUTED_VALUE"""),4)</f>
        <v>4</v>
      </c>
      <c r="E33" s="35">
        <f ca="1">IFERROR(__xludf.DUMMYFUNCTION("""COMPUTED_VALUE"""),6)</f>
        <v>6</v>
      </c>
      <c r="F33" s="35">
        <f ca="1">IFERROR(__xludf.DUMMYFUNCTION("""COMPUTED_VALUE"""),0)</f>
        <v>0</v>
      </c>
      <c r="G33" s="35">
        <f ca="1">IFERROR(__xludf.DUMMYFUNCTION("""COMPUTED_VALUE"""),0)</f>
        <v>0</v>
      </c>
      <c r="H33" s="7" t="s">
        <v>122</v>
      </c>
      <c r="I33" s="7" t="s">
        <v>123</v>
      </c>
      <c r="J33" s="112" t="str">
        <f ca="1">IFERROR(__xludf.DUMMYFUNCTION("JOIN("": "",H33,I33)"),"3E-02-08-04-06-00-00: Crista do aterro")</f>
        <v>3E-02-08-04-06-00-00: Crista do aterro</v>
      </c>
      <c r="K33" s="4">
        <v>5</v>
      </c>
      <c r="L33" s="7"/>
      <c r="M33" s="7"/>
      <c r="N33" s="7"/>
      <c r="O33" s="7"/>
      <c r="P33" s="177"/>
      <c r="Q33" s="177"/>
      <c r="R33" s="177"/>
      <c r="S33" s="177"/>
    </row>
    <row r="34" spans="1:31">
      <c r="A34" s="35" t="s">
        <v>125</v>
      </c>
      <c r="B34" s="111">
        <f ca="1">IFERROR(__xludf.DUMMYFUNCTION("SPLIT(RIGHT(A34,17),"" "")"),2)</f>
        <v>2</v>
      </c>
      <c r="C34" s="35">
        <f ca="1">IFERROR(__xludf.DUMMYFUNCTION("""COMPUTED_VALUE"""),8)</f>
        <v>8</v>
      </c>
      <c r="D34" s="35">
        <f ca="1">IFERROR(__xludf.DUMMYFUNCTION("""COMPUTED_VALUE"""),4)</f>
        <v>4</v>
      </c>
      <c r="E34" s="35">
        <f ca="1">IFERROR(__xludf.DUMMYFUNCTION("""COMPUTED_VALUE"""),8)</f>
        <v>8</v>
      </c>
      <c r="F34" s="35">
        <f ca="1">IFERROR(__xludf.DUMMYFUNCTION("""COMPUTED_VALUE"""),0)</f>
        <v>0</v>
      </c>
      <c r="G34" s="35">
        <f ca="1">IFERROR(__xludf.DUMMYFUNCTION("""COMPUTED_VALUE"""),0)</f>
        <v>0</v>
      </c>
      <c r="H34" s="7" t="s">
        <v>126</v>
      </c>
      <c r="I34" s="7" t="s">
        <v>127</v>
      </c>
      <c r="J34" s="112" t="str">
        <f ca="1">IFERROR(__xludf.DUMMYFUNCTION("JOIN("": "",H34,I34)"),"3E-02-08-04-08-00-00: Pé do aterro")</f>
        <v>3E-02-08-04-08-00-00: Pé do aterro</v>
      </c>
      <c r="K34" s="4">
        <v>5</v>
      </c>
      <c r="L34" s="7"/>
      <c r="M34" s="7"/>
      <c r="N34" s="7"/>
      <c r="O34" s="7"/>
      <c r="P34" s="177"/>
      <c r="Q34" s="177"/>
      <c r="R34" s="177"/>
      <c r="S34" s="177"/>
    </row>
    <row r="35" spans="1:31">
      <c r="A35" s="35" t="s">
        <v>129</v>
      </c>
      <c r="B35" s="111">
        <f ca="1">IFERROR(__xludf.DUMMYFUNCTION("SPLIT(RIGHT(A35,17),"" "")"),2)</f>
        <v>2</v>
      </c>
      <c r="C35" s="35">
        <f ca="1">IFERROR(__xludf.DUMMYFUNCTION("""COMPUTED_VALUE"""),8)</f>
        <v>8</v>
      </c>
      <c r="D35" s="35">
        <f ca="1">IFERROR(__xludf.DUMMYFUNCTION("""COMPUTED_VALUE"""),4)</f>
        <v>4</v>
      </c>
      <c r="E35" s="35">
        <f ca="1">IFERROR(__xludf.DUMMYFUNCTION("""COMPUTED_VALUE"""),10)</f>
        <v>10</v>
      </c>
      <c r="F35" s="35">
        <f ca="1">IFERROR(__xludf.DUMMYFUNCTION("""COMPUTED_VALUE"""),0)</f>
        <v>0</v>
      </c>
      <c r="G35" s="35">
        <f ca="1">IFERROR(__xludf.DUMMYFUNCTION("""COMPUTED_VALUE"""),0)</f>
        <v>0</v>
      </c>
      <c r="H35" s="7" t="s">
        <v>130</v>
      </c>
      <c r="I35" s="7" t="s">
        <v>131</v>
      </c>
      <c r="J35" s="112" t="str">
        <f ca="1">IFERROR(__xludf.DUMMYFUNCTION("JOIN("": "",H35,I35)"),"3E-02-08-04-10-00-00: Corpo do aterro")</f>
        <v>3E-02-08-04-10-00-00: Corpo do aterro</v>
      </c>
      <c r="K35" s="4">
        <v>5</v>
      </c>
      <c r="L35" s="7"/>
      <c r="M35" s="7"/>
      <c r="N35" s="7"/>
      <c r="O35" s="7"/>
      <c r="P35" s="177"/>
      <c r="Q35" s="177"/>
      <c r="R35" s="177"/>
      <c r="S35" s="177"/>
    </row>
    <row r="36" spans="1:31">
      <c r="A36" s="111" t="s">
        <v>133</v>
      </c>
      <c r="B36" s="111">
        <f ca="1">IFERROR(__xludf.DUMMYFUNCTION("SPLIT(RIGHT(A36,17),"" "")"),2)</f>
        <v>2</v>
      </c>
      <c r="C36" s="111">
        <f ca="1">IFERROR(__xludf.DUMMYFUNCTION("""COMPUTED_VALUE"""),10)</f>
        <v>10</v>
      </c>
      <c r="D36" s="111">
        <f ca="1">IFERROR(__xludf.DUMMYFUNCTION("""COMPUTED_VALUE"""),0)</f>
        <v>0</v>
      </c>
      <c r="E36" s="111">
        <f ca="1">IFERROR(__xludf.DUMMYFUNCTION("""COMPUTED_VALUE"""),0)</f>
        <v>0</v>
      </c>
      <c r="F36" s="111">
        <f ca="1">IFERROR(__xludf.DUMMYFUNCTION("""COMPUTED_VALUE"""),0)</f>
        <v>0</v>
      </c>
      <c r="G36" s="111">
        <f ca="1">IFERROR(__xludf.DUMMYFUNCTION("""COMPUTED_VALUE"""),0)</f>
        <v>0</v>
      </c>
      <c r="H36" s="3" t="s">
        <v>134</v>
      </c>
      <c r="I36" s="3" t="s">
        <v>135</v>
      </c>
      <c r="J36" s="112" t="str">
        <f ca="1">IFERROR(__xludf.DUMMYFUNCTION("JOIN("": "",H36,I36)"),"3E-02-10-00-00-00-00: Elementos para delimitação de implantação")</f>
        <v>3E-02-10-00-00-00-00: Elementos para delimitação de implantação</v>
      </c>
      <c r="K36" s="4">
        <v>3</v>
      </c>
      <c r="L36" s="7"/>
      <c r="M36" s="7"/>
      <c r="N36" s="7"/>
      <c r="O36" s="7"/>
      <c r="P36" s="177"/>
      <c r="Q36" s="177"/>
      <c r="R36" s="177"/>
      <c r="S36" s="177"/>
    </row>
    <row r="37" spans="1:31">
      <c r="A37" s="35" t="s">
        <v>137</v>
      </c>
      <c r="B37" s="111">
        <f ca="1">IFERROR(__xludf.DUMMYFUNCTION("SPLIT(RIGHT(A37,17),"" "")"),2)</f>
        <v>2</v>
      </c>
      <c r="C37" s="35">
        <f ca="1">IFERROR(__xludf.DUMMYFUNCTION("""COMPUTED_VALUE"""),10)</f>
        <v>10</v>
      </c>
      <c r="D37" s="35">
        <f ca="1">IFERROR(__xludf.DUMMYFUNCTION("""COMPUTED_VALUE"""),2)</f>
        <v>2</v>
      </c>
      <c r="E37" s="35">
        <f ca="1">IFERROR(__xludf.DUMMYFUNCTION("""COMPUTED_VALUE"""),0)</f>
        <v>0</v>
      </c>
      <c r="F37" s="35">
        <f ca="1">IFERROR(__xludf.DUMMYFUNCTION("""COMPUTED_VALUE"""),0)</f>
        <v>0</v>
      </c>
      <c r="G37" s="35">
        <f ca="1">IFERROR(__xludf.DUMMYFUNCTION("""COMPUTED_VALUE"""),0)</f>
        <v>0</v>
      </c>
      <c r="H37" s="7" t="s">
        <v>138</v>
      </c>
      <c r="I37" s="7" t="s">
        <v>139</v>
      </c>
      <c r="J37" s="112" t="str">
        <f ca="1">IFERROR(__xludf.DUMMYFUNCTION("JOIN("": "",H37,I37)"),"3E-02-10-02-00-00-00: Cerca para delimitação de implantação")</f>
        <v>3E-02-10-02-00-00-00: Cerca para delimitação de implantação</v>
      </c>
      <c r="K37" s="4">
        <v>4</v>
      </c>
      <c r="L37" s="7"/>
      <c r="M37" s="7"/>
      <c r="N37" s="7"/>
      <c r="O37" s="7"/>
      <c r="P37" s="177"/>
      <c r="Q37" s="177"/>
      <c r="R37" s="177"/>
      <c r="S37" s="177"/>
    </row>
    <row r="38" spans="1:31">
      <c r="A38" s="35" t="s">
        <v>141</v>
      </c>
      <c r="B38" s="111">
        <f ca="1">IFERROR(__xludf.DUMMYFUNCTION("SPLIT(RIGHT(A38,17),"" "")"),2)</f>
        <v>2</v>
      </c>
      <c r="C38" s="35">
        <f ca="1">IFERROR(__xludf.DUMMYFUNCTION("""COMPUTED_VALUE"""),10)</f>
        <v>10</v>
      </c>
      <c r="D38" s="35">
        <f ca="1">IFERROR(__xludf.DUMMYFUNCTION("""COMPUTED_VALUE"""),4)</f>
        <v>4</v>
      </c>
      <c r="E38" s="35">
        <f ca="1">IFERROR(__xludf.DUMMYFUNCTION("""COMPUTED_VALUE"""),0)</f>
        <v>0</v>
      </c>
      <c r="F38" s="35">
        <f ca="1">IFERROR(__xludf.DUMMYFUNCTION("""COMPUTED_VALUE"""),0)</f>
        <v>0</v>
      </c>
      <c r="G38" s="35">
        <f ca="1">IFERROR(__xludf.DUMMYFUNCTION("""COMPUTED_VALUE"""),0)</f>
        <v>0</v>
      </c>
      <c r="H38" s="7" t="s">
        <v>142</v>
      </c>
      <c r="I38" s="7" t="s">
        <v>143</v>
      </c>
      <c r="J38" s="112" t="str">
        <f ca="1">IFERROR(__xludf.DUMMYFUNCTION("JOIN("": "",H38,I38)"),"3E-02-10-04-00-00-00: Muro para delimitação de implantação")</f>
        <v>3E-02-10-04-00-00-00: Muro para delimitação de implantação</v>
      </c>
      <c r="K38" s="4">
        <v>4</v>
      </c>
      <c r="L38" s="7"/>
      <c r="M38" s="7"/>
      <c r="N38" s="7"/>
      <c r="O38" s="7"/>
      <c r="P38" s="177"/>
      <c r="Q38" s="177"/>
      <c r="R38" s="177"/>
      <c r="S38" s="177"/>
    </row>
    <row r="39" spans="1:31">
      <c r="A39" s="35" t="s">
        <v>145</v>
      </c>
      <c r="B39" s="111">
        <f ca="1">IFERROR(__xludf.DUMMYFUNCTION("SPLIT(RIGHT(A39,17),"" "")"),2)</f>
        <v>2</v>
      </c>
      <c r="C39" s="35">
        <f ca="1">IFERROR(__xludf.DUMMYFUNCTION("""COMPUTED_VALUE"""),10)</f>
        <v>10</v>
      </c>
      <c r="D39" s="35">
        <f ca="1">IFERROR(__xludf.DUMMYFUNCTION("""COMPUTED_VALUE"""),6)</f>
        <v>6</v>
      </c>
      <c r="E39" s="35">
        <f ca="1">IFERROR(__xludf.DUMMYFUNCTION("""COMPUTED_VALUE"""),0)</f>
        <v>0</v>
      </c>
      <c r="F39" s="35">
        <f ca="1">IFERROR(__xludf.DUMMYFUNCTION("""COMPUTED_VALUE"""),0)</f>
        <v>0</v>
      </c>
      <c r="G39" s="35">
        <f ca="1">IFERROR(__xludf.DUMMYFUNCTION("""COMPUTED_VALUE"""),0)</f>
        <v>0</v>
      </c>
      <c r="H39" s="7" t="s">
        <v>146</v>
      </c>
      <c r="I39" s="7" t="s">
        <v>147</v>
      </c>
      <c r="J39" s="112" t="str">
        <f ca="1">IFERROR(__xludf.DUMMYFUNCTION("JOIN("": "",H39,I39)"),"3E-02-10-06-00-00-00: Mureta para delimitação de implantação")</f>
        <v>3E-02-10-06-00-00-00: Mureta para delimitação de implantação</v>
      </c>
      <c r="K39" s="4">
        <v>4</v>
      </c>
      <c r="L39" s="7"/>
      <c r="M39" s="7"/>
      <c r="N39" s="7"/>
      <c r="O39" s="7"/>
      <c r="P39" s="177"/>
      <c r="Q39" s="177"/>
      <c r="R39" s="177"/>
      <c r="S39" s="177"/>
    </row>
    <row r="40" spans="1:31">
      <c r="A40" s="111" t="s">
        <v>149</v>
      </c>
      <c r="B40" s="111">
        <f ca="1">IFERROR(__xludf.DUMMYFUNCTION("SPLIT(RIGHT(A40,17),"" "")"),2)</f>
        <v>2</v>
      </c>
      <c r="C40" s="111">
        <f ca="1">IFERROR(__xludf.DUMMYFUNCTION("""COMPUTED_VALUE"""),12)</f>
        <v>12</v>
      </c>
      <c r="D40" s="111">
        <f ca="1">IFERROR(__xludf.DUMMYFUNCTION("""COMPUTED_VALUE"""),0)</f>
        <v>0</v>
      </c>
      <c r="E40" s="111">
        <f ca="1">IFERROR(__xludf.DUMMYFUNCTION("""COMPUTED_VALUE"""),0)</f>
        <v>0</v>
      </c>
      <c r="F40" s="111">
        <f ca="1">IFERROR(__xludf.DUMMYFUNCTION("""COMPUTED_VALUE"""),0)</f>
        <v>0</v>
      </c>
      <c r="G40" s="111">
        <f ca="1">IFERROR(__xludf.DUMMYFUNCTION("""COMPUTED_VALUE"""),0)</f>
        <v>0</v>
      </c>
      <c r="H40" s="3" t="s">
        <v>150</v>
      </c>
      <c r="I40" s="3" t="s">
        <v>151</v>
      </c>
      <c r="J40" s="112" t="str">
        <f ca="1">IFERROR(__xludf.DUMMYFUNCTION("JOIN("": "",H40,I40)"),"3E-02-12-00-00-00-00: Elementos de plantio")</f>
        <v>3E-02-12-00-00-00-00: Elementos de plantio</v>
      </c>
      <c r="K40" s="4">
        <v>3</v>
      </c>
      <c r="L40" s="7"/>
      <c r="M40" s="7"/>
      <c r="N40" s="7"/>
      <c r="O40" s="7"/>
      <c r="P40" s="177"/>
      <c r="Q40" s="177"/>
      <c r="R40" s="177"/>
      <c r="S40" s="177"/>
    </row>
    <row r="41" spans="1:31">
      <c r="A41" s="35" t="s">
        <v>153</v>
      </c>
      <c r="B41" s="111">
        <f ca="1">IFERROR(__xludf.DUMMYFUNCTION("SPLIT(RIGHT(A41,17),"" "")"),2)</f>
        <v>2</v>
      </c>
      <c r="C41" s="35">
        <f ca="1">IFERROR(__xludf.DUMMYFUNCTION("""COMPUTED_VALUE"""),12)</f>
        <v>12</v>
      </c>
      <c r="D41" s="35">
        <f ca="1">IFERROR(__xludf.DUMMYFUNCTION("""COMPUTED_VALUE"""),2)</f>
        <v>2</v>
      </c>
      <c r="E41" s="35">
        <f ca="1">IFERROR(__xludf.DUMMYFUNCTION("""COMPUTED_VALUE"""),0)</f>
        <v>0</v>
      </c>
      <c r="F41" s="35">
        <f ca="1">IFERROR(__xludf.DUMMYFUNCTION("""COMPUTED_VALUE"""),0)</f>
        <v>0</v>
      </c>
      <c r="G41" s="35">
        <f ca="1">IFERROR(__xludf.DUMMYFUNCTION("""COMPUTED_VALUE"""),0)</f>
        <v>0</v>
      </c>
      <c r="H41" s="7" t="s">
        <v>154</v>
      </c>
      <c r="I41" s="7" t="s">
        <v>155</v>
      </c>
      <c r="J41" s="112" t="str">
        <f ca="1">IFERROR(__xludf.DUMMYFUNCTION("JOIN("": "",H41,I41)"),"3E-02-12-02-00-00-00: Gramas")</f>
        <v>3E-02-12-02-00-00-00: Gramas</v>
      </c>
      <c r="K41" s="4">
        <v>4</v>
      </c>
      <c r="L41" s="7"/>
      <c r="M41" s="7"/>
      <c r="N41" s="7"/>
      <c r="O41" s="7"/>
      <c r="P41" s="177"/>
      <c r="Q41" s="177"/>
      <c r="R41" s="177"/>
      <c r="S41" s="177"/>
    </row>
    <row r="42" spans="1:31">
      <c r="A42" s="35" t="s">
        <v>157</v>
      </c>
      <c r="B42" s="111">
        <f ca="1">IFERROR(__xludf.DUMMYFUNCTION("SPLIT(RIGHT(A42,17),"" "")"),2)</f>
        <v>2</v>
      </c>
      <c r="C42" s="35">
        <f ca="1">IFERROR(__xludf.DUMMYFUNCTION("""COMPUTED_VALUE"""),12)</f>
        <v>12</v>
      </c>
      <c r="D42" s="35">
        <f ca="1">IFERROR(__xludf.DUMMYFUNCTION("""COMPUTED_VALUE"""),4)</f>
        <v>4</v>
      </c>
      <c r="E42" s="35">
        <f ca="1">IFERROR(__xludf.DUMMYFUNCTION("""COMPUTED_VALUE"""),0)</f>
        <v>0</v>
      </c>
      <c r="F42" s="35">
        <f ca="1">IFERROR(__xludf.DUMMYFUNCTION("""COMPUTED_VALUE"""),0)</f>
        <v>0</v>
      </c>
      <c r="G42" s="35">
        <f ca="1">IFERROR(__xludf.DUMMYFUNCTION("""COMPUTED_VALUE"""),0)</f>
        <v>0</v>
      </c>
      <c r="H42" s="7" t="s">
        <v>158</v>
      </c>
      <c r="I42" s="7" t="s">
        <v>159</v>
      </c>
      <c r="J42" s="112" t="str">
        <f ca="1">IFERROR(__xludf.DUMMYFUNCTION("JOIN("": "",H42,I42)"),"3E-02-12-04-00-00-00: Mudas")</f>
        <v>3E-02-12-04-00-00-00: Mudas</v>
      </c>
      <c r="K42" s="4">
        <v>4</v>
      </c>
      <c r="L42" s="7"/>
      <c r="M42" s="7"/>
      <c r="N42" s="7"/>
      <c r="O42" s="7"/>
      <c r="P42" s="177"/>
      <c r="Q42" s="177"/>
      <c r="R42" s="177"/>
      <c r="S42" s="177"/>
    </row>
    <row r="43" spans="1:31">
      <c r="A43" s="35" t="s">
        <v>161</v>
      </c>
      <c r="B43" s="111">
        <f ca="1">IFERROR(__xludf.DUMMYFUNCTION("SPLIT(RIGHT(A43,17),"" "")"),2)</f>
        <v>2</v>
      </c>
      <c r="C43" s="35">
        <f ca="1">IFERROR(__xludf.DUMMYFUNCTION("""COMPUTED_VALUE"""),12)</f>
        <v>12</v>
      </c>
      <c r="D43" s="35">
        <f ca="1">IFERROR(__xludf.DUMMYFUNCTION("""COMPUTED_VALUE"""),6)</f>
        <v>6</v>
      </c>
      <c r="E43" s="35">
        <f ca="1">IFERROR(__xludf.DUMMYFUNCTION("""COMPUTED_VALUE"""),0)</f>
        <v>0</v>
      </c>
      <c r="F43" s="35">
        <f ca="1">IFERROR(__xludf.DUMMYFUNCTION("""COMPUTED_VALUE"""),0)</f>
        <v>0</v>
      </c>
      <c r="G43" s="35">
        <f ca="1">IFERROR(__xludf.DUMMYFUNCTION("""COMPUTED_VALUE"""),0)</f>
        <v>0</v>
      </c>
      <c r="H43" s="7" t="s">
        <v>162</v>
      </c>
      <c r="I43" s="7" t="s">
        <v>163</v>
      </c>
      <c r="J43" s="112" t="str">
        <f ca="1">IFERROR(__xludf.DUMMYFUNCTION("JOIN("": "",H43,I43)"),"3E-02-12-06-00-00-00: Vegetação de pequeno porte")</f>
        <v>3E-02-12-06-00-00-00: Vegetação de pequeno porte</v>
      </c>
      <c r="K43" s="4">
        <v>4</v>
      </c>
      <c r="L43" s="7"/>
      <c r="M43" s="7"/>
      <c r="N43" s="7"/>
      <c r="O43" s="7"/>
      <c r="P43" s="177"/>
      <c r="Q43" s="177"/>
      <c r="R43" s="177"/>
      <c r="S43" s="177"/>
    </row>
    <row r="44" spans="1:31">
      <c r="A44" s="35" t="s">
        <v>165</v>
      </c>
      <c r="B44" s="111">
        <f ca="1">IFERROR(__xludf.DUMMYFUNCTION("SPLIT(RIGHT(A44,17),"" "")"),2)</f>
        <v>2</v>
      </c>
      <c r="C44" s="35">
        <f ca="1">IFERROR(__xludf.DUMMYFUNCTION("""COMPUTED_VALUE"""),12)</f>
        <v>12</v>
      </c>
      <c r="D44" s="35">
        <f ca="1">IFERROR(__xludf.DUMMYFUNCTION("""COMPUTED_VALUE"""),8)</f>
        <v>8</v>
      </c>
      <c r="E44" s="35">
        <f ca="1">IFERROR(__xludf.DUMMYFUNCTION("""COMPUTED_VALUE"""),0)</f>
        <v>0</v>
      </c>
      <c r="F44" s="35">
        <f ca="1">IFERROR(__xludf.DUMMYFUNCTION("""COMPUTED_VALUE"""),0)</f>
        <v>0</v>
      </c>
      <c r="G44" s="35">
        <f ca="1">IFERROR(__xludf.DUMMYFUNCTION("""COMPUTED_VALUE"""),0)</f>
        <v>0</v>
      </c>
      <c r="H44" s="7" t="s">
        <v>166</v>
      </c>
      <c r="I44" s="7" t="s">
        <v>167</v>
      </c>
      <c r="J44" s="112" t="str">
        <f ca="1">IFERROR(__xludf.DUMMYFUNCTION("JOIN("": "",H44,I44)"),"3E-02-12-08-00-00-00: Vegetação de médio porte")</f>
        <v>3E-02-12-08-00-00-00: Vegetação de médio porte</v>
      </c>
      <c r="K44" s="4">
        <v>4</v>
      </c>
      <c r="L44" s="7"/>
      <c r="M44" s="7"/>
      <c r="N44" s="7"/>
      <c r="O44" s="7"/>
      <c r="P44" s="177"/>
      <c r="Q44" s="177"/>
      <c r="R44" s="177"/>
      <c r="S44" s="177"/>
    </row>
    <row r="45" spans="1:31">
      <c r="A45" s="35" t="s">
        <v>169</v>
      </c>
      <c r="B45" s="111">
        <f ca="1">IFERROR(__xludf.DUMMYFUNCTION("SPLIT(RIGHT(A45,17),"" "")"),2)</f>
        <v>2</v>
      </c>
      <c r="C45" s="35">
        <f ca="1">IFERROR(__xludf.DUMMYFUNCTION("""COMPUTED_VALUE"""),12)</f>
        <v>12</v>
      </c>
      <c r="D45" s="35">
        <f ca="1">IFERROR(__xludf.DUMMYFUNCTION("""COMPUTED_VALUE"""),10)</f>
        <v>10</v>
      </c>
      <c r="E45" s="35">
        <f ca="1">IFERROR(__xludf.DUMMYFUNCTION("""COMPUTED_VALUE"""),0)</f>
        <v>0</v>
      </c>
      <c r="F45" s="35">
        <f ca="1">IFERROR(__xludf.DUMMYFUNCTION("""COMPUTED_VALUE"""),0)</f>
        <v>0</v>
      </c>
      <c r="G45" s="35">
        <f ca="1">IFERROR(__xludf.DUMMYFUNCTION("""COMPUTED_VALUE"""),0)</f>
        <v>0</v>
      </c>
      <c r="H45" s="7" t="s">
        <v>170</v>
      </c>
      <c r="I45" s="7" t="s">
        <v>171</v>
      </c>
      <c r="J45" s="112" t="str">
        <f ca="1">IFERROR(__xludf.DUMMYFUNCTION("JOIN("": "",H45,I45)"),"3E-02-12-10-00-00-00: Vegetação de grande porte")</f>
        <v>3E-02-12-10-00-00-00: Vegetação de grande porte</v>
      </c>
      <c r="K45" s="4">
        <v>4</v>
      </c>
      <c r="L45" s="7"/>
      <c r="M45" s="7"/>
      <c r="N45" s="7"/>
      <c r="O45" s="7"/>
      <c r="P45" s="177"/>
      <c r="Q45" s="177"/>
      <c r="R45" s="177"/>
      <c r="S45" s="177"/>
    </row>
    <row r="46" spans="1:31">
      <c r="A46" s="111" t="s">
        <v>173</v>
      </c>
      <c r="B46" s="111">
        <f ca="1">IFERROR(__xludf.DUMMYFUNCTION("SPLIT(RIGHT(A46,17),"" "")"),4)</f>
        <v>4</v>
      </c>
      <c r="C46" s="111">
        <f ca="1">IFERROR(__xludf.DUMMYFUNCTION("""COMPUTED_VALUE"""),0)</f>
        <v>0</v>
      </c>
      <c r="D46" s="111">
        <f ca="1">IFERROR(__xludf.DUMMYFUNCTION("""COMPUTED_VALUE"""),0)</f>
        <v>0</v>
      </c>
      <c r="E46" s="111">
        <f ca="1">IFERROR(__xludf.DUMMYFUNCTION("""COMPUTED_VALUE"""),0)</f>
        <v>0</v>
      </c>
      <c r="F46" s="111">
        <f ca="1">IFERROR(__xludf.DUMMYFUNCTION("""COMPUTED_VALUE"""),0)</f>
        <v>0</v>
      </c>
      <c r="G46" s="111">
        <f ca="1">IFERROR(__xludf.DUMMYFUNCTION("""COMPUTED_VALUE"""),0)</f>
        <v>0</v>
      </c>
      <c r="H46" s="3" t="s">
        <v>174</v>
      </c>
      <c r="I46" s="3" t="s">
        <v>175</v>
      </c>
      <c r="J46" s="112" t="str">
        <f ca="1">IFERROR(__xludf.DUMMYFUNCTION("JOIN("": "",H46,I46)"),"3E-04-00-00-00-00-00: Elementos de canteiro de obra")</f>
        <v>3E-04-00-00-00-00-00: Elementos de canteiro de obra</v>
      </c>
      <c r="K46" s="4">
        <v>2</v>
      </c>
      <c r="L46" s="7"/>
      <c r="M46" s="7">
        <v>5</v>
      </c>
      <c r="N46" s="7"/>
      <c r="O46" s="7"/>
      <c r="P46" s="177"/>
      <c r="Q46" s="177"/>
      <c r="R46" s="177"/>
      <c r="S46" s="177"/>
      <c r="AD46" s="7"/>
      <c r="AE46" s="35"/>
    </row>
    <row r="47" spans="1:31">
      <c r="A47" s="111" t="s">
        <v>177</v>
      </c>
      <c r="B47" s="111">
        <f ca="1">IFERROR(__xludf.DUMMYFUNCTION("SPLIT(RIGHT(A47,17),"" "")"),4)</f>
        <v>4</v>
      </c>
      <c r="C47" s="111">
        <f ca="1">IFERROR(__xludf.DUMMYFUNCTION("""COMPUTED_VALUE"""),2)</f>
        <v>2</v>
      </c>
      <c r="D47" s="111">
        <f ca="1">IFERROR(__xludf.DUMMYFUNCTION("""COMPUTED_VALUE"""),0)</f>
        <v>0</v>
      </c>
      <c r="E47" s="111">
        <f ca="1">IFERROR(__xludf.DUMMYFUNCTION("""COMPUTED_VALUE"""),0)</f>
        <v>0</v>
      </c>
      <c r="F47" s="111">
        <f ca="1">IFERROR(__xludf.DUMMYFUNCTION("""COMPUTED_VALUE"""),0)</f>
        <v>0</v>
      </c>
      <c r="G47" s="111">
        <f ca="1">IFERROR(__xludf.DUMMYFUNCTION("""COMPUTED_VALUE"""),0)</f>
        <v>0</v>
      </c>
      <c r="H47" s="3" t="s">
        <v>178</v>
      </c>
      <c r="I47" s="3" t="s">
        <v>179</v>
      </c>
      <c r="J47" s="112" t="str">
        <f ca="1">IFERROR(__xludf.DUMMYFUNCTION("JOIN("": "",H47,I47)"),"3E-04-02-00-00-00-00: Elementos de ancoragem temporária")</f>
        <v>3E-04-02-00-00-00-00: Elementos de ancoragem temporária</v>
      </c>
      <c r="K47" s="4">
        <v>3</v>
      </c>
      <c r="L47" s="7"/>
      <c r="M47" s="7"/>
      <c r="N47" s="7"/>
      <c r="O47" s="7"/>
      <c r="P47" s="177"/>
      <c r="Q47" s="177"/>
      <c r="R47" s="177"/>
      <c r="S47" s="177"/>
    </row>
    <row r="48" spans="1:31">
      <c r="A48" s="111" t="s">
        <v>181</v>
      </c>
      <c r="B48" s="111">
        <f ca="1">IFERROR(__xludf.DUMMYFUNCTION("SPLIT(RIGHT(A48,17),"" "")"),4)</f>
        <v>4</v>
      </c>
      <c r="C48" s="111">
        <f ca="1">IFERROR(__xludf.DUMMYFUNCTION("""COMPUTED_VALUE"""),4)</f>
        <v>4</v>
      </c>
      <c r="D48" s="111">
        <f ca="1">IFERROR(__xludf.DUMMYFUNCTION("""COMPUTED_VALUE"""),0)</f>
        <v>0</v>
      </c>
      <c r="E48" s="111">
        <f ca="1">IFERROR(__xludf.DUMMYFUNCTION("""COMPUTED_VALUE"""),0)</f>
        <v>0</v>
      </c>
      <c r="F48" s="111">
        <f ca="1">IFERROR(__xludf.DUMMYFUNCTION("""COMPUTED_VALUE"""),0)</f>
        <v>0</v>
      </c>
      <c r="G48" s="111">
        <f ca="1">IFERROR(__xludf.DUMMYFUNCTION("""COMPUTED_VALUE"""),0)</f>
        <v>0</v>
      </c>
      <c r="H48" s="3" t="s">
        <v>182</v>
      </c>
      <c r="I48" s="3" t="s">
        <v>183</v>
      </c>
      <c r="J48" s="112" t="str">
        <f ca="1">IFERROR(__xludf.DUMMYFUNCTION("JOIN("": "",H48,I48)"),"3E-04-04-00-00-00-00: Elementos de cimbramento")</f>
        <v>3E-04-04-00-00-00-00: Elementos de cimbramento</v>
      </c>
      <c r="K48" s="4">
        <v>3</v>
      </c>
      <c r="L48" s="7"/>
      <c r="M48" s="7"/>
      <c r="N48" s="7"/>
      <c r="O48" s="7"/>
      <c r="P48" s="177"/>
      <c r="Q48" s="177"/>
      <c r="R48" s="177"/>
      <c r="S48" s="177"/>
    </row>
    <row r="49" spans="1:31">
      <c r="A49" s="111" t="s">
        <v>185</v>
      </c>
      <c r="B49" s="111">
        <f ca="1">IFERROR(__xludf.DUMMYFUNCTION("SPLIT(RIGHT(A49,17),"" "")"),4)</f>
        <v>4</v>
      </c>
      <c r="C49" s="111">
        <f ca="1">IFERROR(__xludf.DUMMYFUNCTION("""COMPUTED_VALUE"""),6)</f>
        <v>6</v>
      </c>
      <c r="D49" s="111">
        <f ca="1">IFERROR(__xludf.DUMMYFUNCTION("""COMPUTED_VALUE"""),0)</f>
        <v>0</v>
      </c>
      <c r="E49" s="111">
        <f ca="1">IFERROR(__xludf.DUMMYFUNCTION("""COMPUTED_VALUE"""),0)</f>
        <v>0</v>
      </c>
      <c r="F49" s="111">
        <f ca="1">IFERROR(__xludf.DUMMYFUNCTION("""COMPUTED_VALUE"""),0)</f>
        <v>0</v>
      </c>
      <c r="G49" s="111">
        <f ca="1">IFERROR(__xludf.DUMMYFUNCTION("""COMPUTED_VALUE"""),0)</f>
        <v>0</v>
      </c>
      <c r="H49" s="3" t="s">
        <v>186</v>
      </c>
      <c r="I49" s="3" t="s">
        <v>187</v>
      </c>
      <c r="J49" s="112" t="str">
        <f ca="1">IFERROR(__xludf.DUMMYFUNCTION("JOIN("": "",H49,I49)"),"3E-04-06-00-00-00-00: Elementos de escoramento")</f>
        <v>3E-04-06-00-00-00-00: Elementos de escoramento</v>
      </c>
      <c r="K49" s="4">
        <v>3</v>
      </c>
      <c r="L49" s="7"/>
      <c r="M49" s="7"/>
      <c r="N49" s="7"/>
      <c r="O49" s="7"/>
      <c r="P49" s="177"/>
      <c r="Q49" s="177"/>
      <c r="R49" s="177"/>
      <c r="S49" s="177"/>
    </row>
    <row r="50" spans="1:31">
      <c r="A50" s="111" t="s">
        <v>189</v>
      </c>
      <c r="B50" s="111">
        <f ca="1">IFERROR(__xludf.DUMMYFUNCTION("SPLIT(RIGHT(A50,17),"" "")"),4)</f>
        <v>4</v>
      </c>
      <c r="C50" s="111">
        <f ca="1">IFERROR(__xludf.DUMMYFUNCTION("""COMPUTED_VALUE"""),8)</f>
        <v>8</v>
      </c>
      <c r="D50" s="111">
        <f ca="1">IFERROR(__xludf.DUMMYFUNCTION("""COMPUTED_VALUE"""),0)</f>
        <v>0</v>
      </c>
      <c r="E50" s="111">
        <f ca="1">IFERROR(__xludf.DUMMYFUNCTION("""COMPUTED_VALUE"""),0)</f>
        <v>0</v>
      </c>
      <c r="F50" s="111">
        <f ca="1">IFERROR(__xludf.DUMMYFUNCTION("""COMPUTED_VALUE"""),0)</f>
        <v>0</v>
      </c>
      <c r="G50" s="111">
        <f ca="1">IFERROR(__xludf.DUMMYFUNCTION("""COMPUTED_VALUE"""),0)</f>
        <v>0</v>
      </c>
      <c r="H50" s="3" t="s">
        <v>190</v>
      </c>
      <c r="I50" s="3" t="s">
        <v>191</v>
      </c>
      <c r="J50" s="112" t="str">
        <f ca="1">IFERROR(__xludf.DUMMYFUNCTION("JOIN("": "",H50,I50)"),"3E-04-08-00-00-00-00: Elementos de marcação")</f>
        <v>3E-04-08-00-00-00-00: Elementos de marcação</v>
      </c>
      <c r="K50" s="4">
        <v>3</v>
      </c>
      <c r="L50" s="7"/>
      <c r="M50" s="7"/>
      <c r="N50" s="7"/>
      <c r="O50" s="7"/>
      <c r="P50" s="177"/>
      <c r="Q50" s="177"/>
      <c r="R50" s="177"/>
      <c r="S50" s="177"/>
    </row>
    <row r="51" spans="1:31">
      <c r="A51" s="111" t="s">
        <v>193</v>
      </c>
      <c r="B51" s="111">
        <f ca="1">IFERROR(__xludf.DUMMYFUNCTION("SPLIT(RIGHT(A51,17),"" "")"),4)</f>
        <v>4</v>
      </c>
      <c r="C51" s="111">
        <f ca="1">IFERROR(__xludf.DUMMYFUNCTION("""COMPUTED_VALUE"""),10)</f>
        <v>10</v>
      </c>
      <c r="D51" s="111">
        <f ca="1">IFERROR(__xludf.DUMMYFUNCTION("""COMPUTED_VALUE"""),0)</f>
        <v>0</v>
      </c>
      <c r="E51" s="111">
        <f ca="1">IFERROR(__xludf.DUMMYFUNCTION("""COMPUTED_VALUE"""),0)</f>
        <v>0</v>
      </c>
      <c r="F51" s="111">
        <f ca="1">IFERROR(__xludf.DUMMYFUNCTION("""COMPUTED_VALUE"""),0)</f>
        <v>0</v>
      </c>
      <c r="G51" s="111">
        <f ca="1">IFERROR(__xludf.DUMMYFUNCTION("""COMPUTED_VALUE"""),0)</f>
        <v>0</v>
      </c>
      <c r="H51" s="3" t="s">
        <v>194</v>
      </c>
      <c r="I51" s="3" t="s">
        <v>195</v>
      </c>
      <c r="J51" s="112" t="str">
        <f ca="1">IFERROR(__xludf.DUMMYFUNCTION("JOIN("": "",H51,I51)"),"3E-04-10-00-00-00-00: Elementos de manejo de resíduos")</f>
        <v>3E-04-10-00-00-00-00: Elementos de manejo de resíduos</v>
      </c>
      <c r="K51" s="4">
        <v>3</v>
      </c>
      <c r="L51" s="7"/>
      <c r="M51" s="7"/>
      <c r="N51" s="7"/>
      <c r="O51" s="7"/>
      <c r="P51" s="177"/>
      <c r="Q51" s="177"/>
      <c r="R51" s="177"/>
      <c r="S51" s="177"/>
    </row>
    <row r="52" spans="1:31">
      <c r="A52" s="35" t="s">
        <v>197</v>
      </c>
      <c r="B52" s="35"/>
      <c r="C52" s="35"/>
      <c r="D52" s="35"/>
      <c r="E52" s="35"/>
      <c r="F52" s="35"/>
      <c r="G52" s="35"/>
      <c r="H52" s="7" t="s">
        <v>198</v>
      </c>
      <c r="I52" s="7" t="s">
        <v>199</v>
      </c>
      <c r="J52" s="112" t="str">
        <f ca="1">IFERROR(__xludf.DUMMYFUNCTION("JOIN("": "",H52,I52)"),"3E-04-10-02-00-00-00: Elementos de acondicionamento de resíduos")</f>
        <v>3E-04-10-02-00-00-00: Elementos de acondicionamento de resíduos</v>
      </c>
      <c r="K52" s="4">
        <v>4</v>
      </c>
      <c r="L52" s="7"/>
      <c r="M52" s="7"/>
      <c r="N52" s="7"/>
      <c r="O52" s="7"/>
      <c r="P52" s="177"/>
      <c r="Q52" s="177"/>
      <c r="R52" s="177"/>
      <c r="S52" s="177"/>
    </row>
    <row r="53" spans="1:31">
      <c r="A53" s="111" t="s">
        <v>201</v>
      </c>
      <c r="B53" s="111"/>
      <c r="C53" s="111"/>
      <c r="D53" s="111"/>
      <c r="E53" s="111"/>
      <c r="F53" s="111"/>
      <c r="G53" s="111"/>
      <c r="H53" s="3" t="s">
        <v>202</v>
      </c>
      <c r="I53" s="3" t="s">
        <v>203</v>
      </c>
      <c r="J53" s="112" t="str">
        <f ca="1">IFERROR(__xludf.DUMMYFUNCTION("JOIN("": "",H53,I53)"),"3E-06-00-00-00-00-00: Elementos de drenagem")</f>
        <v>3E-06-00-00-00-00-00: Elementos de drenagem</v>
      </c>
      <c r="K53" s="4">
        <v>2</v>
      </c>
      <c r="L53" s="7"/>
      <c r="M53" s="7"/>
      <c r="N53" s="7"/>
      <c r="O53" s="7"/>
      <c r="P53" s="177"/>
      <c r="Q53" s="177"/>
      <c r="R53" s="177"/>
      <c r="S53" s="177"/>
      <c r="AD53" s="7"/>
      <c r="AE53" s="35"/>
    </row>
    <row r="54" spans="1:31">
      <c r="A54" s="111" t="s">
        <v>205</v>
      </c>
      <c r="B54" s="111"/>
      <c r="C54" s="111"/>
      <c r="D54" s="111"/>
      <c r="E54" s="111"/>
      <c r="F54" s="111"/>
      <c r="G54" s="111"/>
      <c r="H54" s="3" t="s">
        <v>206</v>
      </c>
      <c r="I54" s="3" t="s">
        <v>207</v>
      </c>
      <c r="J54" s="112" t="str">
        <f ca="1">IFERROR(__xludf.DUMMYFUNCTION("JOIN("": "",H54,I54)"),"3E-06-02-00-00-00-00: Elementos de drenagem de transposição de talvegues")</f>
        <v>3E-06-02-00-00-00-00: Elementos de drenagem de transposição de talvegues</v>
      </c>
      <c r="K54" s="4">
        <v>3</v>
      </c>
      <c r="L54" s="7"/>
      <c r="M54" s="7"/>
      <c r="N54" s="7"/>
      <c r="O54" s="7"/>
      <c r="P54" s="177"/>
      <c r="Q54" s="177"/>
      <c r="R54" s="177"/>
      <c r="S54" s="177"/>
    </row>
    <row r="55" spans="1:31">
      <c r="A55" s="35" t="s">
        <v>209</v>
      </c>
      <c r="B55" s="35"/>
      <c r="C55" s="35"/>
      <c r="D55" s="35"/>
      <c r="E55" s="35"/>
      <c r="F55" s="35"/>
      <c r="G55" s="35"/>
      <c r="H55" s="7" t="s">
        <v>210</v>
      </c>
      <c r="I55" s="7" t="s">
        <v>211</v>
      </c>
      <c r="J55" s="112" t="str">
        <f ca="1">IFERROR(__xludf.DUMMYFUNCTION("JOIN("": "",H55,I55)"),"3E-06-02-02-00-00-00: Bueiro para transposição de talvegues")</f>
        <v>3E-06-02-02-00-00-00: Bueiro para transposição de talvegues</v>
      </c>
      <c r="K55" s="4">
        <v>4</v>
      </c>
      <c r="L55" s="7"/>
      <c r="M55" s="7"/>
      <c r="N55" s="7"/>
      <c r="O55" s="7"/>
      <c r="P55" s="177"/>
      <c r="Q55" s="177"/>
      <c r="R55" s="177"/>
      <c r="S55" s="177"/>
    </row>
    <row r="56" spans="1:31">
      <c r="A56" s="35" t="s">
        <v>213</v>
      </c>
      <c r="B56" s="35"/>
      <c r="C56" s="35"/>
      <c r="D56" s="35"/>
      <c r="E56" s="35"/>
      <c r="F56" s="35"/>
      <c r="G56" s="35"/>
      <c r="H56" s="7" t="s">
        <v>214</v>
      </c>
      <c r="I56" s="7" t="s">
        <v>215</v>
      </c>
      <c r="J56" s="112" t="str">
        <f ca="1">IFERROR(__xludf.DUMMYFUNCTION("JOIN("": "",H56,I56)"),"3E-06-02-04-00-00-00: Pontilhão para transposição de talvegues")</f>
        <v>3E-06-02-04-00-00-00: Pontilhão para transposição de talvegues</v>
      </c>
      <c r="K56" s="4">
        <v>4</v>
      </c>
      <c r="L56" s="7"/>
      <c r="M56" s="7"/>
      <c r="N56" s="7"/>
      <c r="O56" s="7"/>
      <c r="P56" s="177"/>
      <c r="Q56" s="177"/>
      <c r="R56" s="177"/>
      <c r="S56" s="177"/>
    </row>
    <row r="57" spans="1:31">
      <c r="A57" s="35" t="s">
        <v>217</v>
      </c>
      <c r="B57" s="35"/>
      <c r="C57" s="35"/>
      <c r="D57" s="35"/>
      <c r="E57" s="35"/>
      <c r="F57" s="35"/>
      <c r="G57" s="35"/>
      <c r="H57" s="7" t="s">
        <v>218</v>
      </c>
      <c r="I57" s="7" t="s">
        <v>219</v>
      </c>
      <c r="J57" s="112" t="str">
        <f ca="1">IFERROR(__xludf.DUMMYFUNCTION("JOIN("": "",H57,I57)"),"3E-06-02-06-00-00-00: Ponte para transposição de talvegues")</f>
        <v>3E-06-02-06-00-00-00: Ponte para transposição de talvegues</v>
      </c>
      <c r="K57" s="4">
        <v>4</v>
      </c>
      <c r="L57" s="7"/>
      <c r="M57" s="7"/>
      <c r="N57" s="7"/>
      <c r="O57" s="7"/>
      <c r="P57" s="177"/>
      <c r="Q57" s="177"/>
      <c r="R57" s="177"/>
      <c r="S57" s="177"/>
    </row>
    <row r="58" spans="1:31">
      <c r="A58" s="111" t="s">
        <v>221</v>
      </c>
      <c r="B58" s="111"/>
      <c r="C58" s="111"/>
      <c r="D58" s="111"/>
      <c r="E58" s="111"/>
      <c r="F58" s="111"/>
      <c r="G58" s="111"/>
      <c r="H58" s="3" t="s">
        <v>222</v>
      </c>
      <c r="I58" s="3" t="s">
        <v>223</v>
      </c>
      <c r="J58" s="112" t="str">
        <f ca="1">IFERROR(__xludf.DUMMYFUNCTION("JOIN("": "",H58,I58)"),"3E-06-04-00-00-00-00: Elementos de drenagem superficial")</f>
        <v>3E-06-04-00-00-00-00: Elementos de drenagem superficial</v>
      </c>
      <c r="K58" s="4">
        <v>3</v>
      </c>
      <c r="L58" s="7"/>
      <c r="M58" s="7"/>
      <c r="N58" s="7"/>
      <c r="O58" s="7"/>
      <c r="P58" s="177"/>
      <c r="Q58" s="177"/>
      <c r="R58" s="177"/>
      <c r="S58" s="177"/>
    </row>
    <row r="59" spans="1:31">
      <c r="A59" s="35" t="s">
        <v>225</v>
      </c>
      <c r="B59" s="35"/>
      <c r="C59" s="35"/>
      <c r="D59" s="35"/>
      <c r="E59" s="35"/>
      <c r="F59" s="35"/>
      <c r="G59" s="35"/>
      <c r="H59" s="7" t="s">
        <v>226</v>
      </c>
      <c r="I59" s="7" t="s">
        <v>227</v>
      </c>
      <c r="J59" s="112" t="str">
        <f ca="1">IFERROR(__xludf.DUMMYFUNCTION("JOIN("": "",H59,I59)"),"3E-06-04-02-00-00-00: Valeta de proteção de corte")</f>
        <v>3E-06-04-02-00-00-00: Valeta de proteção de corte</v>
      </c>
      <c r="K59" s="4">
        <v>4</v>
      </c>
      <c r="L59" s="7"/>
      <c r="M59" s="7"/>
      <c r="N59" s="7"/>
      <c r="O59" s="7"/>
      <c r="P59" s="177"/>
      <c r="Q59" s="177"/>
      <c r="R59" s="177"/>
      <c r="S59" s="177"/>
    </row>
    <row r="60" spans="1:31">
      <c r="A60" s="35" t="s">
        <v>229</v>
      </c>
      <c r="B60" s="35"/>
      <c r="C60" s="35"/>
      <c r="D60" s="35"/>
      <c r="E60" s="35"/>
      <c r="F60" s="35"/>
      <c r="G60" s="35"/>
      <c r="H60" s="7" t="s">
        <v>230</v>
      </c>
      <c r="I60" s="7" t="s">
        <v>231</v>
      </c>
      <c r="J60" s="112" t="str">
        <f ca="1">IFERROR(__xludf.DUMMYFUNCTION("JOIN("": "",H60,I60)"),"3E-06-04-04-00-00-00: Valeta de proteção de aterro")</f>
        <v>3E-06-04-04-00-00-00: Valeta de proteção de aterro</v>
      </c>
      <c r="K60" s="4">
        <v>4</v>
      </c>
      <c r="L60" s="7"/>
      <c r="M60" s="7"/>
      <c r="N60" s="7"/>
      <c r="O60" s="7"/>
      <c r="P60" s="177"/>
      <c r="Q60" s="177"/>
      <c r="R60" s="177"/>
      <c r="S60" s="177"/>
    </row>
    <row r="61" spans="1:31">
      <c r="A61" s="35" t="s">
        <v>233</v>
      </c>
      <c r="B61" s="35"/>
      <c r="C61" s="35"/>
      <c r="D61" s="35"/>
      <c r="E61" s="35"/>
      <c r="F61" s="35"/>
      <c r="G61" s="35"/>
      <c r="H61" s="7" t="s">
        <v>234</v>
      </c>
      <c r="I61" s="7" t="s">
        <v>235</v>
      </c>
      <c r="J61" s="112" t="str">
        <f ca="1">IFERROR(__xludf.DUMMYFUNCTION("JOIN("": "",H61,I61)"),"3E-06-04-06-00-00-00: Valeta de canteiro central")</f>
        <v>3E-06-04-06-00-00-00: Valeta de canteiro central</v>
      </c>
      <c r="K61" s="4">
        <v>4</v>
      </c>
      <c r="L61" s="7"/>
      <c r="M61" s="7"/>
      <c r="N61" s="7"/>
      <c r="O61" s="7"/>
      <c r="P61" s="177"/>
      <c r="Q61" s="177"/>
      <c r="R61" s="177"/>
      <c r="S61" s="177"/>
    </row>
    <row r="62" spans="1:31">
      <c r="A62" s="35" t="s">
        <v>237</v>
      </c>
      <c r="B62" s="35"/>
      <c r="C62" s="35"/>
      <c r="D62" s="35"/>
      <c r="E62" s="35"/>
      <c r="F62" s="35"/>
      <c r="G62" s="35"/>
      <c r="H62" s="7" t="s">
        <v>238</v>
      </c>
      <c r="I62" s="7" t="s">
        <v>239</v>
      </c>
      <c r="J62" s="112" t="str">
        <f ca="1">IFERROR(__xludf.DUMMYFUNCTION("JOIN("": "",H62,I62)"),"3E-06-04-08-00-00-00: Sarjeta de corte")</f>
        <v>3E-06-04-08-00-00-00: Sarjeta de corte</v>
      </c>
      <c r="K62" s="4">
        <v>4</v>
      </c>
      <c r="L62" s="7"/>
      <c r="M62" s="7"/>
      <c r="N62" s="7"/>
      <c r="O62" s="7"/>
      <c r="P62" s="177"/>
      <c r="Q62" s="177"/>
      <c r="R62" s="177"/>
      <c r="S62" s="177"/>
    </row>
    <row r="63" spans="1:31">
      <c r="A63" s="35" t="s">
        <v>241</v>
      </c>
      <c r="B63" s="35"/>
      <c r="C63" s="35"/>
      <c r="D63" s="35"/>
      <c r="E63" s="35"/>
      <c r="F63" s="35"/>
      <c r="G63" s="35"/>
      <c r="H63" s="7" t="s">
        <v>242</v>
      </c>
      <c r="I63" s="7" t="s">
        <v>243</v>
      </c>
      <c r="J63" s="112" t="str">
        <f ca="1">IFERROR(__xludf.DUMMYFUNCTION("JOIN("": "",H63,I63)"),"3E-06-04-10-00-00-00: Sarjeta de aterro")</f>
        <v>3E-06-04-10-00-00-00: Sarjeta de aterro</v>
      </c>
      <c r="K63" s="4">
        <v>4</v>
      </c>
      <c r="L63" s="7"/>
      <c r="M63" s="7"/>
      <c r="N63" s="7"/>
      <c r="O63" s="7"/>
      <c r="P63" s="177"/>
      <c r="Q63" s="177"/>
      <c r="R63" s="177"/>
      <c r="S63" s="177"/>
    </row>
    <row r="64" spans="1:31">
      <c r="A64" s="35" t="s">
        <v>245</v>
      </c>
      <c r="B64" s="35"/>
      <c r="C64" s="35"/>
      <c r="D64" s="35"/>
      <c r="E64" s="35"/>
      <c r="F64" s="35"/>
      <c r="G64" s="35"/>
      <c r="H64" s="7" t="s">
        <v>246</v>
      </c>
      <c r="I64" s="7" t="s">
        <v>247</v>
      </c>
      <c r="J64" s="112" t="str">
        <f ca="1">IFERROR(__xludf.DUMMYFUNCTION("JOIN("": "",H64,I64)"),"3E-06-04-12-00-00-00: Descida d'água")</f>
        <v>3E-06-04-12-00-00-00: Descida d'água</v>
      </c>
      <c r="K64" s="4">
        <v>4</v>
      </c>
      <c r="L64" s="7"/>
      <c r="M64" s="7"/>
      <c r="N64" s="7"/>
      <c r="O64" s="7"/>
      <c r="P64" s="177"/>
      <c r="Q64" s="177"/>
      <c r="R64" s="177"/>
      <c r="S64" s="177"/>
    </row>
    <row r="65" spans="1:19">
      <c r="A65" s="35" t="s">
        <v>249</v>
      </c>
      <c r="B65" s="35"/>
      <c r="C65" s="35"/>
      <c r="D65" s="35"/>
      <c r="E65" s="35"/>
      <c r="F65" s="35"/>
      <c r="G65" s="35"/>
      <c r="H65" s="7" t="s">
        <v>250</v>
      </c>
      <c r="I65" s="7" t="s">
        <v>251</v>
      </c>
      <c r="J65" s="112" t="str">
        <f ca="1">IFERROR(__xludf.DUMMYFUNCTION("JOIN("": "",H65,I65)"),"3E-06-04-14-00-00-00: Saída d'água")</f>
        <v>3E-06-04-14-00-00-00: Saída d'água</v>
      </c>
      <c r="K65" s="4">
        <v>4</v>
      </c>
      <c r="L65" s="7"/>
      <c r="M65" s="7"/>
      <c r="N65" s="7"/>
      <c r="O65" s="7"/>
      <c r="P65" s="177"/>
      <c r="Q65" s="177"/>
      <c r="R65" s="177"/>
      <c r="S65" s="177"/>
    </row>
    <row r="66" spans="1:19">
      <c r="A66" s="35" t="s">
        <v>253</v>
      </c>
      <c r="B66" s="35"/>
      <c r="C66" s="35"/>
      <c r="D66" s="35"/>
      <c r="E66" s="35"/>
      <c r="F66" s="35"/>
      <c r="G66" s="35"/>
      <c r="H66" s="7" t="s">
        <v>254</v>
      </c>
      <c r="I66" s="7" t="s">
        <v>255</v>
      </c>
      <c r="J66" s="112" t="str">
        <f ca="1">IFERROR(__xludf.DUMMYFUNCTION("JOIN("": "",H66,I66)"),"3E-06-04-16-00-00-00: Caixa coletora de drenagem superficial")</f>
        <v>3E-06-04-16-00-00-00: Caixa coletora de drenagem superficial</v>
      </c>
      <c r="K66" s="4">
        <v>4</v>
      </c>
      <c r="L66" s="7"/>
      <c r="M66" s="7"/>
      <c r="N66" s="7"/>
      <c r="O66" s="7"/>
      <c r="P66" s="177"/>
      <c r="Q66" s="177"/>
      <c r="R66" s="177"/>
      <c r="S66" s="177"/>
    </row>
    <row r="67" spans="1:19">
      <c r="A67" s="35" t="s">
        <v>257</v>
      </c>
      <c r="B67" s="35"/>
      <c r="C67" s="35"/>
      <c r="D67" s="35"/>
      <c r="E67" s="35"/>
      <c r="F67" s="35"/>
      <c r="G67" s="35"/>
      <c r="H67" s="7" t="s">
        <v>258</v>
      </c>
      <c r="I67" s="7" t="s">
        <v>259</v>
      </c>
      <c r="J67" s="112" t="str">
        <f ca="1">IFERROR(__xludf.DUMMYFUNCTION("JOIN("": "",H67,I67)"),"3E-06-04-18-00-00-00: Bueiro de greide")</f>
        <v>3E-06-04-18-00-00-00: Bueiro de greide</v>
      </c>
      <c r="K67" s="4">
        <v>4</v>
      </c>
      <c r="L67" s="7"/>
      <c r="M67" s="7"/>
      <c r="N67" s="7"/>
      <c r="O67" s="7"/>
      <c r="P67" s="177"/>
      <c r="Q67" s="177"/>
      <c r="R67" s="177"/>
      <c r="S67" s="177"/>
    </row>
    <row r="68" spans="1:19">
      <c r="A68" s="35" t="s">
        <v>261</v>
      </c>
      <c r="B68" s="35"/>
      <c r="C68" s="35"/>
      <c r="D68" s="35"/>
      <c r="E68" s="35"/>
      <c r="F68" s="35"/>
      <c r="G68" s="35"/>
      <c r="H68" s="7" t="s">
        <v>262</v>
      </c>
      <c r="I68" s="7" t="s">
        <v>263</v>
      </c>
      <c r="J68" s="112" t="str">
        <f ca="1">IFERROR(__xludf.DUMMYFUNCTION("JOIN("": "",H68,I68)"),"3E-06-04-20-00-00-00: Dissipador de energia de drenagem superficial")</f>
        <v>3E-06-04-20-00-00-00: Dissipador de energia de drenagem superficial</v>
      </c>
      <c r="K68" s="4">
        <v>4</v>
      </c>
      <c r="L68" s="7"/>
      <c r="M68" s="7"/>
      <c r="N68" s="7"/>
      <c r="O68" s="7"/>
      <c r="P68" s="177"/>
      <c r="Q68" s="177"/>
      <c r="R68" s="177"/>
      <c r="S68" s="177"/>
    </row>
    <row r="69" spans="1:19">
      <c r="A69" s="35" t="s">
        <v>265</v>
      </c>
      <c r="B69" s="35"/>
      <c r="C69" s="35"/>
      <c r="D69" s="35"/>
      <c r="E69" s="35"/>
      <c r="F69" s="35"/>
      <c r="G69" s="35"/>
      <c r="H69" s="7" t="s">
        <v>266</v>
      </c>
      <c r="I69" s="7" t="s">
        <v>267</v>
      </c>
      <c r="J69" s="112" t="str">
        <f ca="1">IFERROR(__xludf.DUMMYFUNCTION("JOIN("": "",H69,I69)"),"3E-06-04-20-02-00-00: Bacia de amortecimento")</f>
        <v>3E-06-04-20-02-00-00: Bacia de amortecimento</v>
      </c>
      <c r="K69" s="4">
        <v>5</v>
      </c>
      <c r="L69" s="7"/>
      <c r="M69" s="7"/>
      <c r="N69" s="7"/>
      <c r="O69" s="7"/>
      <c r="P69" s="177"/>
      <c r="Q69" s="177"/>
      <c r="R69" s="177"/>
      <c r="S69" s="177"/>
    </row>
    <row r="70" spans="1:19">
      <c r="A70" s="35" t="s">
        <v>269</v>
      </c>
      <c r="B70" s="35"/>
      <c r="C70" s="35"/>
      <c r="D70" s="35"/>
      <c r="E70" s="35"/>
      <c r="F70" s="35"/>
      <c r="G70" s="35"/>
      <c r="H70" s="7" t="s">
        <v>270</v>
      </c>
      <c r="I70" s="7" t="s">
        <v>271</v>
      </c>
      <c r="J70" s="112" t="str">
        <f ca="1">IFERROR(__xludf.DUMMYFUNCTION("JOIN("": "",H70,I70)"),"3E-06-04-20-04-00-00: Dissipador contínuo")</f>
        <v>3E-06-04-20-04-00-00: Dissipador contínuo</v>
      </c>
      <c r="K70" s="4">
        <v>5</v>
      </c>
      <c r="L70" s="7"/>
      <c r="M70" s="7"/>
      <c r="N70" s="7"/>
      <c r="O70" s="7"/>
      <c r="P70" s="177"/>
      <c r="Q70" s="177"/>
      <c r="R70" s="177"/>
      <c r="S70" s="177"/>
    </row>
    <row r="71" spans="1:19">
      <c r="A71" s="35" t="s">
        <v>273</v>
      </c>
      <c r="B71" s="35"/>
      <c r="C71" s="35"/>
      <c r="D71" s="35"/>
      <c r="E71" s="35"/>
      <c r="F71" s="35"/>
      <c r="G71" s="35"/>
      <c r="H71" s="7" t="s">
        <v>274</v>
      </c>
      <c r="I71" s="7" t="s">
        <v>275</v>
      </c>
      <c r="J71" s="112" t="str">
        <f ca="1">IFERROR(__xludf.DUMMYFUNCTION("JOIN("": "",H71,I71)"),"3E-06-04-22-00-00-00: Corta-rios")</f>
        <v>3E-06-04-22-00-00-00: Corta-rios</v>
      </c>
      <c r="K71" s="4">
        <v>4</v>
      </c>
      <c r="L71" s="7"/>
      <c r="M71" s="7"/>
      <c r="N71" s="7"/>
      <c r="O71" s="7"/>
      <c r="P71" s="177"/>
      <c r="Q71" s="177"/>
      <c r="R71" s="177"/>
      <c r="S71" s="177"/>
    </row>
    <row r="72" spans="1:19">
      <c r="A72" s="35" t="s">
        <v>277</v>
      </c>
      <c r="B72" s="35"/>
      <c r="C72" s="35"/>
      <c r="D72" s="35"/>
      <c r="E72" s="35"/>
      <c r="F72" s="35"/>
      <c r="G72" s="35"/>
      <c r="H72" s="7" t="s">
        <v>278</v>
      </c>
      <c r="I72" s="7" t="s">
        <v>279</v>
      </c>
      <c r="J72" s="112" t="str">
        <f ca="1">IFERROR(__xludf.DUMMYFUNCTION("JOIN("": "",H72,I72)"),"3E-06-04-24-00-00-00: Dreno de alívio de muros de arrimo")</f>
        <v>3E-06-04-24-00-00-00: Dreno de alívio de muros de arrimo</v>
      </c>
      <c r="K72" s="4">
        <v>4</v>
      </c>
      <c r="L72" s="7"/>
      <c r="M72" s="7"/>
      <c r="N72" s="7"/>
      <c r="O72" s="7"/>
      <c r="P72" s="177"/>
      <c r="Q72" s="177"/>
      <c r="R72" s="177"/>
      <c r="S72" s="177"/>
    </row>
    <row r="73" spans="1:19">
      <c r="A73" s="111" t="s">
        <v>281</v>
      </c>
      <c r="B73" s="111"/>
      <c r="C73" s="111"/>
      <c r="D73" s="111"/>
      <c r="E73" s="111"/>
      <c r="F73" s="111"/>
      <c r="G73" s="111"/>
      <c r="H73" s="3" t="s">
        <v>282</v>
      </c>
      <c r="I73" s="3" t="s">
        <v>283</v>
      </c>
      <c r="J73" s="112" t="str">
        <f ca="1">IFERROR(__xludf.DUMMYFUNCTION("JOIN("": "",H73,I73)"),"3E-06-06-00-00-00-00: Elementos de drenagem do pavimento")</f>
        <v>3E-06-06-00-00-00-00: Elementos de drenagem do pavimento</v>
      </c>
      <c r="K73" s="4">
        <v>3</v>
      </c>
      <c r="L73" s="7"/>
      <c r="M73" s="7"/>
      <c r="N73" s="7"/>
      <c r="O73" s="7"/>
      <c r="P73" s="177"/>
      <c r="Q73" s="177"/>
      <c r="R73" s="177"/>
      <c r="S73" s="177"/>
    </row>
    <row r="74" spans="1:19">
      <c r="A74" s="35" t="s">
        <v>285</v>
      </c>
      <c r="B74" s="35"/>
      <c r="C74" s="35"/>
      <c r="D74" s="35"/>
      <c r="E74" s="35"/>
      <c r="F74" s="35"/>
      <c r="G74" s="35"/>
      <c r="H74" s="7" t="s">
        <v>286</v>
      </c>
      <c r="I74" s="7" t="s">
        <v>287</v>
      </c>
      <c r="J74" s="112" t="str">
        <f ca="1">IFERROR(__xludf.DUMMYFUNCTION("JOIN("": "",H74,I74)"),"3E-06-06-02-00-00-00: Camada drenante")</f>
        <v>3E-06-06-02-00-00-00: Camada drenante</v>
      </c>
      <c r="K74" s="4">
        <v>4</v>
      </c>
      <c r="L74" s="7"/>
      <c r="M74" s="7"/>
      <c r="N74" s="7"/>
      <c r="O74" s="7"/>
      <c r="P74" s="177"/>
      <c r="Q74" s="177"/>
      <c r="R74" s="177"/>
      <c r="S74" s="177"/>
    </row>
    <row r="75" spans="1:19">
      <c r="A75" s="35" t="s">
        <v>289</v>
      </c>
      <c r="B75" s="35"/>
      <c r="C75" s="35"/>
      <c r="D75" s="35"/>
      <c r="E75" s="35"/>
      <c r="F75" s="35"/>
      <c r="G75" s="35"/>
      <c r="H75" s="7" t="s">
        <v>290</v>
      </c>
      <c r="I75" s="7" t="s">
        <v>291</v>
      </c>
      <c r="J75" s="112" t="str">
        <f ca="1">IFERROR(__xludf.DUMMYFUNCTION("JOIN("": "",H75,I75)"),"3E-06-06-04-00-00-00: Dreno raso longitudinal")</f>
        <v>3E-06-06-04-00-00-00: Dreno raso longitudinal</v>
      </c>
      <c r="K75" s="4">
        <v>4</v>
      </c>
      <c r="L75" s="7"/>
      <c r="M75" s="7"/>
      <c r="N75" s="7"/>
      <c r="O75" s="7"/>
      <c r="P75" s="177"/>
      <c r="Q75" s="177"/>
      <c r="R75" s="177"/>
      <c r="S75" s="177"/>
    </row>
    <row r="76" spans="1:19">
      <c r="A76" s="35" t="s">
        <v>293</v>
      </c>
      <c r="B76" s="35"/>
      <c r="C76" s="35"/>
      <c r="D76" s="35"/>
      <c r="E76" s="35"/>
      <c r="F76" s="35"/>
      <c r="G76" s="35"/>
      <c r="H76" s="7" t="s">
        <v>294</v>
      </c>
      <c r="I76" s="7" t="s">
        <v>295</v>
      </c>
      <c r="J76" s="112" t="str">
        <f ca="1">IFERROR(__xludf.DUMMYFUNCTION("JOIN("": "",H76,I76)"),"3E-06-06-06-00-00-00: Dreno lateral de base")</f>
        <v>3E-06-06-06-00-00-00: Dreno lateral de base</v>
      </c>
      <c r="K76" s="4">
        <v>4</v>
      </c>
      <c r="L76" s="7"/>
      <c r="M76" s="7"/>
      <c r="N76" s="7"/>
      <c r="O76" s="7"/>
      <c r="P76" s="177"/>
      <c r="Q76" s="177"/>
      <c r="R76" s="177"/>
      <c r="S76" s="177"/>
    </row>
    <row r="77" spans="1:19">
      <c r="A77" s="35" t="s">
        <v>297</v>
      </c>
      <c r="B77" s="35"/>
      <c r="C77" s="35"/>
      <c r="D77" s="35"/>
      <c r="E77" s="35"/>
      <c r="F77" s="35"/>
      <c r="G77" s="35"/>
      <c r="H77" s="7" t="s">
        <v>298</v>
      </c>
      <c r="I77" s="7" t="s">
        <v>299</v>
      </c>
      <c r="J77" s="112" t="str">
        <f ca="1">IFERROR(__xludf.DUMMYFUNCTION("JOIN("": "",H77,I77)"),"3E-06-06-08-00-00-00: Dreno transversal")</f>
        <v>3E-06-06-08-00-00-00: Dreno transversal</v>
      </c>
      <c r="K77" s="4">
        <v>4</v>
      </c>
      <c r="L77" s="7"/>
      <c r="M77" s="7"/>
      <c r="N77" s="7"/>
      <c r="O77" s="7"/>
      <c r="P77" s="177"/>
      <c r="Q77" s="177"/>
      <c r="R77" s="177"/>
      <c r="S77" s="177"/>
    </row>
    <row r="78" spans="1:19">
      <c r="A78" s="111" t="s">
        <v>301</v>
      </c>
      <c r="B78" s="111"/>
      <c r="C78" s="111"/>
      <c r="D78" s="111"/>
      <c r="E78" s="111"/>
      <c r="F78" s="111"/>
      <c r="G78" s="111"/>
      <c r="H78" s="3" t="s">
        <v>302</v>
      </c>
      <c r="I78" s="3" t="s">
        <v>303</v>
      </c>
      <c r="J78" s="112" t="str">
        <f ca="1">IFERROR(__xludf.DUMMYFUNCTION("JOIN("": "",H78,I78)"),"3E-06-08-00-00-00-00: Elementos de drenagem subterrânea ou profunda")</f>
        <v>3E-06-08-00-00-00-00: Elementos de drenagem subterrânea ou profunda</v>
      </c>
      <c r="K78" s="4">
        <v>3</v>
      </c>
      <c r="L78" s="7"/>
      <c r="M78" s="7"/>
      <c r="N78" s="7"/>
      <c r="O78" s="7"/>
      <c r="P78" s="177"/>
      <c r="Q78" s="177"/>
      <c r="R78" s="177"/>
      <c r="S78" s="177"/>
    </row>
    <row r="79" spans="1:19">
      <c r="A79" s="35" t="s">
        <v>305</v>
      </c>
      <c r="B79" s="35"/>
      <c r="C79" s="35"/>
      <c r="D79" s="35"/>
      <c r="E79" s="35"/>
      <c r="F79" s="35"/>
      <c r="G79" s="35"/>
      <c r="H79" s="7" t="s">
        <v>306</v>
      </c>
      <c r="I79" s="7" t="s">
        <v>307</v>
      </c>
      <c r="J79" s="112" t="str">
        <f ca="1">IFERROR(__xludf.DUMMYFUNCTION("JOIN("": "",H79,I79)"),"3E-06-08-02-00-00-00: Dreno profundo")</f>
        <v>3E-06-08-02-00-00-00: Dreno profundo</v>
      </c>
      <c r="K79" s="4">
        <v>4</v>
      </c>
      <c r="L79" s="7"/>
      <c r="M79" s="7"/>
      <c r="N79" s="7"/>
      <c r="O79" s="7"/>
      <c r="P79" s="177"/>
      <c r="Q79" s="177"/>
      <c r="R79" s="177"/>
      <c r="S79" s="177"/>
    </row>
    <row r="80" spans="1:19">
      <c r="A80" s="35" t="s">
        <v>309</v>
      </c>
      <c r="B80" s="35"/>
      <c r="C80" s="35"/>
      <c r="D80" s="35"/>
      <c r="E80" s="35"/>
      <c r="F80" s="35"/>
      <c r="G80" s="35"/>
      <c r="H80" s="7" t="s">
        <v>310</v>
      </c>
      <c r="I80" s="7" t="s">
        <v>311</v>
      </c>
      <c r="J80" s="112" t="str">
        <f ca="1">IFERROR(__xludf.DUMMYFUNCTION("JOIN("": "",H80,I80)"),"3E-06-08-02-02-00-00: Dreno profundo contínuo")</f>
        <v>3E-06-08-02-02-00-00: Dreno profundo contínuo</v>
      </c>
      <c r="K80" s="4">
        <v>5</v>
      </c>
      <c r="L80" s="7"/>
      <c r="M80" s="7"/>
      <c r="N80" s="7"/>
      <c r="O80" s="7"/>
      <c r="P80" s="177"/>
      <c r="Q80" s="177"/>
      <c r="R80" s="177"/>
      <c r="S80" s="177"/>
    </row>
    <row r="81" spans="1:31">
      <c r="A81" s="35" t="s">
        <v>313</v>
      </c>
      <c r="B81" s="35"/>
      <c r="C81" s="35"/>
      <c r="D81" s="35"/>
      <c r="E81" s="35"/>
      <c r="F81" s="35"/>
      <c r="G81" s="35"/>
      <c r="H81" s="7" t="s">
        <v>314</v>
      </c>
      <c r="I81" s="7" t="s">
        <v>315</v>
      </c>
      <c r="J81" s="112" t="str">
        <f ca="1">IFERROR(__xludf.DUMMYFUNCTION("JOIN("": "",H81,I81)"),"3E-06-08-02-04-00-00: Dreno profundo descontínuo")</f>
        <v>3E-06-08-02-04-00-00: Dreno profundo descontínuo</v>
      </c>
      <c r="K81" s="4">
        <v>5</v>
      </c>
      <c r="L81" s="7"/>
      <c r="M81" s="7"/>
      <c r="N81" s="7"/>
      <c r="O81" s="7"/>
      <c r="P81" s="177"/>
      <c r="Q81" s="177"/>
      <c r="R81" s="177"/>
      <c r="S81" s="177"/>
    </row>
    <row r="82" spans="1:31">
      <c r="A82" s="35" t="s">
        <v>317</v>
      </c>
      <c r="B82" s="35"/>
      <c r="C82" s="35"/>
      <c r="D82" s="35"/>
      <c r="E82" s="35"/>
      <c r="F82" s="35"/>
      <c r="G82" s="35"/>
      <c r="H82" s="7" t="s">
        <v>318</v>
      </c>
      <c r="I82" s="7" t="s">
        <v>319</v>
      </c>
      <c r="J82" s="112" t="str">
        <f ca="1">IFERROR(__xludf.DUMMYFUNCTION("JOIN("": "",H82,I82)"),"3E-06-08-04-00-00-00: Dreno espinha de peixe")</f>
        <v>3E-06-08-04-00-00-00: Dreno espinha de peixe</v>
      </c>
      <c r="K82" s="4">
        <v>4</v>
      </c>
      <c r="L82" s="7"/>
      <c r="M82" s="7"/>
      <c r="N82" s="7"/>
      <c r="O82" s="7"/>
      <c r="P82" s="177"/>
      <c r="Q82" s="177"/>
      <c r="R82" s="177"/>
      <c r="S82" s="177"/>
    </row>
    <row r="83" spans="1:31">
      <c r="A83" s="35" t="s">
        <v>321</v>
      </c>
      <c r="B83" s="35"/>
      <c r="C83" s="35"/>
      <c r="D83" s="35"/>
      <c r="E83" s="35"/>
      <c r="F83" s="35"/>
      <c r="G83" s="35"/>
      <c r="H83" s="7" t="s">
        <v>322</v>
      </c>
      <c r="I83" s="7" t="s">
        <v>323</v>
      </c>
      <c r="J83" s="112" t="str">
        <f ca="1">IFERROR(__xludf.DUMMYFUNCTION("JOIN("": "",H83,I83)"),"3E-06-08-06-00-00-00: Colchão drenante")</f>
        <v>3E-06-08-06-00-00-00: Colchão drenante</v>
      </c>
      <c r="K83" s="4">
        <v>4</v>
      </c>
      <c r="L83" s="7"/>
      <c r="M83" s="7"/>
      <c r="N83" s="7"/>
      <c r="O83" s="7"/>
      <c r="P83" s="177"/>
      <c r="Q83" s="177"/>
      <c r="R83" s="177"/>
      <c r="S83" s="177"/>
    </row>
    <row r="84" spans="1:31">
      <c r="A84" s="35" t="s">
        <v>325</v>
      </c>
      <c r="B84" s="35"/>
      <c r="C84" s="35"/>
      <c r="D84" s="35"/>
      <c r="E84" s="35"/>
      <c r="F84" s="35"/>
      <c r="G84" s="35"/>
      <c r="H84" s="7" t="s">
        <v>326</v>
      </c>
      <c r="I84" s="7" t="s">
        <v>327</v>
      </c>
      <c r="J84" s="112" t="str">
        <f ca="1">IFERROR(__xludf.DUMMYFUNCTION("JOIN("": "",H84,I84)"),"3E-06-08-08-00-00-00: Dreno sub-horizontal")</f>
        <v>3E-06-08-08-00-00-00: Dreno sub-horizontal</v>
      </c>
      <c r="K84" s="4">
        <v>4</v>
      </c>
      <c r="L84" s="7"/>
      <c r="M84" s="7"/>
      <c r="N84" s="7"/>
      <c r="O84" s="7"/>
      <c r="P84" s="177"/>
      <c r="Q84" s="177"/>
      <c r="R84" s="177"/>
      <c r="S84" s="177"/>
    </row>
    <row r="85" spans="1:31">
      <c r="A85" s="35" t="s">
        <v>329</v>
      </c>
      <c r="B85" s="35"/>
      <c r="C85" s="35"/>
      <c r="D85" s="35"/>
      <c r="E85" s="35"/>
      <c r="F85" s="35"/>
      <c r="G85" s="35"/>
      <c r="H85" s="7" t="s">
        <v>330</v>
      </c>
      <c r="I85" s="7" t="s">
        <v>331</v>
      </c>
      <c r="J85" s="112" t="str">
        <f ca="1">IFERROR(__xludf.DUMMYFUNCTION("JOIN("": "",H85,I85)"),"3E-06-08-10-00-00-00: Valetão lateral")</f>
        <v>3E-06-08-10-00-00-00: Valetão lateral</v>
      </c>
      <c r="K85" s="4">
        <v>4</v>
      </c>
      <c r="L85" s="7"/>
      <c r="M85" s="7"/>
      <c r="N85" s="7"/>
      <c r="O85" s="7"/>
      <c r="P85" s="177"/>
      <c r="Q85" s="177"/>
      <c r="R85" s="177"/>
      <c r="S85" s="177"/>
    </row>
    <row r="86" spans="1:31">
      <c r="A86" s="35" t="s">
        <v>333</v>
      </c>
      <c r="B86" s="35"/>
      <c r="C86" s="35"/>
      <c r="D86" s="35"/>
      <c r="E86" s="35"/>
      <c r="F86" s="35"/>
      <c r="G86" s="35"/>
      <c r="H86" s="7" t="s">
        <v>334</v>
      </c>
      <c r="I86" s="7" t="s">
        <v>335</v>
      </c>
      <c r="J86" s="112" t="str">
        <f ca="1">IFERROR(__xludf.DUMMYFUNCTION("JOIN("": "",H86,I86)"),"3E-06-08-12-00-00-00: Dreno vertical")</f>
        <v>3E-06-08-12-00-00-00: Dreno vertical</v>
      </c>
      <c r="K86" s="4">
        <v>4</v>
      </c>
      <c r="L86" s="7"/>
      <c r="M86" s="7"/>
      <c r="N86" s="7"/>
      <c r="O86" s="7"/>
      <c r="P86" s="177"/>
      <c r="Q86" s="177"/>
      <c r="R86" s="177"/>
      <c r="S86" s="177"/>
    </row>
    <row r="87" spans="1:31">
      <c r="A87" s="111" t="s">
        <v>337</v>
      </c>
      <c r="B87" s="111"/>
      <c r="C87" s="111"/>
      <c r="D87" s="111"/>
      <c r="E87" s="111"/>
      <c r="F87" s="111"/>
      <c r="G87" s="111"/>
      <c r="H87" s="3" t="s">
        <v>338</v>
      </c>
      <c r="I87" s="3" t="s">
        <v>339</v>
      </c>
      <c r="J87" s="112" t="str">
        <f ca="1">IFERROR(__xludf.DUMMYFUNCTION("JOIN("": "",H87,I87)"),"3E-06-10-00-00-00-00: Elementos de drenagem de travessia urbana")</f>
        <v>3E-06-10-00-00-00-00: Elementos de drenagem de travessia urbana</v>
      </c>
      <c r="K87" s="4">
        <v>3</v>
      </c>
      <c r="L87" s="7"/>
      <c r="M87" s="7"/>
      <c r="N87" s="7"/>
      <c r="O87" s="7"/>
      <c r="P87" s="177"/>
      <c r="Q87" s="177"/>
      <c r="R87" s="177"/>
      <c r="S87" s="177"/>
    </row>
    <row r="88" spans="1:31">
      <c r="A88" s="35" t="s">
        <v>341</v>
      </c>
      <c r="B88" s="35"/>
      <c r="C88" s="35"/>
      <c r="D88" s="35"/>
      <c r="E88" s="35"/>
      <c r="F88" s="35"/>
      <c r="G88" s="35"/>
      <c r="H88" s="7" t="s">
        <v>342</v>
      </c>
      <c r="I88" s="7" t="s">
        <v>343</v>
      </c>
      <c r="J88" s="112" t="str">
        <f ca="1">IFERROR(__xludf.DUMMYFUNCTION("JOIN("": "",H88,I88)"),"3E-06-10-02-00-00-00: Sarjeta de drenagem de travessia urbana")</f>
        <v>3E-06-10-02-00-00-00: Sarjeta de drenagem de travessia urbana</v>
      </c>
      <c r="K88" s="4">
        <v>4</v>
      </c>
      <c r="L88" s="7"/>
      <c r="M88" s="7"/>
      <c r="N88" s="7"/>
      <c r="O88" s="7"/>
      <c r="P88" s="177"/>
      <c r="Q88" s="177"/>
      <c r="R88" s="177"/>
      <c r="S88" s="177"/>
    </row>
    <row r="89" spans="1:31">
      <c r="A89" s="35" t="s">
        <v>345</v>
      </c>
      <c r="B89" s="35"/>
      <c r="C89" s="35"/>
      <c r="D89" s="35"/>
      <c r="E89" s="35"/>
      <c r="F89" s="35"/>
      <c r="G89" s="35"/>
      <c r="H89" s="7" t="s">
        <v>346</v>
      </c>
      <c r="I89" s="7" t="s">
        <v>347</v>
      </c>
      <c r="J89" s="112" t="str">
        <f ca="1">IFERROR(__xludf.DUMMYFUNCTION("JOIN("": "",H89,I89)"),"3E-06-10-04-00-00-00: Boca-de-lobo de drenagem de travessia urbana")</f>
        <v>3E-06-10-04-00-00-00: Boca-de-lobo de drenagem de travessia urbana</v>
      </c>
      <c r="K89" s="4">
        <v>4</v>
      </c>
      <c r="L89" s="7"/>
      <c r="M89" s="7"/>
      <c r="N89" s="7"/>
      <c r="O89" s="7"/>
      <c r="P89" s="177"/>
      <c r="Q89" s="177"/>
      <c r="R89" s="177"/>
      <c r="S89" s="177"/>
    </row>
    <row r="90" spans="1:31">
      <c r="A90" s="35" t="s">
        <v>349</v>
      </c>
      <c r="B90" s="35"/>
      <c r="C90" s="35"/>
      <c r="D90" s="35"/>
      <c r="E90" s="35"/>
      <c r="F90" s="35"/>
      <c r="G90" s="35"/>
      <c r="H90" s="7" t="s">
        <v>350</v>
      </c>
      <c r="I90" s="7" t="s">
        <v>351</v>
      </c>
      <c r="J90" s="112" t="str">
        <f ca="1">IFERROR(__xludf.DUMMYFUNCTION("JOIN("": "",H90,I90)"),"3E-06-10-06-00-00-00: Poço-de-visita de drenagem de travessia urbana")</f>
        <v>3E-06-10-06-00-00-00: Poço-de-visita de drenagem de travessia urbana</v>
      </c>
      <c r="K90" s="4">
        <v>4</v>
      </c>
      <c r="L90" s="7"/>
      <c r="M90" s="7"/>
      <c r="N90" s="7"/>
      <c r="O90" s="7"/>
      <c r="P90" s="177"/>
      <c r="Q90" s="177"/>
      <c r="R90" s="177"/>
      <c r="S90" s="177"/>
    </row>
    <row r="91" spans="1:31">
      <c r="A91" s="111" t="s">
        <v>353</v>
      </c>
      <c r="B91" s="111"/>
      <c r="C91" s="111"/>
      <c r="D91" s="111"/>
      <c r="E91" s="111"/>
      <c r="F91" s="111"/>
      <c r="G91" s="111"/>
      <c r="H91" s="3" t="s">
        <v>354</v>
      </c>
      <c r="I91" s="3" t="s">
        <v>355</v>
      </c>
      <c r="J91" s="112" t="str">
        <f ca="1">IFERROR(__xludf.DUMMYFUNCTION("JOIN("": "",H91,I91)"),"3E-06-12-00-00-00-00: Elementos geotêxteis")</f>
        <v>3E-06-12-00-00-00-00: Elementos geotêxteis</v>
      </c>
      <c r="K91" s="4">
        <v>3</v>
      </c>
      <c r="L91" s="7"/>
      <c r="M91" s="7"/>
      <c r="N91" s="7"/>
      <c r="O91" s="7"/>
      <c r="P91" s="177"/>
      <c r="Q91" s="177"/>
      <c r="R91" s="177"/>
      <c r="S91" s="177"/>
    </row>
    <row r="92" spans="1:31">
      <c r="A92" s="35" t="s">
        <v>357</v>
      </c>
      <c r="B92" s="35"/>
      <c r="C92" s="35"/>
      <c r="D92" s="35"/>
      <c r="E92" s="35"/>
      <c r="F92" s="35"/>
      <c r="G92" s="35"/>
      <c r="H92" s="7" t="s">
        <v>358</v>
      </c>
      <c r="I92" s="7" t="s">
        <v>359</v>
      </c>
      <c r="J92" s="112" t="str">
        <f ca="1">IFERROR(__xludf.DUMMYFUNCTION("JOIN("": "",H92,I92)"),"3E-06-12-02-00-00-00: Geotêxtil do tipo tecido")</f>
        <v>3E-06-12-02-00-00-00: Geotêxtil do tipo tecido</v>
      </c>
      <c r="K92" s="4">
        <v>4</v>
      </c>
      <c r="L92" s="7"/>
      <c r="M92" s="7"/>
      <c r="N92" s="7"/>
      <c r="O92" s="7"/>
      <c r="P92" s="177"/>
      <c r="Q92" s="177"/>
      <c r="R92" s="177"/>
      <c r="S92" s="177"/>
    </row>
    <row r="93" spans="1:31">
      <c r="A93" s="35" t="s">
        <v>361</v>
      </c>
      <c r="B93" s="35"/>
      <c r="C93" s="35"/>
      <c r="D93" s="35"/>
      <c r="E93" s="35"/>
      <c r="F93" s="35"/>
      <c r="G93" s="35"/>
      <c r="H93" s="7" t="s">
        <v>362</v>
      </c>
      <c r="I93" s="7" t="s">
        <v>363</v>
      </c>
      <c r="J93" s="112" t="str">
        <f ca="1">IFERROR(__xludf.DUMMYFUNCTION("JOIN("": "",H93,I93)"),"3E-06-12-04-00-00-00: Geotêxtil do tipo não tecido")</f>
        <v>3E-06-12-04-00-00-00: Geotêxtil do tipo não tecido</v>
      </c>
      <c r="K93" s="4">
        <v>4</v>
      </c>
      <c r="L93" s="7"/>
      <c r="M93" s="7"/>
      <c r="N93" s="7"/>
      <c r="O93" s="7"/>
      <c r="P93" s="177"/>
      <c r="Q93" s="177"/>
      <c r="R93" s="177"/>
      <c r="S93" s="177"/>
    </row>
    <row r="94" spans="1:31">
      <c r="A94" s="111" t="s">
        <v>365</v>
      </c>
      <c r="B94" s="111"/>
      <c r="C94" s="111"/>
      <c r="D94" s="111"/>
      <c r="E94" s="111"/>
      <c r="F94" s="111"/>
      <c r="G94" s="111"/>
      <c r="H94" s="3" t="s">
        <v>366</v>
      </c>
      <c r="I94" s="3" t="s">
        <v>367</v>
      </c>
      <c r="J94" s="112" t="str">
        <f ca="1">IFERROR(__xludf.DUMMYFUNCTION("JOIN("": "",H94,I94)"),"3E-08-00-00-00-00-00: Elementos de tráfego")</f>
        <v>3E-08-00-00-00-00-00: Elementos de tráfego</v>
      </c>
      <c r="K94" s="4">
        <v>2</v>
      </c>
      <c r="L94" s="7"/>
      <c r="M94" s="7">
        <v>1</v>
      </c>
      <c r="N94" s="7"/>
      <c r="O94" s="7"/>
      <c r="P94" s="177"/>
      <c r="Q94" s="177"/>
      <c r="R94" s="177"/>
      <c r="S94" s="177"/>
      <c r="AD94" s="7"/>
      <c r="AE94" s="35"/>
    </row>
    <row r="95" spans="1:31">
      <c r="A95" s="111" t="s">
        <v>369</v>
      </c>
      <c r="B95" s="111"/>
      <c r="C95" s="111"/>
      <c r="D95" s="111"/>
      <c r="E95" s="111"/>
      <c r="F95" s="111"/>
      <c r="G95" s="111"/>
      <c r="H95" s="3" t="s">
        <v>370</v>
      </c>
      <c r="I95" s="3" t="s">
        <v>371</v>
      </c>
      <c r="J95" s="112" t="str">
        <f ca="1">IFERROR(__xludf.DUMMYFUNCTION("JOIN("": "",H95,I95)"),"3E-08-02-00-00-00-00: Elementos de pavimentação")</f>
        <v>3E-08-02-00-00-00-00: Elementos de pavimentação</v>
      </c>
      <c r="K95" s="4">
        <v>3</v>
      </c>
      <c r="L95" s="7"/>
      <c r="M95" s="7"/>
      <c r="N95" s="7"/>
      <c r="O95" s="7"/>
      <c r="P95" s="177"/>
      <c r="Q95" s="177"/>
      <c r="R95" s="177"/>
      <c r="S95" s="177"/>
    </row>
    <row r="96" spans="1:31">
      <c r="A96" s="35" t="s">
        <v>373</v>
      </c>
      <c r="B96" s="35"/>
      <c r="C96" s="35"/>
      <c r="D96" s="35"/>
      <c r="E96" s="35"/>
      <c r="F96" s="35"/>
      <c r="G96" s="35"/>
      <c r="H96" s="7" t="s">
        <v>374</v>
      </c>
      <c r="I96" s="7" t="s">
        <v>375</v>
      </c>
      <c r="J96" s="112" t="str">
        <f ca="1">IFERROR(__xludf.DUMMYFUNCTION("JOIN("": "",H96,I96)"),"3E-08-02-02-00-00-00: Subleito de pavimento")</f>
        <v>3E-08-02-02-00-00-00: Subleito de pavimento</v>
      </c>
      <c r="K96" s="4">
        <v>4</v>
      </c>
      <c r="L96" s="7"/>
      <c r="M96" s="7"/>
      <c r="N96" s="7"/>
      <c r="O96" s="7"/>
      <c r="P96" s="177"/>
      <c r="Q96" s="177"/>
      <c r="R96" s="177"/>
      <c r="S96" s="177"/>
    </row>
    <row r="97" spans="1:19">
      <c r="A97" s="35" t="s">
        <v>377</v>
      </c>
      <c r="B97" s="35"/>
      <c r="C97" s="35"/>
      <c r="D97" s="35"/>
      <c r="E97" s="35"/>
      <c r="F97" s="35"/>
      <c r="G97" s="35"/>
      <c r="H97" s="7" t="s">
        <v>378</v>
      </c>
      <c r="I97" s="7" t="s">
        <v>379</v>
      </c>
      <c r="J97" s="112" t="str">
        <f ca="1">IFERROR(__xludf.DUMMYFUNCTION("JOIN("": "",H97,I97)"),"3E-08-02-04-00-00-00: Sub-base de pavimento")</f>
        <v>3E-08-02-04-00-00-00: Sub-base de pavimento</v>
      </c>
      <c r="K97" s="4">
        <v>4</v>
      </c>
      <c r="L97" s="7"/>
      <c r="M97" s="7"/>
      <c r="N97" s="7"/>
      <c r="O97" s="7"/>
      <c r="P97" s="177"/>
      <c r="Q97" s="177"/>
      <c r="R97" s="177"/>
      <c r="S97" s="177"/>
    </row>
    <row r="98" spans="1:19">
      <c r="A98" s="35" t="s">
        <v>381</v>
      </c>
      <c r="B98" s="35"/>
      <c r="C98" s="35"/>
      <c r="D98" s="35"/>
      <c r="E98" s="35"/>
      <c r="F98" s="35"/>
      <c r="G98" s="35"/>
      <c r="H98" s="7" t="s">
        <v>382</v>
      </c>
      <c r="I98" s="7" t="s">
        <v>383</v>
      </c>
      <c r="J98" s="112" t="str">
        <f ca="1">IFERROR(__xludf.DUMMYFUNCTION("JOIN("": "",H98,I98)"),"3E-08-02-06-00-00-00: Base de pavimento")</f>
        <v>3E-08-02-06-00-00-00: Base de pavimento</v>
      </c>
      <c r="K98" s="4">
        <v>4</v>
      </c>
      <c r="L98" s="7"/>
      <c r="M98" s="7"/>
      <c r="N98" s="7"/>
      <c r="O98" s="7"/>
      <c r="P98" s="177"/>
      <c r="Q98" s="177"/>
      <c r="R98" s="177"/>
      <c r="S98" s="177"/>
    </row>
    <row r="99" spans="1:19">
      <c r="A99" s="35" t="s">
        <v>385</v>
      </c>
      <c r="B99" s="35"/>
      <c r="C99" s="35"/>
      <c r="D99" s="35"/>
      <c r="E99" s="35"/>
      <c r="F99" s="35"/>
      <c r="G99" s="35"/>
      <c r="H99" s="7" t="s">
        <v>386</v>
      </c>
      <c r="I99" s="7" t="s">
        <v>387</v>
      </c>
      <c r="J99" s="112" t="str">
        <f ca="1">IFERROR(__xludf.DUMMYFUNCTION("JOIN("": "",H99,I99)"),"3E-08-02-08-00-00-00: Rolamento do pavimento")</f>
        <v>3E-08-02-08-00-00-00: Rolamento do pavimento</v>
      </c>
      <c r="K99" s="4">
        <v>4</v>
      </c>
      <c r="L99" s="7"/>
      <c r="M99" s="7"/>
      <c r="N99" s="7"/>
      <c r="O99" s="7"/>
      <c r="P99" s="177"/>
      <c r="Q99" s="177"/>
      <c r="R99" s="177"/>
      <c r="S99" s="177"/>
    </row>
    <row r="100" spans="1:19">
      <c r="A100" s="111" t="s">
        <v>389</v>
      </c>
      <c r="B100" s="111"/>
      <c r="C100" s="111"/>
      <c r="D100" s="111"/>
      <c r="E100" s="111"/>
      <c r="F100" s="111"/>
      <c r="G100" s="111"/>
      <c r="H100" s="3" t="s">
        <v>390</v>
      </c>
      <c r="I100" s="3" t="s">
        <v>391</v>
      </c>
      <c r="J100" s="112" t="str">
        <f ca="1">IFERROR(__xludf.DUMMYFUNCTION("JOIN("": "",H100,I100)"),"3E-08-04-00-00-00-00: Elementos de balizamento de tráfego")</f>
        <v>3E-08-04-00-00-00-00: Elementos de balizamento de tráfego</v>
      </c>
      <c r="K100" s="4">
        <v>3</v>
      </c>
      <c r="L100" s="7"/>
      <c r="M100" s="7"/>
      <c r="N100" s="7"/>
      <c r="O100" s="7"/>
      <c r="P100" s="177"/>
      <c r="Q100" s="177"/>
      <c r="R100" s="177"/>
      <c r="S100" s="177"/>
    </row>
    <row r="101" spans="1:19">
      <c r="A101" s="35" t="s">
        <v>393</v>
      </c>
      <c r="B101" s="35"/>
      <c r="C101" s="35"/>
      <c r="D101" s="35"/>
      <c r="E101" s="35"/>
      <c r="F101" s="35"/>
      <c r="G101" s="35"/>
      <c r="H101" s="7" t="s">
        <v>394</v>
      </c>
      <c r="I101" s="7" t="s">
        <v>395</v>
      </c>
      <c r="J101" s="112" t="str">
        <f ca="1">IFERROR(__xludf.DUMMYFUNCTION("JOIN("": "",H101,I101)"),"3E-08-04-02-00-00-00: Meio-fio")</f>
        <v>3E-08-04-02-00-00-00: Meio-fio</v>
      </c>
      <c r="K101" s="4">
        <v>4</v>
      </c>
      <c r="L101" s="7"/>
      <c r="M101" s="7"/>
      <c r="N101" s="7"/>
      <c r="O101" s="7"/>
      <c r="P101" s="177"/>
      <c r="Q101" s="177"/>
      <c r="R101" s="177"/>
      <c r="S101" s="177"/>
    </row>
    <row r="102" spans="1:19">
      <c r="A102" s="35" t="s">
        <v>397</v>
      </c>
      <c r="B102" s="35"/>
      <c r="C102" s="35"/>
      <c r="D102" s="35"/>
      <c r="E102" s="35"/>
      <c r="F102" s="35"/>
      <c r="G102" s="35"/>
      <c r="H102" s="7" t="s">
        <v>398</v>
      </c>
      <c r="I102" s="7" t="s">
        <v>399</v>
      </c>
      <c r="J102" s="112" t="str">
        <f ca="1">IFERROR(__xludf.DUMMYFUNCTION("JOIN("": "",H102,I102)"),"3E-08-04-04-00-00-00: Defensa")</f>
        <v>3E-08-04-04-00-00-00: Defensa</v>
      </c>
      <c r="K102" s="4">
        <v>4</v>
      </c>
      <c r="L102" s="7"/>
      <c r="M102" s="7"/>
      <c r="N102" s="7"/>
      <c r="O102" s="7"/>
      <c r="P102" s="177"/>
      <c r="Q102" s="177"/>
      <c r="R102" s="177"/>
      <c r="S102" s="177"/>
    </row>
    <row r="103" spans="1:19">
      <c r="A103" s="35" t="s">
        <v>401</v>
      </c>
      <c r="B103" s="35"/>
      <c r="C103" s="35"/>
      <c r="D103" s="35"/>
      <c r="E103" s="35"/>
      <c r="F103" s="35"/>
      <c r="G103" s="35"/>
      <c r="H103" s="7" t="s">
        <v>402</v>
      </c>
      <c r="I103" s="7" t="s">
        <v>403</v>
      </c>
      <c r="J103" s="112" t="str">
        <f ca="1">IFERROR(__xludf.DUMMYFUNCTION("JOIN("": "",H103,I103)"),"3E-08-04-06-00-00-00: Separador")</f>
        <v>3E-08-04-06-00-00-00: Separador</v>
      </c>
      <c r="K103" s="4">
        <v>4</v>
      </c>
      <c r="L103" s="7"/>
      <c r="M103" s="7"/>
      <c r="N103" s="7"/>
      <c r="O103" s="7"/>
      <c r="P103" s="177"/>
      <c r="Q103" s="177"/>
      <c r="R103" s="177"/>
      <c r="S103" s="177"/>
    </row>
    <row r="104" spans="1:19">
      <c r="A104" s="35" t="s">
        <v>405</v>
      </c>
      <c r="B104" s="35"/>
      <c r="C104" s="35"/>
      <c r="D104" s="35"/>
      <c r="E104" s="35"/>
      <c r="F104" s="35"/>
      <c r="G104" s="35"/>
      <c r="H104" s="7" t="s">
        <v>406</v>
      </c>
      <c r="I104" s="7" t="s">
        <v>407</v>
      </c>
      <c r="J104" s="112" t="str">
        <f ca="1">IFERROR(__xludf.DUMMYFUNCTION("JOIN("": "",H104,I104)"),"3E-08-04-08-00-00-00: Corrimão")</f>
        <v>3E-08-04-08-00-00-00: Corrimão</v>
      </c>
      <c r="K104" s="4">
        <v>4</v>
      </c>
      <c r="L104" s="7"/>
      <c r="M104" s="7"/>
      <c r="N104" s="7"/>
      <c r="O104" s="7"/>
      <c r="P104" s="177"/>
      <c r="Q104" s="177"/>
      <c r="R104" s="177"/>
      <c r="S104" s="177"/>
    </row>
    <row r="105" spans="1:19">
      <c r="A105" s="35" t="s">
        <v>409</v>
      </c>
      <c r="B105" s="35"/>
      <c r="C105" s="35"/>
      <c r="D105" s="35"/>
      <c r="E105" s="35"/>
      <c r="F105" s="35"/>
      <c r="G105" s="35"/>
      <c r="H105" s="7" t="s">
        <v>410</v>
      </c>
      <c r="I105" s="7" t="s">
        <v>411</v>
      </c>
      <c r="J105" s="112" t="str">
        <f ca="1">IFERROR(__xludf.DUMMYFUNCTION("JOIN("": "",H105,I105)"),"3E-08-04-10-00-00-00: Guarda-corpo")</f>
        <v>3E-08-04-10-00-00-00: Guarda-corpo</v>
      </c>
      <c r="K105" s="4">
        <v>4</v>
      </c>
      <c r="L105" s="7"/>
      <c r="M105" s="7"/>
      <c r="N105" s="7"/>
      <c r="O105" s="7"/>
      <c r="P105" s="177"/>
      <c r="Q105" s="177"/>
      <c r="R105" s="177"/>
      <c r="S105" s="177"/>
    </row>
    <row r="106" spans="1:19">
      <c r="A106" s="35" t="s">
        <v>413</v>
      </c>
      <c r="B106" s="35"/>
      <c r="C106" s="35"/>
      <c r="D106" s="35"/>
      <c r="E106" s="35"/>
      <c r="F106" s="35"/>
      <c r="G106" s="35"/>
      <c r="H106" s="7" t="s">
        <v>414</v>
      </c>
      <c r="I106" s="7" t="s">
        <v>415</v>
      </c>
      <c r="J106" s="112" t="str">
        <f ca="1">IFERROR(__xludf.DUMMYFUNCTION("JOIN("": "",H106,I106)"),"3E-08-04-12-00-00-00: Guarda-rodas")</f>
        <v>3E-08-04-12-00-00-00: Guarda-rodas</v>
      </c>
      <c r="K106" s="4">
        <v>4</v>
      </c>
      <c r="L106" s="7"/>
      <c r="M106" s="7"/>
      <c r="N106" s="7"/>
      <c r="O106" s="7"/>
      <c r="P106" s="177"/>
      <c r="Q106" s="177"/>
      <c r="R106" s="177"/>
      <c r="S106" s="177"/>
    </row>
    <row r="107" spans="1:19">
      <c r="A107" s="35" t="s">
        <v>417</v>
      </c>
      <c r="B107" s="35"/>
      <c r="C107" s="35"/>
      <c r="D107" s="35"/>
      <c r="E107" s="35"/>
      <c r="F107" s="35"/>
      <c r="G107" s="35"/>
      <c r="H107" s="7" t="s">
        <v>418</v>
      </c>
      <c r="I107" s="7" t="s">
        <v>419</v>
      </c>
      <c r="J107" s="112" t="str">
        <f ca="1">IFERROR(__xludf.DUMMYFUNCTION("JOIN("": "",H107,I107)"),"3E-08-04-14-00-00-00: Faixas sonorizadoras")</f>
        <v>3E-08-04-14-00-00-00: Faixas sonorizadoras</v>
      </c>
      <c r="K107" s="4">
        <v>4</v>
      </c>
      <c r="L107" s="7"/>
      <c r="M107" s="7"/>
      <c r="N107" s="7"/>
      <c r="O107" s="7"/>
      <c r="P107" s="177"/>
      <c r="Q107" s="177"/>
      <c r="R107" s="177"/>
      <c r="S107" s="177"/>
    </row>
    <row r="108" spans="1:19">
      <c r="A108" s="35" t="s">
        <v>421</v>
      </c>
      <c r="B108" s="35"/>
      <c r="C108" s="35"/>
      <c r="D108" s="35"/>
      <c r="E108" s="35"/>
      <c r="F108" s="35"/>
      <c r="G108" s="35"/>
      <c r="H108" s="7" t="s">
        <v>422</v>
      </c>
      <c r="I108" s="7" t="s">
        <v>423</v>
      </c>
      <c r="J108" s="112" t="str">
        <f ca="1">IFERROR(__xludf.DUMMYFUNCTION("JOIN("": "",H108,I108)"),"3E-08-04-16-00-00-00: Barras de trepidação")</f>
        <v>3E-08-04-16-00-00-00: Barras de trepidação</v>
      </c>
      <c r="K108" s="4">
        <v>4</v>
      </c>
      <c r="L108" s="7"/>
      <c r="M108" s="7"/>
      <c r="N108" s="7"/>
      <c r="O108" s="7"/>
      <c r="P108" s="177"/>
      <c r="Q108" s="177"/>
      <c r="R108" s="177"/>
      <c r="S108" s="177"/>
    </row>
    <row r="109" spans="1:19">
      <c r="A109" s="35" t="s">
        <v>425</v>
      </c>
      <c r="B109" s="35"/>
      <c r="C109" s="35"/>
      <c r="D109" s="35"/>
      <c r="E109" s="35"/>
      <c r="F109" s="35"/>
      <c r="G109" s="35"/>
      <c r="H109" s="7" t="s">
        <v>426</v>
      </c>
      <c r="I109" s="7" t="s">
        <v>427</v>
      </c>
      <c r="J109" s="112" t="str">
        <f ca="1">IFERROR(__xludf.DUMMYFUNCTION("JOIN("": "",H109,I109)"),"3E-08-04-18-00-00-00: Quebra-molas")</f>
        <v>3E-08-04-18-00-00-00: Quebra-molas</v>
      </c>
      <c r="K109" s="4">
        <v>4</v>
      </c>
      <c r="L109" s="7"/>
      <c r="M109" s="7"/>
      <c r="N109" s="7"/>
      <c r="O109" s="7"/>
      <c r="P109" s="177"/>
      <c r="Q109" s="177"/>
      <c r="R109" s="177"/>
      <c r="S109" s="177"/>
    </row>
    <row r="110" spans="1:19">
      <c r="A110" s="35" t="s">
        <v>429</v>
      </c>
      <c r="B110" s="35"/>
      <c r="C110" s="35"/>
      <c r="D110" s="35"/>
      <c r="E110" s="35"/>
      <c r="F110" s="35"/>
      <c r="G110" s="35"/>
      <c r="H110" s="7" t="s">
        <v>430</v>
      </c>
      <c r="I110" s="7" t="s">
        <v>431</v>
      </c>
      <c r="J110" s="112" t="str">
        <f ca="1">IFERROR(__xludf.DUMMYFUNCTION("JOIN("": "",H110,I110)"),"3E-08-04-20-00-00-00: Plataforma de tráfego")</f>
        <v>3E-08-04-20-00-00-00: Plataforma de tráfego</v>
      </c>
      <c r="K110" s="4">
        <v>4</v>
      </c>
      <c r="L110" s="7"/>
      <c r="M110" s="7"/>
      <c r="N110" s="7"/>
      <c r="O110" s="7"/>
      <c r="P110" s="177"/>
      <c r="Q110" s="177"/>
      <c r="R110" s="177"/>
      <c r="S110" s="177"/>
    </row>
    <row r="111" spans="1:19">
      <c r="A111" s="35" t="s">
        <v>433</v>
      </c>
      <c r="B111" s="35"/>
      <c r="C111" s="35"/>
      <c r="D111" s="35"/>
      <c r="E111" s="35"/>
      <c r="F111" s="35"/>
      <c r="G111" s="35"/>
      <c r="H111" s="7" t="s">
        <v>434</v>
      </c>
      <c r="I111" s="7" t="s">
        <v>435</v>
      </c>
      <c r="J111" s="112" t="str">
        <f ca="1">IFERROR(__xludf.DUMMYFUNCTION("JOIN("": "",H111,I111)"),"3E-08-04-22-00-00-00: Barreira de tráfego")</f>
        <v>3E-08-04-22-00-00-00: Barreira de tráfego</v>
      </c>
      <c r="K111" s="4">
        <v>4</v>
      </c>
      <c r="L111" s="7"/>
      <c r="M111" s="7"/>
      <c r="N111" s="7"/>
      <c r="O111" s="7"/>
      <c r="P111" s="177"/>
      <c r="Q111" s="177"/>
      <c r="R111" s="177"/>
      <c r="S111" s="177"/>
    </row>
    <row r="112" spans="1:19">
      <c r="A112" s="35" t="s">
        <v>437</v>
      </c>
      <c r="B112" s="35"/>
      <c r="C112" s="35"/>
      <c r="D112" s="35"/>
      <c r="E112" s="35"/>
      <c r="F112" s="35"/>
      <c r="G112" s="35"/>
      <c r="H112" s="7" t="s">
        <v>438</v>
      </c>
      <c r="I112" s="7" t="s">
        <v>439</v>
      </c>
      <c r="J112" s="112" t="str">
        <f ca="1">IFERROR(__xludf.DUMMYFUNCTION("JOIN("": "",H112,I112)"),"3E-08-04-24-00-00-00: Piso tátil direcional")</f>
        <v>3E-08-04-24-00-00-00: Piso tátil direcional</v>
      </c>
      <c r="K112" s="4">
        <v>4</v>
      </c>
      <c r="L112" s="7"/>
      <c r="M112" s="7"/>
      <c r="N112" s="7"/>
      <c r="O112" s="7"/>
      <c r="P112" s="177"/>
      <c r="Q112" s="177"/>
      <c r="R112" s="177"/>
      <c r="S112" s="177"/>
    </row>
    <row r="113" spans="1:19">
      <c r="A113" s="35" t="s">
        <v>441</v>
      </c>
      <c r="B113" s="35"/>
      <c r="C113" s="35"/>
      <c r="D113" s="35"/>
      <c r="E113" s="35"/>
      <c r="F113" s="35"/>
      <c r="G113" s="35"/>
      <c r="H113" s="7" t="s">
        <v>442</v>
      </c>
      <c r="I113" s="7" t="s">
        <v>443</v>
      </c>
      <c r="J113" s="112" t="str">
        <f ca="1">IFERROR(__xludf.DUMMYFUNCTION("JOIN("": "",H113,I113)"),"3E-08-04-26-00-00-00: Piso tátil alerta")</f>
        <v>3E-08-04-26-00-00-00: Piso tátil alerta</v>
      </c>
      <c r="K113" s="4">
        <v>4</v>
      </c>
      <c r="L113" s="7"/>
      <c r="M113" s="7"/>
      <c r="N113" s="7"/>
      <c r="O113" s="7"/>
      <c r="P113" s="177"/>
      <c r="Q113" s="177"/>
      <c r="R113" s="177"/>
      <c r="S113" s="177"/>
    </row>
    <row r="114" spans="1:19">
      <c r="A114" s="111" t="s">
        <v>445</v>
      </c>
      <c r="B114" s="111"/>
      <c r="C114" s="111"/>
      <c r="D114" s="111"/>
      <c r="E114" s="111"/>
      <c r="F114" s="111"/>
      <c r="G114" s="111"/>
      <c r="H114" s="3" t="s">
        <v>446</v>
      </c>
      <c r="I114" s="3" t="s">
        <v>447</v>
      </c>
      <c r="J114" s="112" t="str">
        <f ca="1">IFERROR(__xludf.DUMMYFUNCTION("JOIN("": "",H114,I114)"),"3E-08-06-00-00-00-00: Elementos de conexão de tráfego")</f>
        <v>3E-08-06-00-00-00-00: Elementos de conexão de tráfego</v>
      </c>
      <c r="K114" s="4">
        <v>3</v>
      </c>
      <c r="L114" s="7"/>
      <c r="M114" s="7"/>
      <c r="N114" s="7"/>
      <c r="O114" s="7"/>
      <c r="P114" s="177"/>
      <c r="Q114" s="177"/>
      <c r="R114" s="177"/>
      <c r="S114" s="177"/>
    </row>
    <row r="115" spans="1:19">
      <c r="A115" s="35" t="s">
        <v>449</v>
      </c>
      <c r="B115" s="35"/>
      <c r="C115" s="35"/>
      <c r="D115" s="35"/>
      <c r="E115" s="35"/>
      <c r="F115" s="35"/>
      <c r="G115" s="35"/>
      <c r="H115" s="7" t="s">
        <v>450</v>
      </c>
      <c r="I115" s="7" t="s">
        <v>451</v>
      </c>
      <c r="J115" s="112" t="str">
        <f ca="1">IFERROR(__xludf.DUMMYFUNCTION("JOIN("": "",H115,I115)"),"3E-08-06-02-00-00-00: Rampa")</f>
        <v>3E-08-06-02-00-00-00: Rampa</v>
      </c>
      <c r="K115" s="4">
        <v>4</v>
      </c>
      <c r="L115" s="7"/>
      <c r="M115" s="7"/>
      <c r="N115" s="7"/>
      <c r="O115" s="7"/>
      <c r="P115" s="177"/>
      <c r="Q115" s="177"/>
      <c r="R115" s="177"/>
      <c r="S115" s="177"/>
    </row>
    <row r="116" spans="1:19">
      <c r="A116" s="35" t="s">
        <v>453</v>
      </c>
      <c r="B116" s="35"/>
      <c r="C116" s="35"/>
      <c r="D116" s="35"/>
      <c r="E116" s="35"/>
      <c r="F116" s="35"/>
      <c r="G116" s="35"/>
      <c r="H116" s="7" t="s">
        <v>454</v>
      </c>
      <c r="I116" s="7" t="s">
        <v>455</v>
      </c>
      <c r="J116" s="112" t="str">
        <f ca="1">IFERROR(__xludf.DUMMYFUNCTION("JOIN("": "",H116,I116)"),"3E-08-06-02-02-00-00: Lance de rampa")</f>
        <v>3E-08-06-02-02-00-00: Lance de rampa</v>
      </c>
      <c r="K116" s="4">
        <v>5</v>
      </c>
      <c r="L116" s="7"/>
      <c r="M116" s="7"/>
      <c r="N116" s="7"/>
      <c r="O116" s="7"/>
      <c r="P116" s="177"/>
      <c r="Q116" s="177"/>
      <c r="R116" s="177"/>
      <c r="S116" s="177"/>
    </row>
    <row r="117" spans="1:19">
      <c r="A117" s="35" t="s">
        <v>457</v>
      </c>
      <c r="B117" s="35"/>
      <c r="C117" s="35"/>
      <c r="D117" s="35"/>
      <c r="E117" s="35"/>
      <c r="F117" s="35"/>
      <c r="G117" s="35"/>
      <c r="H117" s="7" t="s">
        <v>458</v>
      </c>
      <c r="I117" s="7" t="s">
        <v>459</v>
      </c>
      <c r="J117" s="112" t="str">
        <f ca="1">IFERROR(__xludf.DUMMYFUNCTION("JOIN("": "",H117,I117)"),"3E-08-06-02-04-00-00: Patamar de rampa")</f>
        <v>3E-08-06-02-04-00-00: Patamar de rampa</v>
      </c>
      <c r="K117" s="4">
        <v>5</v>
      </c>
      <c r="L117" s="7"/>
      <c r="M117" s="7"/>
      <c r="N117" s="7"/>
      <c r="O117" s="7"/>
      <c r="P117" s="177"/>
      <c r="Q117" s="177"/>
      <c r="R117" s="177"/>
      <c r="S117" s="177"/>
    </row>
    <row r="118" spans="1:19">
      <c r="A118" s="35" t="s">
        <v>461</v>
      </c>
      <c r="B118" s="35"/>
      <c r="C118" s="35"/>
      <c r="D118" s="35"/>
      <c r="E118" s="35"/>
      <c r="F118" s="35"/>
      <c r="G118" s="35"/>
      <c r="H118" s="7" t="s">
        <v>462</v>
      </c>
      <c r="I118" s="7" t="s">
        <v>463</v>
      </c>
      <c r="J118" s="112" t="str">
        <f ca="1">IFERROR(__xludf.DUMMYFUNCTION("JOIN("": "",H118,I118)"),"3E-08-06-04-00-00-00: Escada")</f>
        <v>3E-08-06-04-00-00-00: Escada</v>
      </c>
      <c r="K118" s="4">
        <v>4</v>
      </c>
      <c r="L118" s="7"/>
      <c r="M118" s="7"/>
      <c r="N118" s="7"/>
      <c r="O118" s="7"/>
      <c r="P118" s="177"/>
      <c r="Q118" s="177"/>
      <c r="R118" s="177"/>
      <c r="S118" s="177"/>
    </row>
    <row r="119" spans="1:19">
      <c r="A119" s="35" t="s">
        <v>465</v>
      </c>
      <c r="B119" s="35"/>
      <c r="C119" s="35"/>
      <c r="D119" s="35"/>
      <c r="E119" s="35"/>
      <c r="F119" s="35"/>
      <c r="G119" s="35"/>
      <c r="H119" s="7" t="s">
        <v>466</v>
      </c>
      <c r="I119" s="7" t="s">
        <v>467</v>
      </c>
      <c r="J119" s="112" t="str">
        <f ca="1">IFERROR(__xludf.DUMMYFUNCTION("JOIN("": "",H119,I119)"),"3E-08-06-04-02-00-00: Pisada de escada")</f>
        <v>3E-08-06-04-02-00-00: Pisada de escada</v>
      </c>
      <c r="K119" s="4">
        <v>5</v>
      </c>
      <c r="L119" s="7"/>
      <c r="M119" s="7"/>
      <c r="N119" s="7"/>
      <c r="O119" s="7"/>
      <c r="P119" s="177"/>
      <c r="Q119" s="177"/>
      <c r="R119" s="177"/>
      <c r="S119" s="177"/>
    </row>
    <row r="120" spans="1:19">
      <c r="A120" s="35" t="s">
        <v>469</v>
      </c>
      <c r="B120" s="35"/>
      <c r="C120" s="35"/>
      <c r="D120" s="35"/>
      <c r="E120" s="35"/>
      <c r="F120" s="35"/>
      <c r="G120" s="35"/>
      <c r="H120" s="7" t="s">
        <v>470</v>
      </c>
      <c r="I120" s="7" t="s">
        <v>471</v>
      </c>
      <c r="J120" s="112" t="str">
        <f ca="1">IFERROR(__xludf.DUMMYFUNCTION("JOIN("": "",H120,I120)"),"3E-08-06-04-04-00-00: Espelho de escada")</f>
        <v>3E-08-06-04-04-00-00: Espelho de escada</v>
      </c>
      <c r="K120" s="4">
        <v>5</v>
      </c>
      <c r="L120" s="7"/>
      <c r="M120" s="7"/>
      <c r="N120" s="7"/>
      <c r="O120" s="7"/>
      <c r="P120" s="177"/>
      <c r="Q120" s="177"/>
      <c r="R120" s="177"/>
      <c r="S120" s="177"/>
    </row>
    <row r="121" spans="1:19">
      <c r="A121" s="35" t="s">
        <v>473</v>
      </c>
      <c r="B121" s="35"/>
      <c r="C121" s="35"/>
      <c r="D121" s="35"/>
      <c r="E121" s="35"/>
      <c r="F121" s="35"/>
      <c r="G121" s="35"/>
      <c r="H121" s="7" t="s">
        <v>474</v>
      </c>
      <c r="I121" s="7" t="s">
        <v>475</v>
      </c>
      <c r="J121" s="112" t="str">
        <f ca="1">IFERROR(__xludf.DUMMYFUNCTION("JOIN("": "",H121,I121)"),"3E-08-06-04-06-00-00: Patamar de escada")</f>
        <v>3E-08-06-04-06-00-00: Patamar de escada</v>
      </c>
      <c r="K121" s="4">
        <v>5</v>
      </c>
      <c r="L121" s="7"/>
      <c r="M121" s="7"/>
      <c r="N121" s="7"/>
      <c r="O121" s="7"/>
      <c r="P121" s="177"/>
      <c r="Q121" s="177"/>
      <c r="R121" s="177"/>
      <c r="S121" s="177"/>
    </row>
    <row r="122" spans="1:19">
      <c r="A122" s="35" t="s">
        <v>477</v>
      </c>
      <c r="B122" s="35"/>
      <c r="C122" s="35"/>
      <c r="D122" s="35"/>
      <c r="E122" s="35"/>
      <c r="F122" s="35"/>
      <c r="G122" s="35"/>
      <c r="H122" s="7" t="s">
        <v>478</v>
      </c>
      <c r="I122" s="7" t="s">
        <v>479</v>
      </c>
      <c r="J122" s="112" t="str">
        <f ca="1">IFERROR(__xludf.DUMMYFUNCTION("JOIN("": "",H122,I122)"),"3E-08-06-06-00-00-00: Elevador")</f>
        <v>3E-08-06-06-00-00-00: Elevador</v>
      </c>
      <c r="K122" s="4">
        <v>4</v>
      </c>
      <c r="L122" s="7"/>
      <c r="M122" s="7"/>
      <c r="N122" s="7"/>
      <c r="O122" s="7"/>
      <c r="P122" s="177"/>
      <c r="Q122" s="177"/>
      <c r="R122" s="177"/>
      <c r="S122" s="177"/>
    </row>
    <row r="123" spans="1:19">
      <c r="A123" s="35" t="s">
        <v>481</v>
      </c>
      <c r="B123" s="35"/>
      <c r="C123" s="35"/>
      <c r="D123" s="35"/>
      <c r="E123" s="35"/>
      <c r="F123" s="35"/>
      <c r="G123" s="35"/>
      <c r="H123" s="7" t="s">
        <v>482</v>
      </c>
      <c r="I123" s="7" t="s">
        <v>483</v>
      </c>
      <c r="J123" s="112" t="str">
        <f ca="1">IFERROR(__xludf.DUMMYFUNCTION("JOIN("": "",H123,I123)"),"3E-08-06-08-00-00-00: Monta-carga")</f>
        <v>3E-08-06-08-00-00-00: Monta-carga</v>
      </c>
      <c r="K123" s="4">
        <v>4</v>
      </c>
      <c r="L123" s="7"/>
      <c r="M123" s="7"/>
      <c r="N123" s="7"/>
      <c r="O123" s="7"/>
      <c r="P123" s="177"/>
      <c r="Q123" s="177"/>
      <c r="R123" s="177"/>
      <c r="S123" s="177"/>
    </row>
    <row r="124" spans="1:19">
      <c r="A124" s="35" t="s">
        <v>485</v>
      </c>
      <c r="B124" s="35"/>
      <c r="C124" s="35"/>
      <c r="D124" s="35"/>
      <c r="E124" s="35"/>
      <c r="F124" s="35"/>
      <c r="G124" s="35"/>
      <c r="H124" s="7" t="s">
        <v>486</v>
      </c>
      <c r="I124" s="7" t="s">
        <v>487</v>
      </c>
      <c r="J124" s="112" t="str">
        <f ca="1">IFERROR(__xludf.DUMMYFUNCTION("JOIN("": "",H124,I124)"),"3E-08-06-10-00-00-00: Plataforma")</f>
        <v>3E-08-06-10-00-00-00: Plataforma</v>
      </c>
      <c r="K124" s="4">
        <v>4</v>
      </c>
      <c r="L124" s="7"/>
      <c r="M124" s="7"/>
      <c r="N124" s="7"/>
      <c r="O124" s="7"/>
      <c r="P124" s="177"/>
      <c r="Q124" s="177"/>
      <c r="R124" s="177"/>
      <c r="S124" s="177"/>
    </row>
    <row r="125" spans="1:19">
      <c r="A125" s="35" t="s">
        <v>489</v>
      </c>
      <c r="B125" s="35"/>
      <c r="C125" s="35"/>
      <c r="D125" s="35"/>
      <c r="E125" s="35"/>
      <c r="F125" s="35"/>
      <c r="G125" s="35"/>
      <c r="H125" s="7" t="s">
        <v>490</v>
      </c>
      <c r="I125" s="7" t="s">
        <v>491</v>
      </c>
      <c r="J125" s="112" t="str">
        <f ca="1">IFERROR(__xludf.DUMMYFUNCTION("JOIN("": "",H125,I125)"),"3E-08-06-10-02-00-00: Plataforma elevatória")</f>
        <v>3E-08-06-10-02-00-00: Plataforma elevatória</v>
      </c>
      <c r="K125" s="4">
        <v>5</v>
      </c>
      <c r="L125" s="7"/>
      <c r="M125" s="7"/>
      <c r="N125" s="7"/>
      <c r="O125" s="7"/>
      <c r="P125" s="177"/>
      <c r="Q125" s="177"/>
      <c r="R125" s="177"/>
      <c r="S125" s="177"/>
    </row>
    <row r="126" spans="1:19">
      <c r="A126" s="35" t="s">
        <v>493</v>
      </c>
      <c r="B126" s="35"/>
      <c r="C126" s="35"/>
      <c r="D126" s="35"/>
      <c r="E126" s="35"/>
      <c r="F126" s="35"/>
      <c r="G126" s="35"/>
      <c r="H126" s="7" t="s">
        <v>494</v>
      </c>
      <c r="I126" s="7" t="s">
        <v>495</v>
      </c>
      <c r="J126" s="112" t="str">
        <f ca="1">IFERROR(__xludf.DUMMYFUNCTION("JOIN("": "",H126,I126)"),"3E-08-06-10-04-00-00: Plataforma giratória")</f>
        <v>3E-08-06-10-04-00-00: Plataforma giratória</v>
      </c>
      <c r="K126" s="4">
        <v>5</v>
      </c>
      <c r="L126" s="7"/>
      <c r="M126" s="7"/>
      <c r="N126" s="7"/>
      <c r="O126" s="7"/>
      <c r="P126" s="177"/>
      <c r="Q126" s="177"/>
      <c r="R126" s="177"/>
      <c r="S126" s="177"/>
    </row>
    <row r="127" spans="1:19">
      <c r="A127" s="111" t="s">
        <v>497</v>
      </c>
      <c r="B127" s="111"/>
      <c r="C127" s="111"/>
      <c r="D127" s="111"/>
      <c r="E127" s="111"/>
      <c r="F127" s="111"/>
      <c r="G127" s="111"/>
      <c r="H127" s="3" t="s">
        <v>498</v>
      </c>
      <c r="I127" s="3" t="s">
        <v>499</v>
      </c>
      <c r="J127" s="112" t="str">
        <f ca="1">IFERROR(__xludf.DUMMYFUNCTION("JOIN("": "",H127,I127)"),"3E-08-08-00-00-00-00: Elementos de sinalização")</f>
        <v>3E-08-08-00-00-00-00: Elementos de sinalização</v>
      </c>
      <c r="K127" s="4">
        <v>3</v>
      </c>
      <c r="L127" s="7"/>
      <c r="M127" s="7"/>
      <c r="N127" s="7"/>
      <c r="O127" s="7"/>
      <c r="P127" s="177"/>
      <c r="Q127" s="177"/>
      <c r="R127" s="177"/>
      <c r="S127" s="177"/>
    </row>
    <row r="128" spans="1:19">
      <c r="A128" s="35" t="s">
        <v>501</v>
      </c>
      <c r="B128" s="35"/>
      <c r="C128" s="35"/>
      <c r="D128" s="35"/>
      <c r="E128" s="35"/>
      <c r="F128" s="35"/>
      <c r="G128" s="35"/>
      <c r="H128" s="7" t="s">
        <v>502</v>
      </c>
      <c r="I128" s="7" t="s">
        <v>503</v>
      </c>
      <c r="J128" s="112" t="str">
        <f ca="1">IFERROR(__xludf.DUMMYFUNCTION("JOIN("": "",H128,I128)"),"3E-08-08-02-00-00-00: Sinalização em letra dimensional")</f>
        <v>3E-08-08-02-00-00-00: Sinalização em letra dimensional</v>
      </c>
      <c r="K128" s="4">
        <v>4</v>
      </c>
      <c r="L128" s="7"/>
      <c r="M128" s="7"/>
      <c r="N128" s="7"/>
      <c r="O128" s="7"/>
      <c r="P128" s="177"/>
      <c r="Q128" s="177"/>
      <c r="R128" s="177"/>
      <c r="S128" s="177"/>
    </row>
    <row r="129" spans="1:31">
      <c r="A129" s="35" t="s">
        <v>505</v>
      </c>
      <c r="B129" s="35"/>
      <c r="C129" s="35"/>
      <c r="D129" s="35"/>
      <c r="E129" s="35"/>
      <c r="F129" s="35"/>
      <c r="G129" s="35"/>
      <c r="H129" s="7" t="s">
        <v>506</v>
      </c>
      <c r="I129" s="7" t="s">
        <v>507</v>
      </c>
      <c r="J129" s="112" t="str">
        <f ca="1">IFERROR(__xludf.DUMMYFUNCTION("JOIN("": "",H129,I129)"),"3E-08-08-04-00-00-00: Sinalização em painel")</f>
        <v>3E-08-08-04-00-00-00: Sinalização em painel</v>
      </c>
      <c r="K129" s="4">
        <v>4</v>
      </c>
      <c r="L129" s="7"/>
      <c r="M129" s="7"/>
      <c r="N129" s="7"/>
      <c r="O129" s="7"/>
      <c r="P129" s="177"/>
      <c r="Q129" s="177"/>
      <c r="R129" s="177"/>
      <c r="S129" s="177"/>
    </row>
    <row r="130" spans="1:31">
      <c r="A130" s="35" t="s">
        <v>509</v>
      </c>
      <c r="B130" s="35"/>
      <c r="C130" s="35"/>
      <c r="D130" s="35"/>
      <c r="E130" s="35"/>
      <c r="F130" s="35"/>
      <c r="G130" s="35"/>
      <c r="H130" s="7" t="s">
        <v>510</v>
      </c>
      <c r="I130" s="7" t="s">
        <v>511</v>
      </c>
      <c r="J130" s="112" t="str">
        <f ca="1">IFERROR(__xludf.DUMMYFUNCTION("JOIN("": "",H130,I130)"),"3E-08-08-06-00-00-00: Sinalização em poste e painel/coluna")</f>
        <v>3E-08-08-06-00-00-00: Sinalização em poste e painel/coluna</v>
      </c>
      <c r="K130" s="4">
        <v>4</v>
      </c>
      <c r="L130" s="7"/>
      <c r="M130" s="7"/>
      <c r="N130" s="7"/>
      <c r="O130" s="7"/>
      <c r="P130" s="177"/>
      <c r="Q130" s="177"/>
      <c r="R130" s="177"/>
      <c r="S130" s="177"/>
    </row>
    <row r="131" spans="1:31">
      <c r="A131" s="35" t="s">
        <v>513</v>
      </c>
      <c r="B131" s="35"/>
      <c r="C131" s="35"/>
      <c r="D131" s="35"/>
      <c r="E131" s="35"/>
      <c r="F131" s="35"/>
      <c r="G131" s="35"/>
      <c r="H131" s="7" t="s">
        <v>514</v>
      </c>
      <c r="I131" s="7" t="s">
        <v>515</v>
      </c>
      <c r="J131" s="112" t="str">
        <f ca="1">IFERROR(__xludf.DUMMYFUNCTION("JOIN("": "",H131,I131)"),"3E-08-08-08-00-00-00: Sinalização com painel iluminado")</f>
        <v>3E-08-08-08-00-00-00: Sinalização com painel iluminado</v>
      </c>
      <c r="K131" s="4">
        <v>4</v>
      </c>
      <c r="L131" s="7"/>
      <c r="M131" s="7"/>
      <c r="N131" s="7"/>
      <c r="O131" s="7"/>
      <c r="P131" s="177"/>
      <c r="Q131" s="177"/>
      <c r="R131" s="177"/>
      <c r="S131" s="177"/>
    </row>
    <row r="132" spans="1:31">
      <c r="A132" s="35" t="s">
        <v>517</v>
      </c>
      <c r="B132" s="35"/>
      <c r="C132" s="35"/>
      <c r="D132" s="35"/>
      <c r="E132" s="35"/>
      <c r="F132" s="35"/>
      <c r="G132" s="35"/>
      <c r="H132" s="7" t="s">
        <v>518</v>
      </c>
      <c r="I132" s="7" t="s">
        <v>519</v>
      </c>
      <c r="J132" s="112" t="str">
        <f ca="1">IFERROR(__xludf.DUMMYFUNCTION("JOIN("": "",H132,I132)"),"3E-08-08-10-00-00-00: Sinalização com painel não iluminado")</f>
        <v>3E-08-08-10-00-00-00: Sinalização com painel não iluminado</v>
      </c>
      <c r="K132" s="4">
        <v>4</v>
      </c>
      <c r="L132" s="7"/>
      <c r="M132" s="7"/>
      <c r="N132" s="7"/>
      <c r="O132" s="7"/>
      <c r="P132" s="177"/>
      <c r="Q132" s="177"/>
      <c r="R132" s="177"/>
      <c r="S132" s="177"/>
    </row>
    <row r="133" spans="1:31">
      <c r="A133" s="35" t="s">
        <v>521</v>
      </c>
      <c r="B133" s="35"/>
      <c r="C133" s="35"/>
      <c r="D133" s="35"/>
      <c r="E133" s="35"/>
      <c r="F133" s="35"/>
      <c r="G133" s="35"/>
      <c r="H133" s="7" t="s">
        <v>522</v>
      </c>
      <c r="I133" s="7" t="s">
        <v>523</v>
      </c>
      <c r="J133" s="112" t="str">
        <f ca="1">IFERROR(__xludf.DUMMYFUNCTION("JOIN("": "",H133,I133)"),"3E-08-08-12-00-00-00: Sinalização fotoluminescente")</f>
        <v>3E-08-08-12-00-00-00: Sinalização fotoluminescente</v>
      </c>
      <c r="K133" s="4">
        <v>4</v>
      </c>
      <c r="L133" s="7"/>
      <c r="M133" s="7"/>
      <c r="N133" s="7"/>
      <c r="O133" s="7"/>
      <c r="P133" s="177"/>
      <c r="Q133" s="177"/>
      <c r="R133" s="177"/>
      <c r="S133" s="177"/>
    </row>
    <row r="134" spans="1:31">
      <c r="A134" s="35" t="s">
        <v>525</v>
      </c>
      <c r="B134" s="35"/>
      <c r="C134" s="35"/>
      <c r="D134" s="35"/>
      <c r="E134" s="35"/>
      <c r="F134" s="35"/>
      <c r="G134" s="35"/>
      <c r="H134" s="7" t="s">
        <v>526</v>
      </c>
      <c r="I134" s="7" t="s">
        <v>527</v>
      </c>
      <c r="J134" s="112" t="str">
        <f ca="1">IFERROR(__xludf.DUMMYFUNCTION("JOIN("": "",H134,I134)"),"3E-08-08-14-00-00-00: Sinalização de mensagem eletrônica")</f>
        <v>3E-08-08-14-00-00-00: Sinalização de mensagem eletrônica</v>
      </c>
      <c r="K134" s="4">
        <v>4</v>
      </c>
      <c r="L134" s="7"/>
      <c r="M134" s="7"/>
      <c r="N134" s="7"/>
      <c r="O134" s="7"/>
      <c r="P134" s="177"/>
      <c r="Q134" s="177"/>
      <c r="R134" s="177"/>
      <c r="S134" s="177"/>
    </row>
    <row r="135" spans="1:31">
      <c r="A135" s="35" t="s">
        <v>529</v>
      </c>
      <c r="B135" s="35"/>
      <c r="C135" s="35"/>
      <c r="D135" s="35"/>
      <c r="E135" s="35"/>
      <c r="F135" s="35"/>
      <c r="G135" s="35"/>
      <c r="H135" s="7" t="s">
        <v>530</v>
      </c>
      <c r="I135" s="7" t="s">
        <v>531</v>
      </c>
      <c r="J135" s="112" t="str">
        <f ca="1">IFERROR(__xludf.DUMMYFUNCTION("JOIN("": "",H135,I135)"),"3E-08-08-16-00-00-00: Sinalização flutuante")</f>
        <v>3E-08-08-16-00-00-00: Sinalização flutuante</v>
      </c>
      <c r="K135" s="4">
        <v>4</v>
      </c>
      <c r="L135" s="7"/>
      <c r="M135" s="7"/>
      <c r="N135" s="7"/>
      <c r="O135" s="7"/>
      <c r="P135" s="177"/>
      <c r="Q135" s="177"/>
      <c r="R135" s="177"/>
      <c r="S135" s="177"/>
    </row>
    <row r="136" spans="1:31">
      <c r="A136" s="111" t="s">
        <v>533</v>
      </c>
      <c r="B136" s="111"/>
      <c r="C136" s="111"/>
      <c r="D136" s="111"/>
      <c r="E136" s="111"/>
      <c r="F136" s="111"/>
      <c r="G136" s="111"/>
      <c r="H136" s="3" t="s">
        <v>534</v>
      </c>
      <c r="I136" s="3" t="s">
        <v>535</v>
      </c>
      <c r="J136" s="112" t="str">
        <f ca="1">IFERROR(__xludf.DUMMYFUNCTION("JOIN("": "",H136,I136)"),"3E-10-00-00-00-00-00: Elementos de fundações")</f>
        <v>3E-10-00-00-00-00-00: Elementos de fundações</v>
      </c>
      <c r="K136" s="4">
        <v>2</v>
      </c>
      <c r="L136" s="7"/>
      <c r="M136" s="7"/>
      <c r="N136" s="7"/>
      <c r="O136" s="7"/>
      <c r="P136" s="177"/>
      <c r="Q136" s="177"/>
      <c r="R136" s="177"/>
      <c r="S136" s="177"/>
      <c r="AD136" s="7"/>
      <c r="AE136" s="35"/>
    </row>
    <row r="137" spans="1:31">
      <c r="A137" s="111" t="s">
        <v>537</v>
      </c>
      <c r="B137" s="111"/>
      <c r="C137" s="111"/>
      <c r="D137" s="111"/>
      <c r="E137" s="111"/>
      <c r="F137" s="111"/>
      <c r="G137" s="111"/>
      <c r="H137" s="3" t="s">
        <v>538</v>
      </c>
      <c r="I137" s="3" t="s">
        <v>539</v>
      </c>
      <c r="J137" s="112" t="str">
        <f ca="1">IFERROR(__xludf.DUMMYFUNCTION("JOIN("": "",H137,I137)"),"3E-10-02-00-00-00-00: Elementos de fundações diretas")</f>
        <v>3E-10-02-00-00-00-00: Elementos de fundações diretas</v>
      </c>
      <c r="K137" s="4">
        <v>3</v>
      </c>
      <c r="L137" s="7"/>
      <c r="M137" s="7"/>
      <c r="N137" s="7"/>
      <c r="O137" s="7"/>
      <c r="P137" s="177"/>
      <c r="Q137" s="177"/>
      <c r="R137" s="177"/>
      <c r="S137" s="177"/>
    </row>
    <row r="138" spans="1:31">
      <c r="A138" s="35" t="s">
        <v>541</v>
      </c>
      <c r="B138" s="35"/>
      <c r="C138" s="35"/>
      <c r="D138" s="35"/>
      <c r="E138" s="35"/>
      <c r="F138" s="35"/>
      <c r="G138" s="35"/>
      <c r="H138" s="7" t="s">
        <v>542</v>
      </c>
      <c r="I138" s="7" t="s">
        <v>543</v>
      </c>
      <c r="J138" s="112" t="str">
        <f ca="1">IFERROR(__xludf.DUMMYFUNCTION("JOIN("": "",H138,I138)"),"3E-10-02-02-00-00-00: Bloco de fundação")</f>
        <v>3E-10-02-02-00-00-00: Bloco de fundação</v>
      </c>
      <c r="K138" s="4">
        <v>4</v>
      </c>
      <c r="L138" s="7"/>
      <c r="M138" s="7"/>
      <c r="N138" s="7"/>
      <c r="O138" s="7"/>
      <c r="P138" s="177"/>
      <c r="Q138" s="177"/>
      <c r="R138" s="177"/>
      <c r="S138" s="177"/>
    </row>
    <row r="139" spans="1:31">
      <c r="A139" s="35" t="s">
        <v>545</v>
      </c>
      <c r="B139" s="35"/>
      <c r="C139" s="35"/>
      <c r="D139" s="35"/>
      <c r="E139" s="35"/>
      <c r="F139" s="35"/>
      <c r="G139" s="35"/>
      <c r="H139" s="7" t="s">
        <v>546</v>
      </c>
      <c r="I139" s="7" t="s">
        <v>547</v>
      </c>
      <c r="J139" s="112" t="str">
        <f ca="1">IFERROR(__xludf.DUMMYFUNCTION("JOIN("": "",H139,I139)"),"3E-10-02-04-00-00-00: Sapata")</f>
        <v>3E-10-02-04-00-00-00: Sapata</v>
      </c>
      <c r="K139" s="4">
        <v>4</v>
      </c>
      <c r="L139" s="7"/>
      <c r="M139" s="7"/>
      <c r="N139" s="7"/>
      <c r="O139" s="7"/>
      <c r="P139" s="177"/>
      <c r="Q139" s="177"/>
      <c r="R139" s="177"/>
      <c r="S139" s="177"/>
    </row>
    <row r="140" spans="1:31">
      <c r="A140" s="35" t="s">
        <v>549</v>
      </c>
      <c r="B140" s="35"/>
      <c r="C140" s="35"/>
      <c r="D140" s="35"/>
      <c r="E140" s="35"/>
      <c r="F140" s="35"/>
      <c r="G140" s="35"/>
      <c r="H140" s="7" t="s">
        <v>550</v>
      </c>
      <c r="I140" s="7" t="s">
        <v>551</v>
      </c>
      <c r="J140" s="112" t="str">
        <f ca="1">IFERROR(__xludf.DUMMYFUNCTION("JOIN("": "",H140,I140)"),"3E-10-02-06-00-00-00: Fundação em grelha")</f>
        <v>3E-10-02-06-00-00-00: Fundação em grelha</v>
      </c>
      <c r="K140" s="4">
        <v>4</v>
      </c>
      <c r="L140" s="7"/>
      <c r="M140" s="7"/>
      <c r="N140" s="7"/>
      <c r="O140" s="7"/>
      <c r="P140" s="177"/>
      <c r="Q140" s="177"/>
      <c r="R140" s="177"/>
      <c r="S140" s="177"/>
    </row>
    <row r="141" spans="1:31">
      <c r="A141" s="35" t="s">
        <v>553</v>
      </c>
      <c r="B141" s="35"/>
      <c r="C141" s="35"/>
      <c r="D141" s="35"/>
      <c r="E141" s="35"/>
      <c r="F141" s="35"/>
      <c r="G141" s="35"/>
      <c r="H141" s="7" t="s">
        <v>554</v>
      </c>
      <c r="I141" s="7" t="s">
        <v>555</v>
      </c>
      <c r="J141" s="112" t="str">
        <f ca="1">IFERROR(__xludf.DUMMYFUNCTION("JOIN("": "",H141,I141)"),"3E-10-02-08-00-00-00: Radier")</f>
        <v>3E-10-02-08-00-00-00: Radier</v>
      </c>
      <c r="K141" s="4">
        <v>4</v>
      </c>
      <c r="L141" s="7"/>
      <c r="M141" s="7"/>
      <c r="N141" s="7"/>
      <c r="O141" s="7"/>
      <c r="P141" s="177"/>
      <c r="Q141" s="177"/>
      <c r="R141" s="177"/>
      <c r="S141" s="177"/>
    </row>
    <row r="142" spans="1:31">
      <c r="A142" s="111" t="s">
        <v>557</v>
      </c>
      <c r="B142" s="111"/>
      <c r="C142" s="111"/>
      <c r="D142" s="111"/>
      <c r="E142" s="111"/>
      <c r="F142" s="111"/>
      <c r="G142" s="111"/>
      <c r="H142" s="3" t="s">
        <v>558</v>
      </c>
      <c r="I142" s="3" t="s">
        <v>559</v>
      </c>
      <c r="J142" s="112" t="str">
        <f ca="1">IFERROR(__xludf.DUMMYFUNCTION("JOIN("": "",H142,I142)"),"3E-10-04-00-00-00-00: Elementos de fundações profundas")</f>
        <v>3E-10-04-00-00-00-00: Elementos de fundações profundas</v>
      </c>
      <c r="K142" s="4">
        <v>3</v>
      </c>
      <c r="L142" s="7"/>
      <c r="M142" s="7"/>
      <c r="N142" s="7"/>
      <c r="O142" s="7"/>
      <c r="P142" s="177"/>
      <c r="Q142" s="177"/>
      <c r="R142" s="177"/>
      <c r="S142" s="177"/>
    </row>
    <row r="143" spans="1:31">
      <c r="A143" s="35" t="s">
        <v>561</v>
      </c>
      <c r="B143" s="35"/>
      <c r="C143" s="35"/>
      <c r="D143" s="35"/>
      <c r="E143" s="35"/>
      <c r="F143" s="35"/>
      <c r="G143" s="35"/>
      <c r="H143" s="7" t="s">
        <v>562</v>
      </c>
      <c r="I143" s="7" t="s">
        <v>563</v>
      </c>
      <c r="J143" s="112" t="str">
        <f ca="1">IFERROR(__xludf.DUMMYFUNCTION("JOIN("": "",H143,I143)"),"3E-10-04-02-00-00-00: Estaca")</f>
        <v>3E-10-04-02-00-00-00: Estaca</v>
      </c>
      <c r="K143" s="4">
        <v>4</v>
      </c>
      <c r="L143" s="7"/>
      <c r="M143" s="7"/>
      <c r="N143" s="7"/>
      <c r="O143" s="7"/>
      <c r="P143" s="177"/>
      <c r="Q143" s="177"/>
      <c r="R143" s="177"/>
      <c r="S143" s="177"/>
    </row>
    <row r="144" spans="1:31">
      <c r="A144" s="35" t="s">
        <v>565</v>
      </c>
      <c r="B144" s="35"/>
      <c r="C144" s="35"/>
      <c r="D144" s="35"/>
      <c r="E144" s="35"/>
      <c r="F144" s="35"/>
      <c r="G144" s="35"/>
      <c r="H144" s="7" t="s">
        <v>566</v>
      </c>
      <c r="I144" s="7" t="s">
        <v>567</v>
      </c>
      <c r="J144" s="112" t="str">
        <f ca="1">IFERROR(__xludf.DUMMYFUNCTION("JOIN("": "",H144,I144)"),"3E-10-04-02-02-00-00: Estaca cravada a percussão")</f>
        <v>3E-10-04-02-02-00-00: Estaca cravada a percussão</v>
      </c>
      <c r="K144" s="4">
        <v>5</v>
      </c>
      <c r="L144" s="7"/>
      <c r="M144" s="7"/>
      <c r="N144" s="7"/>
      <c r="O144" s="7"/>
      <c r="P144" s="177"/>
      <c r="Q144" s="177"/>
      <c r="R144" s="177"/>
      <c r="S144" s="177"/>
    </row>
    <row r="145" spans="1:31">
      <c r="A145" s="35" t="s">
        <v>569</v>
      </c>
      <c r="B145" s="35"/>
      <c r="C145" s="35"/>
      <c r="D145" s="35"/>
      <c r="E145" s="35"/>
      <c r="F145" s="35"/>
      <c r="G145" s="35"/>
      <c r="H145" s="7" t="s">
        <v>570</v>
      </c>
      <c r="I145" s="7" t="s">
        <v>571</v>
      </c>
      <c r="J145" s="112" t="str">
        <f ca="1">IFERROR(__xludf.DUMMYFUNCTION("JOIN("": "",H145,I145)"),"3E-10-04-02-04-00-00: Estaca cravada por prensagem")</f>
        <v>3E-10-04-02-04-00-00: Estaca cravada por prensagem</v>
      </c>
      <c r="K145" s="4">
        <v>5</v>
      </c>
      <c r="L145" s="7"/>
      <c r="M145" s="7"/>
      <c r="N145" s="7"/>
      <c r="O145" s="7"/>
      <c r="P145" s="177"/>
      <c r="Q145" s="177"/>
      <c r="R145" s="177"/>
      <c r="S145" s="177"/>
    </row>
    <row r="146" spans="1:31">
      <c r="A146" s="35" t="s">
        <v>573</v>
      </c>
      <c r="B146" s="35"/>
      <c r="C146" s="35"/>
      <c r="D146" s="35"/>
      <c r="E146" s="35"/>
      <c r="F146" s="35"/>
      <c r="G146" s="35"/>
      <c r="H146" s="7" t="s">
        <v>574</v>
      </c>
      <c r="I146" s="7" t="s">
        <v>575</v>
      </c>
      <c r="J146" s="112" t="str">
        <f ca="1">IFERROR(__xludf.DUMMYFUNCTION("JOIN("": "",H146,I146)"),"3E-10-04-02-06-00-00: Estaca franki")</f>
        <v>3E-10-04-02-06-00-00: Estaca franki</v>
      </c>
      <c r="K146" s="4">
        <v>5</v>
      </c>
      <c r="L146" s="7"/>
      <c r="M146" s="7"/>
      <c r="N146" s="7"/>
      <c r="O146" s="7"/>
      <c r="P146" s="177"/>
      <c r="Q146" s="177"/>
      <c r="R146" s="177"/>
      <c r="S146" s="177"/>
    </row>
    <row r="147" spans="1:31">
      <c r="A147" s="35" t="s">
        <v>577</v>
      </c>
      <c r="B147" s="35"/>
      <c r="C147" s="35"/>
      <c r="D147" s="35"/>
      <c r="E147" s="35"/>
      <c r="F147" s="35"/>
      <c r="G147" s="35"/>
      <c r="H147" s="7" t="s">
        <v>578</v>
      </c>
      <c r="I147" s="7" t="s">
        <v>579</v>
      </c>
      <c r="J147" s="112" t="str">
        <f ca="1">IFERROR(__xludf.DUMMYFUNCTION("JOIN("": "",H147,I147)"),"3E-10-04-02-08-00-00: Estaca de tubo de ponta fechada")</f>
        <v>3E-10-04-02-08-00-00: Estaca de tubo de ponta fechada</v>
      </c>
      <c r="K147" s="4">
        <v>5</v>
      </c>
      <c r="L147" s="7"/>
      <c r="M147" s="7"/>
      <c r="N147" s="7"/>
      <c r="O147" s="7"/>
      <c r="P147" s="177"/>
      <c r="Q147" s="177"/>
      <c r="R147" s="177"/>
      <c r="S147" s="177"/>
    </row>
    <row r="148" spans="1:31">
      <c r="A148" s="35" t="s">
        <v>581</v>
      </c>
      <c r="B148" s="35"/>
      <c r="C148" s="35"/>
      <c r="D148" s="35"/>
      <c r="E148" s="35"/>
      <c r="F148" s="35"/>
      <c r="G148" s="35"/>
      <c r="H148" s="7" t="s">
        <v>582</v>
      </c>
      <c r="I148" s="7" t="s">
        <v>583</v>
      </c>
      <c r="J148" s="112" t="str">
        <f ca="1">IFERROR(__xludf.DUMMYFUNCTION("JOIN("": "",H148,I148)"),"3E-10-04-02-10-00-00: Estaca escavada rotativa")</f>
        <v>3E-10-04-02-10-00-00: Estaca escavada rotativa</v>
      </c>
      <c r="K148" s="4">
        <v>5</v>
      </c>
      <c r="L148" s="7"/>
      <c r="M148" s="7"/>
      <c r="N148" s="7"/>
      <c r="O148" s="7"/>
      <c r="P148" s="177"/>
      <c r="Q148" s="177"/>
      <c r="R148" s="177"/>
      <c r="S148" s="177"/>
    </row>
    <row r="149" spans="1:31">
      <c r="A149" s="35" t="s">
        <v>585</v>
      </c>
      <c r="B149" s="35"/>
      <c r="C149" s="35"/>
      <c r="D149" s="35"/>
      <c r="E149" s="35"/>
      <c r="F149" s="35"/>
      <c r="G149" s="35"/>
      <c r="H149" s="7" t="s">
        <v>586</v>
      </c>
      <c r="I149" s="7" t="s">
        <v>587</v>
      </c>
      <c r="J149" s="112" t="str">
        <f ca="1">IFERROR(__xludf.DUMMYFUNCTION("JOIN("": "",H149,I149)"),"3E-10-04-02-12-00-00: Estaca escavada diafragma")</f>
        <v>3E-10-04-02-12-00-00: Estaca escavada diafragma</v>
      </c>
      <c r="K149" s="4">
        <v>5</v>
      </c>
      <c r="L149" s="7"/>
      <c r="M149" s="7"/>
      <c r="N149" s="7"/>
      <c r="O149" s="7"/>
      <c r="P149" s="177"/>
      <c r="Q149" s="177"/>
      <c r="R149" s="177"/>
      <c r="S149" s="177"/>
    </row>
    <row r="150" spans="1:31">
      <c r="A150" s="35" t="s">
        <v>589</v>
      </c>
      <c r="B150" s="35"/>
      <c r="C150" s="35"/>
      <c r="D150" s="35"/>
      <c r="E150" s="35"/>
      <c r="F150" s="35"/>
      <c r="G150" s="35"/>
      <c r="H150" s="7" t="s">
        <v>590</v>
      </c>
      <c r="I150" s="7" t="s">
        <v>591</v>
      </c>
      <c r="J150" s="112" t="str">
        <f ca="1">IFERROR(__xludf.DUMMYFUNCTION("JOIN("": "",H150,I150)"),"3E-10-04-02-14-00-00: Estaca moldada strauss")</f>
        <v>3E-10-04-02-14-00-00: Estaca moldada strauss</v>
      </c>
      <c r="K150" s="4">
        <v>5</v>
      </c>
      <c r="L150" s="7"/>
      <c r="M150" s="7"/>
      <c r="N150" s="7"/>
      <c r="O150" s="7"/>
      <c r="P150" s="177"/>
      <c r="Q150" s="177"/>
      <c r="R150" s="177"/>
      <c r="S150" s="177"/>
    </row>
    <row r="151" spans="1:31">
      <c r="A151" s="35" t="s">
        <v>593</v>
      </c>
      <c r="B151" s="35"/>
      <c r="C151" s="35"/>
      <c r="D151" s="35"/>
      <c r="E151" s="35"/>
      <c r="F151" s="35"/>
      <c r="G151" s="35"/>
      <c r="H151" s="7" t="s">
        <v>594</v>
      </c>
      <c r="I151" s="7" t="s">
        <v>595</v>
      </c>
      <c r="J151" s="112" t="str">
        <f ca="1">IFERROR(__xludf.DUMMYFUNCTION("JOIN("": "",H151,I151)"),"3E-10-04-02-16-00-00: Estaca moldada raiz")</f>
        <v>3E-10-04-02-16-00-00: Estaca moldada raiz</v>
      </c>
      <c r="K151" s="4">
        <v>5</v>
      </c>
      <c r="L151" s="7"/>
      <c r="M151" s="7"/>
      <c r="N151" s="7"/>
      <c r="O151" s="7"/>
      <c r="P151" s="177"/>
      <c r="Q151" s="177"/>
      <c r="R151" s="177"/>
      <c r="S151" s="177"/>
    </row>
    <row r="152" spans="1:31">
      <c r="A152" s="35" t="s">
        <v>597</v>
      </c>
      <c r="B152" s="35"/>
      <c r="C152" s="35"/>
      <c r="D152" s="35"/>
      <c r="E152" s="35"/>
      <c r="F152" s="35"/>
      <c r="G152" s="35"/>
      <c r="H152" s="7" t="s">
        <v>598</v>
      </c>
      <c r="I152" s="7" t="s">
        <v>599</v>
      </c>
      <c r="J152" s="112" t="str">
        <f ca="1">IFERROR(__xludf.DUMMYFUNCTION("JOIN("": "",H152,I152)"),"3E-10-04-02-18-00-00: Estaca pré-moldada")</f>
        <v>3E-10-04-02-18-00-00: Estaca pré-moldada</v>
      </c>
      <c r="K152" s="4">
        <v>5</v>
      </c>
      <c r="L152" s="7"/>
      <c r="M152" s="7"/>
      <c r="N152" s="7"/>
      <c r="O152" s="7"/>
      <c r="P152" s="177"/>
      <c r="Q152" s="177"/>
      <c r="R152" s="177"/>
      <c r="S152" s="177"/>
    </row>
    <row r="153" spans="1:31">
      <c r="A153" s="35" t="s">
        <v>601</v>
      </c>
      <c r="B153" s="35"/>
      <c r="C153" s="35"/>
      <c r="D153" s="35"/>
      <c r="E153" s="35"/>
      <c r="F153" s="35"/>
      <c r="G153" s="35"/>
      <c r="H153" s="7" t="s">
        <v>602</v>
      </c>
      <c r="I153" s="7" t="s">
        <v>603</v>
      </c>
      <c r="J153" s="112" t="str">
        <f ca="1">IFERROR(__xludf.DUMMYFUNCTION("JOIN("": "",H153,I153)"),"3E-10-04-04-00-00-00: Tubulão")</f>
        <v>3E-10-04-04-00-00-00: Tubulão</v>
      </c>
      <c r="K153" s="4">
        <v>4</v>
      </c>
      <c r="L153" s="7"/>
      <c r="M153" s="7"/>
      <c r="N153" s="7"/>
      <c r="O153" s="7"/>
      <c r="P153" s="177"/>
      <c r="Q153" s="177"/>
      <c r="R153" s="177"/>
      <c r="S153" s="177"/>
    </row>
    <row r="154" spans="1:31">
      <c r="A154" s="35" t="s">
        <v>605</v>
      </c>
      <c r="B154" s="35"/>
      <c r="C154" s="35"/>
      <c r="D154" s="35"/>
      <c r="E154" s="35"/>
      <c r="F154" s="35"/>
      <c r="G154" s="35"/>
      <c r="H154" s="7" t="s">
        <v>606</v>
      </c>
      <c r="I154" s="7" t="s">
        <v>607</v>
      </c>
      <c r="J154" s="112" t="str">
        <f ca="1">IFERROR(__xludf.DUMMYFUNCTION("JOIN("": "",H154,I154)"),"3E-10-04-06-00-00-00: Caixão de fundação")</f>
        <v>3E-10-04-06-00-00-00: Caixão de fundação</v>
      </c>
      <c r="K154" s="4">
        <v>4</v>
      </c>
      <c r="L154" s="7"/>
      <c r="M154" s="7"/>
      <c r="N154" s="7"/>
      <c r="O154" s="7"/>
      <c r="P154" s="177"/>
      <c r="Q154" s="177"/>
      <c r="R154" s="177"/>
      <c r="S154" s="177"/>
    </row>
    <row r="155" spans="1:31">
      <c r="A155" s="111" t="s">
        <v>609</v>
      </c>
      <c r="B155" s="111"/>
      <c r="C155" s="111"/>
      <c r="D155" s="111"/>
      <c r="E155" s="111"/>
      <c r="F155" s="111"/>
      <c r="G155" s="111"/>
      <c r="H155" s="3" t="s">
        <v>610</v>
      </c>
      <c r="I155" s="3" t="s">
        <v>611</v>
      </c>
      <c r="J155" s="112" t="str">
        <f ca="1">IFERROR(__xludf.DUMMYFUNCTION("JOIN("": "",H155,I155)"),"3E-12-00-00-00-00-00: Elementos de estruturas")</f>
        <v>3E-12-00-00-00-00-00: Elementos de estruturas</v>
      </c>
      <c r="K155" s="4">
        <v>2</v>
      </c>
      <c r="L155" s="7"/>
      <c r="M155" s="7"/>
      <c r="N155" s="7"/>
      <c r="O155" s="7"/>
      <c r="P155" s="177"/>
      <c r="Q155" s="177"/>
      <c r="R155" s="177"/>
      <c r="S155" s="177"/>
      <c r="AD155" s="7"/>
      <c r="AE155" s="35"/>
    </row>
    <row r="156" spans="1:31">
      <c r="A156" s="111" t="s">
        <v>613</v>
      </c>
      <c r="B156" s="111"/>
      <c r="C156" s="111"/>
      <c r="D156" s="111"/>
      <c r="E156" s="111"/>
      <c r="F156" s="111"/>
      <c r="G156" s="111"/>
      <c r="H156" s="3" t="s">
        <v>614</v>
      </c>
      <c r="I156" s="3" t="s">
        <v>615</v>
      </c>
      <c r="J156" s="112" t="str">
        <f ca="1">IFERROR(__xludf.DUMMYFUNCTION("JOIN("": "",H156,I156)"),"3E-12-02-00-00-00-00: Elementos estruturais de forma ativa")</f>
        <v>3E-12-02-00-00-00-00: Elementos estruturais de forma ativa</v>
      </c>
      <c r="K156" s="4">
        <v>3</v>
      </c>
      <c r="L156" s="7"/>
      <c r="M156" s="7"/>
      <c r="N156" s="7"/>
      <c r="O156" s="7"/>
      <c r="P156" s="177"/>
      <c r="Q156" s="177"/>
      <c r="R156" s="177"/>
      <c r="S156" s="177"/>
    </row>
    <row r="157" spans="1:31">
      <c r="A157" s="35" t="s">
        <v>617</v>
      </c>
      <c r="B157" s="35"/>
      <c r="C157" s="35"/>
      <c r="D157" s="35"/>
      <c r="E157" s="35"/>
      <c r="F157" s="35"/>
      <c r="G157" s="35"/>
      <c r="H157" s="7" t="s">
        <v>618</v>
      </c>
      <c r="I157" s="7" t="s">
        <v>619</v>
      </c>
      <c r="J157" s="112" t="str">
        <f ca="1">IFERROR(__xludf.DUMMYFUNCTION("JOIN("": "",H157,I157)"),"3E-12-02-02-00-00-00: Estrutura de cabo")</f>
        <v>3E-12-02-02-00-00-00: Estrutura de cabo</v>
      </c>
      <c r="K157" s="4">
        <v>4</v>
      </c>
      <c r="L157" s="7"/>
      <c r="M157" s="7"/>
      <c r="N157" s="7"/>
      <c r="O157" s="7"/>
      <c r="P157" s="177"/>
      <c r="Q157" s="177"/>
      <c r="R157" s="177"/>
      <c r="S157" s="177"/>
    </row>
    <row r="158" spans="1:31">
      <c r="A158" s="35" t="s">
        <v>621</v>
      </c>
      <c r="B158" s="35"/>
      <c r="C158" s="35"/>
      <c r="D158" s="35"/>
      <c r="E158" s="35"/>
      <c r="F158" s="35"/>
      <c r="G158" s="35"/>
      <c r="H158" s="7" t="s">
        <v>622</v>
      </c>
      <c r="I158" s="7" t="s">
        <v>623</v>
      </c>
      <c r="J158" s="112" t="str">
        <f ca="1">IFERROR(__xludf.DUMMYFUNCTION("JOIN("": "",H158,I158)"),"3E-12-02-04-00-00-00: Estrutura de tenda")</f>
        <v>3E-12-02-04-00-00-00: Estrutura de tenda</v>
      </c>
      <c r="K158" s="4">
        <v>4</v>
      </c>
      <c r="L158" s="7"/>
      <c r="M158" s="7"/>
      <c r="N158" s="7"/>
      <c r="O158" s="7"/>
      <c r="P158" s="177"/>
      <c r="Q158" s="177"/>
      <c r="R158" s="177"/>
      <c r="S158" s="177"/>
    </row>
    <row r="159" spans="1:31">
      <c r="A159" s="35" t="s">
        <v>625</v>
      </c>
      <c r="B159" s="35"/>
      <c r="C159" s="35"/>
      <c r="D159" s="35"/>
      <c r="E159" s="35"/>
      <c r="F159" s="35"/>
      <c r="G159" s="35"/>
      <c r="H159" s="7" t="s">
        <v>626</v>
      </c>
      <c r="I159" s="7" t="s">
        <v>627</v>
      </c>
      <c r="J159" s="112" t="str">
        <f ca="1">IFERROR(__xludf.DUMMYFUNCTION("JOIN("": "",H159,I159)"),"3E-12-02-06-00-00-00: Estrutura de pneumático")</f>
        <v>3E-12-02-06-00-00-00: Estrutura de pneumático</v>
      </c>
      <c r="K159" s="4">
        <v>4</v>
      </c>
      <c r="L159" s="7"/>
      <c r="M159" s="7"/>
      <c r="N159" s="7"/>
      <c r="O159" s="7"/>
      <c r="P159" s="177"/>
      <c r="Q159" s="177"/>
      <c r="R159" s="177"/>
      <c r="S159" s="177"/>
    </row>
    <row r="160" spans="1:31">
      <c r="A160" s="35" t="s">
        <v>629</v>
      </c>
      <c r="B160" s="35"/>
      <c r="C160" s="35"/>
      <c r="D160" s="35"/>
      <c r="E160" s="35"/>
      <c r="F160" s="35"/>
      <c r="G160" s="35"/>
      <c r="H160" s="7" t="s">
        <v>630</v>
      </c>
      <c r="I160" s="7" t="s">
        <v>631</v>
      </c>
      <c r="J160" s="112" t="str">
        <f ca="1">IFERROR(__xludf.DUMMYFUNCTION("JOIN("": "",H160,I160)"),"3E-12-02-08-00-00-00: Estrutura de arco")</f>
        <v>3E-12-02-08-00-00-00: Estrutura de arco</v>
      </c>
      <c r="K160" s="4">
        <v>4</v>
      </c>
      <c r="L160" s="7"/>
      <c r="M160" s="7"/>
      <c r="N160" s="7"/>
      <c r="O160" s="7"/>
      <c r="P160" s="177"/>
      <c r="Q160" s="177"/>
      <c r="R160" s="177"/>
      <c r="S160" s="177"/>
    </row>
    <row r="161" spans="1:19">
      <c r="A161" s="35" t="s">
        <v>633</v>
      </c>
      <c r="B161" s="35"/>
      <c r="C161" s="35"/>
      <c r="D161" s="35"/>
      <c r="E161" s="35"/>
      <c r="F161" s="35"/>
      <c r="G161" s="35"/>
      <c r="H161" s="7" t="s">
        <v>634</v>
      </c>
      <c r="I161" s="7" t="s">
        <v>635</v>
      </c>
      <c r="J161" s="112" t="str">
        <f ca="1">IFERROR(__xludf.DUMMYFUNCTION("JOIN("": "",H161,I161)"),"3E-12-02-08-02-00-00: Arco funicular")</f>
        <v>3E-12-02-08-02-00-00: Arco funicular</v>
      </c>
      <c r="K161" s="4">
        <v>5</v>
      </c>
      <c r="L161" s="7"/>
      <c r="M161" s="7"/>
      <c r="N161" s="7"/>
      <c r="O161" s="7"/>
      <c r="P161" s="177"/>
      <c r="Q161" s="177"/>
      <c r="R161" s="177"/>
      <c r="S161" s="177"/>
    </row>
    <row r="162" spans="1:19">
      <c r="A162" s="35" t="s">
        <v>637</v>
      </c>
      <c r="B162" s="35"/>
      <c r="C162" s="35"/>
      <c r="D162" s="35"/>
      <c r="E162" s="35"/>
      <c r="F162" s="35"/>
      <c r="G162" s="35"/>
      <c r="H162" s="7" t="s">
        <v>638</v>
      </c>
      <c r="I162" s="7" t="s">
        <v>639</v>
      </c>
      <c r="J162" s="112" t="str">
        <f ca="1">IFERROR(__xludf.DUMMYFUNCTION("JOIN("": "",H162,I162)"),"3E-12-02-08-02-02-00: Arco achete")</f>
        <v>3E-12-02-08-02-02-00: Arco achete</v>
      </c>
      <c r="K162" s="4">
        <v>6</v>
      </c>
      <c r="L162" s="7"/>
      <c r="M162" s="7"/>
      <c r="N162" s="7"/>
      <c r="O162" s="7"/>
      <c r="P162" s="177"/>
      <c r="Q162" s="177"/>
      <c r="R162" s="177"/>
      <c r="S162" s="177"/>
    </row>
    <row r="163" spans="1:19">
      <c r="A163" s="35" t="s">
        <v>641</v>
      </c>
      <c r="B163" s="35"/>
      <c r="C163" s="35"/>
      <c r="D163" s="35"/>
      <c r="E163" s="35"/>
      <c r="F163" s="35"/>
      <c r="G163" s="35"/>
      <c r="H163" s="7" t="s">
        <v>642</v>
      </c>
      <c r="I163" s="7" t="s">
        <v>643</v>
      </c>
      <c r="J163" s="112" t="str">
        <f ca="1">IFERROR(__xludf.DUMMYFUNCTION("JOIN("": "",H163,I163)"),"3E-12-02-08-02-04-00: Arcobotante")</f>
        <v>3E-12-02-08-02-04-00: Arcobotante</v>
      </c>
      <c r="K163" s="4">
        <v>6</v>
      </c>
      <c r="L163" s="7"/>
      <c r="M163" s="7"/>
      <c r="N163" s="7"/>
      <c r="O163" s="7"/>
      <c r="P163" s="177"/>
      <c r="Q163" s="177"/>
      <c r="R163" s="177"/>
      <c r="S163" s="177"/>
    </row>
    <row r="164" spans="1:19">
      <c r="A164" s="35" t="s">
        <v>645</v>
      </c>
      <c r="B164" s="35"/>
      <c r="C164" s="35"/>
      <c r="D164" s="35"/>
      <c r="E164" s="35"/>
      <c r="F164" s="35"/>
      <c r="G164" s="35"/>
      <c r="H164" s="7" t="s">
        <v>646</v>
      </c>
      <c r="I164" s="7" t="s">
        <v>647</v>
      </c>
      <c r="J164" s="112" t="str">
        <f ca="1">IFERROR(__xludf.DUMMYFUNCTION("JOIN("": "",H164,I164)"),"3E-12-02-08-02-06-00: Arco cego")</f>
        <v>3E-12-02-08-02-06-00: Arco cego</v>
      </c>
      <c r="K164" s="4">
        <v>6</v>
      </c>
      <c r="L164" s="7"/>
      <c r="M164" s="7"/>
      <c r="N164" s="7"/>
      <c r="O164" s="7"/>
      <c r="P164" s="177"/>
      <c r="Q164" s="177"/>
      <c r="R164" s="177"/>
      <c r="S164" s="177"/>
    </row>
    <row r="165" spans="1:19">
      <c r="A165" s="35" t="s">
        <v>649</v>
      </c>
      <c r="B165" s="35"/>
      <c r="C165" s="35"/>
      <c r="D165" s="35"/>
      <c r="E165" s="35"/>
      <c r="F165" s="35"/>
      <c r="G165" s="35"/>
      <c r="H165" s="7" t="s">
        <v>650</v>
      </c>
      <c r="I165" s="7" t="s">
        <v>651</v>
      </c>
      <c r="J165" s="112" t="str">
        <f ca="1">IFERROR(__xludf.DUMMYFUNCTION("JOIN("": "",H165,I165)"),"3E-12-02-08-02-08-00: Arco cruzeiro")</f>
        <v>3E-12-02-08-02-08-00: Arco cruzeiro</v>
      </c>
      <c r="K165" s="4">
        <v>6</v>
      </c>
      <c r="L165" s="7"/>
      <c r="M165" s="7"/>
      <c r="N165" s="7"/>
      <c r="O165" s="7"/>
      <c r="P165" s="177"/>
      <c r="Q165" s="177"/>
      <c r="R165" s="177"/>
      <c r="S165" s="177"/>
    </row>
    <row r="166" spans="1:19">
      <c r="A166" s="35" t="s">
        <v>653</v>
      </c>
      <c r="B166" s="35"/>
      <c r="C166" s="35"/>
      <c r="D166" s="35"/>
      <c r="E166" s="35"/>
      <c r="F166" s="35"/>
      <c r="G166" s="35"/>
      <c r="H166" s="7" t="s">
        <v>654</v>
      </c>
      <c r="I166" s="7" t="s">
        <v>655</v>
      </c>
      <c r="J166" s="112" t="str">
        <f ca="1">IFERROR(__xludf.DUMMYFUNCTION("JOIN("": "",H166,I166)"),"3E-12-02-08-02-10-00: Arco de ogiva")</f>
        <v>3E-12-02-08-02-10-00: Arco de ogiva</v>
      </c>
      <c r="K166" s="4">
        <v>6</v>
      </c>
      <c r="L166" s="7"/>
      <c r="M166" s="7"/>
      <c r="N166" s="7"/>
      <c r="O166" s="7"/>
      <c r="P166" s="177"/>
      <c r="Q166" s="177"/>
      <c r="R166" s="177"/>
      <c r="S166" s="177"/>
    </row>
    <row r="167" spans="1:19">
      <c r="A167" s="35" t="s">
        <v>657</v>
      </c>
      <c r="B167" s="35"/>
      <c r="C167" s="35"/>
      <c r="D167" s="35"/>
      <c r="E167" s="35"/>
      <c r="F167" s="35"/>
      <c r="G167" s="35"/>
      <c r="H167" s="7" t="s">
        <v>658</v>
      </c>
      <c r="I167" s="7" t="s">
        <v>659</v>
      </c>
      <c r="J167" s="112" t="str">
        <f ca="1">IFERROR(__xludf.DUMMYFUNCTION("JOIN("": "",H167,I167)"),"3E-12-02-08-02-12-00: Arco toral")</f>
        <v>3E-12-02-08-02-12-00: Arco toral</v>
      </c>
      <c r="K167" s="4">
        <v>6</v>
      </c>
      <c r="L167" s="7"/>
      <c r="M167" s="7"/>
      <c r="N167" s="7"/>
      <c r="O167" s="7"/>
      <c r="P167" s="177"/>
      <c r="Q167" s="177"/>
      <c r="R167" s="177"/>
      <c r="S167" s="177"/>
    </row>
    <row r="168" spans="1:19">
      <c r="A168" s="35" t="s">
        <v>661</v>
      </c>
      <c r="B168" s="35"/>
      <c r="C168" s="35"/>
      <c r="D168" s="35"/>
      <c r="E168" s="35"/>
      <c r="F168" s="35"/>
      <c r="G168" s="35"/>
      <c r="H168" s="7" t="s">
        <v>662</v>
      </c>
      <c r="I168" s="7" t="s">
        <v>663</v>
      </c>
      <c r="J168" s="112" t="str">
        <f ca="1">IFERROR(__xludf.DUMMYFUNCTION("JOIN("": "",H168,I168)"),"3E-12-02-08-02-14-00: Formalete")</f>
        <v>3E-12-02-08-02-14-00: Formalete</v>
      </c>
      <c r="K168" s="4">
        <v>6</v>
      </c>
      <c r="L168" s="7"/>
      <c r="M168" s="7"/>
      <c r="N168" s="7"/>
      <c r="O168" s="7"/>
      <c r="P168" s="177"/>
      <c r="Q168" s="177"/>
      <c r="R168" s="177"/>
      <c r="S168" s="177"/>
    </row>
    <row r="169" spans="1:19">
      <c r="A169" s="35" t="s">
        <v>665</v>
      </c>
      <c r="B169" s="35"/>
      <c r="C169" s="35"/>
      <c r="D169" s="35"/>
      <c r="E169" s="35"/>
      <c r="F169" s="35"/>
      <c r="G169" s="35"/>
      <c r="H169" s="7" t="s">
        <v>666</v>
      </c>
      <c r="I169" s="7" t="s">
        <v>667</v>
      </c>
      <c r="J169" s="112" t="str">
        <f ca="1">IFERROR(__xludf.DUMMYFUNCTION("JOIN("": "",H169,I169)"),"3E-12-02-08-02-16-00: Arco abatido")</f>
        <v>3E-12-02-08-02-16-00: Arco abatido</v>
      </c>
      <c r="K169" s="4">
        <v>6</v>
      </c>
      <c r="L169" s="7"/>
      <c r="M169" s="7"/>
      <c r="N169" s="7"/>
      <c r="O169" s="7"/>
      <c r="P169" s="177"/>
      <c r="Q169" s="177"/>
      <c r="R169" s="177"/>
      <c r="S169" s="177"/>
    </row>
    <row r="170" spans="1:19">
      <c r="A170" s="35" t="s">
        <v>669</v>
      </c>
      <c r="B170" s="35"/>
      <c r="C170" s="35"/>
      <c r="D170" s="35"/>
      <c r="E170" s="35"/>
      <c r="F170" s="35"/>
      <c r="G170" s="35"/>
      <c r="H170" s="7" t="s">
        <v>670</v>
      </c>
      <c r="I170" s="7" t="s">
        <v>671</v>
      </c>
      <c r="J170" s="112" t="str">
        <f ca="1">IFERROR(__xludf.DUMMYFUNCTION("JOIN("": "",H170,I170)"),"3E-12-02-08-02-18-00: Arco ferradura")</f>
        <v>3E-12-02-08-02-18-00: Arco ferradura</v>
      </c>
      <c r="K170" s="4">
        <v>6</v>
      </c>
      <c r="L170" s="7"/>
      <c r="M170" s="7"/>
      <c r="N170" s="7"/>
      <c r="O170" s="7"/>
      <c r="P170" s="177"/>
      <c r="Q170" s="177"/>
      <c r="R170" s="177"/>
      <c r="S170" s="177"/>
    </row>
    <row r="171" spans="1:19">
      <c r="A171" s="35" t="s">
        <v>673</v>
      </c>
      <c r="B171" s="35"/>
      <c r="C171" s="35"/>
      <c r="D171" s="35"/>
      <c r="E171" s="35"/>
      <c r="F171" s="35"/>
      <c r="G171" s="35"/>
      <c r="H171" s="7" t="s">
        <v>674</v>
      </c>
      <c r="I171" s="7" t="s">
        <v>675</v>
      </c>
      <c r="J171" s="112" t="str">
        <f ca="1">IFERROR(__xludf.DUMMYFUNCTION("JOIN("": "",H171,I171)"),"3E-12-02-08-02-20-00: Arco geminado")</f>
        <v>3E-12-02-08-02-20-00: Arco geminado</v>
      </c>
      <c r="K171" s="4">
        <v>6</v>
      </c>
      <c r="L171" s="7"/>
      <c r="M171" s="7"/>
      <c r="N171" s="7"/>
      <c r="O171" s="7"/>
      <c r="P171" s="177"/>
      <c r="Q171" s="177"/>
      <c r="R171" s="177"/>
      <c r="S171" s="177"/>
    </row>
    <row r="172" spans="1:19">
      <c r="A172" s="35" t="s">
        <v>677</v>
      </c>
      <c r="B172" s="35"/>
      <c r="C172" s="35"/>
      <c r="D172" s="35"/>
      <c r="E172" s="35"/>
      <c r="F172" s="35"/>
      <c r="G172" s="35"/>
      <c r="H172" s="7" t="s">
        <v>678</v>
      </c>
      <c r="I172" s="7" t="s">
        <v>679</v>
      </c>
      <c r="J172" s="112" t="str">
        <f ca="1">IFERROR(__xludf.DUMMYFUNCTION("JOIN("": "",H172,I172)"),"3E-12-02-08-02-22-00: Arco gótico")</f>
        <v>3E-12-02-08-02-22-00: Arco gótico</v>
      </c>
      <c r="K172" s="4">
        <v>6</v>
      </c>
      <c r="L172" s="7"/>
      <c r="M172" s="7"/>
      <c r="N172" s="7"/>
      <c r="O172" s="7"/>
      <c r="P172" s="177"/>
      <c r="Q172" s="177"/>
      <c r="R172" s="177"/>
      <c r="S172" s="177"/>
    </row>
    <row r="173" spans="1:19">
      <c r="A173" s="35" t="s">
        <v>681</v>
      </c>
      <c r="B173" s="35"/>
      <c r="C173" s="35"/>
      <c r="D173" s="35"/>
      <c r="E173" s="35"/>
      <c r="F173" s="35"/>
      <c r="G173" s="35"/>
      <c r="H173" s="7" t="s">
        <v>682</v>
      </c>
      <c r="I173" s="7" t="s">
        <v>683</v>
      </c>
      <c r="J173" s="112" t="str">
        <f ca="1">IFERROR(__xludf.DUMMYFUNCTION("JOIN("": "",H173,I173)"),"3E-12-02-08-02-24-00: Arco mourisco")</f>
        <v>3E-12-02-08-02-24-00: Arco mourisco</v>
      </c>
      <c r="K173" s="4">
        <v>6</v>
      </c>
      <c r="L173" s="7"/>
      <c r="M173" s="7"/>
      <c r="N173" s="7"/>
      <c r="O173" s="7"/>
      <c r="P173" s="177"/>
      <c r="Q173" s="177"/>
      <c r="R173" s="177"/>
      <c r="S173" s="177"/>
    </row>
    <row r="174" spans="1:19">
      <c r="A174" s="35" t="s">
        <v>685</v>
      </c>
      <c r="B174" s="35"/>
      <c r="C174" s="35"/>
      <c r="D174" s="35"/>
      <c r="E174" s="35"/>
      <c r="F174" s="35"/>
      <c r="G174" s="35"/>
      <c r="H174" s="7" t="s">
        <v>686</v>
      </c>
      <c r="I174" s="7" t="s">
        <v>687</v>
      </c>
      <c r="J174" s="112" t="str">
        <f ca="1">IFERROR(__xludf.DUMMYFUNCTION("JOIN("": "",H174,I174)"),"3E-12-02-08-02-26-00: Arco pleno")</f>
        <v>3E-12-02-08-02-26-00: Arco pleno</v>
      </c>
      <c r="K174" s="4">
        <v>6</v>
      </c>
      <c r="L174" s="7"/>
      <c r="M174" s="7"/>
      <c r="N174" s="7"/>
      <c r="O174" s="7"/>
      <c r="P174" s="177"/>
      <c r="Q174" s="177"/>
      <c r="R174" s="177"/>
      <c r="S174" s="177"/>
    </row>
    <row r="175" spans="1:19">
      <c r="A175" s="35" t="s">
        <v>689</v>
      </c>
      <c r="B175" s="35"/>
      <c r="C175" s="35"/>
      <c r="D175" s="35"/>
      <c r="E175" s="35"/>
      <c r="F175" s="35"/>
      <c r="G175" s="35"/>
      <c r="H175" s="7" t="s">
        <v>690</v>
      </c>
      <c r="I175" s="7" t="s">
        <v>691</v>
      </c>
      <c r="J175" s="112" t="str">
        <f ca="1">IFERROR(__xludf.DUMMYFUNCTION("JOIN("": "",H175,I175)"),"3E-12-02-08-02-28-00: Arco tribolado")</f>
        <v>3E-12-02-08-02-28-00: Arco tribolado</v>
      </c>
      <c r="K175" s="4">
        <v>6</v>
      </c>
      <c r="L175" s="7"/>
      <c r="M175" s="7"/>
      <c r="N175" s="7"/>
      <c r="O175" s="7"/>
      <c r="P175" s="177"/>
      <c r="Q175" s="177"/>
      <c r="R175" s="177"/>
      <c r="S175" s="177"/>
    </row>
    <row r="176" spans="1:19">
      <c r="A176" s="35" t="s">
        <v>693</v>
      </c>
      <c r="B176" s="35"/>
      <c r="C176" s="35"/>
      <c r="D176" s="35"/>
      <c r="E176" s="35"/>
      <c r="F176" s="35"/>
      <c r="G176" s="35"/>
      <c r="H176" s="7" t="s">
        <v>694</v>
      </c>
      <c r="I176" s="7" t="s">
        <v>695</v>
      </c>
      <c r="J176" s="112" t="str">
        <f ca="1">IFERROR(__xludf.DUMMYFUNCTION("JOIN("": "",H176,I176)"),"3E-12-02-08-02-30-00: Arco tudor")</f>
        <v>3E-12-02-08-02-30-00: Arco tudor</v>
      </c>
      <c r="K176" s="4">
        <v>6</v>
      </c>
      <c r="L176" s="7"/>
      <c r="M176" s="7"/>
      <c r="N176" s="7"/>
      <c r="O176" s="7"/>
      <c r="P176" s="177"/>
      <c r="Q176" s="177"/>
      <c r="R176" s="177"/>
      <c r="S176" s="177"/>
    </row>
    <row r="177" spans="1:19">
      <c r="A177" s="35" t="s">
        <v>697</v>
      </c>
      <c r="B177" s="35"/>
      <c r="C177" s="35"/>
      <c r="D177" s="35"/>
      <c r="E177" s="35"/>
      <c r="F177" s="35"/>
      <c r="G177" s="35"/>
      <c r="H177" s="7" t="s">
        <v>698</v>
      </c>
      <c r="I177" s="7" t="s">
        <v>699</v>
      </c>
      <c r="J177" s="112" t="str">
        <f ca="1">IFERROR(__xludf.DUMMYFUNCTION("JOIN("": "",H177,I177)"),"3E-12-02-08-04-00-00: Estrutura de retículas abobadadas")</f>
        <v>3E-12-02-08-04-00-00: Estrutura de retículas abobadadas</v>
      </c>
      <c r="K177" s="4">
        <v>5</v>
      </c>
      <c r="L177" s="7"/>
      <c r="M177" s="7"/>
      <c r="N177" s="7"/>
      <c r="O177" s="7"/>
      <c r="P177" s="177"/>
      <c r="Q177" s="177"/>
      <c r="R177" s="177"/>
      <c r="S177" s="177"/>
    </row>
    <row r="178" spans="1:19">
      <c r="A178" s="111" t="s">
        <v>701</v>
      </c>
      <c r="B178" s="111"/>
      <c r="C178" s="111"/>
      <c r="D178" s="111"/>
      <c r="E178" s="111"/>
      <c r="F178" s="111"/>
      <c r="G178" s="111"/>
      <c r="H178" s="3" t="s">
        <v>702</v>
      </c>
      <c r="I178" s="3" t="s">
        <v>703</v>
      </c>
      <c r="J178" s="112" t="str">
        <f ca="1">IFERROR(__xludf.DUMMYFUNCTION("JOIN("": "",H178,I178)"),"3E-12-04-00-00-00-00: Elementos estruturais de vetor ativo")</f>
        <v>3E-12-04-00-00-00-00: Elementos estruturais de vetor ativo</v>
      </c>
      <c r="K178" s="4">
        <v>3</v>
      </c>
      <c r="L178" s="7"/>
      <c r="M178" s="7"/>
      <c r="N178" s="7"/>
      <c r="O178" s="7"/>
      <c r="P178" s="177"/>
      <c r="Q178" s="177"/>
      <c r="R178" s="177"/>
      <c r="S178" s="177"/>
    </row>
    <row r="179" spans="1:19">
      <c r="A179" s="35" t="s">
        <v>705</v>
      </c>
      <c r="B179" s="35"/>
      <c r="C179" s="35"/>
      <c r="D179" s="35"/>
      <c r="E179" s="35"/>
      <c r="F179" s="35"/>
      <c r="G179" s="35"/>
      <c r="H179" s="7" t="s">
        <v>706</v>
      </c>
      <c r="I179" s="7" t="s">
        <v>707</v>
      </c>
      <c r="J179" s="112" t="str">
        <f ca="1">IFERROR(__xludf.DUMMYFUNCTION("JOIN("": "",H179,I179)"),"3E-12-04-02-00-00-00: Treliça plana")</f>
        <v>3E-12-04-02-00-00-00: Treliça plana</v>
      </c>
      <c r="K179" s="4">
        <v>4</v>
      </c>
      <c r="L179" s="7"/>
      <c r="M179" s="7"/>
      <c r="N179" s="7"/>
      <c r="O179" s="7"/>
      <c r="P179" s="177"/>
      <c r="Q179" s="177"/>
      <c r="R179" s="177"/>
      <c r="S179" s="177"/>
    </row>
    <row r="180" spans="1:19">
      <c r="A180" s="35" t="s">
        <v>709</v>
      </c>
      <c r="B180" s="35"/>
      <c r="C180" s="35"/>
      <c r="D180" s="35"/>
      <c r="E180" s="35"/>
      <c r="F180" s="35"/>
      <c r="G180" s="35"/>
      <c r="H180" s="7" t="s">
        <v>710</v>
      </c>
      <c r="I180" s="7" t="s">
        <v>711</v>
      </c>
      <c r="J180" s="112" t="str">
        <f ca="1">IFERROR(__xludf.DUMMYFUNCTION("JOIN("": "",H180,I180)"),"3E-12-04-04-00-00-00: Treliça combinada")</f>
        <v>3E-12-04-04-00-00-00: Treliça combinada</v>
      </c>
      <c r="K180" s="4">
        <v>4</v>
      </c>
      <c r="L180" s="7"/>
      <c r="M180" s="7"/>
      <c r="N180" s="7"/>
      <c r="O180" s="7"/>
      <c r="P180" s="177"/>
      <c r="Q180" s="177"/>
      <c r="R180" s="177"/>
      <c r="S180" s="177"/>
    </row>
    <row r="181" spans="1:19">
      <c r="A181" s="35" t="s">
        <v>713</v>
      </c>
      <c r="B181" s="35"/>
      <c r="C181" s="35"/>
      <c r="D181" s="35"/>
      <c r="E181" s="35"/>
      <c r="F181" s="35"/>
      <c r="G181" s="35"/>
      <c r="H181" s="7" t="s">
        <v>714</v>
      </c>
      <c r="I181" s="7" t="s">
        <v>715</v>
      </c>
      <c r="J181" s="112" t="str">
        <f ca="1">IFERROR(__xludf.DUMMYFUNCTION("JOIN("": "",H181,I181)"),"3E-12-04-06-00-00-00: Treliça curva")</f>
        <v>3E-12-04-06-00-00-00: Treliça curva</v>
      </c>
      <c r="K181" s="4">
        <v>4</v>
      </c>
      <c r="L181" s="7"/>
      <c r="M181" s="7"/>
      <c r="N181" s="7"/>
      <c r="O181" s="7"/>
      <c r="P181" s="177"/>
      <c r="Q181" s="177"/>
      <c r="R181" s="177"/>
      <c r="S181" s="177"/>
    </row>
    <row r="182" spans="1:19">
      <c r="A182" s="35" t="s">
        <v>717</v>
      </c>
      <c r="B182" s="35"/>
      <c r="C182" s="35"/>
      <c r="D182" s="35"/>
      <c r="E182" s="35"/>
      <c r="F182" s="35"/>
      <c r="G182" s="35"/>
      <c r="H182" s="7" t="s">
        <v>718</v>
      </c>
      <c r="I182" s="7" t="s">
        <v>719</v>
      </c>
      <c r="J182" s="112" t="str">
        <f ca="1">IFERROR(__xludf.DUMMYFUNCTION("JOIN("": "",H182,I182)"),"3E-12-04-08-00-00-00: Treliça espacial")</f>
        <v>3E-12-04-08-00-00-00: Treliça espacial</v>
      </c>
      <c r="K182" s="4">
        <v>4</v>
      </c>
      <c r="L182" s="7"/>
      <c r="M182" s="7"/>
      <c r="N182" s="7"/>
      <c r="O182" s="7"/>
      <c r="P182" s="177"/>
      <c r="Q182" s="177"/>
      <c r="R182" s="177"/>
      <c r="S182" s="177"/>
    </row>
    <row r="183" spans="1:19">
      <c r="A183" s="35" t="s">
        <v>721</v>
      </c>
      <c r="B183" s="35"/>
      <c r="C183" s="35"/>
      <c r="D183" s="35"/>
      <c r="E183" s="35"/>
      <c r="F183" s="35"/>
      <c r="G183" s="35"/>
      <c r="H183" s="7" t="s">
        <v>722</v>
      </c>
      <c r="I183" s="7" t="s">
        <v>723</v>
      </c>
      <c r="J183" s="112" t="str">
        <f ca="1">IFERROR(__xludf.DUMMYFUNCTION("JOIN("": "",H183,I183)"),"3E-12-06-00-00-00-00: Elementos estruturais de seção ativa")</f>
        <v>3E-12-06-00-00-00-00: Elementos estruturais de seção ativa</v>
      </c>
      <c r="K183" s="4">
        <v>3</v>
      </c>
      <c r="L183" s="7"/>
      <c r="M183" s="7"/>
      <c r="N183" s="7"/>
      <c r="O183" s="7"/>
      <c r="P183" s="177"/>
      <c r="Q183" s="177"/>
      <c r="R183" s="177"/>
      <c r="S183" s="177"/>
    </row>
    <row r="184" spans="1:19">
      <c r="A184" s="178" t="s">
        <v>725</v>
      </c>
      <c r="B184" s="178"/>
      <c r="C184" s="178"/>
      <c r="D184" s="178"/>
      <c r="E184" s="178"/>
      <c r="F184" s="178"/>
      <c r="G184" s="178"/>
      <c r="H184" s="179" t="s">
        <v>726</v>
      </c>
      <c r="I184" s="179" t="s">
        <v>727</v>
      </c>
      <c r="J184" s="112" t="str">
        <f ca="1">IFERROR(__xludf.DUMMYFUNCTION("JOIN("": "",H184,I184)"),"3E-12-06-02-00-00-00: Viga")</f>
        <v>3E-12-06-02-00-00-00: Viga</v>
      </c>
      <c r="K184" s="180">
        <v>4</v>
      </c>
      <c r="L184" s="7"/>
      <c r="M184" s="7"/>
      <c r="N184" s="7"/>
      <c r="O184" s="7"/>
      <c r="P184" s="177"/>
      <c r="Q184" s="177"/>
      <c r="R184" s="177"/>
      <c r="S184" s="177"/>
    </row>
    <row r="185" spans="1:19">
      <c r="A185" s="35" t="s">
        <v>729</v>
      </c>
      <c r="B185" s="35"/>
      <c r="C185" s="35"/>
      <c r="D185" s="35"/>
      <c r="E185" s="35"/>
      <c r="F185" s="35"/>
      <c r="G185" s="35"/>
      <c r="H185" s="7" t="s">
        <v>730</v>
      </c>
      <c r="I185" s="7" t="s">
        <v>731</v>
      </c>
      <c r="J185" s="112" t="str">
        <f ca="1">IFERROR(__xludf.DUMMYFUNCTION("JOIN("": "",H185,I185)"),"3E-12-06-02-02-00-00: Verga")</f>
        <v>3E-12-06-02-02-00-00: Verga</v>
      </c>
      <c r="K185" s="4">
        <v>5</v>
      </c>
      <c r="L185" s="7"/>
      <c r="M185" s="7"/>
      <c r="N185" s="7"/>
      <c r="O185" s="7"/>
      <c r="P185" s="177"/>
      <c r="Q185" s="177"/>
      <c r="R185" s="177"/>
      <c r="S185" s="177"/>
    </row>
    <row r="186" spans="1:19">
      <c r="A186" s="35" t="s">
        <v>733</v>
      </c>
      <c r="B186" s="35"/>
      <c r="C186" s="35"/>
      <c r="D186" s="35"/>
      <c r="E186" s="35"/>
      <c r="F186" s="35"/>
      <c r="G186" s="35"/>
      <c r="H186" s="7" t="s">
        <v>734</v>
      </c>
      <c r="I186" s="7" t="s">
        <v>735</v>
      </c>
      <c r="J186" s="112" t="str">
        <f ca="1">IFERROR(__xludf.DUMMYFUNCTION("JOIN("": "",H186,I186)"),"3E-12-06-02-04-00-00: Contraverga")</f>
        <v>3E-12-06-02-04-00-00: Contraverga</v>
      </c>
      <c r="K186" s="4">
        <v>5</v>
      </c>
      <c r="L186" s="7"/>
      <c r="M186" s="7"/>
      <c r="N186" s="7"/>
      <c r="O186" s="7"/>
      <c r="P186" s="177"/>
      <c r="Q186" s="177"/>
      <c r="R186" s="177"/>
      <c r="S186" s="177"/>
    </row>
    <row r="187" spans="1:19">
      <c r="A187" s="35" t="s">
        <v>737</v>
      </c>
      <c r="B187" s="35"/>
      <c r="C187" s="35"/>
      <c r="D187" s="35"/>
      <c r="E187" s="35"/>
      <c r="F187" s="35"/>
      <c r="G187" s="35"/>
      <c r="H187" s="7" t="s">
        <v>738</v>
      </c>
      <c r="I187" s="7" t="s">
        <v>739</v>
      </c>
      <c r="J187" s="112" t="str">
        <f ca="1">IFERROR(__xludf.DUMMYFUNCTION("JOIN("": "",H187,I187)"),"3E-12-06-04-00-00-00: Pórtico")</f>
        <v>3E-12-06-04-00-00-00: Pórtico</v>
      </c>
      <c r="K187" s="4">
        <v>4</v>
      </c>
      <c r="L187" s="7"/>
      <c r="M187" s="7"/>
      <c r="N187" s="7"/>
      <c r="O187" s="7"/>
      <c r="P187" s="177"/>
      <c r="Q187" s="177"/>
      <c r="R187" s="177"/>
      <c r="S187" s="177"/>
    </row>
    <row r="188" spans="1:19">
      <c r="A188" s="35" t="s">
        <v>741</v>
      </c>
      <c r="B188" s="35"/>
      <c r="C188" s="35"/>
      <c r="D188" s="35"/>
      <c r="E188" s="35"/>
      <c r="F188" s="35"/>
      <c r="G188" s="35"/>
      <c r="H188" s="7" t="s">
        <v>742</v>
      </c>
      <c r="I188" s="7" t="s">
        <v>743</v>
      </c>
      <c r="J188" s="112" t="str">
        <f ca="1">IFERROR(__xludf.DUMMYFUNCTION("JOIN("": "",H188,I188)"),"3E-12-06-06-00-00-00: Malha de viga")</f>
        <v>3E-12-06-06-00-00-00: Malha de viga</v>
      </c>
      <c r="K188" s="4">
        <v>4</v>
      </c>
      <c r="L188" s="7"/>
      <c r="M188" s="7"/>
      <c r="N188" s="7"/>
      <c r="O188" s="7"/>
      <c r="P188" s="177"/>
      <c r="Q188" s="177"/>
      <c r="R188" s="177"/>
      <c r="S188" s="177"/>
    </row>
    <row r="189" spans="1:19">
      <c r="A189" s="35" t="s">
        <v>745</v>
      </c>
      <c r="B189" s="35"/>
      <c r="C189" s="35"/>
      <c r="D189" s="35"/>
      <c r="E189" s="35"/>
      <c r="F189" s="35"/>
      <c r="G189" s="35"/>
      <c r="H189" s="7" t="s">
        <v>746</v>
      </c>
      <c r="I189" s="7" t="s">
        <v>747</v>
      </c>
      <c r="J189" s="112" t="str">
        <f ca="1">IFERROR(__xludf.DUMMYFUNCTION("JOIN("": "",H189,I189)"),"3E-12-06-08-00-00-00: Laje")</f>
        <v>3E-12-06-08-00-00-00: Laje</v>
      </c>
      <c r="K189" s="4">
        <v>4</v>
      </c>
      <c r="L189" s="7"/>
      <c r="M189" s="7"/>
      <c r="N189" s="7"/>
      <c r="O189" s="7"/>
      <c r="P189" s="177"/>
      <c r="Q189" s="177"/>
      <c r="R189" s="177"/>
      <c r="S189" s="177"/>
    </row>
    <row r="190" spans="1:19">
      <c r="A190" s="111" t="s">
        <v>749</v>
      </c>
      <c r="B190" s="111"/>
      <c r="C190" s="111"/>
      <c r="D190" s="111"/>
      <c r="E190" s="111"/>
      <c r="F190" s="111"/>
      <c r="G190" s="111"/>
      <c r="H190" s="3" t="s">
        <v>750</v>
      </c>
      <c r="I190" s="3" t="s">
        <v>751</v>
      </c>
      <c r="J190" s="112" t="str">
        <f ca="1">IFERROR(__xludf.DUMMYFUNCTION("JOIN("": "",H190,I190)"),"3E-12-08-00-00-00-00: Elementos estruturais de superfície ativa")</f>
        <v>3E-12-08-00-00-00-00: Elementos estruturais de superfície ativa</v>
      </c>
      <c r="K190" s="4">
        <v>3</v>
      </c>
      <c r="L190" s="7"/>
      <c r="M190" s="7"/>
      <c r="N190" s="7"/>
      <c r="O190" s="7"/>
      <c r="P190" s="177"/>
      <c r="Q190" s="177"/>
      <c r="R190" s="177"/>
      <c r="S190" s="177"/>
    </row>
    <row r="191" spans="1:19">
      <c r="A191" s="35" t="s">
        <v>753</v>
      </c>
      <c r="B191" s="35"/>
      <c r="C191" s="35"/>
      <c r="D191" s="35"/>
      <c r="E191" s="35"/>
      <c r="F191" s="35"/>
      <c r="G191" s="35"/>
      <c r="H191" s="7" t="s">
        <v>754</v>
      </c>
      <c r="I191" s="7" t="s">
        <v>755</v>
      </c>
      <c r="J191" s="112" t="str">
        <f ca="1">IFERROR(__xludf.DUMMYFUNCTION("JOIN("": "",H191,I191)"),"3E-12-08-02-00-00-00: Estrutura de placas")</f>
        <v>3E-12-08-02-00-00-00: Estrutura de placas</v>
      </c>
      <c r="K191" s="4">
        <v>4</v>
      </c>
      <c r="L191" s="7"/>
      <c r="M191" s="7"/>
      <c r="N191" s="7"/>
      <c r="O191" s="7"/>
      <c r="P191" s="177"/>
      <c r="Q191" s="177"/>
      <c r="R191" s="177"/>
      <c r="S191" s="177"/>
    </row>
    <row r="192" spans="1:19">
      <c r="A192" s="35" t="s">
        <v>757</v>
      </c>
      <c r="B192" s="35"/>
      <c r="C192" s="35"/>
      <c r="D192" s="35"/>
      <c r="E192" s="35"/>
      <c r="F192" s="35"/>
      <c r="G192" s="35"/>
      <c r="H192" s="7" t="s">
        <v>758</v>
      </c>
      <c r="I192" s="7" t="s">
        <v>759</v>
      </c>
      <c r="J192" s="112" t="str">
        <f ca="1">IFERROR(__xludf.DUMMYFUNCTION("JOIN("": "",H192,I192)"),"3E-12-08-04-00-00-00: Estrutura de placas dobradas")</f>
        <v>3E-12-08-04-00-00-00: Estrutura de placas dobradas</v>
      </c>
      <c r="K192" s="4">
        <v>4</v>
      </c>
      <c r="L192" s="7"/>
      <c r="M192" s="7"/>
      <c r="N192" s="7"/>
      <c r="O192" s="7"/>
      <c r="P192" s="177"/>
      <c r="Q192" s="177"/>
      <c r="R192" s="177"/>
      <c r="S192" s="177"/>
    </row>
    <row r="193" spans="1:31">
      <c r="A193" s="35" t="s">
        <v>761</v>
      </c>
      <c r="B193" s="35"/>
      <c r="C193" s="35"/>
      <c r="D193" s="35"/>
      <c r="E193" s="35"/>
      <c r="F193" s="35"/>
      <c r="G193" s="35"/>
      <c r="H193" s="7" t="s">
        <v>762</v>
      </c>
      <c r="I193" s="7" t="s">
        <v>763</v>
      </c>
      <c r="J193" s="112" t="str">
        <f ca="1">IFERROR(__xludf.DUMMYFUNCTION("JOIN("": "",H193,I193)"),"3E-12-08-06-00-00-00: Estrutura de casca")</f>
        <v>3E-12-08-06-00-00-00: Estrutura de casca</v>
      </c>
      <c r="K193" s="4">
        <v>4</v>
      </c>
      <c r="L193" s="7"/>
      <c r="M193" s="7"/>
      <c r="N193" s="7"/>
      <c r="O193" s="7"/>
      <c r="P193" s="177"/>
      <c r="Q193" s="177"/>
      <c r="R193" s="177"/>
      <c r="S193" s="177"/>
    </row>
    <row r="194" spans="1:31">
      <c r="A194" s="35" t="s">
        <v>765</v>
      </c>
      <c r="B194" s="35"/>
      <c r="C194" s="35"/>
      <c r="D194" s="35"/>
      <c r="E194" s="35"/>
      <c r="F194" s="35"/>
      <c r="G194" s="35"/>
      <c r="H194" s="7" t="s">
        <v>766</v>
      </c>
      <c r="I194" s="7" t="s">
        <v>767</v>
      </c>
      <c r="J194" s="112" t="str">
        <f ca="1">IFERROR(__xludf.DUMMYFUNCTION("JOIN("": "",H194,I194)"),"3E-12-08-06-02-00-00: Casca de curvas simples")</f>
        <v>3E-12-08-06-02-00-00: Casca de curvas simples</v>
      </c>
      <c r="K194" s="4">
        <v>5</v>
      </c>
      <c r="L194" s="7"/>
      <c r="M194" s="7"/>
      <c r="N194" s="7"/>
      <c r="O194" s="7"/>
      <c r="P194" s="177"/>
      <c r="Q194" s="177"/>
      <c r="R194" s="177"/>
      <c r="S194" s="177"/>
    </row>
    <row r="195" spans="1:31">
      <c r="A195" s="35" t="s">
        <v>769</v>
      </c>
      <c r="B195" s="35"/>
      <c r="C195" s="35"/>
      <c r="D195" s="35"/>
      <c r="E195" s="35"/>
      <c r="F195" s="35"/>
      <c r="G195" s="35"/>
      <c r="H195" s="7" t="s">
        <v>770</v>
      </c>
      <c r="I195" s="7" t="s">
        <v>771</v>
      </c>
      <c r="J195" s="112" t="str">
        <f ca="1">IFERROR(__xludf.DUMMYFUNCTION("JOIN("": "",H195,I195)"),"3E-12-08-06-04-00-00: Casca em cúpula")</f>
        <v>3E-12-08-06-04-00-00: Casca em cúpula</v>
      </c>
      <c r="K195" s="4">
        <v>5</v>
      </c>
      <c r="L195" s="7"/>
      <c r="M195" s="7"/>
      <c r="N195" s="7"/>
      <c r="O195" s="7"/>
      <c r="P195" s="177"/>
      <c r="Q195" s="177"/>
      <c r="R195" s="177"/>
      <c r="S195" s="177"/>
    </row>
    <row r="196" spans="1:31">
      <c r="A196" s="35" t="s">
        <v>773</v>
      </c>
      <c r="B196" s="35"/>
      <c r="C196" s="35"/>
      <c r="D196" s="35"/>
      <c r="E196" s="35"/>
      <c r="F196" s="35"/>
      <c r="G196" s="35"/>
      <c r="H196" s="7" t="s">
        <v>774</v>
      </c>
      <c r="I196" s="7" t="s">
        <v>775</v>
      </c>
      <c r="J196" s="112" t="str">
        <f ca="1">IFERROR(__xludf.DUMMYFUNCTION("JOIN("": "",H196,I196)"),"3E-12-08-06-06-00-00: Casca em sela")</f>
        <v>3E-12-08-06-06-00-00: Casca em sela</v>
      </c>
      <c r="K196" s="4">
        <v>5</v>
      </c>
      <c r="L196" s="7"/>
      <c r="M196" s="7"/>
      <c r="N196" s="7"/>
      <c r="O196" s="7"/>
      <c r="P196" s="177"/>
      <c r="Q196" s="177"/>
      <c r="R196" s="177"/>
      <c r="S196" s="177"/>
    </row>
    <row r="197" spans="1:31">
      <c r="A197" s="111" t="s">
        <v>777</v>
      </c>
      <c r="B197" s="111"/>
      <c r="C197" s="111"/>
      <c r="D197" s="111"/>
      <c r="E197" s="111"/>
      <c r="F197" s="111"/>
      <c r="G197" s="111"/>
      <c r="H197" s="3" t="s">
        <v>778</v>
      </c>
      <c r="I197" s="3" t="s">
        <v>779</v>
      </c>
      <c r="J197" s="112" t="str">
        <f ca="1">IFERROR(__xludf.DUMMYFUNCTION("JOIN("": "",H197,I197)"),"3E-12-10-00-00-00-00: Elementos estruturais de altura ativa")</f>
        <v>3E-12-10-00-00-00-00: Elementos estruturais de altura ativa</v>
      </c>
      <c r="K197" s="4">
        <v>3</v>
      </c>
      <c r="L197" s="7"/>
      <c r="M197" s="7"/>
      <c r="N197" s="7"/>
      <c r="O197" s="7"/>
      <c r="P197" s="177"/>
      <c r="Q197" s="177"/>
      <c r="R197" s="177"/>
      <c r="S197" s="177"/>
    </row>
    <row r="198" spans="1:31">
      <c r="A198" s="35" t="s">
        <v>781</v>
      </c>
      <c r="B198" s="35"/>
      <c r="C198" s="35"/>
      <c r="D198" s="35"/>
      <c r="E198" s="35"/>
      <c r="F198" s="35"/>
      <c r="G198" s="35"/>
      <c r="H198" s="7" t="s">
        <v>782</v>
      </c>
      <c r="I198" s="7" t="s">
        <v>783</v>
      </c>
      <c r="J198" s="112" t="str">
        <f ca="1">IFERROR(__xludf.DUMMYFUNCTION("JOIN("": "",H198,I198)"),"3E-12-10-02-00-00-00: Estrutura de transmissão vertical de cargas")</f>
        <v>3E-12-10-02-00-00-00: Estrutura de transmissão vertical de cargas</v>
      </c>
      <c r="K198" s="4">
        <v>4</v>
      </c>
      <c r="L198" s="7"/>
      <c r="M198" s="7"/>
      <c r="N198" s="7"/>
      <c r="O198" s="7"/>
      <c r="P198" s="177"/>
      <c r="Q198" s="177"/>
      <c r="R198" s="177"/>
      <c r="S198" s="177"/>
    </row>
    <row r="199" spans="1:31">
      <c r="A199" s="35" t="s">
        <v>785</v>
      </c>
      <c r="B199" s="35"/>
      <c r="C199" s="35"/>
      <c r="D199" s="35"/>
      <c r="E199" s="35"/>
      <c r="F199" s="35"/>
      <c r="G199" s="35"/>
      <c r="H199" s="7" t="s">
        <v>786</v>
      </c>
      <c r="I199" s="7" t="s">
        <v>787</v>
      </c>
      <c r="J199" s="112" t="str">
        <f ca="1">IFERROR(__xludf.DUMMYFUNCTION("JOIN("": "",H199,I199)"),"3E-12-10-02-02-00-00: Pilar")</f>
        <v>3E-12-10-02-02-00-00: Pilar</v>
      </c>
      <c r="K199" s="4">
        <v>5</v>
      </c>
      <c r="L199" s="7"/>
      <c r="M199" s="7"/>
      <c r="N199" s="7"/>
      <c r="O199" s="7"/>
      <c r="P199" s="177"/>
      <c r="Q199" s="177"/>
      <c r="R199" s="177"/>
      <c r="S199" s="177"/>
    </row>
    <row r="200" spans="1:31">
      <c r="A200" s="111" t="s">
        <v>789</v>
      </c>
      <c r="B200" s="111"/>
      <c r="C200" s="111"/>
      <c r="D200" s="111"/>
      <c r="E200" s="111"/>
      <c r="F200" s="111"/>
      <c r="G200" s="111"/>
      <c r="H200" s="3" t="s">
        <v>790</v>
      </c>
      <c r="I200" s="3" t="s">
        <v>791</v>
      </c>
      <c r="J200" s="112" t="str">
        <f ca="1">IFERROR(__xludf.DUMMYFUNCTION("JOIN("": "",H200,I200)"),"3E-12-12-00-00-00-00: Elementos de acoplamento estrutural")</f>
        <v>3E-12-12-00-00-00-00: Elementos de acoplamento estrutural</v>
      </c>
      <c r="K200" s="4">
        <v>3</v>
      </c>
      <c r="L200" s="7"/>
      <c r="M200" s="7"/>
      <c r="N200" s="7"/>
      <c r="O200" s="7"/>
      <c r="P200" s="177"/>
      <c r="Q200" s="177"/>
      <c r="R200" s="177"/>
      <c r="S200" s="177"/>
    </row>
    <row r="201" spans="1:31">
      <c r="A201" s="35" t="s">
        <v>793</v>
      </c>
      <c r="B201" s="35"/>
      <c r="C201" s="35"/>
      <c r="D201" s="35"/>
      <c r="E201" s="35"/>
      <c r="F201" s="35"/>
      <c r="G201" s="35"/>
      <c r="H201" s="7" t="s">
        <v>794</v>
      </c>
      <c r="I201" s="7" t="s">
        <v>795</v>
      </c>
      <c r="J201" s="112" t="str">
        <f ca="1">IFERROR(__xludf.DUMMYFUNCTION("JOIN("": "",H201,I201)"),"3E-12-12-02-00-00-00: Acoplamento elástico")</f>
        <v>3E-12-12-02-00-00-00: Acoplamento elástico</v>
      </c>
      <c r="K201" s="4">
        <v>4</v>
      </c>
      <c r="L201" s="7"/>
      <c r="M201" s="7"/>
      <c r="N201" s="7"/>
      <c r="O201" s="7"/>
      <c r="P201" s="177"/>
      <c r="Q201" s="177"/>
      <c r="R201" s="177"/>
      <c r="S201" s="177"/>
    </row>
    <row r="202" spans="1:31">
      <c r="A202" s="35" t="s">
        <v>797</v>
      </c>
      <c r="B202" s="35"/>
      <c r="C202" s="35"/>
      <c r="D202" s="35"/>
      <c r="E202" s="35"/>
      <c r="F202" s="35"/>
      <c r="G202" s="35"/>
      <c r="H202" s="7" t="s">
        <v>798</v>
      </c>
      <c r="I202" s="7" t="s">
        <v>799</v>
      </c>
      <c r="J202" s="112" t="str">
        <f ca="1">IFERROR(__xludf.DUMMYFUNCTION("JOIN("": "",H202,I202)"),"3E-12-12-04-00-00-00: Acoplamento flexível")</f>
        <v>3E-12-12-04-00-00-00: Acoplamento flexível</v>
      </c>
      <c r="K202" s="4">
        <v>4</v>
      </c>
      <c r="L202" s="7"/>
      <c r="M202" s="7"/>
      <c r="N202" s="7"/>
      <c r="O202" s="7"/>
      <c r="P202" s="177"/>
      <c r="Q202" s="177"/>
      <c r="R202" s="177"/>
      <c r="S202" s="177"/>
    </row>
    <row r="203" spans="1:31">
      <c r="A203" s="35" t="s">
        <v>801</v>
      </c>
      <c r="B203" s="35"/>
      <c r="C203" s="35"/>
      <c r="D203" s="35"/>
      <c r="E203" s="35"/>
      <c r="F203" s="35"/>
      <c r="G203" s="35"/>
      <c r="H203" s="7" t="s">
        <v>802</v>
      </c>
      <c r="I203" s="7" t="s">
        <v>803</v>
      </c>
      <c r="J203" s="112" t="str">
        <f ca="1">IFERROR(__xludf.DUMMYFUNCTION("JOIN("": "",H203,I203)"),"3E-12-12-06-00-00-00: Acoplamento seco")</f>
        <v>3E-12-12-06-00-00-00: Acoplamento seco</v>
      </c>
      <c r="K203" s="4">
        <v>4</v>
      </c>
      <c r="L203" s="7"/>
      <c r="M203" s="7"/>
      <c r="N203" s="7"/>
      <c r="O203" s="7"/>
      <c r="P203" s="177"/>
      <c r="Q203" s="177"/>
      <c r="R203" s="177"/>
      <c r="S203" s="177"/>
    </row>
    <row r="204" spans="1:31">
      <c r="A204" s="35" t="s">
        <v>805</v>
      </c>
      <c r="B204" s="35"/>
      <c r="C204" s="35"/>
      <c r="D204" s="35"/>
      <c r="E204" s="35"/>
      <c r="F204" s="35"/>
      <c r="G204" s="35"/>
      <c r="H204" s="7" t="s">
        <v>806</v>
      </c>
      <c r="I204" s="7" t="s">
        <v>807</v>
      </c>
      <c r="J204" s="112" t="str">
        <f ca="1">IFERROR(__xludf.DUMMYFUNCTION("JOIN("": "",H204,I204)"),"3E-12-12-08-00-00-00: Acoplamento úmido")</f>
        <v>3E-12-12-08-00-00-00: Acoplamento úmido</v>
      </c>
      <c r="K204" s="4">
        <v>4</v>
      </c>
      <c r="L204" s="7"/>
      <c r="M204" s="7"/>
      <c r="N204" s="7"/>
      <c r="O204" s="7"/>
      <c r="P204" s="177"/>
      <c r="Q204" s="177"/>
      <c r="R204" s="177"/>
      <c r="S204" s="177"/>
    </row>
    <row r="205" spans="1:31">
      <c r="A205" s="35" t="s">
        <v>809</v>
      </c>
      <c r="B205" s="35"/>
      <c r="C205" s="35"/>
      <c r="D205" s="35"/>
      <c r="E205" s="35"/>
      <c r="F205" s="35"/>
      <c r="G205" s="35"/>
      <c r="H205" s="7" t="s">
        <v>810</v>
      </c>
      <c r="I205" s="7" t="s">
        <v>811</v>
      </c>
      <c r="J205" s="112" t="str">
        <f ca="1">IFERROR(__xludf.DUMMYFUNCTION("JOIN("": "",H205,I205)"),"3E-12-12-10-00-00-00: Ancoragem")</f>
        <v>3E-12-12-10-00-00-00: Ancoragem</v>
      </c>
      <c r="K205" s="4">
        <v>4</v>
      </c>
      <c r="L205" s="7"/>
      <c r="M205" s="7"/>
      <c r="N205" s="7"/>
      <c r="O205" s="7"/>
      <c r="P205" s="177"/>
      <c r="Q205" s="177"/>
      <c r="R205" s="177"/>
      <c r="S205" s="177"/>
    </row>
    <row r="206" spans="1:31">
      <c r="A206" s="111" t="s">
        <v>813</v>
      </c>
      <c r="B206" s="111"/>
      <c r="C206" s="111"/>
      <c r="D206" s="111"/>
      <c r="E206" s="111"/>
      <c r="F206" s="111"/>
      <c r="G206" s="111"/>
      <c r="H206" s="3" t="s">
        <v>814</v>
      </c>
      <c r="I206" s="3" t="s">
        <v>815</v>
      </c>
      <c r="J206" s="112" t="str">
        <f ca="1">IFERROR(__xludf.DUMMYFUNCTION("JOIN("": "",H206,I206)"),"3E-14-00-00-00-00-00: Elementos de vedações")</f>
        <v>3E-14-00-00-00-00-00: Elementos de vedações</v>
      </c>
      <c r="K206" s="4">
        <v>2</v>
      </c>
      <c r="L206" s="7"/>
      <c r="M206" s="7"/>
      <c r="N206" s="7"/>
      <c r="O206" s="7"/>
      <c r="P206" s="177"/>
      <c r="Q206" s="177"/>
      <c r="R206" s="177"/>
      <c r="S206" s="177"/>
      <c r="AD206" s="7"/>
      <c r="AE206" s="35"/>
    </row>
    <row r="207" spans="1:31">
      <c r="A207" s="111" t="s">
        <v>817</v>
      </c>
      <c r="B207" s="111"/>
      <c r="C207" s="111"/>
      <c r="D207" s="111"/>
      <c r="E207" s="111"/>
      <c r="F207" s="111"/>
      <c r="G207" s="111"/>
      <c r="H207" s="3" t="s">
        <v>818</v>
      </c>
      <c r="I207" s="3" t="s">
        <v>819</v>
      </c>
      <c r="J207" s="112" t="str">
        <f ca="1">IFERROR(__xludf.DUMMYFUNCTION("JOIN("": "",H207,I207)"),"3E-14-02-00-00-00-00: Parede")</f>
        <v>3E-14-02-00-00-00-00: Parede</v>
      </c>
      <c r="K207" s="4">
        <v>3</v>
      </c>
      <c r="L207" s="7"/>
      <c r="M207" s="7"/>
      <c r="N207" s="7"/>
      <c r="O207" s="7"/>
      <c r="P207" s="177"/>
      <c r="Q207" s="177"/>
      <c r="R207" s="177"/>
      <c r="S207" s="177"/>
    </row>
    <row r="208" spans="1:31">
      <c r="A208" s="35" t="s">
        <v>821</v>
      </c>
      <c r="B208" s="35"/>
      <c r="C208" s="35"/>
      <c r="D208" s="35"/>
      <c r="E208" s="35"/>
      <c r="F208" s="35"/>
      <c r="G208" s="35"/>
      <c r="H208" s="7" t="s">
        <v>822</v>
      </c>
      <c r="I208" s="7" t="s">
        <v>823</v>
      </c>
      <c r="J208" s="112" t="str">
        <f ca="1">IFERROR(__xludf.DUMMYFUNCTION("JOIN("": "",H208,I208)"),"3E-14-02-02-00-00-00: Núcleo de parede")</f>
        <v>3E-14-02-02-00-00-00: Núcleo de parede</v>
      </c>
      <c r="K208" s="4">
        <v>4</v>
      </c>
      <c r="L208" s="7"/>
      <c r="M208" s="7"/>
      <c r="N208" s="7"/>
      <c r="O208" s="7"/>
      <c r="P208" s="177"/>
      <c r="Q208" s="177"/>
      <c r="R208" s="177"/>
      <c r="S208" s="177"/>
    </row>
    <row r="209" spans="1:31">
      <c r="A209" s="35" t="s">
        <v>825</v>
      </c>
      <c r="B209" s="35"/>
      <c r="C209" s="35"/>
      <c r="D209" s="35"/>
      <c r="E209" s="35"/>
      <c r="F209" s="35"/>
      <c r="G209" s="35"/>
      <c r="H209" s="7" t="s">
        <v>826</v>
      </c>
      <c r="I209" s="7" t="s">
        <v>827</v>
      </c>
      <c r="J209" s="112" t="str">
        <f ca="1">IFERROR(__xludf.DUMMYFUNCTION("JOIN("": "",H209,I209)"),"3E-14-02-04-00-00-00: Acabamento de parede")</f>
        <v>3E-14-02-04-00-00-00: Acabamento de parede</v>
      </c>
      <c r="K209" s="4">
        <v>4</v>
      </c>
      <c r="L209" s="7"/>
      <c r="M209" s="7"/>
      <c r="N209" s="7"/>
      <c r="O209" s="7"/>
      <c r="P209" s="177"/>
      <c r="Q209" s="177"/>
      <c r="R209" s="177"/>
      <c r="S209" s="177"/>
    </row>
    <row r="210" spans="1:31">
      <c r="A210" s="111" t="s">
        <v>829</v>
      </c>
      <c r="B210" s="111"/>
      <c r="C210" s="111"/>
      <c r="D210" s="111"/>
      <c r="E210" s="111"/>
      <c r="F210" s="111"/>
      <c r="G210" s="111"/>
      <c r="H210" s="3" t="s">
        <v>830</v>
      </c>
      <c r="I210" s="3" t="s">
        <v>831</v>
      </c>
      <c r="J210" s="112" t="str">
        <f ca="1">IFERROR(__xludf.DUMMYFUNCTION("JOIN("": "",H210,I210)"),"3E-14-04-00-00-00-00: Cobertura")</f>
        <v>3E-14-04-00-00-00-00: Cobertura</v>
      </c>
      <c r="K210" s="4">
        <v>3</v>
      </c>
      <c r="L210" s="7"/>
      <c r="M210" s="7"/>
      <c r="N210" s="7"/>
      <c r="O210" s="7"/>
      <c r="P210" s="177"/>
      <c r="Q210" s="177"/>
      <c r="R210" s="177"/>
      <c r="S210" s="177"/>
    </row>
    <row r="211" spans="1:31">
      <c r="A211" s="35" t="s">
        <v>833</v>
      </c>
      <c r="B211" s="35"/>
      <c r="C211" s="35"/>
      <c r="D211" s="35"/>
      <c r="E211" s="35"/>
      <c r="F211" s="35"/>
      <c r="G211" s="35"/>
      <c r="H211" s="7" t="s">
        <v>834</v>
      </c>
      <c r="I211" s="7" t="s">
        <v>835</v>
      </c>
      <c r="J211" s="112" t="str">
        <f ca="1">IFERROR(__xludf.DUMMYFUNCTION("JOIN("": "",H211,I211)"),"3E-14-04-02-00-00-00: Telhado")</f>
        <v>3E-14-04-02-00-00-00: Telhado</v>
      </c>
      <c r="K211" s="4">
        <v>4</v>
      </c>
      <c r="L211" s="7"/>
      <c r="M211" s="7"/>
      <c r="N211" s="7"/>
      <c r="O211" s="7"/>
      <c r="P211" s="177"/>
      <c r="Q211" s="177"/>
      <c r="R211" s="177"/>
      <c r="S211" s="177"/>
    </row>
    <row r="212" spans="1:31">
      <c r="A212" s="35" t="s">
        <v>837</v>
      </c>
      <c r="B212" s="35"/>
      <c r="C212" s="35"/>
      <c r="D212" s="35"/>
      <c r="E212" s="35"/>
      <c r="F212" s="35"/>
      <c r="G212" s="35"/>
      <c r="H212" s="7" t="s">
        <v>838</v>
      </c>
      <c r="I212" s="7" t="s">
        <v>839</v>
      </c>
      <c r="J212" s="112" t="str">
        <f ca="1">IFERROR(__xludf.DUMMYFUNCTION("JOIN("": "",H212,I212)"),"3E-14-04-02-02-00-00: Cumeeira")</f>
        <v>3E-14-04-02-02-00-00: Cumeeira</v>
      </c>
      <c r="K212" s="4">
        <v>5</v>
      </c>
      <c r="L212" s="7"/>
      <c r="M212" s="7"/>
      <c r="N212" s="7"/>
      <c r="O212" s="7"/>
      <c r="P212" s="177"/>
      <c r="Q212" s="177"/>
      <c r="R212" s="177"/>
      <c r="S212" s="177"/>
    </row>
    <row r="213" spans="1:31">
      <c r="A213" s="35" t="s">
        <v>841</v>
      </c>
      <c r="B213" s="35"/>
      <c r="C213" s="35"/>
      <c r="D213" s="35"/>
      <c r="E213" s="35"/>
      <c r="F213" s="35"/>
      <c r="G213" s="35"/>
      <c r="H213" s="7" t="s">
        <v>842</v>
      </c>
      <c r="I213" s="7" t="s">
        <v>843</v>
      </c>
      <c r="J213" s="112" t="str">
        <f ca="1">IFERROR(__xludf.DUMMYFUNCTION("JOIN("": "",H213,I213)"),"3E-14-04-02-04-00-00: Espigão")</f>
        <v>3E-14-04-02-04-00-00: Espigão</v>
      </c>
      <c r="K213" s="4">
        <v>5</v>
      </c>
      <c r="L213" s="7"/>
      <c r="M213" s="7"/>
      <c r="N213" s="7"/>
      <c r="O213" s="7"/>
      <c r="P213" s="177"/>
      <c r="Q213" s="177"/>
      <c r="R213" s="177"/>
      <c r="S213" s="177"/>
    </row>
    <row r="214" spans="1:31">
      <c r="A214" s="35" t="s">
        <v>845</v>
      </c>
      <c r="B214" s="35"/>
      <c r="C214" s="35"/>
      <c r="D214" s="35"/>
      <c r="E214" s="35"/>
      <c r="F214" s="35"/>
      <c r="G214" s="35"/>
      <c r="H214" s="7" t="s">
        <v>846</v>
      </c>
      <c r="I214" s="7" t="s">
        <v>847</v>
      </c>
      <c r="J214" s="112" t="str">
        <f ca="1">IFERROR(__xludf.DUMMYFUNCTION("JOIN("": "",H214,I214)"),"3E-14-04-02-06-00-00: Rincão")</f>
        <v>3E-14-04-02-06-00-00: Rincão</v>
      </c>
      <c r="K214" s="4">
        <v>5</v>
      </c>
      <c r="L214" s="7"/>
      <c r="M214" s="7"/>
      <c r="N214" s="7"/>
      <c r="O214" s="7"/>
      <c r="P214" s="177"/>
      <c r="Q214" s="177"/>
      <c r="R214" s="177"/>
      <c r="S214" s="177"/>
    </row>
    <row r="215" spans="1:31">
      <c r="A215" s="35" t="s">
        <v>849</v>
      </c>
      <c r="B215" s="35"/>
      <c r="C215" s="35"/>
      <c r="D215" s="35"/>
      <c r="E215" s="35"/>
      <c r="F215" s="35"/>
      <c r="G215" s="35"/>
      <c r="H215" s="7" t="s">
        <v>850</v>
      </c>
      <c r="I215" s="7" t="s">
        <v>851</v>
      </c>
      <c r="J215" s="112" t="str">
        <f ca="1">IFERROR(__xludf.DUMMYFUNCTION("JOIN("": "",H215,I215)"),"3E-14-04-02-08-00-00: Beiral")</f>
        <v>3E-14-04-02-08-00-00: Beiral</v>
      </c>
      <c r="K215" s="4">
        <v>5</v>
      </c>
      <c r="L215" s="7"/>
      <c r="M215" s="7"/>
      <c r="N215" s="7"/>
      <c r="O215" s="7"/>
      <c r="P215" s="177"/>
      <c r="Q215" s="177"/>
      <c r="R215" s="177"/>
      <c r="S215" s="177"/>
    </row>
    <row r="216" spans="1:31">
      <c r="A216" s="35" t="s">
        <v>853</v>
      </c>
      <c r="B216" s="35"/>
      <c r="C216" s="35"/>
      <c r="D216" s="35"/>
      <c r="E216" s="35"/>
      <c r="F216" s="35"/>
      <c r="G216" s="35"/>
      <c r="H216" s="7" t="s">
        <v>854</v>
      </c>
      <c r="I216" s="7" t="s">
        <v>855</v>
      </c>
      <c r="J216" s="112" t="str">
        <f ca="1">IFERROR(__xludf.DUMMYFUNCTION("JOIN("": "",H216,I216)"),"3E-14-04-02-10-00-00: Telhamento")</f>
        <v>3E-14-04-02-10-00-00: Telhamento</v>
      </c>
      <c r="K216" s="4">
        <v>5</v>
      </c>
      <c r="L216" s="7"/>
      <c r="M216" s="7"/>
      <c r="N216" s="7"/>
      <c r="O216" s="7"/>
      <c r="P216" s="177"/>
      <c r="Q216" s="177"/>
      <c r="R216" s="177"/>
      <c r="S216" s="177"/>
    </row>
    <row r="217" spans="1:31">
      <c r="A217" s="35" t="s">
        <v>857</v>
      </c>
      <c r="B217" s="35"/>
      <c r="C217" s="35"/>
      <c r="D217" s="35"/>
      <c r="E217" s="35"/>
      <c r="F217" s="35"/>
      <c r="G217" s="35"/>
      <c r="H217" s="7" t="s">
        <v>858</v>
      </c>
      <c r="I217" s="7" t="s">
        <v>859</v>
      </c>
      <c r="J217" s="112" t="str">
        <f ca="1">IFERROR(__xludf.DUMMYFUNCTION("JOIN("": "",H217,I217)"),"3E-14-04-02-12-00-00: Tesoura")</f>
        <v>3E-14-04-02-12-00-00: Tesoura</v>
      </c>
      <c r="K217" s="4">
        <v>5</v>
      </c>
      <c r="L217" s="7"/>
      <c r="M217" s="7"/>
      <c r="N217" s="7"/>
      <c r="O217" s="7"/>
      <c r="P217" s="177"/>
      <c r="Q217" s="177"/>
      <c r="R217" s="177"/>
      <c r="S217" s="177"/>
    </row>
    <row r="218" spans="1:31">
      <c r="A218" s="35" t="s">
        <v>861</v>
      </c>
      <c r="B218" s="35"/>
      <c r="C218" s="35"/>
      <c r="D218" s="35"/>
      <c r="E218" s="35"/>
      <c r="F218" s="35"/>
      <c r="G218" s="35"/>
      <c r="H218" s="7" t="s">
        <v>862</v>
      </c>
      <c r="I218" s="7" t="s">
        <v>863</v>
      </c>
      <c r="J218" s="112" t="str">
        <f ca="1">IFERROR(__xludf.DUMMYFUNCTION("JOIN("": "",H218,I218)"),"3E-14-04-02-14-00-00: Pontalete")</f>
        <v>3E-14-04-02-14-00-00: Pontalete</v>
      </c>
      <c r="K218" s="4">
        <v>5</v>
      </c>
      <c r="L218" s="7"/>
      <c r="M218" s="7"/>
      <c r="N218" s="7"/>
      <c r="O218" s="7"/>
      <c r="P218" s="177"/>
      <c r="Q218" s="177"/>
      <c r="R218" s="177"/>
      <c r="S218" s="177"/>
    </row>
    <row r="219" spans="1:31">
      <c r="A219" s="111" t="s">
        <v>865</v>
      </c>
      <c r="B219" s="111"/>
      <c r="C219" s="111"/>
      <c r="D219" s="111"/>
      <c r="E219" s="111"/>
      <c r="F219" s="111"/>
      <c r="G219" s="111"/>
      <c r="H219" s="3" t="s">
        <v>866</v>
      </c>
      <c r="I219" s="3" t="s">
        <v>867</v>
      </c>
      <c r="J219" s="112" t="str">
        <f ca="1">IFERROR(__xludf.DUMMYFUNCTION("JOIN("": "",H219,I219)"),"3E-16-00-00-00-00-00: Elementos de acabamentos")</f>
        <v>3E-16-00-00-00-00-00: Elementos de acabamentos</v>
      </c>
      <c r="K219" s="4">
        <v>2</v>
      </c>
      <c r="L219" s="7"/>
      <c r="M219" s="7"/>
      <c r="N219" s="7"/>
      <c r="O219" s="7"/>
      <c r="P219" s="177"/>
      <c r="Q219" s="177"/>
      <c r="R219" s="177"/>
      <c r="S219" s="177"/>
      <c r="AD219" s="7"/>
      <c r="AE219" s="35"/>
    </row>
    <row r="220" spans="1:31">
      <c r="A220" s="111" t="s">
        <v>869</v>
      </c>
      <c r="B220" s="111"/>
      <c r="C220" s="111"/>
      <c r="D220" s="111"/>
      <c r="E220" s="111"/>
      <c r="F220" s="111"/>
      <c r="G220" s="111"/>
      <c r="H220" s="3" t="s">
        <v>870</v>
      </c>
      <c r="I220" s="3" t="s">
        <v>871</v>
      </c>
      <c r="J220" s="112" t="str">
        <f ca="1">IFERROR(__xludf.DUMMYFUNCTION("JOIN("": "",H220,I220)"),"3E-16-02-00-00-00-00: Pisos")</f>
        <v>3E-16-02-00-00-00-00: Pisos</v>
      </c>
      <c r="K220" s="4">
        <v>3</v>
      </c>
      <c r="L220" s="7"/>
      <c r="M220" s="7"/>
      <c r="N220" s="7"/>
      <c r="O220" s="7"/>
      <c r="P220" s="177"/>
      <c r="Q220" s="177"/>
      <c r="R220" s="177"/>
      <c r="S220" s="177"/>
    </row>
    <row r="221" spans="1:31">
      <c r="A221" s="35" t="s">
        <v>873</v>
      </c>
      <c r="B221" s="35"/>
      <c r="C221" s="35"/>
      <c r="D221" s="35"/>
      <c r="E221" s="35"/>
      <c r="F221" s="35"/>
      <c r="G221" s="35"/>
      <c r="H221" s="7" t="s">
        <v>874</v>
      </c>
      <c r="I221" s="7" t="s">
        <v>875</v>
      </c>
      <c r="J221" s="112" t="str">
        <f ca="1">IFERROR(__xludf.DUMMYFUNCTION("JOIN("": "",H221,I221)"),"3E-16-02-02-00-00-00: Contrapiso")</f>
        <v>3E-16-02-02-00-00-00: Contrapiso</v>
      </c>
      <c r="K221" s="4">
        <v>4</v>
      </c>
      <c r="L221" s="7"/>
      <c r="M221" s="7"/>
      <c r="N221" s="7"/>
      <c r="O221" s="7"/>
      <c r="P221" s="177"/>
      <c r="Q221" s="177"/>
      <c r="R221" s="177"/>
      <c r="S221" s="177"/>
    </row>
    <row r="222" spans="1:31">
      <c r="A222" s="35" t="s">
        <v>877</v>
      </c>
      <c r="B222" s="35"/>
      <c r="C222" s="35"/>
      <c r="D222" s="35"/>
      <c r="E222" s="35"/>
      <c r="F222" s="35"/>
      <c r="G222" s="35"/>
      <c r="H222" s="7" t="s">
        <v>878</v>
      </c>
      <c r="I222" s="7" t="s">
        <v>879</v>
      </c>
      <c r="J222" s="112" t="str">
        <f ca="1">IFERROR(__xludf.DUMMYFUNCTION("JOIN("": "",H222,I222)"),"3E-16-02-04-00-00-00: Revestimento de piso")</f>
        <v>3E-16-02-04-00-00-00: Revestimento de piso</v>
      </c>
      <c r="K222" s="4">
        <v>4</v>
      </c>
      <c r="L222" s="7"/>
      <c r="M222" s="7"/>
      <c r="N222" s="7"/>
      <c r="O222" s="7"/>
      <c r="P222" s="177"/>
      <c r="Q222" s="177"/>
      <c r="R222" s="177"/>
      <c r="S222" s="177"/>
    </row>
    <row r="223" spans="1:31">
      <c r="A223" s="35" t="s">
        <v>881</v>
      </c>
      <c r="B223" s="35"/>
      <c r="C223" s="35"/>
      <c r="D223" s="35"/>
      <c r="E223" s="35"/>
      <c r="F223" s="35"/>
      <c r="G223" s="35"/>
      <c r="H223" s="7" t="s">
        <v>882</v>
      </c>
      <c r="I223" s="7" t="s">
        <v>883</v>
      </c>
      <c r="J223" s="112" t="str">
        <f ca="1">IFERROR(__xludf.DUMMYFUNCTION("JOIN("": "",H223,I223)"),"3E-16-02-06-00-00-00: Soleira")</f>
        <v>3E-16-02-06-00-00-00: Soleira</v>
      </c>
      <c r="K223" s="4">
        <v>4</v>
      </c>
      <c r="L223" s="7"/>
      <c r="M223" s="7"/>
      <c r="N223" s="7"/>
      <c r="O223" s="7"/>
      <c r="P223" s="177"/>
      <c r="Q223" s="177"/>
      <c r="R223" s="177"/>
      <c r="S223" s="177"/>
    </row>
    <row r="224" spans="1:31">
      <c r="A224" s="35" t="s">
        <v>885</v>
      </c>
      <c r="B224" s="35"/>
      <c r="C224" s="35"/>
      <c r="D224" s="35"/>
      <c r="E224" s="35"/>
      <c r="F224" s="35"/>
      <c r="G224" s="35"/>
      <c r="H224" s="7" t="s">
        <v>886</v>
      </c>
      <c r="I224" s="7" t="s">
        <v>887</v>
      </c>
      <c r="J224" s="112" t="str">
        <f ca="1">IFERROR(__xludf.DUMMYFUNCTION("JOIN("": "",H224,I224)"),"3E-16-02-08-00-00-00: Pingadeira")</f>
        <v>3E-16-02-08-00-00-00: Pingadeira</v>
      </c>
      <c r="K224" s="4">
        <v>4</v>
      </c>
      <c r="L224" s="7"/>
      <c r="M224" s="7"/>
      <c r="N224" s="7"/>
      <c r="O224" s="7"/>
      <c r="P224" s="177"/>
      <c r="Q224" s="177"/>
      <c r="R224" s="177"/>
      <c r="S224" s="177"/>
    </row>
    <row r="225" spans="1:31">
      <c r="A225" s="35" t="s">
        <v>889</v>
      </c>
      <c r="B225" s="35"/>
      <c r="C225" s="35"/>
      <c r="D225" s="35"/>
      <c r="E225" s="35"/>
      <c r="F225" s="35"/>
      <c r="G225" s="35"/>
      <c r="H225" s="7" t="s">
        <v>890</v>
      </c>
      <c r="I225" s="7" t="s">
        <v>891</v>
      </c>
      <c r="J225" s="112" t="str">
        <f ca="1">IFERROR(__xludf.DUMMYFUNCTION("JOIN("": "",H225,I225)"),"3E-16-02-10-00-00-00: Tropicão")</f>
        <v>3E-16-02-10-00-00-00: Tropicão</v>
      </c>
      <c r="K225" s="4">
        <v>4</v>
      </c>
      <c r="L225" s="7"/>
      <c r="M225" s="7"/>
      <c r="N225" s="7"/>
      <c r="O225" s="7"/>
      <c r="P225" s="177"/>
      <c r="Q225" s="177"/>
      <c r="R225" s="177"/>
      <c r="S225" s="177"/>
    </row>
    <row r="226" spans="1:31">
      <c r="A226" s="111" t="s">
        <v>893</v>
      </c>
      <c r="B226" s="111"/>
      <c r="C226" s="111"/>
      <c r="D226" s="111"/>
      <c r="E226" s="111"/>
      <c r="F226" s="111"/>
      <c r="G226" s="111"/>
      <c r="H226" s="3" t="s">
        <v>894</v>
      </c>
      <c r="I226" s="3" t="s">
        <v>895</v>
      </c>
      <c r="J226" s="112" t="str">
        <f ca="1">IFERROR(__xludf.DUMMYFUNCTION("JOIN("": "",H226,I226)"),"3E-16-04-00-00-00-00: Forros")</f>
        <v>3E-16-04-00-00-00-00: Forros</v>
      </c>
      <c r="K226" s="4">
        <v>3</v>
      </c>
      <c r="L226" s="7"/>
      <c r="M226" s="7"/>
      <c r="N226" s="7"/>
      <c r="O226" s="7"/>
      <c r="P226" s="177"/>
      <c r="Q226" s="177"/>
      <c r="R226" s="177"/>
      <c r="S226" s="177"/>
    </row>
    <row r="227" spans="1:31">
      <c r="A227" s="35" t="s">
        <v>897</v>
      </c>
      <c r="B227" s="35"/>
      <c r="C227" s="35"/>
      <c r="D227" s="35"/>
      <c r="E227" s="35"/>
      <c r="F227" s="35"/>
      <c r="G227" s="35"/>
      <c r="H227" s="7" t="s">
        <v>898</v>
      </c>
      <c r="I227" s="7" t="s">
        <v>899</v>
      </c>
      <c r="J227" s="112" t="str">
        <f ca="1">IFERROR(__xludf.DUMMYFUNCTION("JOIN("": "",H227,I227)"),"3E-16-04-02-00-00-00: Painel de forro")</f>
        <v>3E-16-04-02-00-00-00: Painel de forro</v>
      </c>
      <c r="K227" s="4">
        <v>4</v>
      </c>
      <c r="L227" s="7"/>
      <c r="M227" s="7"/>
      <c r="N227" s="7"/>
      <c r="O227" s="7"/>
      <c r="P227" s="177"/>
      <c r="Q227" s="177"/>
      <c r="R227" s="177"/>
      <c r="S227" s="177"/>
    </row>
    <row r="228" spans="1:31">
      <c r="A228" s="35" t="s">
        <v>901</v>
      </c>
      <c r="B228" s="35"/>
      <c r="C228" s="35"/>
      <c r="D228" s="35"/>
      <c r="E228" s="35"/>
      <c r="F228" s="35"/>
      <c r="G228" s="35"/>
      <c r="H228" s="7" t="s">
        <v>902</v>
      </c>
      <c r="I228" s="7" t="s">
        <v>903</v>
      </c>
      <c r="J228" s="112" t="str">
        <f ca="1">IFERROR(__xludf.DUMMYFUNCTION("JOIN("": "",H228,I228)"),"3E-16-04-04-00-00-00: Pendural")</f>
        <v>3E-16-04-04-00-00-00: Pendural</v>
      </c>
      <c r="K228" s="4">
        <v>4</v>
      </c>
      <c r="L228" s="7"/>
      <c r="M228" s="7"/>
      <c r="N228" s="7"/>
      <c r="O228" s="7"/>
      <c r="P228" s="177"/>
      <c r="Q228" s="177"/>
      <c r="R228" s="177"/>
      <c r="S228" s="177"/>
    </row>
    <row r="229" spans="1:31">
      <c r="A229" s="35" t="s">
        <v>905</v>
      </c>
      <c r="B229" s="35"/>
      <c r="C229" s="35"/>
      <c r="D229" s="35"/>
      <c r="E229" s="35"/>
      <c r="F229" s="35"/>
      <c r="G229" s="35"/>
      <c r="H229" s="7" t="s">
        <v>906</v>
      </c>
      <c r="I229" s="7" t="s">
        <v>907</v>
      </c>
      <c r="J229" s="112" t="str">
        <f ca="1">IFERROR(__xludf.DUMMYFUNCTION("JOIN("": "",H229,I229)"),"3E-16-04-06-00-00-00: Junta de dilatação de forro")</f>
        <v>3E-16-04-06-00-00-00: Junta de dilatação de forro</v>
      </c>
      <c r="K229" s="4">
        <v>4</v>
      </c>
      <c r="L229" s="7"/>
      <c r="M229" s="7"/>
      <c r="N229" s="7"/>
      <c r="O229" s="7"/>
      <c r="P229" s="177"/>
      <c r="Q229" s="177"/>
      <c r="R229" s="177"/>
      <c r="S229" s="177"/>
    </row>
    <row r="230" spans="1:31">
      <c r="A230" s="35" t="s">
        <v>909</v>
      </c>
      <c r="B230" s="35"/>
      <c r="C230" s="35"/>
      <c r="D230" s="35"/>
      <c r="E230" s="35"/>
      <c r="F230" s="35"/>
      <c r="G230" s="35"/>
      <c r="H230" s="7" t="s">
        <v>910</v>
      </c>
      <c r="I230" s="7" t="s">
        <v>911</v>
      </c>
      <c r="J230" s="112" t="str">
        <f ca="1">IFERROR(__xludf.DUMMYFUNCTION("JOIN("": "",H230,I230)"),"3E-16-04-08-00-00-00: Tabica")</f>
        <v>3E-16-04-08-00-00-00: Tabica</v>
      </c>
      <c r="K230" s="4">
        <v>4</v>
      </c>
      <c r="L230" s="7"/>
      <c r="M230" s="7"/>
      <c r="N230" s="7"/>
      <c r="O230" s="7"/>
      <c r="P230" s="177"/>
      <c r="Q230" s="177"/>
      <c r="R230" s="177"/>
      <c r="S230" s="177"/>
    </row>
    <row r="231" spans="1:31">
      <c r="A231" s="111" t="s">
        <v>913</v>
      </c>
      <c r="B231" s="111"/>
      <c r="C231" s="111"/>
      <c r="D231" s="111"/>
      <c r="E231" s="111"/>
      <c r="F231" s="111"/>
      <c r="G231" s="111"/>
      <c r="H231" s="3" t="s">
        <v>914</v>
      </c>
      <c r="I231" s="3" t="s">
        <v>915</v>
      </c>
      <c r="J231" s="112" t="str">
        <f ca="1">IFERROR(__xludf.DUMMYFUNCTION("JOIN("": "",H231,I231)"),"3E-16-06-00-00-00-00: Acabamentos de paredes")</f>
        <v>3E-16-06-00-00-00-00: Acabamentos de paredes</v>
      </c>
      <c r="K231" s="4">
        <v>3</v>
      </c>
      <c r="L231" s="7"/>
      <c r="M231" s="7"/>
      <c r="N231" s="7"/>
      <c r="O231" s="7"/>
      <c r="P231" s="177"/>
      <c r="Q231" s="177"/>
      <c r="R231" s="177"/>
      <c r="S231" s="177"/>
    </row>
    <row r="232" spans="1:31">
      <c r="A232" s="35" t="s">
        <v>917</v>
      </c>
      <c r="B232" s="35"/>
      <c r="C232" s="35"/>
      <c r="D232" s="35"/>
      <c r="E232" s="35"/>
      <c r="F232" s="35"/>
      <c r="G232" s="35"/>
      <c r="H232" s="7" t="s">
        <v>918</v>
      </c>
      <c r="I232" s="7" t="s">
        <v>919</v>
      </c>
      <c r="J232" s="112" t="str">
        <f ca="1">IFERROR(__xludf.DUMMYFUNCTION("JOIN("": "",H232,I232)"),"3E-16-06-02-00-00-00: Cantoneira para paredes")</f>
        <v>3E-16-06-02-00-00-00: Cantoneira para paredes</v>
      </c>
      <c r="K232" s="4">
        <v>4</v>
      </c>
      <c r="L232" s="7"/>
      <c r="M232" s="7"/>
      <c r="N232" s="7"/>
      <c r="O232" s="7"/>
      <c r="P232" s="177"/>
      <c r="Q232" s="177"/>
      <c r="R232" s="177"/>
      <c r="S232" s="177"/>
    </row>
    <row r="233" spans="1:31">
      <c r="A233" s="35" t="s">
        <v>921</v>
      </c>
      <c r="B233" s="35"/>
      <c r="C233" s="35"/>
      <c r="D233" s="35"/>
      <c r="E233" s="35"/>
      <c r="F233" s="35"/>
      <c r="G233" s="35"/>
      <c r="H233" s="7" t="s">
        <v>922</v>
      </c>
      <c r="I233" s="7" t="s">
        <v>923</v>
      </c>
      <c r="J233" s="112" t="str">
        <f ca="1">IFERROR(__xludf.DUMMYFUNCTION("JOIN("": "",H233,I233)"),"3E-16-06-04-00-00-00: Rodapé")</f>
        <v>3E-16-06-04-00-00-00: Rodapé</v>
      </c>
      <c r="K233" s="4">
        <v>4</v>
      </c>
      <c r="L233" s="7"/>
      <c r="M233" s="7"/>
      <c r="N233" s="7"/>
      <c r="O233" s="7"/>
      <c r="P233" s="177"/>
      <c r="Q233" s="177"/>
      <c r="R233" s="177"/>
      <c r="S233" s="177"/>
    </row>
    <row r="234" spans="1:31">
      <c r="A234" s="35" t="s">
        <v>925</v>
      </c>
      <c r="B234" s="35"/>
      <c r="C234" s="35"/>
      <c r="D234" s="35"/>
      <c r="E234" s="35"/>
      <c r="F234" s="35"/>
      <c r="G234" s="35"/>
      <c r="H234" s="7" t="s">
        <v>926</v>
      </c>
      <c r="I234" s="7" t="s">
        <v>927</v>
      </c>
      <c r="J234" s="112" t="str">
        <f ca="1">IFERROR(__xludf.DUMMYFUNCTION("JOIN("": "",H234,I234)"),"3E-16-06-06-00-00-00: Rodameio")</f>
        <v>3E-16-06-06-00-00-00: Rodameio</v>
      </c>
      <c r="K234" s="4">
        <v>4</v>
      </c>
      <c r="L234" s="7"/>
      <c r="M234" s="7"/>
      <c r="N234" s="7"/>
      <c r="O234" s="7"/>
      <c r="P234" s="177"/>
      <c r="Q234" s="177"/>
      <c r="R234" s="177"/>
      <c r="S234" s="177"/>
    </row>
    <row r="235" spans="1:31">
      <c r="A235" s="35" t="s">
        <v>929</v>
      </c>
      <c r="B235" s="35"/>
      <c r="C235" s="35"/>
      <c r="D235" s="35"/>
      <c r="E235" s="35"/>
      <c r="F235" s="35"/>
      <c r="G235" s="35"/>
      <c r="H235" s="7" t="s">
        <v>930</v>
      </c>
      <c r="I235" s="7" t="s">
        <v>931</v>
      </c>
      <c r="J235" s="112" t="str">
        <f ca="1">IFERROR(__xludf.DUMMYFUNCTION("JOIN("": "",H235,I235)"),"3E-16-06-08-00-00-00: Sanca")</f>
        <v>3E-16-06-08-00-00-00: Sanca</v>
      </c>
      <c r="K235" s="4">
        <v>4</v>
      </c>
      <c r="L235" s="7"/>
      <c r="M235" s="7"/>
      <c r="N235" s="7"/>
      <c r="O235" s="7"/>
      <c r="P235" s="177"/>
      <c r="Q235" s="177"/>
      <c r="R235" s="177"/>
      <c r="S235" s="177"/>
    </row>
    <row r="236" spans="1:31">
      <c r="A236" s="111" t="s">
        <v>933</v>
      </c>
      <c r="B236" s="111"/>
      <c r="C236" s="111"/>
      <c r="D236" s="111"/>
      <c r="E236" s="111"/>
      <c r="F236" s="111"/>
      <c r="G236" s="111"/>
      <c r="H236" s="3" t="s">
        <v>934</v>
      </c>
      <c r="I236" s="3" t="s">
        <v>935</v>
      </c>
      <c r="J236" s="112" t="str">
        <f ca="1">IFERROR(__xludf.DUMMYFUNCTION("JOIN("": "",H236,I236)"),"3E-18-00-00-00-00-00: Elementos de impermeabilização")</f>
        <v>3E-18-00-00-00-00-00: Elementos de impermeabilização</v>
      </c>
      <c r="K236" s="4">
        <v>2</v>
      </c>
      <c r="L236" s="7"/>
      <c r="M236" s="7"/>
      <c r="N236" s="7"/>
      <c r="O236" s="7"/>
      <c r="P236" s="177"/>
      <c r="Q236" s="177"/>
      <c r="R236" s="177"/>
      <c r="S236" s="177"/>
      <c r="AD236" s="7"/>
      <c r="AE236" s="35"/>
    </row>
    <row r="237" spans="1:31">
      <c r="A237" s="111" t="s">
        <v>937</v>
      </c>
      <c r="B237" s="111"/>
      <c r="C237" s="111"/>
      <c r="D237" s="111"/>
      <c r="E237" s="111"/>
      <c r="F237" s="111"/>
      <c r="G237" s="111"/>
      <c r="H237" s="3" t="s">
        <v>938</v>
      </c>
      <c r="I237" s="3" t="s">
        <v>939</v>
      </c>
      <c r="J237" s="112" t="str">
        <f ca="1">IFERROR(__xludf.DUMMYFUNCTION("JOIN("": "",H237,I237)"),"3E-18-02-00-00-00-00: Elementos de regularização da impermeabilização")</f>
        <v>3E-18-02-00-00-00-00: Elementos de regularização da impermeabilização</v>
      </c>
      <c r="K237" s="4">
        <v>3</v>
      </c>
      <c r="L237" s="7"/>
      <c r="M237" s="7"/>
      <c r="N237" s="7"/>
      <c r="O237" s="7"/>
      <c r="P237" s="177"/>
      <c r="Q237" s="177"/>
      <c r="R237" s="177"/>
      <c r="S237" s="177"/>
    </row>
    <row r="238" spans="1:31">
      <c r="A238" s="111" t="s">
        <v>941</v>
      </c>
      <c r="B238" s="111"/>
      <c r="C238" s="111"/>
      <c r="D238" s="111"/>
      <c r="E238" s="111"/>
      <c r="F238" s="111"/>
      <c r="G238" s="111"/>
      <c r="H238" s="3" t="s">
        <v>942</v>
      </c>
      <c r="I238" s="3" t="s">
        <v>943</v>
      </c>
      <c r="J238" s="112" t="str">
        <f ca="1">IFERROR(__xludf.DUMMYFUNCTION("JOIN("": "",H238,I238)"),"3E-18-04-00-00-00-00: Elementos impermeabilizante")</f>
        <v>3E-18-04-00-00-00-00: Elementos impermeabilizante</v>
      </c>
      <c r="K238" s="4">
        <v>3</v>
      </c>
      <c r="L238" s="7"/>
      <c r="M238" s="7"/>
      <c r="N238" s="7"/>
      <c r="O238" s="7"/>
      <c r="P238" s="177"/>
      <c r="Q238" s="177"/>
      <c r="R238" s="177"/>
      <c r="S238" s="177"/>
    </row>
    <row r="239" spans="1:31">
      <c r="A239" s="111" t="s">
        <v>945</v>
      </c>
      <c r="B239" s="111"/>
      <c r="C239" s="111"/>
      <c r="D239" s="111"/>
      <c r="E239" s="111"/>
      <c r="F239" s="111"/>
      <c r="G239" s="111"/>
      <c r="H239" s="3" t="s">
        <v>946</v>
      </c>
      <c r="I239" s="3" t="s">
        <v>947</v>
      </c>
      <c r="J239" s="112" t="str">
        <f ca="1">IFERROR(__xludf.DUMMYFUNCTION("JOIN("": "",H239,I239)"),"3E-18-06-00-00-00-00: Elementos de isolamento térmico da impermeabilização")</f>
        <v>3E-18-06-00-00-00-00: Elementos de isolamento térmico da impermeabilização</v>
      </c>
      <c r="K239" s="4">
        <v>3</v>
      </c>
      <c r="L239" s="7"/>
      <c r="M239" s="7"/>
      <c r="N239" s="7"/>
      <c r="O239" s="7"/>
      <c r="P239" s="177"/>
      <c r="Q239" s="177"/>
      <c r="R239" s="177"/>
      <c r="S239" s="177"/>
    </row>
    <row r="240" spans="1:31">
      <c r="A240" s="111" t="s">
        <v>949</v>
      </c>
      <c r="B240" s="111"/>
      <c r="C240" s="111"/>
      <c r="D240" s="111"/>
      <c r="E240" s="111"/>
      <c r="F240" s="111"/>
      <c r="G240" s="111"/>
      <c r="H240" s="3" t="s">
        <v>950</v>
      </c>
      <c r="I240" s="3" t="s">
        <v>951</v>
      </c>
      <c r="J240" s="112" t="str">
        <f ca="1">IFERROR(__xludf.DUMMYFUNCTION("JOIN("": "",H240,I240)"),"3E-18-08-00-00-00-00: Elementos de proteção mecânica da impermeabilização")</f>
        <v>3E-18-08-00-00-00-00: Elementos de proteção mecânica da impermeabilização</v>
      </c>
      <c r="K240" s="4">
        <v>3</v>
      </c>
      <c r="L240" s="7"/>
      <c r="M240" s="7"/>
      <c r="N240" s="7"/>
      <c r="O240" s="7"/>
      <c r="P240" s="177"/>
      <c r="Q240" s="177"/>
      <c r="R240" s="177"/>
      <c r="S240" s="177"/>
    </row>
    <row r="241" spans="1:31">
      <c r="A241" s="111" t="s">
        <v>953</v>
      </c>
      <c r="B241" s="111"/>
      <c r="C241" s="111"/>
      <c r="D241" s="111"/>
      <c r="E241" s="111"/>
      <c r="F241" s="111"/>
      <c r="G241" s="111"/>
      <c r="H241" s="3" t="s">
        <v>954</v>
      </c>
      <c r="I241" s="3" t="s">
        <v>955</v>
      </c>
      <c r="J241" s="112" t="str">
        <f ca="1">IFERROR(__xludf.DUMMYFUNCTION("JOIN("": "",H241,I241)"),"3E-20-00-00-00-00-00: Elementos de aberturas")</f>
        <v>3E-20-00-00-00-00-00: Elementos de aberturas</v>
      </c>
      <c r="K241" s="4">
        <v>2</v>
      </c>
      <c r="L241" s="7"/>
      <c r="M241" s="7"/>
      <c r="N241" s="7"/>
      <c r="O241" s="7"/>
      <c r="P241" s="177"/>
      <c r="Q241" s="177"/>
      <c r="R241" s="177"/>
      <c r="S241" s="177"/>
      <c r="AD241" s="7"/>
      <c r="AE241" s="35"/>
    </row>
    <row r="242" spans="1:31">
      <c r="A242" s="111" t="s">
        <v>957</v>
      </c>
      <c r="B242" s="111"/>
      <c r="C242" s="111"/>
      <c r="D242" s="111"/>
      <c r="E242" s="111"/>
      <c r="F242" s="111"/>
      <c r="G242" s="111"/>
      <c r="H242" s="3" t="s">
        <v>958</v>
      </c>
      <c r="I242" s="3" t="s">
        <v>959</v>
      </c>
      <c r="J242" s="112" t="str">
        <f ca="1">IFERROR(__xludf.DUMMYFUNCTION("JOIN("": "",H242,I242)"),"3E-20-02-00-00-00-00: Elementos de aberturas para circulação")</f>
        <v>3E-20-02-00-00-00-00: Elementos de aberturas para circulação</v>
      </c>
      <c r="K242" s="4">
        <v>3</v>
      </c>
      <c r="L242" s="7"/>
      <c r="M242" s="7"/>
      <c r="N242" s="7"/>
      <c r="O242" s="7"/>
      <c r="P242" s="177"/>
      <c r="Q242" s="177"/>
      <c r="R242" s="177"/>
      <c r="S242" s="177"/>
    </row>
    <row r="243" spans="1:31">
      <c r="A243" s="35" t="s">
        <v>961</v>
      </c>
      <c r="B243" s="35"/>
      <c r="C243" s="35"/>
      <c r="D243" s="35"/>
      <c r="E243" s="35"/>
      <c r="F243" s="35"/>
      <c r="G243" s="35"/>
      <c r="H243" s="7" t="s">
        <v>962</v>
      </c>
      <c r="I243" s="7" t="s">
        <v>963</v>
      </c>
      <c r="J243" s="112" t="str">
        <f ca="1">IFERROR(__xludf.DUMMYFUNCTION("JOIN("": "",H243,I243)"),"3E-20-02-02-00-00-00: Portas")</f>
        <v>3E-20-02-02-00-00-00: Portas</v>
      </c>
      <c r="K243" s="4">
        <v>4</v>
      </c>
      <c r="L243" s="7"/>
      <c r="M243" s="7"/>
      <c r="N243" s="7"/>
      <c r="O243" s="7"/>
      <c r="P243" s="177"/>
      <c r="Q243" s="177"/>
      <c r="R243" s="177"/>
      <c r="S243" s="177"/>
    </row>
    <row r="244" spans="1:31">
      <c r="A244" s="35" t="s">
        <v>965</v>
      </c>
      <c r="B244" s="35"/>
      <c r="C244" s="35"/>
      <c r="D244" s="35"/>
      <c r="E244" s="35"/>
      <c r="F244" s="35"/>
      <c r="G244" s="35"/>
      <c r="H244" s="7" t="s">
        <v>966</v>
      </c>
      <c r="I244" s="7" t="s">
        <v>967</v>
      </c>
      <c r="J244" s="112" t="str">
        <f ca="1">IFERROR(__xludf.DUMMYFUNCTION("JOIN("": "",H244,I244)"),"3E-20-02-02-02-00-00: Porta de correr")</f>
        <v>3E-20-02-02-02-00-00: Porta de correr</v>
      </c>
      <c r="K244" s="4">
        <v>5</v>
      </c>
      <c r="L244" s="7"/>
      <c r="M244" s="7"/>
      <c r="N244" s="7"/>
      <c r="O244" s="7"/>
      <c r="P244" s="177"/>
      <c r="Q244" s="177"/>
      <c r="R244" s="177"/>
      <c r="S244" s="177"/>
    </row>
    <row r="245" spans="1:31">
      <c r="A245" s="35" t="s">
        <v>969</v>
      </c>
      <c r="B245" s="35"/>
      <c r="C245" s="35"/>
      <c r="D245" s="35"/>
      <c r="E245" s="35"/>
      <c r="F245" s="35"/>
      <c r="G245" s="35"/>
      <c r="H245" s="7" t="s">
        <v>970</v>
      </c>
      <c r="I245" s="7" t="s">
        <v>971</v>
      </c>
      <c r="J245" s="112" t="str">
        <f ca="1">IFERROR(__xludf.DUMMYFUNCTION("JOIN("": "",H245,I245)"),"3E-20-02-02-04-00-00: Porta de girar")</f>
        <v>3E-20-02-02-04-00-00: Porta de girar</v>
      </c>
      <c r="K245" s="4">
        <v>5</v>
      </c>
      <c r="L245" s="7"/>
      <c r="M245" s="7"/>
      <c r="N245" s="7"/>
      <c r="O245" s="7"/>
      <c r="P245" s="177"/>
      <c r="Q245" s="177"/>
      <c r="R245" s="177"/>
      <c r="S245" s="177"/>
    </row>
    <row r="246" spans="1:31">
      <c r="A246" s="35" t="s">
        <v>973</v>
      </c>
      <c r="B246" s="35"/>
      <c r="C246" s="35"/>
      <c r="D246" s="35"/>
      <c r="E246" s="35"/>
      <c r="F246" s="35"/>
      <c r="G246" s="35"/>
      <c r="H246" s="7" t="s">
        <v>974</v>
      </c>
      <c r="I246" s="7" t="s">
        <v>975</v>
      </c>
      <c r="J246" s="112" t="str">
        <f ca="1">IFERROR(__xludf.DUMMYFUNCTION("JOIN("": "",H246,I246)"),"3E-20-02-02-06-00-00: Porta camarão")</f>
        <v>3E-20-02-02-06-00-00: Porta camarão</v>
      </c>
      <c r="K246" s="4">
        <v>5</v>
      </c>
      <c r="L246" s="7"/>
      <c r="M246" s="7"/>
      <c r="N246" s="7"/>
      <c r="O246" s="7"/>
      <c r="P246" s="177"/>
      <c r="Q246" s="177"/>
      <c r="R246" s="177"/>
      <c r="S246" s="177"/>
    </row>
    <row r="247" spans="1:31">
      <c r="A247" s="35" t="s">
        <v>977</v>
      </c>
      <c r="B247" s="35"/>
      <c r="C247" s="35"/>
      <c r="D247" s="35"/>
      <c r="E247" s="35"/>
      <c r="F247" s="35"/>
      <c r="G247" s="35"/>
      <c r="H247" s="7" t="s">
        <v>978</v>
      </c>
      <c r="I247" s="7" t="s">
        <v>979</v>
      </c>
      <c r="J247" s="112" t="str">
        <f ca="1">IFERROR(__xludf.DUMMYFUNCTION("JOIN("": "",H247,I247)"),"3E-20-02-02-08-00-00: Porta de enrolar")</f>
        <v>3E-20-02-02-08-00-00: Porta de enrolar</v>
      </c>
      <c r="K247" s="4">
        <v>5</v>
      </c>
      <c r="L247" s="7"/>
      <c r="M247" s="7"/>
      <c r="N247" s="7"/>
      <c r="O247" s="7"/>
      <c r="P247" s="177"/>
      <c r="Q247" s="177"/>
      <c r="R247" s="177"/>
      <c r="S247" s="177"/>
    </row>
    <row r="248" spans="1:31">
      <c r="A248" s="35" t="s">
        <v>981</v>
      </c>
      <c r="B248" s="35"/>
      <c r="C248" s="35"/>
      <c r="D248" s="35"/>
      <c r="E248" s="35"/>
      <c r="F248" s="35"/>
      <c r="G248" s="35"/>
      <c r="H248" s="7" t="s">
        <v>982</v>
      </c>
      <c r="I248" s="7" t="s">
        <v>983</v>
      </c>
      <c r="J248" s="112" t="str">
        <f ca="1">IFERROR(__xludf.DUMMYFUNCTION("JOIN("": "",H248,I248)"),"3E-20-02-02-10-00-00: Porta pivotante")</f>
        <v>3E-20-02-02-10-00-00: Porta pivotante</v>
      </c>
      <c r="K248" s="4">
        <v>5</v>
      </c>
      <c r="L248" s="7"/>
      <c r="M248" s="7"/>
      <c r="N248" s="7"/>
      <c r="O248" s="7"/>
      <c r="P248" s="177"/>
      <c r="Q248" s="177"/>
      <c r="R248" s="177"/>
      <c r="S248" s="177"/>
    </row>
    <row r="249" spans="1:31">
      <c r="A249" s="35" t="s">
        <v>985</v>
      </c>
      <c r="B249" s="35"/>
      <c r="C249" s="35"/>
      <c r="D249" s="35"/>
      <c r="E249" s="35"/>
      <c r="F249" s="35"/>
      <c r="G249" s="35"/>
      <c r="H249" s="7" t="s">
        <v>986</v>
      </c>
      <c r="I249" s="7" t="s">
        <v>987</v>
      </c>
      <c r="J249" s="112" t="str">
        <f ca="1">IFERROR(__xludf.DUMMYFUNCTION("JOIN("": "",H249,I249)"),"3E-20-02-02-12-00-00: Porta giratória")</f>
        <v>3E-20-02-02-12-00-00: Porta giratória</v>
      </c>
      <c r="K249" s="4">
        <v>5</v>
      </c>
      <c r="L249" s="7"/>
      <c r="M249" s="7"/>
      <c r="N249" s="7"/>
      <c r="O249" s="7"/>
      <c r="P249" s="177"/>
      <c r="Q249" s="177"/>
      <c r="R249" s="177"/>
      <c r="S249" s="177"/>
    </row>
    <row r="250" spans="1:31">
      <c r="A250" s="35" t="s">
        <v>989</v>
      </c>
      <c r="B250" s="35"/>
      <c r="C250" s="35"/>
      <c r="D250" s="35"/>
      <c r="E250" s="35"/>
      <c r="F250" s="35"/>
      <c r="G250" s="35"/>
      <c r="H250" s="7" t="s">
        <v>990</v>
      </c>
      <c r="I250" s="7" t="s">
        <v>991</v>
      </c>
      <c r="J250" s="112" t="str">
        <f ca="1">IFERROR(__xludf.DUMMYFUNCTION("JOIN("": "",H250,I250)"),"3E-20-02-04-00-00-00: Alçapões")</f>
        <v>3E-20-02-04-00-00-00: Alçapões</v>
      </c>
      <c r="K250" s="4">
        <v>4</v>
      </c>
      <c r="L250" s="7"/>
      <c r="M250" s="7"/>
      <c r="N250" s="7"/>
      <c r="O250" s="7"/>
      <c r="P250" s="177"/>
      <c r="Q250" s="177"/>
      <c r="R250" s="177"/>
      <c r="S250" s="177"/>
    </row>
    <row r="251" spans="1:31">
      <c r="A251" s="111" t="s">
        <v>993</v>
      </c>
      <c r="B251" s="111"/>
      <c r="C251" s="111"/>
      <c r="D251" s="111"/>
      <c r="E251" s="111"/>
      <c r="F251" s="111"/>
      <c r="G251" s="111"/>
      <c r="H251" s="3" t="s">
        <v>994</v>
      </c>
      <c r="I251" s="3" t="s">
        <v>995</v>
      </c>
      <c r="J251" s="112" t="str">
        <f ca="1">IFERROR(__xludf.DUMMYFUNCTION("JOIN("": "",H251,I251)"),"3E-20-04-00-00-00-00: Elementos de aberturas para ventilação e iluminação natural")</f>
        <v>3E-20-04-00-00-00-00: Elementos de aberturas para ventilação e iluminação natural</v>
      </c>
      <c r="K251" s="4">
        <v>3</v>
      </c>
      <c r="L251" s="7"/>
      <c r="M251" s="7"/>
      <c r="N251" s="7"/>
      <c r="O251" s="7"/>
      <c r="P251" s="177"/>
      <c r="Q251" s="177"/>
      <c r="R251" s="177"/>
      <c r="S251" s="177"/>
    </row>
    <row r="252" spans="1:31">
      <c r="A252" s="35" t="s">
        <v>997</v>
      </c>
      <c r="B252" s="35"/>
      <c r="C252" s="35"/>
      <c r="D252" s="35"/>
      <c r="E252" s="35"/>
      <c r="F252" s="35"/>
      <c r="G252" s="35"/>
      <c r="H252" s="7" t="s">
        <v>998</v>
      </c>
      <c r="I252" s="7" t="s">
        <v>999</v>
      </c>
      <c r="J252" s="112" t="str">
        <f ca="1">IFERROR(__xludf.DUMMYFUNCTION("JOIN("": "",H252,I252)"),"3E-20-04-02-00-00-00: Janelas")</f>
        <v>3E-20-04-02-00-00-00: Janelas</v>
      </c>
      <c r="K252" s="4">
        <v>4</v>
      </c>
      <c r="L252" s="7"/>
      <c r="M252" s="7"/>
      <c r="N252" s="7"/>
      <c r="O252" s="7"/>
      <c r="P252" s="177"/>
      <c r="Q252" s="177"/>
      <c r="R252" s="177"/>
      <c r="S252" s="177"/>
    </row>
    <row r="253" spans="1:31">
      <c r="A253" s="35" t="s">
        <v>1001</v>
      </c>
      <c r="B253" s="35"/>
      <c r="C253" s="35"/>
      <c r="D253" s="35"/>
      <c r="E253" s="35"/>
      <c r="F253" s="35"/>
      <c r="G253" s="35"/>
      <c r="H253" s="7" t="s">
        <v>1002</v>
      </c>
      <c r="I253" s="7" t="s">
        <v>1003</v>
      </c>
      <c r="J253" s="112" t="str">
        <f ca="1">IFERROR(__xludf.DUMMYFUNCTION("JOIN("": "",H253,I253)"),"3E-20-04-02-02-00-00: Janela de correr")</f>
        <v>3E-20-04-02-02-00-00: Janela de correr</v>
      </c>
      <c r="K253" s="4">
        <v>5</v>
      </c>
      <c r="L253" s="7"/>
      <c r="M253" s="7"/>
      <c r="N253" s="7"/>
      <c r="O253" s="7"/>
      <c r="P253" s="177"/>
      <c r="Q253" s="177"/>
      <c r="R253" s="177"/>
      <c r="S253" s="177"/>
    </row>
    <row r="254" spans="1:31">
      <c r="A254" s="35" t="s">
        <v>1005</v>
      </c>
      <c r="B254" s="35"/>
      <c r="C254" s="35"/>
      <c r="D254" s="35"/>
      <c r="E254" s="35"/>
      <c r="F254" s="35"/>
      <c r="G254" s="35"/>
      <c r="H254" s="7" t="s">
        <v>1006</v>
      </c>
      <c r="I254" s="7" t="s">
        <v>1007</v>
      </c>
      <c r="J254" s="112" t="str">
        <f ca="1">IFERROR(__xludf.DUMMYFUNCTION("JOIN("": "",H254,I254)"),"3E-20-04-02-04-00-00: Janela pivotante")</f>
        <v>3E-20-04-02-04-00-00: Janela pivotante</v>
      </c>
      <c r="K254" s="4">
        <v>5</v>
      </c>
      <c r="L254" s="7"/>
      <c r="M254" s="7"/>
      <c r="N254" s="7"/>
      <c r="O254" s="7"/>
      <c r="P254" s="177"/>
      <c r="Q254" s="177"/>
      <c r="R254" s="177"/>
      <c r="S254" s="177"/>
    </row>
    <row r="255" spans="1:31">
      <c r="A255" s="35" t="s">
        <v>1009</v>
      </c>
      <c r="B255" s="35"/>
      <c r="C255" s="35"/>
      <c r="D255" s="35"/>
      <c r="E255" s="35"/>
      <c r="F255" s="35"/>
      <c r="G255" s="35"/>
      <c r="H255" s="7" t="s">
        <v>1010</v>
      </c>
      <c r="I255" s="7" t="s">
        <v>1011</v>
      </c>
      <c r="J255" s="112" t="str">
        <f ca="1">IFERROR(__xludf.DUMMYFUNCTION("JOIN("": "",H255,I255)"),"3E-20-04-02-06-00-00: Janela basculante")</f>
        <v>3E-20-04-02-06-00-00: Janela basculante</v>
      </c>
      <c r="K255" s="4">
        <v>5</v>
      </c>
      <c r="L255" s="7"/>
      <c r="M255" s="7"/>
      <c r="N255" s="7"/>
      <c r="O255" s="7"/>
      <c r="P255" s="177"/>
      <c r="Q255" s="177"/>
      <c r="R255" s="177"/>
      <c r="S255" s="177"/>
    </row>
    <row r="256" spans="1:31">
      <c r="A256" s="35" t="s">
        <v>1013</v>
      </c>
      <c r="B256" s="35"/>
      <c r="C256" s="35"/>
      <c r="D256" s="35"/>
      <c r="E256" s="35"/>
      <c r="F256" s="35"/>
      <c r="G256" s="35"/>
      <c r="H256" s="7" t="s">
        <v>1014</v>
      </c>
      <c r="I256" s="7" t="s">
        <v>1015</v>
      </c>
      <c r="J256" s="112" t="str">
        <f ca="1">IFERROR(__xludf.DUMMYFUNCTION("JOIN("": "",H256,I256)"),"3E-20-04-02-08-00-00: Janela projetante")</f>
        <v>3E-20-04-02-08-00-00: Janela projetante</v>
      </c>
      <c r="K256" s="4">
        <v>5</v>
      </c>
      <c r="L256" s="7"/>
      <c r="M256" s="7"/>
      <c r="N256" s="7"/>
      <c r="O256" s="7"/>
      <c r="P256" s="177"/>
      <c r="Q256" s="177"/>
      <c r="R256" s="177"/>
      <c r="S256" s="177"/>
    </row>
    <row r="257" spans="1:31">
      <c r="A257" s="35" t="s">
        <v>1017</v>
      </c>
      <c r="B257" s="35"/>
      <c r="C257" s="35"/>
      <c r="D257" s="35"/>
      <c r="E257" s="35"/>
      <c r="F257" s="35"/>
      <c r="G257" s="35"/>
      <c r="H257" s="7" t="s">
        <v>1018</v>
      </c>
      <c r="I257" s="7" t="s">
        <v>1019</v>
      </c>
      <c r="J257" s="112" t="str">
        <f ca="1">IFERROR(__xludf.DUMMYFUNCTION("JOIN("": "",H257,I257)"),"3E-20-04-02-10-00-00: Janela guilhotina")</f>
        <v>3E-20-04-02-10-00-00: Janela guilhotina</v>
      </c>
      <c r="K257" s="4">
        <v>5</v>
      </c>
      <c r="L257" s="7"/>
      <c r="M257" s="7"/>
      <c r="N257" s="7"/>
      <c r="O257" s="7"/>
      <c r="P257" s="177"/>
      <c r="Q257" s="177"/>
      <c r="R257" s="177"/>
      <c r="S257" s="177"/>
    </row>
    <row r="258" spans="1:31">
      <c r="A258" s="35" t="s">
        <v>1021</v>
      </c>
      <c r="B258" s="35"/>
      <c r="C258" s="35"/>
      <c r="D258" s="35"/>
      <c r="E258" s="35"/>
      <c r="F258" s="35"/>
      <c r="G258" s="35"/>
      <c r="H258" s="7" t="s">
        <v>1022</v>
      </c>
      <c r="I258" s="7" t="s">
        <v>1023</v>
      </c>
      <c r="J258" s="112" t="str">
        <f ca="1">IFERROR(__xludf.DUMMYFUNCTION("JOIN("": "",H258,I258)"),"3E-20-04-04-00-00-00: Domus")</f>
        <v>3E-20-04-04-00-00-00: Domus</v>
      </c>
      <c r="K258" s="4">
        <v>4</v>
      </c>
      <c r="L258" s="7"/>
      <c r="M258" s="7"/>
      <c r="N258" s="7"/>
      <c r="O258" s="7"/>
      <c r="P258" s="177"/>
      <c r="Q258" s="177"/>
      <c r="R258" s="177"/>
      <c r="S258" s="177"/>
    </row>
    <row r="259" spans="1:31">
      <c r="A259" s="35" t="s">
        <v>1025</v>
      </c>
      <c r="B259" s="35"/>
      <c r="C259" s="35"/>
      <c r="D259" s="35"/>
      <c r="E259" s="35"/>
      <c r="F259" s="35"/>
      <c r="G259" s="35"/>
      <c r="H259" s="7" t="s">
        <v>1026</v>
      </c>
      <c r="I259" s="7" t="s">
        <v>1027</v>
      </c>
      <c r="J259" s="112" t="str">
        <f ca="1">IFERROR(__xludf.DUMMYFUNCTION("JOIN("": "",H259,I259)"),"3E-20-04-06-00-00-00: Cúpula")</f>
        <v>3E-20-04-06-00-00-00: Cúpula</v>
      </c>
      <c r="K259" s="4">
        <v>4</v>
      </c>
      <c r="L259" s="7"/>
      <c r="M259" s="7"/>
      <c r="N259" s="7"/>
      <c r="O259" s="7"/>
      <c r="P259" s="177"/>
      <c r="Q259" s="177"/>
      <c r="R259" s="177"/>
      <c r="S259" s="177"/>
    </row>
    <row r="260" spans="1:31">
      <c r="A260" s="35" t="s">
        <v>1029</v>
      </c>
      <c r="B260" s="35"/>
      <c r="C260" s="35"/>
      <c r="D260" s="35"/>
      <c r="E260" s="35"/>
      <c r="F260" s="35"/>
      <c r="G260" s="35"/>
      <c r="H260" s="7" t="s">
        <v>1030</v>
      </c>
      <c r="I260" s="7" t="s">
        <v>1031</v>
      </c>
      <c r="J260" s="112" t="str">
        <f ca="1">IFERROR(__xludf.DUMMYFUNCTION("JOIN("": "",H260,I260)"),"3E-20-04-08-00-00-00: Claraboia")</f>
        <v>3E-20-04-08-00-00-00: Claraboia</v>
      </c>
      <c r="K260" s="4">
        <v>4</v>
      </c>
      <c r="L260" s="7"/>
      <c r="M260" s="7"/>
      <c r="N260" s="7"/>
      <c r="O260" s="7"/>
      <c r="P260" s="177"/>
      <c r="Q260" s="177"/>
      <c r="R260" s="177"/>
      <c r="S260" s="177"/>
    </row>
    <row r="261" spans="1:31">
      <c r="A261" s="35" t="s">
        <v>1033</v>
      </c>
      <c r="B261" s="35"/>
      <c r="C261" s="35"/>
      <c r="D261" s="35"/>
      <c r="E261" s="35"/>
      <c r="F261" s="35"/>
      <c r="G261" s="35"/>
      <c r="H261" s="7" t="s">
        <v>1034</v>
      </c>
      <c r="I261" s="7" t="s">
        <v>1035</v>
      </c>
      <c r="J261" s="112" t="str">
        <f ca="1">IFERROR(__xludf.DUMMYFUNCTION("JOIN("": "",H261,I261)"),"3E-20-04-10-00-00-00: Átrio para iluminação e ventilação")</f>
        <v>3E-20-04-10-00-00-00: Átrio para iluminação e ventilação</v>
      </c>
      <c r="K261" s="4">
        <v>4</v>
      </c>
      <c r="L261" s="7"/>
      <c r="M261" s="7"/>
      <c r="N261" s="7"/>
      <c r="O261" s="7"/>
      <c r="P261" s="177"/>
      <c r="Q261" s="177"/>
      <c r="R261" s="177"/>
      <c r="S261" s="177"/>
    </row>
    <row r="262" spans="1:31">
      <c r="A262" s="35" t="s">
        <v>1037</v>
      </c>
      <c r="B262" s="35"/>
      <c r="C262" s="35"/>
      <c r="D262" s="35"/>
      <c r="E262" s="35"/>
      <c r="F262" s="35"/>
      <c r="G262" s="35"/>
      <c r="H262" s="7" t="s">
        <v>1038</v>
      </c>
      <c r="I262" s="7" t="s">
        <v>1039</v>
      </c>
      <c r="J262" s="112" t="str">
        <f ca="1">IFERROR(__xludf.DUMMYFUNCTION("JOIN("": "",H262,I262)"),"3E-20-04-12-00-00-00: Lantemim")</f>
        <v>3E-20-04-12-00-00-00: Lantemim</v>
      </c>
      <c r="K262" s="4">
        <v>4</v>
      </c>
      <c r="L262" s="7"/>
      <c r="M262" s="7"/>
      <c r="N262" s="7"/>
      <c r="O262" s="7"/>
      <c r="P262" s="177"/>
      <c r="Q262" s="177"/>
      <c r="R262" s="177"/>
      <c r="S262" s="177"/>
    </row>
    <row r="263" spans="1:31">
      <c r="A263" s="35" t="s">
        <v>1041</v>
      </c>
      <c r="B263" s="35"/>
      <c r="C263" s="35"/>
      <c r="D263" s="35"/>
      <c r="E263" s="35"/>
      <c r="F263" s="35"/>
      <c r="G263" s="35"/>
      <c r="H263" s="7" t="s">
        <v>1042</v>
      </c>
      <c r="I263" s="7" t="s">
        <v>1043</v>
      </c>
      <c r="J263" s="112" t="str">
        <f ca="1">IFERROR(__xludf.DUMMYFUNCTION("JOIN("": "",H263,I263)"),"3E-20-04-14-00-00-00: Shed")</f>
        <v>3E-20-04-14-00-00-00: Shed</v>
      </c>
      <c r="K263" s="4">
        <v>4</v>
      </c>
      <c r="L263" s="7"/>
      <c r="M263" s="7"/>
      <c r="N263" s="7"/>
      <c r="O263" s="7"/>
      <c r="P263" s="177"/>
      <c r="Q263" s="177"/>
      <c r="R263" s="177"/>
      <c r="S263" s="177"/>
    </row>
    <row r="264" spans="1:31">
      <c r="A264" s="111" t="s">
        <v>1045</v>
      </c>
      <c r="B264" s="111"/>
      <c r="C264" s="111"/>
      <c r="D264" s="111"/>
      <c r="E264" s="111"/>
      <c r="F264" s="111"/>
      <c r="G264" s="111"/>
      <c r="H264" s="3" t="s">
        <v>1046</v>
      </c>
      <c r="I264" s="3" t="s">
        <v>1047</v>
      </c>
      <c r="J264" s="112" t="str">
        <f ca="1">IFERROR(__xludf.DUMMYFUNCTION("JOIN("": "",H264,I264)"),"3E-22-00-00-00-00-00: Elementos acústicos")</f>
        <v>3E-22-00-00-00-00-00: Elementos acústicos</v>
      </c>
      <c r="K264" s="4">
        <v>2</v>
      </c>
      <c r="L264" s="7"/>
      <c r="M264" s="7"/>
      <c r="N264" s="7"/>
      <c r="O264" s="7"/>
      <c r="P264" s="177"/>
      <c r="Q264" s="177"/>
      <c r="R264" s="177"/>
      <c r="S264" s="177"/>
      <c r="AD264" s="7"/>
      <c r="AE264" s="35"/>
    </row>
    <row r="265" spans="1:31">
      <c r="A265" s="111" t="s">
        <v>1049</v>
      </c>
      <c r="B265" s="111"/>
      <c r="C265" s="111"/>
      <c r="D265" s="111"/>
      <c r="E265" s="111"/>
      <c r="F265" s="111"/>
      <c r="G265" s="111"/>
      <c r="H265" s="3" t="s">
        <v>1050</v>
      </c>
      <c r="I265" s="3" t="s">
        <v>1051</v>
      </c>
      <c r="J265" s="112" t="str">
        <f ca="1">IFERROR(__xludf.DUMMYFUNCTION("JOIN("": "",H265,I265)"),"3E-22-02-00-00-00-00: Elementos absorvedores")</f>
        <v>3E-22-02-00-00-00-00: Elementos absorvedores</v>
      </c>
      <c r="K265" s="4">
        <v>3</v>
      </c>
      <c r="L265" s="7"/>
      <c r="M265" s="7"/>
      <c r="N265" s="7"/>
      <c r="O265" s="7"/>
      <c r="P265" s="177"/>
      <c r="Q265" s="177"/>
      <c r="R265" s="177"/>
      <c r="S265" s="177"/>
    </row>
    <row r="266" spans="1:31">
      <c r="A266" s="111" t="s">
        <v>1053</v>
      </c>
      <c r="B266" s="111"/>
      <c r="C266" s="111"/>
      <c r="D266" s="111"/>
      <c r="E266" s="111"/>
      <c r="F266" s="111"/>
      <c r="G266" s="111"/>
      <c r="H266" s="3" t="s">
        <v>1054</v>
      </c>
      <c r="I266" s="3" t="s">
        <v>1055</v>
      </c>
      <c r="J266" s="112" t="str">
        <f ca="1">IFERROR(__xludf.DUMMYFUNCTION("JOIN("": "",H266,I266)"),"3E-22-04-00-00-00-00: Elementos de barreira")</f>
        <v>3E-22-04-00-00-00-00: Elementos de barreira</v>
      </c>
      <c r="K266" s="4">
        <v>3</v>
      </c>
      <c r="L266" s="7"/>
      <c r="M266" s="7"/>
      <c r="N266" s="7"/>
      <c r="O266" s="7"/>
      <c r="P266" s="177"/>
      <c r="Q266" s="177"/>
      <c r="R266" s="177"/>
      <c r="S266" s="177"/>
    </row>
    <row r="267" spans="1:31">
      <c r="A267" s="111" t="s">
        <v>1057</v>
      </c>
      <c r="B267" s="111"/>
      <c r="C267" s="111"/>
      <c r="D267" s="111"/>
      <c r="E267" s="111"/>
      <c r="F267" s="111"/>
      <c r="G267" s="111"/>
      <c r="H267" s="3" t="s">
        <v>1058</v>
      </c>
      <c r="I267" s="3" t="s">
        <v>1059</v>
      </c>
      <c r="J267" s="112" t="str">
        <f ca="1">IFERROR(__xludf.DUMMYFUNCTION("JOIN("": "",H267,I267)"),"3E-22-06-00-00-00-00: Elementos atenuadores")</f>
        <v>3E-22-06-00-00-00-00: Elementos atenuadores</v>
      </c>
      <c r="K267" s="4">
        <v>3</v>
      </c>
      <c r="L267" s="7"/>
      <c r="M267" s="7"/>
      <c r="N267" s="7"/>
      <c r="O267" s="7"/>
      <c r="P267" s="177"/>
      <c r="Q267" s="177"/>
      <c r="R267" s="177"/>
      <c r="S267" s="177"/>
    </row>
    <row r="268" spans="1:31">
      <c r="A268" s="111" t="s">
        <v>1061</v>
      </c>
      <c r="B268" s="111"/>
      <c r="C268" s="111"/>
      <c r="D268" s="111"/>
      <c r="E268" s="111"/>
      <c r="F268" s="111"/>
      <c r="G268" s="111"/>
      <c r="H268" s="3" t="s">
        <v>1062</v>
      </c>
      <c r="I268" s="3" t="s">
        <v>1063</v>
      </c>
      <c r="J268" s="112" t="str">
        <f ca="1">IFERROR(__xludf.DUMMYFUNCTION("JOIN("": "",H268,I268)"),"3E-22-08-00-00-00-00: Elementos de enclausuramento")</f>
        <v>3E-22-08-00-00-00-00: Elementos de enclausuramento</v>
      </c>
      <c r="K268" s="4">
        <v>3</v>
      </c>
      <c r="L268" s="7"/>
      <c r="M268" s="7"/>
      <c r="N268" s="7"/>
      <c r="O268" s="7"/>
      <c r="P268" s="177"/>
      <c r="Q268" s="177"/>
      <c r="R268" s="177"/>
      <c r="S268" s="177"/>
    </row>
    <row r="269" spans="1:31">
      <c r="A269" s="111" t="s">
        <v>1065</v>
      </c>
      <c r="B269" s="111"/>
      <c r="C269" s="111"/>
      <c r="D269" s="111"/>
      <c r="E269" s="111"/>
      <c r="F269" s="111"/>
      <c r="G269" s="111"/>
      <c r="H269" s="3" t="s">
        <v>1066</v>
      </c>
      <c r="I269" s="3" t="s">
        <v>1067</v>
      </c>
      <c r="J269" s="112" t="str">
        <f ca="1">IFERROR(__xludf.DUMMYFUNCTION("JOIN("": "",H269,I269)"),"3E-24-00-00-00-00-00: Elementos de redes de transmissão de eletricidade")</f>
        <v>3E-24-00-00-00-00-00: Elementos de redes de transmissão de eletricidade</v>
      </c>
      <c r="K269" s="4">
        <v>2</v>
      </c>
      <c r="L269" s="7"/>
      <c r="M269" s="7"/>
      <c r="N269" s="7"/>
      <c r="O269" s="7"/>
      <c r="P269" s="177"/>
      <c r="Q269" s="177"/>
      <c r="R269" s="177"/>
      <c r="S269" s="177"/>
      <c r="AD269" s="7"/>
      <c r="AE269" s="35"/>
    </row>
    <row r="270" spans="1:31">
      <c r="A270" s="111" t="s">
        <v>1069</v>
      </c>
      <c r="B270" s="111"/>
      <c r="C270" s="111"/>
      <c r="D270" s="111"/>
      <c r="E270" s="111"/>
      <c r="F270" s="111"/>
      <c r="G270" s="111"/>
      <c r="H270" s="3" t="s">
        <v>1070</v>
      </c>
      <c r="I270" s="3" t="s">
        <v>1071</v>
      </c>
      <c r="J270" s="112" t="str">
        <f ca="1">IFERROR(__xludf.DUMMYFUNCTION("JOIN("": "",H270,I270)"),"3E-24-02-00-00-00-00: Linhas de transmissão")</f>
        <v>3E-24-02-00-00-00-00: Linhas de transmissão</v>
      </c>
      <c r="K270" s="4">
        <v>3</v>
      </c>
      <c r="L270" s="7"/>
      <c r="M270" s="7"/>
      <c r="N270" s="7"/>
      <c r="O270" s="7"/>
      <c r="P270" s="177"/>
      <c r="Q270" s="177"/>
      <c r="R270" s="177"/>
      <c r="S270" s="177"/>
    </row>
    <row r="271" spans="1:31">
      <c r="A271" s="111" t="s">
        <v>1073</v>
      </c>
      <c r="B271" s="111"/>
      <c r="C271" s="111"/>
      <c r="D271" s="111"/>
      <c r="E271" s="111"/>
      <c r="F271" s="111"/>
      <c r="G271" s="111"/>
      <c r="H271" s="3" t="s">
        <v>1074</v>
      </c>
      <c r="I271" s="3" t="s">
        <v>1075</v>
      </c>
      <c r="J271" s="112" t="str">
        <f ca="1">IFERROR(__xludf.DUMMYFUNCTION("JOIN("": "",H271,I271)"),"3E-24-04-00-00-00-00: Rede de distribuição")</f>
        <v>3E-24-04-00-00-00-00: Rede de distribuição</v>
      </c>
      <c r="K271" s="4">
        <v>3</v>
      </c>
      <c r="L271" s="7"/>
      <c r="M271" s="7"/>
      <c r="N271" s="7"/>
      <c r="O271" s="7"/>
      <c r="P271" s="177"/>
      <c r="Q271" s="177"/>
      <c r="R271" s="177"/>
      <c r="S271" s="177"/>
    </row>
    <row r="272" spans="1:31">
      <c r="A272" s="111" t="s">
        <v>1077</v>
      </c>
      <c r="B272" s="111"/>
      <c r="C272" s="111"/>
      <c r="D272" s="111"/>
      <c r="E272" s="111"/>
      <c r="F272" s="111"/>
      <c r="G272" s="111"/>
      <c r="H272" s="3" t="s">
        <v>1078</v>
      </c>
      <c r="I272" s="3" t="s">
        <v>1079</v>
      </c>
      <c r="J272" s="112" t="str">
        <f ca="1">IFERROR(__xludf.DUMMYFUNCTION("JOIN("": "",H272,I272)"),"3E-24-06-00-00-00-00: Subestação de distribuição")</f>
        <v>3E-24-06-00-00-00-00: Subestação de distribuição</v>
      </c>
      <c r="K272" s="4">
        <v>3</v>
      </c>
      <c r="L272" s="7"/>
      <c r="M272" s="7"/>
      <c r="N272" s="7"/>
      <c r="O272" s="7"/>
      <c r="P272" s="177"/>
      <c r="Q272" s="177"/>
      <c r="R272" s="177"/>
      <c r="S272" s="177"/>
    </row>
    <row r="273" spans="1:31">
      <c r="A273" s="111" t="s">
        <v>1081</v>
      </c>
      <c r="B273" s="111"/>
      <c r="C273" s="111"/>
      <c r="D273" s="111"/>
      <c r="E273" s="111"/>
      <c r="F273" s="111"/>
      <c r="G273" s="111"/>
      <c r="H273" s="3" t="s">
        <v>1082</v>
      </c>
      <c r="I273" s="3" t="s">
        <v>1083</v>
      </c>
      <c r="J273" s="112" t="str">
        <f ca="1">IFERROR(__xludf.DUMMYFUNCTION("JOIN("": "",H273,I273)"),"3E-24-08-00-00-00-00: Transformador de distribuição")</f>
        <v>3E-24-08-00-00-00-00: Transformador de distribuição</v>
      </c>
      <c r="K273" s="4">
        <v>3</v>
      </c>
      <c r="L273" s="7"/>
      <c r="M273" s="7"/>
      <c r="N273" s="7"/>
      <c r="O273" s="7"/>
      <c r="P273" s="177"/>
      <c r="Q273" s="177"/>
      <c r="R273" s="177"/>
      <c r="S273" s="177"/>
    </row>
    <row r="274" spans="1:31">
      <c r="A274" s="111" t="s">
        <v>1085</v>
      </c>
      <c r="B274" s="111"/>
      <c r="C274" s="111"/>
      <c r="D274" s="111"/>
      <c r="E274" s="111"/>
      <c r="F274" s="111"/>
      <c r="G274" s="111"/>
      <c r="H274" s="3" t="s">
        <v>1086</v>
      </c>
      <c r="I274" s="3" t="s">
        <v>1087</v>
      </c>
      <c r="J274" s="112" t="str">
        <f ca="1">IFERROR(__xludf.DUMMYFUNCTION("JOIN("": "",H274,I274)"),"3E-26-00-00-00-00-00: Elementos de instalações prediais de eletricidade")</f>
        <v>3E-26-00-00-00-00-00: Elementos de instalações prediais de eletricidade</v>
      </c>
      <c r="K274" s="4">
        <v>2</v>
      </c>
      <c r="L274" s="7"/>
      <c r="M274" s="7">
        <v>8</v>
      </c>
      <c r="N274" s="7"/>
      <c r="O274" s="7"/>
      <c r="P274" s="177"/>
      <c r="Q274" s="177"/>
      <c r="R274" s="177"/>
      <c r="S274" s="177"/>
      <c r="AD274" s="7"/>
      <c r="AE274" s="35"/>
    </row>
    <row r="275" spans="1:31">
      <c r="A275" s="111" t="s">
        <v>1089</v>
      </c>
      <c r="B275" s="111"/>
      <c r="C275" s="111"/>
      <c r="D275" s="111"/>
      <c r="E275" s="111"/>
      <c r="F275" s="111"/>
      <c r="G275" s="111"/>
      <c r="H275" s="3" t="s">
        <v>1090</v>
      </c>
      <c r="I275" s="3" t="s">
        <v>1091</v>
      </c>
      <c r="J275" s="112" t="str">
        <f ca="1">IFERROR(__xludf.DUMMYFUNCTION("JOIN("": "",H275,I275)"),"3E-26-02-00-00-00-00: Ramais de fornecimento de corrente")</f>
        <v>3E-26-02-00-00-00-00: Ramais de fornecimento de corrente</v>
      </c>
      <c r="K275" s="4">
        <v>3</v>
      </c>
      <c r="L275" s="7"/>
      <c r="M275" s="7">
        <v>8</v>
      </c>
      <c r="N275" s="7"/>
      <c r="O275" s="7"/>
      <c r="P275" s="177"/>
      <c r="Q275" s="177"/>
      <c r="R275" s="177"/>
      <c r="S275" s="177"/>
    </row>
    <row r="276" spans="1:31">
      <c r="A276" s="35" t="s">
        <v>1093</v>
      </c>
      <c r="B276" s="35"/>
      <c r="C276" s="35"/>
      <c r="D276" s="35"/>
      <c r="E276" s="35"/>
      <c r="F276" s="35"/>
      <c r="G276" s="35"/>
      <c r="H276" s="7" t="s">
        <v>1094</v>
      </c>
      <c r="I276" s="7" t="s">
        <v>1095</v>
      </c>
      <c r="J276" s="112" t="str">
        <f ca="1">IFERROR(__xludf.DUMMYFUNCTION("JOIN("": "",H276,I276)"),"3E-26-02-02-00-00-00: Ramal de ligação")</f>
        <v>3E-26-02-02-00-00-00: Ramal de ligação</v>
      </c>
      <c r="K276" s="4">
        <v>4</v>
      </c>
      <c r="L276" s="7"/>
      <c r="M276" s="7">
        <v>8</v>
      </c>
      <c r="N276" s="7"/>
      <c r="O276" s="7"/>
      <c r="P276" s="177"/>
      <c r="Q276" s="177"/>
      <c r="R276" s="177"/>
      <c r="S276" s="177"/>
    </row>
    <row r="277" spans="1:31">
      <c r="A277" s="35" t="s">
        <v>1097</v>
      </c>
      <c r="B277" s="35"/>
      <c r="C277" s="35"/>
      <c r="D277" s="35"/>
      <c r="E277" s="35"/>
      <c r="F277" s="35"/>
      <c r="G277" s="35"/>
      <c r="H277" s="7" t="s">
        <v>1098</v>
      </c>
      <c r="I277" s="7" t="s">
        <v>1099</v>
      </c>
      <c r="J277" s="112" t="str">
        <f ca="1">IFERROR(__xludf.DUMMYFUNCTION("JOIN("": "",H277,I277)"),"3E-26-02-04-00-00-00: Ramal de entrada")</f>
        <v>3E-26-02-04-00-00-00: Ramal de entrada</v>
      </c>
      <c r="K277" s="4">
        <v>4</v>
      </c>
      <c r="L277" s="7"/>
      <c r="M277" s="7">
        <v>8</v>
      </c>
      <c r="N277" s="7"/>
      <c r="O277" s="7"/>
      <c r="P277" s="177"/>
      <c r="Q277" s="177"/>
      <c r="R277" s="177"/>
      <c r="S277" s="177"/>
    </row>
    <row r="278" spans="1:31">
      <c r="A278" s="35" t="s">
        <v>1101</v>
      </c>
      <c r="B278" s="35"/>
      <c r="C278" s="35"/>
      <c r="D278" s="35"/>
      <c r="E278" s="35"/>
      <c r="F278" s="35"/>
      <c r="G278" s="35"/>
      <c r="H278" s="7" t="s">
        <v>1102</v>
      </c>
      <c r="I278" s="7" t="s">
        <v>1103</v>
      </c>
      <c r="J278" s="112" t="str">
        <f ca="1">IFERROR(__xludf.DUMMYFUNCTION("JOIN("": "",H278,I278)"),"3E-26-02-06-00-00-00: Ramal alimentador")</f>
        <v>3E-26-02-06-00-00-00: Ramal alimentador</v>
      </c>
      <c r="K278" s="4">
        <v>4</v>
      </c>
      <c r="L278" s="7"/>
      <c r="M278" s="7">
        <v>8</v>
      </c>
      <c r="N278" s="7"/>
      <c r="O278" s="7"/>
      <c r="P278" s="177"/>
      <c r="Q278" s="177"/>
      <c r="R278" s="177"/>
      <c r="S278" s="177"/>
    </row>
    <row r="279" spans="1:31">
      <c r="A279" s="111" t="s">
        <v>1105</v>
      </c>
      <c r="B279" s="111"/>
      <c r="C279" s="111"/>
      <c r="D279" s="111"/>
      <c r="E279" s="111"/>
      <c r="F279" s="111"/>
      <c r="G279" s="111"/>
      <c r="H279" s="3" t="s">
        <v>1106</v>
      </c>
      <c r="I279" s="3" t="s">
        <v>1107</v>
      </c>
      <c r="J279" s="112" t="str">
        <f ca="1">IFERROR(__xludf.DUMMYFUNCTION("JOIN("": "",H279,I279)"),"3E-26-04-00-00-00-00: Elementos para a interrupção de corrente")</f>
        <v>3E-26-04-00-00-00-00: Elementos para a interrupção de corrente</v>
      </c>
      <c r="K279" s="4">
        <v>3</v>
      </c>
      <c r="L279" s="7"/>
      <c r="M279" s="7">
        <v>8</v>
      </c>
      <c r="N279" s="7"/>
      <c r="O279" s="7"/>
      <c r="P279" s="177"/>
      <c r="Q279" s="177"/>
      <c r="R279" s="177"/>
      <c r="S279" s="177"/>
    </row>
    <row r="280" spans="1:31">
      <c r="A280" s="35" t="s">
        <v>1109</v>
      </c>
      <c r="B280" s="35"/>
      <c r="C280" s="35"/>
      <c r="D280" s="35"/>
      <c r="E280" s="35"/>
      <c r="F280" s="35"/>
      <c r="G280" s="35"/>
      <c r="H280" s="7" t="s">
        <v>1110</v>
      </c>
      <c r="I280" s="7" t="s">
        <v>1111</v>
      </c>
      <c r="J280" s="112" t="str">
        <f ca="1">IFERROR(__xludf.DUMMYFUNCTION("JOIN("": "",H280,I280)"),"3E-26-04-02-00-00-00: Fusíveis")</f>
        <v>3E-26-04-02-00-00-00: Fusíveis</v>
      </c>
      <c r="K280" s="4">
        <v>4</v>
      </c>
      <c r="L280" s="7"/>
      <c r="M280" s="7">
        <v>8</v>
      </c>
      <c r="N280" s="7"/>
      <c r="O280" s="7"/>
      <c r="P280" s="177"/>
      <c r="Q280" s="177"/>
      <c r="R280" s="177"/>
      <c r="S280" s="177"/>
    </row>
    <row r="281" spans="1:31">
      <c r="A281" s="35" t="s">
        <v>1113</v>
      </c>
      <c r="B281" s="35"/>
      <c r="C281" s="35"/>
      <c r="D281" s="35"/>
      <c r="E281" s="35"/>
      <c r="F281" s="35"/>
      <c r="G281" s="35"/>
      <c r="H281" s="7" t="s">
        <v>1114</v>
      </c>
      <c r="I281" s="7" t="s">
        <v>1115</v>
      </c>
      <c r="J281" s="112" t="str">
        <f ca="1">IFERROR(__xludf.DUMMYFUNCTION("JOIN("": "",H281,I281)"),"3E-26-04-02-02-00-00: Fusível para proteção de uso geral")</f>
        <v>3E-26-04-02-02-00-00: Fusível para proteção de uso geral</v>
      </c>
      <c r="K281" s="4">
        <v>5</v>
      </c>
      <c r="L281" s="7"/>
      <c r="M281" s="7">
        <v>8</v>
      </c>
      <c r="N281" s="7"/>
      <c r="O281" s="7"/>
      <c r="P281" s="177"/>
      <c r="Q281" s="177"/>
      <c r="R281" s="177"/>
      <c r="S281" s="177"/>
    </row>
    <row r="282" spans="1:31">
      <c r="A282" s="35" t="s">
        <v>1117</v>
      </c>
      <c r="B282" s="35"/>
      <c r="C282" s="35"/>
      <c r="D282" s="35"/>
      <c r="E282" s="35"/>
      <c r="F282" s="35"/>
      <c r="G282" s="35"/>
      <c r="H282" s="7" t="s">
        <v>1118</v>
      </c>
      <c r="I282" s="7" t="s">
        <v>1119</v>
      </c>
      <c r="J282" s="112" t="str">
        <f ca="1">IFERROR(__xludf.DUMMYFUNCTION("JOIN("": "",H282,I282)"),"3E-26-04-02-04-00-00: Fusível de circuitos motores")</f>
        <v>3E-26-04-02-04-00-00: Fusível de circuitos motores</v>
      </c>
      <c r="K282" s="4">
        <v>5</v>
      </c>
      <c r="L282" s="7"/>
      <c r="M282" s="7">
        <v>8</v>
      </c>
      <c r="N282" s="7"/>
      <c r="O282" s="7"/>
      <c r="P282" s="177"/>
      <c r="Q282" s="177"/>
      <c r="R282" s="177"/>
      <c r="S282" s="177"/>
    </row>
    <row r="283" spans="1:31">
      <c r="A283" s="35" t="s">
        <v>1121</v>
      </c>
      <c r="B283" s="35"/>
      <c r="C283" s="35"/>
      <c r="D283" s="35"/>
      <c r="E283" s="35"/>
      <c r="F283" s="35"/>
      <c r="G283" s="35"/>
      <c r="H283" s="7" t="s">
        <v>1122</v>
      </c>
      <c r="I283" s="7" t="s">
        <v>1123</v>
      </c>
      <c r="J283" s="112" t="str">
        <f ca="1">IFERROR(__xludf.DUMMYFUNCTION("JOIN("": "",H283,I283)"),"3E-26-04-02-06-00-00: Fusível para proteção de semicondutores")</f>
        <v>3E-26-04-02-06-00-00: Fusível para proteção de semicondutores</v>
      </c>
      <c r="K283" s="4">
        <v>5</v>
      </c>
      <c r="L283" s="7"/>
      <c r="M283" s="7">
        <v>8</v>
      </c>
      <c r="N283" s="7"/>
      <c r="O283" s="7"/>
      <c r="P283" s="177"/>
      <c r="Q283" s="177"/>
      <c r="R283" s="177"/>
      <c r="S283" s="177"/>
    </row>
    <row r="284" spans="1:31">
      <c r="A284" s="35" t="s">
        <v>1125</v>
      </c>
      <c r="B284" s="35"/>
      <c r="C284" s="35"/>
      <c r="D284" s="35"/>
      <c r="E284" s="35"/>
      <c r="F284" s="35"/>
      <c r="G284" s="35"/>
      <c r="H284" s="7" t="s">
        <v>1126</v>
      </c>
      <c r="I284" s="7" t="s">
        <v>1127</v>
      </c>
      <c r="J284" s="112" t="str">
        <f ca="1">IFERROR(__xludf.DUMMYFUNCTION("JOIN("": "",H284,I284)"),"3E-26-04-04-00-00-00: Disjuntores")</f>
        <v>3E-26-04-04-00-00-00: Disjuntores</v>
      </c>
      <c r="K284" s="4">
        <v>4</v>
      </c>
      <c r="L284" s="7"/>
      <c r="M284" s="7">
        <v>8</v>
      </c>
      <c r="N284" s="7"/>
      <c r="O284" s="7"/>
      <c r="P284" s="177"/>
      <c r="Q284" s="177"/>
      <c r="R284" s="177"/>
      <c r="S284" s="177"/>
    </row>
    <row r="285" spans="1:31">
      <c r="A285" s="35" t="s">
        <v>1129</v>
      </c>
      <c r="B285" s="35"/>
      <c r="C285" s="35"/>
      <c r="D285" s="35"/>
      <c r="E285" s="35"/>
      <c r="F285" s="35"/>
      <c r="G285" s="35"/>
      <c r="H285" s="7" t="s">
        <v>1130</v>
      </c>
      <c r="I285" s="7" t="s">
        <v>1131</v>
      </c>
      <c r="J285" s="112" t="str">
        <f ca="1">IFERROR(__xludf.DUMMYFUNCTION("JOIN("": "",H285,I285)"),"3E-26-04-06-00-00-00: Dispositivo diferencial-residual (DR)")</f>
        <v>3E-26-04-06-00-00-00: Dispositivo diferencial-residual (DR)</v>
      </c>
      <c r="K285" s="4">
        <v>4</v>
      </c>
      <c r="L285" s="7"/>
      <c r="M285" s="7">
        <v>8</v>
      </c>
      <c r="N285" s="7"/>
      <c r="O285" s="7"/>
      <c r="P285" s="177"/>
      <c r="Q285" s="177"/>
      <c r="R285" s="177"/>
      <c r="S285" s="177"/>
    </row>
    <row r="286" spans="1:31">
      <c r="A286" s="111" t="s">
        <v>1133</v>
      </c>
      <c r="B286" s="111"/>
      <c r="C286" s="111"/>
      <c r="D286" s="111"/>
      <c r="E286" s="111"/>
      <c r="F286" s="111"/>
      <c r="G286" s="111"/>
      <c r="H286" s="3" t="s">
        <v>1134</v>
      </c>
      <c r="I286" s="3" t="s">
        <v>1135</v>
      </c>
      <c r="J286" s="112" t="str">
        <f ca="1">IFERROR(__xludf.DUMMYFUNCTION("JOIN("": "",H286,I286)"),"3E-26-06-00-00-00-00: Elementos para o isolamento de corrente")</f>
        <v>3E-26-06-00-00-00-00: Elementos para o isolamento de corrente</v>
      </c>
      <c r="K286" s="4">
        <v>3</v>
      </c>
      <c r="L286" s="7"/>
      <c r="M286" s="7">
        <v>8</v>
      </c>
      <c r="N286" s="7"/>
      <c r="O286" s="7"/>
      <c r="P286" s="177"/>
      <c r="Q286" s="177"/>
      <c r="R286" s="177"/>
      <c r="S286" s="177"/>
    </row>
    <row r="287" spans="1:31">
      <c r="A287" s="35" t="s">
        <v>1137</v>
      </c>
      <c r="B287" s="35"/>
      <c r="C287" s="35"/>
      <c r="D287" s="35"/>
      <c r="E287" s="35"/>
      <c r="F287" s="35"/>
      <c r="G287" s="35"/>
      <c r="H287" s="7" t="s">
        <v>1138</v>
      </c>
      <c r="I287" s="7" t="s">
        <v>1139</v>
      </c>
      <c r="J287" s="112" t="str">
        <f ca="1">IFERROR(__xludf.DUMMYFUNCTION("JOIN("": "",H287,I287)"),"3E-26-06-02-00-00-00: Seccionador")</f>
        <v>3E-26-06-02-00-00-00: Seccionador</v>
      </c>
      <c r="K287" s="4">
        <v>4</v>
      </c>
      <c r="L287" s="7"/>
      <c r="M287" s="7">
        <v>8</v>
      </c>
      <c r="N287" s="7"/>
      <c r="O287" s="7"/>
      <c r="P287" s="177"/>
      <c r="Q287" s="177"/>
      <c r="R287" s="177"/>
      <c r="S287" s="177"/>
    </row>
    <row r="288" spans="1:31">
      <c r="A288" s="35" t="s">
        <v>1141</v>
      </c>
      <c r="B288" s="35"/>
      <c r="C288" s="35"/>
      <c r="D288" s="35"/>
      <c r="E288" s="35"/>
      <c r="F288" s="35"/>
      <c r="G288" s="35"/>
      <c r="H288" s="7" t="s">
        <v>1142</v>
      </c>
      <c r="I288" s="7" t="s">
        <v>1143</v>
      </c>
      <c r="J288" s="112" t="str">
        <f ca="1">IFERROR(__xludf.DUMMYFUNCTION("JOIN("": "",H288,I288)"),"3E-26-06-04-00-00-00: Isolador")</f>
        <v>3E-26-06-04-00-00-00: Isolador</v>
      </c>
      <c r="K288" s="4">
        <v>4</v>
      </c>
      <c r="L288" s="7"/>
      <c r="M288" s="7">
        <v>8</v>
      </c>
      <c r="N288" s="7"/>
      <c r="O288" s="7"/>
      <c r="P288" s="177"/>
      <c r="Q288" s="177"/>
      <c r="R288" s="177"/>
      <c r="S288" s="177"/>
    </row>
    <row r="289" spans="1:19">
      <c r="A289" s="35" t="s">
        <v>1145</v>
      </c>
      <c r="B289" s="35"/>
      <c r="C289" s="35"/>
      <c r="D289" s="35"/>
      <c r="E289" s="35"/>
      <c r="F289" s="35"/>
      <c r="G289" s="35"/>
      <c r="H289" s="7" t="s">
        <v>1146</v>
      </c>
      <c r="I289" s="7" t="s">
        <v>1147</v>
      </c>
      <c r="J289" s="112" t="str">
        <f ca="1">IFERROR(__xludf.DUMMYFUNCTION("JOIN("": "",H289,I289)"),"3E-26-06-06-00-00-00: Resistor de aterramento")</f>
        <v>3E-26-06-06-00-00-00: Resistor de aterramento</v>
      </c>
      <c r="K289" s="4">
        <v>4</v>
      </c>
      <c r="L289" s="7"/>
      <c r="M289" s="7">
        <v>8</v>
      </c>
      <c r="N289" s="7"/>
      <c r="O289" s="7"/>
      <c r="P289" s="177"/>
      <c r="Q289" s="177"/>
      <c r="R289" s="177"/>
      <c r="S289" s="177"/>
    </row>
    <row r="290" spans="1:19">
      <c r="A290" s="35" t="s">
        <v>1149</v>
      </c>
      <c r="B290" s="35"/>
      <c r="C290" s="35"/>
      <c r="D290" s="35"/>
      <c r="E290" s="35"/>
      <c r="F290" s="35"/>
      <c r="G290" s="35"/>
      <c r="H290" s="7" t="s">
        <v>1150</v>
      </c>
      <c r="I290" s="7" t="s">
        <v>1151</v>
      </c>
      <c r="J290" s="112" t="str">
        <f ca="1">IFERROR(__xludf.DUMMYFUNCTION("JOIN("": "",H290,I290)"),"3E-26-06-08-00-00-00: Disparador diferencial")</f>
        <v>3E-26-06-08-00-00-00: Disparador diferencial</v>
      </c>
      <c r="K290" s="4">
        <v>4</v>
      </c>
      <c r="L290" s="7"/>
      <c r="M290" s="7">
        <v>8</v>
      </c>
      <c r="N290" s="7"/>
      <c r="O290" s="7"/>
      <c r="P290" s="177"/>
      <c r="Q290" s="177"/>
      <c r="R290" s="177"/>
      <c r="S290" s="177"/>
    </row>
    <row r="291" spans="1:19">
      <c r="A291" s="35" t="s">
        <v>1153</v>
      </c>
      <c r="B291" s="35"/>
      <c r="C291" s="35"/>
      <c r="D291" s="35"/>
      <c r="E291" s="35"/>
      <c r="F291" s="35"/>
      <c r="G291" s="35"/>
      <c r="H291" s="7" t="s">
        <v>1154</v>
      </c>
      <c r="I291" s="7" t="s">
        <v>1155</v>
      </c>
      <c r="J291" s="112" t="str">
        <f ca="1">IFERROR(__xludf.DUMMYFUNCTION("JOIN("": "",H291,I291)"),"3E-26-06-10-00-00-00: Limitador de sobretensões")</f>
        <v>3E-26-06-10-00-00-00: Limitador de sobretensões</v>
      </c>
      <c r="K291" s="4">
        <v>4</v>
      </c>
      <c r="L291" s="7"/>
      <c r="M291" s="7">
        <v>8</v>
      </c>
      <c r="N291" s="7"/>
      <c r="O291" s="7"/>
      <c r="P291" s="177"/>
      <c r="Q291" s="177"/>
      <c r="R291" s="177"/>
      <c r="S291" s="177"/>
    </row>
    <row r="292" spans="1:19">
      <c r="A292" s="111" t="s">
        <v>1157</v>
      </c>
      <c r="B292" s="111"/>
      <c r="C292" s="111"/>
      <c r="D292" s="111"/>
      <c r="E292" s="111"/>
      <c r="F292" s="111"/>
      <c r="G292" s="111"/>
      <c r="H292" s="3" t="s">
        <v>1158</v>
      </c>
      <c r="I292" s="3" t="s">
        <v>1159</v>
      </c>
      <c r="J292" s="112" t="str">
        <f ca="1">IFERROR(__xludf.DUMMYFUNCTION("JOIN("": "",H292,I292)"),"3E-26-08-00-00-00-00: Elementos para a estabilização de corrente")</f>
        <v>3E-26-08-00-00-00-00: Elementos para a estabilização de corrente</v>
      </c>
      <c r="K292" s="4">
        <v>3</v>
      </c>
      <c r="L292" s="7"/>
      <c r="M292" s="7">
        <v>8</v>
      </c>
      <c r="N292" s="7"/>
      <c r="O292" s="7"/>
      <c r="P292" s="177"/>
      <c r="Q292" s="177"/>
      <c r="R292" s="177"/>
      <c r="S292" s="177"/>
    </row>
    <row r="293" spans="1:19">
      <c r="A293" s="35" t="s">
        <v>1161</v>
      </c>
      <c r="B293" s="35"/>
      <c r="C293" s="35"/>
      <c r="D293" s="35"/>
      <c r="E293" s="35"/>
      <c r="F293" s="35"/>
      <c r="G293" s="35"/>
      <c r="H293" s="7" t="s">
        <v>1162</v>
      </c>
      <c r="I293" s="7" t="s">
        <v>1163</v>
      </c>
      <c r="J293" s="112" t="str">
        <f ca="1">IFERROR(__xludf.DUMMYFUNCTION("JOIN("": "",H293,I293)"),"3E-26-08-02-00-00-00: Dispositivo de proteção contra sobretensões elétricas (DPS-e)")</f>
        <v>3E-26-08-02-00-00-00: Dispositivo de proteção contra sobretensões elétricas (DPS-e)</v>
      </c>
      <c r="K293" s="4">
        <v>4</v>
      </c>
      <c r="L293" s="7"/>
      <c r="M293" s="7">
        <v>8</v>
      </c>
      <c r="N293" s="7"/>
      <c r="O293" s="7"/>
      <c r="P293" s="177"/>
      <c r="Q293" s="177"/>
      <c r="R293" s="177"/>
      <c r="S293" s="177"/>
    </row>
    <row r="294" spans="1:19">
      <c r="A294" s="35" t="s">
        <v>1165</v>
      </c>
      <c r="B294" s="35"/>
      <c r="C294" s="35"/>
      <c r="D294" s="35"/>
      <c r="E294" s="35"/>
      <c r="F294" s="35"/>
      <c r="G294" s="35"/>
      <c r="H294" s="7" t="s">
        <v>1166</v>
      </c>
      <c r="I294" s="7" t="s">
        <v>1167</v>
      </c>
      <c r="J294" s="112" t="str">
        <f ca="1">IFERROR(__xludf.DUMMYFUNCTION("JOIN("": "",H294,I294)"),"3E-26-08-04-00-00-00: Dispositivo de proteção contra surtos")</f>
        <v>3E-26-08-04-00-00-00: Dispositivo de proteção contra surtos</v>
      </c>
      <c r="K294" s="4">
        <v>4</v>
      </c>
      <c r="L294" s="7"/>
      <c r="M294" s="7">
        <v>8</v>
      </c>
      <c r="N294" s="7"/>
      <c r="O294" s="7"/>
      <c r="P294" s="177"/>
      <c r="Q294" s="177"/>
      <c r="R294" s="177"/>
      <c r="S294" s="177"/>
    </row>
    <row r="295" spans="1:19">
      <c r="A295" s="35" t="s">
        <v>1169</v>
      </c>
      <c r="B295" s="35"/>
      <c r="C295" s="35"/>
      <c r="D295" s="35"/>
      <c r="E295" s="35"/>
      <c r="F295" s="35"/>
      <c r="G295" s="35"/>
      <c r="H295" s="7" t="s">
        <v>1170</v>
      </c>
      <c r="I295" s="7" t="s">
        <v>1171</v>
      </c>
      <c r="J295" s="112" t="str">
        <f ca="1">IFERROR(__xludf.DUMMYFUNCTION("JOIN("": "",H295,I295)"),"3E-26-08-06-00-00-00: Barramento de equipotencialização principal (BEP)")</f>
        <v>3E-26-08-06-00-00-00: Barramento de equipotencialização principal (BEP)</v>
      </c>
      <c r="K295" s="4">
        <v>4</v>
      </c>
      <c r="L295" s="7"/>
      <c r="M295" s="7">
        <v>8</v>
      </c>
      <c r="N295" s="7"/>
      <c r="O295" s="7"/>
      <c r="P295" s="177"/>
      <c r="Q295" s="177"/>
      <c r="R295" s="177"/>
      <c r="S295" s="177"/>
    </row>
    <row r="296" spans="1:19">
      <c r="A296" s="111" t="s">
        <v>1173</v>
      </c>
      <c r="B296" s="111"/>
      <c r="C296" s="111"/>
      <c r="D296" s="111"/>
      <c r="E296" s="111"/>
      <c r="F296" s="111"/>
      <c r="G296" s="111"/>
      <c r="H296" s="3" t="s">
        <v>1174</v>
      </c>
      <c r="I296" s="3" t="s">
        <v>1175</v>
      </c>
      <c r="J296" s="112" t="str">
        <f ca="1">IFERROR(__xludf.DUMMYFUNCTION("JOIN("": "",H296,I296)"),"3E-26-10-00-00-00-00: Elementos para dispersão de descargas elétricas")</f>
        <v>3E-26-10-00-00-00-00: Elementos para dispersão de descargas elétricas</v>
      </c>
      <c r="K296" s="4">
        <v>3</v>
      </c>
      <c r="L296" s="7"/>
      <c r="M296" s="7">
        <v>8</v>
      </c>
      <c r="N296" s="7"/>
      <c r="O296" s="7"/>
      <c r="P296" s="177"/>
      <c r="Q296" s="177"/>
      <c r="R296" s="177"/>
      <c r="S296" s="177"/>
    </row>
    <row r="297" spans="1:19">
      <c r="A297" s="35" t="s">
        <v>1177</v>
      </c>
      <c r="B297" s="35"/>
      <c r="C297" s="35"/>
      <c r="D297" s="35"/>
      <c r="E297" s="35"/>
      <c r="F297" s="35"/>
      <c r="G297" s="35"/>
      <c r="H297" s="7" t="s">
        <v>1178</v>
      </c>
      <c r="I297" s="7" t="s">
        <v>1179</v>
      </c>
      <c r="J297" s="112" t="str">
        <f ca="1">IFERROR(__xludf.DUMMYFUNCTION("JOIN("": "",H297,I297)"),"3E-26-10-02-00-00-00: Aterramento funcional")</f>
        <v>3E-26-10-02-00-00-00: Aterramento funcional</v>
      </c>
      <c r="K297" s="4">
        <v>4</v>
      </c>
      <c r="L297" s="7"/>
      <c r="M297" s="7">
        <v>8</v>
      </c>
      <c r="N297" s="7"/>
      <c r="O297" s="7"/>
      <c r="P297" s="177"/>
      <c r="Q297" s="177"/>
      <c r="R297" s="177"/>
      <c r="S297" s="177"/>
    </row>
    <row r="298" spans="1:19">
      <c r="A298" s="35" t="s">
        <v>1181</v>
      </c>
      <c r="B298" s="35"/>
      <c r="C298" s="35"/>
      <c r="D298" s="35"/>
      <c r="E298" s="35"/>
      <c r="F298" s="35"/>
      <c r="G298" s="35"/>
      <c r="H298" s="7" t="s">
        <v>1182</v>
      </c>
      <c r="I298" s="7" t="s">
        <v>1183</v>
      </c>
      <c r="J298" s="112" t="str">
        <f ca="1">IFERROR(__xludf.DUMMYFUNCTION("JOIN("": "",H298,I298)"),"3E-26-10-04-00-00-00: Aterramento de proteção")</f>
        <v>3E-26-10-04-00-00-00: Aterramento de proteção</v>
      </c>
      <c r="K298" s="4">
        <v>4</v>
      </c>
      <c r="L298" s="7"/>
      <c r="M298" s="7">
        <v>8</v>
      </c>
      <c r="N298" s="7"/>
      <c r="O298" s="7"/>
      <c r="P298" s="177"/>
      <c r="Q298" s="177"/>
      <c r="R298" s="177"/>
      <c r="S298" s="177"/>
    </row>
    <row r="299" spans="1:19">
      <c r="A299" s="35" t="s">
        <v>1185</v>
      </c>
      <c r="B299" s="35"/>
      <c r="C299" s="35"/>
      <c r="D299" s="35"/>
      <c r="E299" s="35"/>
      <c r="F299" s="35"/>
      <c r="G299" s="35"/>
      <c r="H299" s="7" t="s">
        <v>1186</v>
      </c>
      <c r="I299" s="7" t="s">
        <v>1187</v>
      </c>
      <c r="J299" s="112" t="str">
        <f ca="1">IFERROR(__xludf.DUMMYFUNCTION("JOIN("": "",H299,I299)"),"3E-26-10-06-00-00-00: Aterramento de trabalho")</f>
        <v>3E-26-10-06-00-00-00: Aterramento de trabalho</v>
      </c>
      <c r="K299" s="4">
        <v>4</v>
      </c>
      <c r="L299" s="7"/>
      <c r="M299" s="7">
        <v>8</v>
      </c>
      <c r="N299" s="7"/>
      <c r="O299" s="7"/>
      <c r="P299" s="177"/>
      <c r="Q299" s="177"/>
      <c r="R299" s="177"/>
      <c r="S299" s="177"/>
    </row>
    <row r="300" spans="1:19">
      <c r="A300" s="35" t="s">
        <v>1189</v>
      </c>
      <c r="B300" s="35"/>
      <c r="C300" s="35"/>
      <c r="D300" s="35"/>
      <c r="E300" s="35"/>
      <c r="F300" s="35"/>
      <c r="G300" s="35"/>
      <c r="H300" s="7" t="s">
        <v>1190</v>
      </c>
      <c r="I300" s="7" t="s">
        <v>1191</v>
      </c>
      <c r="J300" s="112" t="str">
        <f ca="1">IFERROR(__xludf.DUMMYFUNCTION("JOIN("": "",H300,I300)"),"3E-26-10-08-00-00-00: Aterramento para entrada de energia/entrada de serviço")</f>
        <v>3E-26-10-08-00-00-00: Aterramento para entrada de energia/entrada de serviço</v>
      </c>
      <c r="K300" s="4">
        <v>4</v>
      </c>
      <c r="L300" s="7"/>
      <c r="M300" s="7">
        <v>8</v>
      </c>
      <c r="N300" s="7"/>
      <c r="O300" s="7"/>
      <c r="P300" s="177"/>
      <c r="Q300" s="177"/>
      <c r="R300" s="177"/>
      <c r="S300" s="177"/>
    </row>
    <row r="301" spans="1:19">
      <c r="A301" s="35" t="s">
        <v>1193</v>
      </c>
      <c r="B301" s="35"/>
      <c r="C301" s="35"/>
      <c r="D301" s="35"/>
      <c r="E301" s="35"/>
      <c r="F301" s="35"/>
      <c r="G301" s="35"/>
      <c r="H301" s="7" t="s">
        <v>1194</v>
      </c>
      <c r="I301" s="7" t="s">
        <v>1195</v>
      </c>
      <c r="J301" s="112" t="str">
        <f ca="1">IFERROR(__xludf.DUMMYFUNCTION("JOIN("": "",H301,I301)"),"3E-26-10-10-00-00-00: Rede captora de descargas")</f>
        <v>3E-26-10-10-00-00-00: Rede captora de descargas</v>
      </c>
      <c r="K301" s="4">
        <v>4</v>
      </c>
      <c r="L301" s="7"/>
      <c r="M301" s="7">
        <v>8</v>
      </c>
      <c r="N301" s="7"/>
      <c r="O301" s="7"/>
      <c r="P301" s="177"/>
      <c r="Q301" s="177"/>
      <c r="R301" s="177"/>
      <c r="S301" s="177"/>
    </row>
    <row r="302" spans="1:19">
      <c r="A302" s="35" t="s">
        <v>1197</v>
      </c>
      <c r="B302" s="35"/>
      <c r="C302" s="35"/>
      <c r="D302" s="35"/>
      <c r="E302" s="35"/>
      <c r="F302" s="35"/>
      <c r="G302" s="35"/>
      <c r="H302" s="7" t="s">
        <v>1198</v>
      </c>
      <c r="I302" s="7" t="s">
        <v>1199</v>
      </c>
      <c r="J302" s="112" t="str">
        <f ca="1">IFERROR(__xludf.DUMMYFUNCTION("JOIN("": "",H302,I302)"),"3E-26-10-12-00-00-00: Eletrodo para a dispersão de descargas elétricas")</f>
        <v>3E-26-10-12-00-00-00: Eletrodo para a dispersão de descargas elétricas</v>
      </c>
      <c r="K302" s="4">
        <v>4</v>
      </c>
      <c r="L302" s="7"/>
      <c r="M302" s="7">
        <v>8</v>
      </c>
      <c r="N302" s="7"/>
      <c r="O302" s="7"/>
      <c r="P302" s="177"/>
      <c r="Q302" s="177"/>
      <c r="R302" s="177"/>
      <c r="S302" s="177"/>
    </row>
    <row r="303" spans="1:19">
      <c r="A303" s="35" t="s">
        <v>1201</v>
      </c>
      <c r="B303" s="35"/>
      <c r="C303" s="35"/>
      <c r="D303" s="35"/>
      <c r="E303" s="35"/>
      <c r="F303" s="35"/>
      <c r="G303" s="35"/>
      <c r="H303" s="7" t="s">
        <v>1202</v>
      </c>
      <c r="I303" s="7" t="s">
        <v>1203</v>
      </c>
      <c r="J303" s="112" t="str">
        <f ca="1">IFERROR(__xludf.DUMMYFUNCTION("JOIN("": "",H303,I303)"),"3E-26-10-14-00-00-00: Descida de descarga")</f>
        <v>3E-26-10-14-00-00-00: Descida de descarga</v>
      </c>
      <c r="K303" s="4">
        <v>4</v>
      </c>
      <c r="L303" s="7"/>
      <c r="M303" s="7">
        <v>8</v>
      </c>
      <c r="N303" s="7"/>
      <c r="O303" s="7"/>
      <c r="P303" s="177"/>
      <c r="Q303" s="177"/>
      <c r="R303" s="177"/>
      <c r="S303" s="177"/>
    </row>
    <row r="304" spans="1:19">
      <c r="A304" s="35" t="s">
        <v>1205</v>
      </c>
      <c r="B304" s="35"/>
      <c r="C304" s="35"/>
      <c r="D304" s="35"/>
      <c r="E304" s="35"/>
      <c r="F304" s="35"/>
      <c r="G304" s="35"/>
      <c r="H304" s="7" t="s">
        <v>1206</v>
      </c>
      <c r="I304" s="7" t="s">
        <v>1207</v>
      </c>
      <c r="J304" s="112" t="str">
        <f ca="1">IFERROR(__xludf.DUMMYFUNCTION("JOIN("": "",H304,I304)"),"3E-26-10-16-00-00-00: Condutor de descida")</f>
        <v>3E-26-10-16-00-00-00: Condutor de descida</v>
      </c>
      <c r="K304" s="4">
        <v>4</v>
      </c>
      <c r="L304" s="7"/>
      <c r="M304" s="7">
        <v>8</v>
      </c>
      <c r="N304" s="7"/>
      <c r="O304" s="7"/>
      <c r="P304" s="177"/>
      <c r="Q304" s="177"/>
      <c r="R304" s="177"/>
      <c r="S304" s="177"/>
    </row>
    <row r="305" spans="1:19">
      <c r="A305" s="35" t="s">
        <v>1209</v>
      </c>
      <c r="B305" s="35"/>
      <c r="C305" s="35"/>
      <c r="D305" s="35"/>
      <c r="E305" s="35"/>
      <c r="F305" s="35"/>
      <c r="G305" s="35"/>
      <c r="H305" s="7" t="s">
        <v>1210</v>
      </c>
      <c r="I305" s="7" t="s">
        <v>1211</v>
      </c>
      <c r="J305" s="112" t="str">
        <f ca="1">IFERROR(__xludf.DUMMYFUNCTION("JOIN("": "",H305,I305)"),"3E-26-10-18-00-00-00: Condutor de equipotencialização")</f>
        <v>3E-26-10-18-00-00-00: Condutor de equipotencialização</v>
      </c>
      <c r="K305" s="4">
        <v>4</v>
      </c>
      <c r="L305" s="7"/>
      <c r="M305" s="7">
        <v>8</v>
      </c>
      <c r="N305" s="7"/>
      <c r="O305" s="7"/>
      <c r="P305" s="177"/>
      <c r="Q305" s="177"/>
      <c r="R305" s="177"/>
      <c r="S305" s="177"/>
    </row>
    <row r="306" spans="1:19">
      <c r="A306" s="35" t="s">
        <v>1213</v>
      </c>
      <c r="B306" s="35"/>
      <c r="C306" s="35"/>
      <c r="D306" s="35"/>
      <c r="E306" s="35"/>
      <c r="F306" s="35"/>
      <c r="G306" s="35"/>
      <c r="H306" s="7" t="s">
        <v>1214</v>
      </c>
      <c r="I306" s="7" t="s">
        <v>1215</v>
      </c>
      <c r="J306" s="112" t="str">
        <f ca="1">IFERROR(__xludf.DUMMYFUNCTION("JOIN("": "",H306,I306)"),"3E-26-10-20-00-00-00: Barramento de equipotencialização funcional")</f>
        <v>3E-26-10-20-00-00-00: Barramento de equipotencialização funcional</v>
      </c>
      <c r="K306" s="4">
        <v>4</v>
      </c>
      <c r="L306" s="7"/>
      <c r="M306" s="7">
        <v>8</v>
      </c>
      <c r="N306" s="7"/>
      <c r="O306" s="7"/>
      <c r="P306" s="177"/>
      <c r="Q306" s="177"/>
      <c r="R306" s="177"/>
      <c r="S306" s="177"/>
    </row>
    <row r="307" spans="1:19">
      <c r="A307" s="35" t="s">
        <v>1217</v>
      </c>
      <c r="B307" s="35"/>
      <c r="C307" s="35"/>
      <c r="D307" s="35"/>
      <c r="E307" s="35"/>
      <c r="F307" s="35"/>
      <c r="G307" s="35"/>
      <c r="H307" s="7" t="s">
        <v>1218</v>
      </c>
      <c r="I307" s="7" t="s">
        <v>1219</v>
      </c>
      <c r="J307" s="112" t="str">
        <f ca="1">IFERROR(__xludf.DUMMYFUNCTION("JOIN("": "",H307,I307)"),"3E-26-10-22-00-00-00: Conector de medição")</f>
        <v>3E-26-10-22-00-00-00: Conector de medição</v>
      </c>
      <c r="K307" s="4">
        <v>4</v>
      </c>
      <c r="L307" s="7"/>
      <c r="M307" s="7">
        <v>8</v>
      </c>
      <c r="N307" s="7"/>
      <c r="O307" s="7"/>
      <c r="P307" s="177"/>
      <c r="Q307" s="177"/>
      <c r="R307" s="177"/>
      <c r="S307" s="177"/>
    </row>
    <row r="308" spans="1:19">
      <c r="A308" s="35" t="s">
        <v>1221</v>
      </c>
      <c r="B308" s="35"/>
      <c r="C308" s="35"/>
      <c r="D308" s="35"/>
      <c r="E308" s="35"/>
      <c r="F308" s="35"/>
      <c r="G308" s="35"/>
      <c r="H308" s="7" t="s">
        <v>1222</v>
      </c>
      <c r="I308" s="7" t="s">
        <v>1223</v>
      </c>
      <c r="J308" s="112" t="str">
        <f ca="1">IFERROR(__xludf.DUMMYFUNCTION("JOIN("": "",H308,I308)"),"3E-26-10-24-00-00-00: Anel de cintamento")</f>
        <v>3E-26-10-24-00-00-00: Anel de cintamento</v>
      </c>
      <c r="K308" s="4">
        <v>4</v>
      </c>
      <c r="L308" s="7"/>
      <c r="M308" s="7">
        <v>8</v>
      </c>
      <c r="N308" s="7"/>
      <c r="O308" s="7"/>
      <c r="P308" s="177"/>
      <c r="Q308" s="177"/>
      <c r="R308" s="177"/>
      <c r="S308" s="177"/>
    </row>
    <row r="309" spans="1:19">
      <c r="A309" s="35" t="s">
        <v>1225</v>
      </c>
      <c r="B309" s="35"/>
      <c r="C309" s="35"/>
      <c r="D309" s="35"/>
      <c r="E309" s="35"/>
      <c r="F309" s="35"/>
      <c r="G309" s="35"/>
      <c r="H309" s="7" t="s">
        <v>1226</v>
      </c>
      <c r="I309" s="7" t="s">
        <v>1227</v>
      </c>
      <c r="J309" s="112" t="str">
        <f ca="1">IFERROR(__xludf.DUMMYFUNCTION("JOIN("": "",H309,I309)"),"3E-26-10-26-00-00-00: Caixa de equalização")</f>
        <v>3E-26-10-26-00-00-00: Caixa de equalização</v>
      </c>
      <c r="K309" s="4">
        <v>4</v>
      </c>
      <c r="L309" s="7"/>
      <c r="M309" s="7">
        <v>8</v>
      </c>
      <c r="N309" s="7"/>
      <c r="O309" s="7"/>
      <c r="P309" s="177"/>
      <c r="Q309" s="177"/>
      <c r="R309" s="177"/>
      <c r="S309" s="177"/>
    </row>
    <row r="310" spans="1:19">
      <c r="A310" s="111" t="s">
        <v>1229</v>
      </c>
      <c r="B310" s="111"/>
      <c r="C310" s="111"/>
      <c r="D310" s="111"/>
      <c r="E310" s="111"/>
      <c r="F310" s="111"/>
      <c r="G310" s="111"/>
      <c r="H310" s="3" t="s">
        <v>1230</v>
      </c>
      <c r="I310" s="3" t="s">
        <v>1231</v>
      </c>
      <c r="J310" s="112" t="str">
        <f ca="1">IFERROR(__xludf.DUMMYFUNCTION("JOIN("": "",H310,I310)"),"3E-26-12-00-00-00-00: Elementos para a distribuição de corrente")</f>
        <v>3E-26-12-00-00-00-00: Elementos para a distribuição de corrente</v>
      </c>
      <c r="K310" s="4">
        <v>3</v>
      </c>
      <c r="L310" s="7"/>
      <c r="M310" s="7">
        <v>8</v>
      </c>
      <c r="N310" s="7"/>
      <c r="O310" s="7"/>
      <c r="P310" s="177"/>
      <c r="Q310" s="177"/>
      <c r="R310" s="177"/>
      <c r="S310" s="177"/>
    </row>
    <row r="311" spans="1:19">
      <c r="A311" s="35" t="s">
        <v>1233</v>
      </c>
      <c r="B311" s="35"/>
      <c r="C311" s="35"/>
      <c r="D311" s="35"/>
      <c r="E311" s="35"/>
      <c r="F311" s="35"/>
      <c r="G311" s="35"/>
      <c r="H311" s="7" t="s">
        <v>1234</v>
      </c>
      <c r="I311" s="7" t="s">
        <v>1235</v>
      </c>
      <c r="J311" s="112" t="str">
        <f ca="1">IFERROR(__xludf.DUMMYFUNCTION("JOIN("": "",H311,I311)"),"3E-26-12-02-00-00-00: Circuitos")</f>
        <v>3E-26-12-02-00-00-00: Circuitos</v>
      </c>
      <c r="K311" s="4">
        <v>4</v>
      </c>
      <c r="L311" s="7"/>
      <c r="M311" s="7">
        <v>8</v>
      </c>
      <c r="N311" s="7"/>
      <c r="O311" s="7"/>
      <c r="P311" s="177"/>
      <c r="Q311" s="177"/>
      <c r="R311" s="177"/>
      <c r="S311" s="177"/>
    </row>
    <row r="312" spans="1:19">
      <c r="A312" s="35" t="s">
        <v>1237</v>
      </c>
      <c r="B312" s="35"/>
      <c r="C312" s="35"/>
      <c r="D312" s="35"/>
      <c r="E312" s="35"/>
      <c r="F312" s="35"/>
      <c r="G312" s="35"/>
      <c r="H312" s="7" t="s">
        <v>1238</v>
      </c>
      <c r="I312" s="7" t="s">
        <v>1239</v>
      </c>
      <c r="J312" s="112" t="str">
        <f ca="1">IFERROR(__xludf.DUMMYFUNCTION("JOIN("": "",H312,I312)"),"3E-26-12-02-02-00-00: Circuito de alta-tensão")</f>
        <v>3E-26-12-02-02-00-00: Circuito de alta-tensão</v>
      </c>
      <c r="K312" s="4">
        <v>5</v>
      </c>
      <c r="L312" s="7"/>
      <c r="M312" s="7">
        <v>8</v>
      </c>
      <c r="N312" s="7"/>
      <c r="O312" s="7"/>
      <c r="P312" s="177"/>
      <c r="Q312" s="177"/>
      <c r="R312" s="177"/>
      <c r="S312" s="177"/>
    </row>
    <row r="313" spans="1:19">
      <c r="A313" s="35" t="s">
        <v>1241</v>
      </c>
      <c r="B313" s="35"/>
      <c r="C313" s="35"/>
      <c r="D313" s="35"/>
      <c r="E313" s="35"/>
      <c r="F313" s="35"/>
      <c r="G313" s="35"/>
      <c r="H313" s="7" t="s">
        <v>1242</v>
      </c>
      <c r="I313" s="7" t="s">
        <v>1243</v>
      </c>
      <c r="J313" s="112" t="str">
        <f ca="1">IFERROR(__xludf.DUMMYFUNCTION("JOIN("": "",H313,I313)"),"3E-26-12-02-04-00-00: Circuito de baixa tensão")</f>
        <v>3E-26-12-02-04-00-00: Circuito de baixa tensão</v>
      </c>
      <c r="K313" s="4">
        <v>5</v>
      </c>
      <c r="L313" s="7"/>
      <c r="M313" s="7">
        <v>8</v>
      </c>
      <c r="N313" s="7"/>
      <c r="O313" s="7"/>
      <c r="P313" s="177"/>
      <c r="Q313" s="177"/>
      <c r="R313" s="177"/>
      <c r="S313" s="177"/>
    </row>
    <row r="314" spans="1:19">
      <c r="A314" s="35" t="s">
        <v>1245</v>
      </c>
      <c r="B314" s="35"/>
      <c r="C314" s="35"/>
      <c r="D314" s="35"/>
      <c r="E314" s="35"/>
      <c r="F314" s="35"/>
      <c r="G314" s="35"/>
      <c r="H314" s="7" t="s">
        <v>1246</v>
      </c>
      <c r="I314" s="7" t="s">
        <v>1247</v>
      </c>
      <c r="J314" s="112" t="str">
        <f ca="1">IFERROR(__xludf.DUMMYFUNCTION("JOIN("": "",H314,I314)"),"3E-26-12-02-06-00-00: Circuito de corrente altemada")</f>
        <v>3E-26-12-02-06-00-00: Circuito de corrente altemada</v>
      </c>
      <c r="K314" s="4">
        <v>5</v>
      </c>
      <c r="L314" s="7"/>
      <c r="M314" s="7">
        <v>8</v>
      </c>
      <c r="N314" s="7"/>
      <c r="O314" s="7"/>
      <c r="P314" s="177"/>
      <c r="Q314" s="177"/>
      <c r="R314" s="177"/>
      <c r="S314" s="177"/>
    </row>
    <row r="315" spans="1:19">
      <c r="A315" s="35" t="s">
        <v>1249</v>
      </c>
      <c r="B315" s="35"/>
      <c r="C315" s="35"/>
      <c r="D315" s="35"/>
      <c r="E315" s="35"/>
      <c r="F315" s="35"/>
      <c r="G315" s="35"/>
      <c r="H315" s="7" t="s">
        <v>1250</v>
      </c>
      <c r="I315" s="7" t="s">
        <v>1251</v>
      </c>
      <c r="J315" s="112" t="str">
        <f ca="1">IFERROR(__xludf.DUMMYFUNCTION("JOIN("": "",H315,I315)"),"3E-26-12-02-08-00-00: Circuito de corrente contínua")</f>
        <v>3E-26-12-02-08-00-00: Circuito de corrente contínua</v>
      </c>
      <c r="K315" s="4">
        <v>5</v>
      </c>
      <c r="L315" s="7"/>
      <c r="M315" s="7">
        <v>8</v>
      </c>
      <c r="N315" s="7"/>
      <c r="O315" s="7"/>
      <c r="P315" s="177"/>
      <c r="Q315" s="177"/>
      <c r="R315" s="177"/>
      <c r="S315" s="177"/>
    </row>
    <row r="316" spans="1:19">
      <c r="A316" s="35" t="s">
        <v>1253</v>
      </c>
      <c r="B316" s="35"/>
      <c r="C316" s="35"/>
      <c r="D316" s="35"/>
      <c r="E316" s="35"/>
      <c r="F316" s="35"/>
      <c r="G316" s="35"/>
      <c r="H316" s="7" t="s">
        <v>1254</v>
      </c>
      <c r="I316" s="7" t="s">
        <v>1255</v>
      </c>
      <c r="J316" s="112" t="str">
        <f ca="1">IFERROR(__xludf.DUMMYFUNCTION("JOIN("": "",H316,I316)"),"3E-26-12-02-10-00-00: Circuito monofásico")</f>
        <v>3E-26-12-02-10-00-00: Circuito monofásico</v>
      </c>
      <c r="K316" s="4">
        <v>5</v>
      </c>
      <c r="L316" s="7"/>
      <c r="M316" s="7">
        <v>8</v>
      </c>
      <c r="N316" s="7"/>
      <c r="O316" s="7"/>
      <c r="P316" s="177"/>
      <c r="Q316" s="177"/>
      <c r="R316" s="177"/>
      <c r="S316" s="177"/>
    </row>
    <row r="317" spans="1:19">
      <c r="A317" s="35" t="s">
        <v>1257</v>
      </c>
      <c r="B317" s="35"/>
      <c r="C317" s="35"/>
      <c r="D317" s="35"/>
      <c r="E317" s="35"/>
      <c r="F317" s="35"/>
      <c r="G317" s="35"/>
      <c r="H317" s="7" t="s">
        <v>1258</v>
      </c>
      <c r="I317" s="7" t="s">
        <v>1259</v>
      </c>
      <c r="J317" s="112" t="str">
        <f ca="1">IFERROR(__xludf.DUMMYFUNCTION("JOIN("": "",H317,I317)"),"3E-26-12-02-12-00-00: Circuito bifásico")</f>
        <v>3E-26-12-02-12-00-00: Circuito bifásico</v>
      </c>
      <c r="K317" s="4">
        <v>5</v>
      </c>
      <c r="L317" s="7"/>
      <c r="M317" s="7">
        <v>8</v>
      </c>
      <c r="N317" s="7"/>
      <c r="O317" s="7"/>
      <c r="P317" s="177"/>
      <c r="Q317" s="177"/>
      <c r="R317" s="177"/>
      <c r="S317" s="177"/>
    </row>
    <row r="318" spans="1:19">
      <c r="A318" s="35" t="s">
        <v>1261</v>
      </c>
      <c r="B318" s="35"/>
      <c r="C318" s="35"/>
      <c r="D318" s="35"/>
      <c r="E318" s="35"/>
      <c r="F318" s="35"/>
      <c r="G318" s="35"/>
      <c r="H318" s="7" t="s">
        <v>1262</v>
      </c>
      <c r="I318" s="7" t="s">
        <v>1263</v>
      </c>
      <c r="J318" s="112" t="str">
        <f ca="1">IFERROR(__xludf.DUMMYFUNCTION("JOIN("": "",H318,I318)"),"3E-26-12-02-14-00-00: Circuito trifásico")</f>
        <v>3E-26-12-02-14-00-00: Circuito trifásico</v>
      </c>
      <c r="K318" s="4">
        <v>5</v>
      </c>
      <c r="L318" s="7"/>
      <c r="M318" s="7">
        <v>8</v>
      </c>
      <c r="N318" s="7"/>
      <c r="O318" s="7"/>
      <c r="P318" s="177"/>
      <c r="Q318" s="177"/>
      <c r="R318" s="177"/>
      <c r="S318" s="177"/>
    </row>
    <row r="319" spans="1:19">
      <c r="A319" s="35" t="s">
        <v>1265</v>
      </c>
      <c r="B319" s="35"/>
      <c r="C319" s="35"/>
      <c r="D319" s="35"/>
      <c r="E319" s="35"/>
      <c r="F319" s="35"/>
      <c r="G319" s="35"/>
      <c r="H319" s="7" t="s">
        <v>1266</v>
      </c>
      <c r="I319" s="7" t="s">
        <v>1267</v>
      </c>
      <c r="J319" s="112" t="str">
        <f ca="1">IFERROR(__xludf.DUMMYFUNCTION("JOIN("": "",H319,I319)"),"3E-26-12-04-00-00-00: Quadro de distribuição residencial")</f>
        <v>3E-26-12-04-00-00-00: Quadro de distribuição residencial</v>
      </c>
      <c r="K319" s="4">
        <v>4</v>
      </c>
      <c r="L319" s="7"/>
      <c r="M319" s="7">
        <v>8</v>
      </c>
      <c r="N319" s="7"/>
      <c r="O319" s="7"/>
      <c r="P319" s="177"/>
      <c r="Q319" s="177"/>
      <c r="R319" s="177"/>
      <c r="S319" s="177"/>
    </row>
    <row r="320" spans="1:19">
      <c r="A320" s="35" t="s">
        <v>1269</v>
      </c>
      <c r="B320" s="35"/>
      <c r="C320" s="35"/>
      <c r="D320" s="35"/>
      <c r="E320" s="35"/>
      <c r="F320" s="35"/>
      <c r="G320" s="35"/>
      <c r="H320" s="7" t="s">
        <v>1270</v>
      </c>
      <c r="I320" s="7" t="s">
        <v>1271</v>
      </c>
      <c r="J320" s="112" t="str">
        <f ca="1">IFERROR(__xludf.DUMMYFUNCTION("JOIN("": "",H320,I320)"),"3E-26-12-06-00-00-00: Painel geral de baixa tensão")</f>
        <v>3E-26-12-06-00-00-00: Painel geral de baixa tensão</v>
      </c>
      <c r="K320" s="4">
        <v>4</v>
      </c>
      <c r="L320" s="7"/>
      <c r="M320" s="7">
        <v>8</v>
      </c>
      <c r="N320" s="7"/>
      <c r="O320" s="7"/>
      <c r="P320" s="177"/>
      <c r="Q320" s="177"/>
      <c r="R320" s="177"/>
      <c r="S320" s="177"/>
    </row>
    <row r="321" spans="1:19">
      <c r="A321" s="111" t="s">
        <v>1273</v>
      </c>
      <c r="B321" s="111"/>
      <c r="C321" s="111"/>
      <c r="D321" s="111"/>
      <c r="E321" s="111"/>
      <c r="F321" s="111"/>
      <c r="G321" s="111"/>
      <c r="H321" s="3" t="s">
        <v>1274</v>
      </c>
      <c r="I321" s="3" t="s">
        <v>1275</v>
      </c>
      <c r="J321" s="112" t="str">
        <f ca="1">IFERROR(__xludf.DUMMYFUNCTION("JOIN("": "",H321,I321)"),"3E-26-14-00-00-00-00: Elementos para a transformação de corrente")</f>
        <v>3E-26-14-00-00-00-00: Elementos para a transformação de corrente</v>
      </c>
      <c r="K321" s="4">
        <v>3</v>
      </c>
      <c r="L321" s="7"/>
      <c r="M321" s="7">
        <v>8</v>
      </c>
      <c r="N321" s="7"/>
      <c r="O321" s="7"/>
      <c r="P321" s="177"/>
      <c r="Q321" s="177"/>
      <c r="R321" s="177"/>
      <c r="S321" s="177"/>
    </row>
    <row r="322" spans="1:19">
      <c r="A322" s="35" t="s">
        <v>1277</v>
      </c>
      <c r="B322" s="35"/>
      <c r="C322" s="35"/>
      <c r="D322" s="35"/>
      <c r="E322" s="35"/>
      <c r="F322" s="35"/>
      <c r="G322" s="35"/>
      <c r="H322" s="7" t="s">
        <v>1278</v>
      </c>
      <c r="I322" s="7" t="s">
        <v>1279</v>
      </c>
      <c r="J322" s="112" t="str">
        <f ca="1">IFERROR(__xludf.DUMMYFUNCTION("JOIN("": "",H322,I322)"),"3E-26-14-02-00-00-00: Transformador diferencial")</f>
        <v>3E-26-14-02-00-00-00: Transformador diferencial</v>
      </c>
      <c r="K322" s="4">
        <v>4</v>
      </c>
      <c r="L322" s="7"/>
      <c r="M322" s="7">
        <v>8</v>
      </c>
      <c r="N322" s="7"/>
      <c r="O322" s="7"/>
      <c r="P322" s="177"/>
      <c r="Q322" s="177"/>
      <c r="R322" s="177"/>
      <c r="S322" s="177"/>
    </row>
    <row r="323" spans="1:19">
      <c r="A323" s="35" t="s">
        <v>1281</v>
      </c>
      <c r="B323" s="35"/>
      <c r="C323" s="35"/>
      <c r="D323" s="35"/>
      <c r="E323" s="35"/>
      <c r="F323" s="35"/>
      <c r="G323" s="35"/>
      <c r="H323" s="7" t="s">
        <v>1282</v>
      </c>
      <c r="I323" s="7" t="s">
        <v>1283</v>
      </c>
      <c r="J323" s="112" t="str">
        <f ca="1">IFERROR(__xludf.DUMMYFUNCTION("JOIN("": "",H323,I323)"),"3E-26-14-04-00-00-00: Transformador de corrente")</f>
        <v>3E-26-14-04-00-00-00: Transformador de corrente</v>
      </c>
      <c r="K323" s="4">
        <v>4</v>
      </c>
      <c r="L323" s="7"/>
      <c r="M323" s="7">
        <v>8</v>
      </c>
      <c r="N323" s="7"/>
      <c r="O323" s="7"/>
      <c r="P323" s="177"/>
      <c r="Q323" s="177"/>
      <c r="R323" s="177"/>
      <c r="S323" s="177"/>
    </row>
    <row r="324" spans="1:19">
      <c r="A324" s="35" t="s">
        <v>1285</v>
      </c>
      <c r="B324" s="35"/>
      <c r="C324" s="35"/>
      <c r="D324" s="35"/>
      <c r="E324" s="35"/>
      <c r="F324" s="35"/>
      <c r="G324" s="35"/>
      <c r="H324" s="7" t="s">
        <v>1286</v>
      </c>
      <c r="I324" s="7" t="s">
        <v>1287</v>
      </c>
      <c r="J324" s="112" t="str">
        <f ca="1">IFERROR(__xludf.DUMMYFUNCTION("JOIN("": "",H324,I324)"),"3E-26-14-06-00-00-00: Transformador de potência")</f>
        <v>3E-26-14-06-00-00-00: Transformador de potência</v>
      </c>
      <c r="K324" s="4">
        <v>4</v>
      </c>
      <c r="L324" s="7"/>
      <c r="M324" s="7">
        <v>8</v>
      </c>
      <c r="N324" s="7"/>
      <c r="O324" s="7"/>
      <c r="P324" s="177"/>
      <c r="Q324" s="177"/>
      <c r="R324" s="177"/>
      <c r="S324" s="177"/>
    </row>
    <row r="325" spans="1:19">
      <c r="A325" s="111" t="s">
        <v>1289</v>
      </c>
      <c r="B325" s="111"/>
      <c r="C325" s="111"/>
      <c r="D325" s="111"/>
      <c r="E325" s="111"/>
      <c r="F325" s="111"/>
      <c r="G325" s="111"/>
      <c r="H325" s="3" t="s">
        <v>1290</v>
      </c>
      <c r="I325" s="3" t="s">
        <v>1291</v>
      </c>
      <c r="J325" s="112" t="str">
        <f ca="1">IFERROR(__xludf.DUMMYFUNCTION("JOIN("": "",H325,I325)"),"3E-26-16-00-00-00-00: Elementos para o acionamento de corrente")</f>
        <v>3E-26-16-00-00-00-00: Elementos para o acionamento de corrente</v>
      </c>
      <c r="K325" s="4">
        <v>3</v>
      </c>
      <c r="L325" s="7"/>
      <c r="M325" s="7">
        <v>8</v>
      </c>
      <c r="N325" s="7"/>
      <c r="O325" s="7"/>
      <c r="P325" s="177"/>
      <c r="Q325" s="177"/>
      <c r="R325" s="177"/>
      <c r="S325" s="177"/>
    </row>
    <row r="326" spans="1:19">
      <c r="A326" s="35" t="s">
        <v>1293</v>
      </c>
      <c r="B326" s="35"/>
      <c r="C326" s="35"/>
      <c r="D326" s="35"/>
      <c r="E326" s="35"/>
      <c r="F326" s="35"/>
      <c r="G326" s="35"/>
      <c r="H326" s="7" t="s">
        <v>1294</v>
      </c>
      <c r="I326" s="7" t="s">
        <v>1295</v>
      </c>
      <c r="J326" s="112" t="str">
        <f ca="1">IFERROR(__xludf.DUMMYFUNCTION("JOIN("": "",H326,I326)"),"3E-26-16-02-00-00-00: Interruptores")</f>
        <v>3E-26-16-02-00-00-00: Interruptores</v>
      </c>
      <c r="K326" s="4">
        <v>4</v>
      </c>
      <c r="L326" s="7"/>
      <c r="M326" s="7">
        <v>8</v>
      </c>
      <c r="N326" s="7"/>
      <c r="O326" s="7"/>
      <c r="P326" s="177"/>
      <c r="Q326" s="177"/>
      <c r="R326" s="177"/>
      <c r="S326" s="177"/>
    </row>
    <row r="327" spans="1:19">
      <c r="A327" s="35" t="s">
        <v>1297</v>
      </c>
      <c r="B327" s="35"/>
      <c r="C327" s="35"/>
      <c r="D327" s="35"/>
      <c r="E327" s="35"/>
      <c r="F327" s="35"/>
      <c r="G327" s="35"/>
      <c r="H327" s="7" t="s">
        <v>1298</v>
      </c>
      <c r="I327" s="7" t="s">
        <v>1299</v>
      </c>
      <c r="J327" s="112" t="str">
        <f ca="1">IFERROR(__xludf.DUMMYFUNCTION("JOIN("": "",H327,I327)"),"3E-26-16-04-00-00-00: Controladores de intensidade - dimmer")</f>
        <v>3E-26-16-04-00-00-00: Controladores de intensidade - dimmer</v>
      </c>
      <c r="K327" s="4">
        <v>4</v>
      </c>
      <c r="L327" s="7"/>
      <c r="M327" s="7">
        <v>8</v>
      </c>
      <c r="N327" s="7"/>
      <c r="O327" s="7"/>
      <c r="P327" s="177"/>
      <c r="Q327" s="177"/>
      <c r="R327" s="177"/>
      <c r="S327" s="177"/>
    </row>
    <row r="328" spans="1:19">
      <c r="A328" s="111" t="s">
        <v>1301</v>
      </c>
      <c r="B328" s="111"/>
      <c r="C328" s="111"/>
      <c r="D328" s="111"/>
      <c r="E328" s="111"/>
      <c r="F328" s="111"/>
      <c r="G328" s="111"/>
      <c r="H328" s="3" t="s">
        <v>1302</v>
      </c>
      <c r="I328" s="3" t="s">
        <v>1303</v>
      </c>
      <c r="J328" s="112" t="str">
        <f ca="1">IFERROR(__xludf.DUMMYFUNCTION("JOIN("": "",H328,I328)"),"3E-26-18-00-00-00-00: Elementos para o fornecimento de corrente")</f>
        <v>3E-26-18-00-00-00-00: Elementos para o fornecimento de corrente</v>
      </c>
      <c r="K328" s="4">
        <v>3</v>
      </c>
      <c r="L328" s="7"/>
      <c r="M328" s="7">
        <v>8</v>
      </c>
      <c r="N328" s="7"/>
      <c r="O328" s="7"/>
      <c r="P328" s="177"/>
      <c r="Q328" s="177"/>
      <c r="R328" s="177"/>
      <c r="S328" s="177"/>
    </row>
    <row r="329" spans="1:19">
      <c r="A329" s="111" t="s">
        <v>1305</v>
      </c>
      <c r="B329" s="111"/>
      <c r="C329" s="111"/>
      <c r="D329" s="111"/>
      <c r="E329" s="111"/>
      <c r="F329" s="111"/>
      <c r="G329" s="111"/>
      <c r="H329" s="3" t="s">
        <v>1306</v>
      </c>
      <c r="I329" s="3" t="s">
        <v>1307</v>
      </c>
      <c r="J329" s="112" t="str">
        <f ca="1">IFERROR(__xludf.DUMMYFUNCTION("JOIN("": "",H329,I329)"),"3E-26-20-00-00-00-00: Elementos condutores de corrente")</f>
        <v>3E-26-20-00-00-00-00: Elementos condutores de corrente</v>
      </c>
      <c r="K329" s="4">
        <v>3</v>
      </c>
      <c r="L329" s="7"/>
      <c r="M329" s="7">
        <v>8</v>
      </c>
      <c r="N329" s="7"/>
      <c r="O329" s="7"/>
      <c r="P329" s="177"/>
      <c r="Q329" s="177"/>
      <c r="R329" s="177"/>
      <c r="S329" s="177"/>
    </row>
    <row r="330" spans="1:19">
      <c r="A330" s="35" t="s">
        <v>1309</v>
      </c>
      <c r="B330" s="35"/>
      <c r="C330" s="35"/>
      <c r="D330" s="35"/>
      <c r="E330" s="35"/>
      <c r="F330" s="35"/>
      <c r="G330" s="35"/>
      <c r="H330" s="7" t="s">
        <v>1310</v>
      </c>
      <c r="I330" s="7" t="s">
        <v>1311</v>
      </c>
      <c r="J330" s="112" t="str">
        <f ca="1">IFERROR(__xludf.DUMMYFUNCTION("JOIN("": "",H330,I330)"),"3E-26-20-02-00-00-00: Condutor para baixa tensão")</f>
        <v>3E-26-20-02-00-00-00: Condutor para baixa tensão</v>
      </c>
      <c r="K330" s="4">
        <v>4</v>
      </c>
      <c r="L330" s="7"/>
      <c r="M330" s="7">
        <v>8</v>
      </c>
      <c r="N330" s="7"/>
      <c r="O330" s="7"/>
      <c r="P330" s="177"/>
      <c r="Q330" s="177"/>
      <c r="R330" s="177"/>
      <c r="S330" s="177"/>
    </row>
    <row r="331" spans="1:19">
      <c r="A331" s="35" t="s">
        <v>1313</v>
      </c>
      <c r="B331" s="35"/>
      <c r="C331" s="35"/>
      <c r="D331" s="35"/>
      <c r="E331" s="35"/>
      <c r="F331" s="35"/>
      <c r="G331" s="35"/>
      <c r="H331" s="7" t="s">
        <v>1314</v>
      </c>
      <c r="I331" s="7" t="s">
        <v>1315</v>
      </c>
      <c r="J331" s="112" t="str">
        <f ca="1">IFERROR(__xludf.DUMMYFUNCTION("JOIN("": "",H331,I331)"),"3E-26-20-04-00-00-00: Condutor para uso geral")</f>
        <v>3E-26-20-04-00-00-00: Condutor para uso geral</v>
      </c>
      <c r="K331" s="4">
        <v>4</v>
      </c>
      <c r="L331" s="7"/>
      <c r="M331" s="7">
        <v>8</v>
      </c>
      <c r="N331" s="7"/>
      <c r="O331" s="7"/>
      <c r="P331" s="177"/>
      <c r="Q331" s="177"/>
      <c r="R331" s="177"/>
      <c r="S331" s="177"/>
    </row>
    <row r="332" spans="1:19">
      <c r="A332" s="35" t="s">
        <v>1317</v>
      </c>
      <c r="B332" s="35"/>
      <c r="C332" s="35"/>
      <c r="D332" s="35"/>
      <c r="E332" s="35"/>
      <c r="F332" s="35"/>
      <c r="G332" s="35"/>
      <c r="H332" s="7" t="s">
        <v>1318</v>
      </c>
      <c r="I332" s="7" t="s">
        <v>1319</v>
      </c>
      <c r="J332" s="112" t="str">
        <f ca="1">IFERROR(__xludf.DUMMYFUNCTION("JOIN("": "",H332,I332)"),"3E-26-20-06-00-00-00: Condutor para uso específico")</f>
        <v>3E-26-20-06-00-00-00: Condutor para uso específico</v>
      </c>
      <c r="K332" s="4">
        <v>4</v>
      </c>
      <c r="L332" s="7"/>
      <c r="M332" s="7">
        <v>8</v>
      </c>
      <c r="N332" s="7"/>
      <c r="O332" s="7"/>
      <c r="P332" s="177"/>
      <c r="Q332" s="177"/>
      <c r="R332" s="177"/>
      <c r="S332" s="177"/>
    </row>
    <row r="333" spans="1:19">
      <c r="A333" s="35" t="s">
        <v>1321</v>
      </c>
      <c r="B333" s="35"/>
      <c r="C333" s="35"/>
      <c r="D333" s="35"/>
      <c r="E333" s="35"/>
      <c r="F333" s="35"/>
      <c r="G333" s="35"/>
      <c r="H333" s="7" t="s">
        <v>1322</v>
      </c>
      <c r="I333" s="7" t="s">
        <v>1323</v>
      </c>
      <c r="J333" s="112" t="str">
        <f ca="1">IFERROR(__xludf.DUMMYFUNCTION("JOIN("": "",H333,I333)"),"3E-26-20-08-00-00-00: Condutor de fase")</f>
        <v>3E-26-20-08-00-00-00: Condutor de fase</v>
      </c>
      <c r="K333" s="4">
        <v>4</v>
      </c>
      <c r="L333" s="7"/>
      <c r="M333" s="7">
        <v>8</v>
      </c>
      <c r="N333" s="7"/>
      <c r="O333" s="7"/>
      <c r="P333" s="177"/>
      <c r="Q333" s="177"/>
      <c r="R333" s="177"/>
      <c r="S333" s="177"/>
    </row>
    <row r="334" spans="1:19">
      <c r="A334" s="35" t="s">
        <v>1325</v>
      </c>
      <c r="B334" s="35"/>
      <c r="C334" s="35"/>
      <c r="D334" s="35"/>
      <c r="E334" s="35"/>
      <c r="F334" s="35"/>
      <c r="G334" s="35"/>
      <c r="H334" s="7" t="s">
        <v>1326</v>
      </c>
      <c r="I334" s="7" t="s">
        <v>1327</v>
      </c>
      <c r="J334" s="112" t="str">
        <f ca="1">IFERROR(__xludf.DUMMYFUNCTION("JOIN("": "",H334,I334)"),"3E-26-20-10-00-00-00: Condutor neutro")</f>
        <v>3E-26-20-10-00-00-00: Condutor neutro</v>
      </c>
      <c r="K334" s="4">
        <v>4</v>
      </c>
      <c r="L334" s="7"/>
      <c r="M334" s="7">
        <v>8</v>
      </c>
      <c r="N334" s="7"/>
      <c r="O334" s="7"/>
      <c r="P334" s="177"/>
      <c r="Q334" s="177"/>
      <c r="R334" s="177"/>
      <c r="S334" s="177"/>
    </row>
    <row r="335" spans="1:19">
      <c r="A335" s="35" t="s">
        <v>1329</v>
      </c>
      <c r="B335" s="35"/>
      <c r="C335" s="35"/>
      <c r="D335" s="35"/>
      <c r="E335" s="35"/>
      <c r="F335" s="35"/>
      <c r="G335" s="35"/>
      <c r="H335" s="7" t="s">
        <v>1330</v>
      </c>
      <c r="I335" s="7" t="s">
        <v>1331</v>
      </c>
      <c r="J335" s="112" t="str">
        <f ca="1">IFERROR(__xludf.DUMMYFUNCTION("JOIN("": "",H335,I335)"),"3E-26-20-12-00-00-00: Condutor-terra")</f>
        <v>3E-26-20-12-00-00-00: Condutor-terra</v>
      </c>
      <c r="K335" s="4">
        <v>4</v>
      </c>
      <c r="L335" s="7"/>
      <c r="M335" s="7">
        <v>8</v>
      </c>
      <c r="N335" s="7"/>
      <c r="O335" s="7"/>
      <c r="P335" s="177"/>
      <c r="Q335" s="177"/>
      <c r="R335" s="177"/>
      <c r="S335" s="177"/>
    </row>
    <row r="336" spans="1:19">
      <c r="A336" s="35" t="s">
        <v>1333</v>
      </c>
      <c r="B336" s="35"/>
      <c r="C336" s="35"/>
      <c r="D336" s="35"/>
      <c r="E336" s="35"/>
      <c r="F336" s="35"/>
      <c r="G336" s="35"/>
      <c r="H336" s="7" t="s">
        <v>1334</v>
      </c>
      <c r="I336" s="7" t="s">
        <v>1335</v>
      </c>
      <c r="J336" s="112" t="str">
        <f ca="1">IFERROR(__xludf.DUMMYFUNCTION("JOIN("": "",H336,I336)"),"3E-26-20-14-00-00-00: Condutor de retorno")</f>
        <v>3E-26-20-14-00-00-00: Condutor de retorno</v>
      </c>
      <c r="K336" s="4">
        <v>4</v>
      </c>
      <c r="L336" s="7"/>
      <c r="M336" s="7">
        <v>8</v>
      </c>
      <c r="N336" s="7"/>
      <c r="O336" s="7"/>
      <c r="P336" s="177"/>
      <c r="Q336" s="177"/>
      <c r="R336" s="177"/>
      <c r="S336" s="177"/>
    </row>
    <row r="337" spans="1:31">
      <c r="A337" s="35" t="s">
        <v>1337</v>
      </c>
      <c r="B337" s="35"/>
      <c r="C337" s="35"/>
      <c r="D337" s="35"/>
      <c r="E337" s="35"/>
      <c r="F337" s="35"/>
      <c r="G337" s="35"/>
      <c r="H337" s="7" t="s">
        <v>1338</v>
      </c>
      <c r="I337" s="7" t="s">
        <v>1339</v>
      </c>
      <c r="J337" s="112" t="str">
        <f ca="1">IFERROR(__xludf.DUMMYFUNCTION("JOIN("": "",H337,I337)"),"3E-26-20-16-00-00-00: Condutor pen")</f>
        <v>3E-26-20-16-00-00-00: Condutor pen</v>
      </c>
      <c r="K337" s="4">
        <v>4</v>
      </c>
      <c r="L337" s="7"/>
      <c r="M337" s="7">
        <v>8</v>
      </c>
      <c r="N337" s="7"/>
      <c r="O337" s="7"/>
      <c r="P337" s="177"/>
      <c r="Q337" s="177"/>
      <c r="R337" s="177"/>
      <c r="S337" s="177"/>
    </row>
    <row r="338" spans="1:31">
      <c r="A338" s="111" t="s">
        <v>1341</v>
      </c>
      <c r="B338" s="111"/>
      <c r="C338" s="111"/>
      <c r="D338" s="111"/>
      <c r="E338" s="111"/>
      <c r="F338" s="111"/>
      <c r="G338" s="111"/>
      <c r="H338" s="3" t="s">
        <v>1342</v>
      </c>
      <c r="I338" s="3" t="s">
        <v>1343</v>
      </c>
      <c r="J338" s="112" t="str">
        <f ca="1">IFERROR(__xludf.DUMMYFUNCTION("JOIN("": "",H338,I338)"),"3E-26-22-00-00-00-00: Elementos para a proteção de condutores")</f>
        <v>3E-26-22-00-00-00-00: Elementos para a proteção de condutores</v>
      </c>
      <c r="K338" s="4">
        <v>3</v>
      </c>
      <c r="L338" s="7"/>
      <c r="M338" s="7">
        <v>8</v>
      </c>
      <c r="N338" s="7"/>
      <c r="O338" s="7"/>
      <c r="P338" s="177"/>
      <c r="Q338" s="177"/>
      <c r="R338" s="177"/>
      <c r="S338" s="177"/>
    </row>
    <row r="339" spans="1:31">
      <c r="A339" s="35" t="s">
        <v>1345</v>
      </c>
      <c r="B339" s="35"/>
      <c r="C339" s="35"/>
      <c r="D339" s="35"/>
      <c r="E339" s="35"/>
      <c r="F339" s="35"/>
      <c r="G339" s="35"/>
      <c r="H339" s="7" t="s">
        <v>1346</v>
      </c>
      <c r="I339" s="7" t="s">
        <v>1347</v>
      </c>
      <c r="J339" s="112" t="str">
        <f ca="1">IFERROR(__xludf.DUMMYFUNCTION("JOIN("": "",H339,I339)"),"3E-26-22-02-00-00-00: Condutos")</f>
        <v>3E-26-22-02-00-00-00: Condutos</v>
      </c>
      <c r="K339" s="4">
        <v>4</v>
      </c>
      <c r="L339" s="7"/>
      <c r="M339" s="7">
        <v>8</v>
      </c>
      <c r="N339" s="7"/>
      <c r="O339" s="7">
        <v>7</v>
      </c>
      <c r="P339" s="177">
        <v>1</v>
      </c>
      <c r="Q339" s="177">
        <v>2</v>
      </c>
      <c r="R339" s="177">
        <v>4</v>
      </c>
      <c r="S339" s="177">
        <f>PRODUCT(M339:R339)</f>
        <v>448</v>
      </c>
    </row>
    <row r="340" spans="1:31">
      <c r="A340" s="35" t="s">
        <v>1349</v>
      </c>
      <c r="B340" s="35"/>
      <c r="C340" s="35"/>
      <c r="D340" s="35"/>
      <c r="E340" s="35"/>
      <c r="F340" s="35"/>
      <c r="G340" s="35"/>
      <c r="H340" s="7" t="s">
        <v>1350</v>
      </c>
      <c r="I340" s="7" t="s">
        <v>1351</v>
      </c>
      <c r="J340" s="112" t="str">
        <f ca="1">IFERROR(__xludf.DUMMYFUNCTION("JOIN("": "",H340,I340)"),"3E-26-22-04-00-00-00: Fixadores")</f>
        <v>3E-26-22-04-00-00-00: Fixadores</v>
      </c>
      <c r="K340" s="4">
        <v>4</v>
      </c>
      <c r="L340" s="7"/>
      <c r="M340" s="7">
        <v>8</v>
      </c>
      <c r="N340" s="7"/>
      <c r="O340" s="7"/>
      <c r="P340" s="177"/>
      <c r="Q340" s="177"/>
      <c r="R340" s="177"/>
      <c r="S340" s="177"/>
    </row>
    <row r="341" spans="1:31">
      <c r="A341" s="35" t="s">
        <v>1353</v>
      </c>
      <c r="B341" s="35"/>
      <c r="C341" s="35"/>
      <c r="D341" s="35"/>
      <c r="E341" s="35"/>
      <c r="F341" s="35"/>
      <c r="G341" s="35"/>
      <c r="H341" s="7" t="s">
        <v>1354</v>
      </c>
      <c r="I341" s="7" t="s">
        <v>1355</v>
      </c>
      <c r="J341" s="112" t="str">
        <f ca="1">IFERROR(__xludf.DUMMYFUNCTION("JOIN("": "",H341,I341)"),"3E-26-22-06-00-00-00: Grampos")</f>
        <v>3E-26-22-06-00-00-00: Grampos</v>
      </c>
      <c r="K341" s="4">
        <v>4</v>
      </c>
      <c r="L341" s="7"/>
      <c r="M341" s="7">
        <v>8</v>
      </c>
      <c r="N341" s="7"/>
      <c r="O341" s="7"/>
      <c r="P341" s="177"/>
      <c r="Q341" s="177"/>
      <c r="R341" s="177"/>
      <c r="S341" s="177"/>
    </row>
    <row r="342" spans="1:31">
      <c r="A342" s="35" t="s">
        <v>1357</v>
      </c>
      <c r="B342" s="35"/>
      <c r="C342" s="35"/>
      <c r="D342" s="35"/>
      <c r="E342" s="35"/>
      <c r="F342" s="35"/>
      <c r="G342" s="35"/>
      <c r="H342" s="7" t="s">
        <v>1358</v>
      </c>
      <c r="I342" s="7" t="s">
        <v>1359</v>
      </c>
      <c r="J342" s="112" t="str">
        <f ca="1">IFERROR(__xludf.DUMMYFUNCTION("JOIN("": "",H342,I342)"),"3E-26-22-08-00-00-00: Suportes")</f>
        <v>3E-26-22-08-00-00-00: Suportes</v>
      </c>
      <c r="K342" s="4">
        <v>4</v>
      </c>
      <c r="L342" s="7"/>
      <c r="M342" s="7">
        <v>8</v>
      </c>
      <c r="N342" s="7"/>
      <c r="O342" s="7"/>
      <c r="P342" s="177"/>
      <c r="Q342" s="177"/>
      <c r="R342" s="177"/>
      <c r="S342" s="177"/>
    </row>
    <row r="343" spans="1:31">
      <c r="A343" s="35" t="s">
        <v>1361</v>
      </c>
      <c r="B343" s="35"/>
      <c r="C343" s="35"/>
      <c r="D343" s="35"/>
      <c r="E343" s="35"/>
      <c r="F343" s="35"/>
      <c r="G343" s="35"/>
      <c r="H343" s="7" t="s">
        <v>1362</v>
      </c>
      <c r="I343" s="7" t="s">
        <v>1363</v>
      </c>
      <c r="J343" s="112" t="str">
        <f ca="1">IFERROR(__xludf.DUMMYFUNCTION("JOIN("": "",H343,I343)"),"3E-26-22-10-00-00-00: Conectores")</f>
        <v>3E-26-22-10-00-00-00: Conectores</v>
      </c>
      <c r="K343" s="4">
        <v>4</v>
      </c>
      <c r="L343" s="7"/>
      <c r="M343" s="7">
        <v>8</v>
      </c>
      <c r="N343" s="7"/>
      <c r="O343" s="7"/>
      <c r="P343" s="177"/>
      <c r="Q343" s="177"/>
      <c r="R343" s="177"/>
      <c r="S343" s="177"/>
    </row>
    <row r="344" spans="1:31">
      <c r="A344" s="35" t="s">
        <v>1365</v>
      </c>
      <c r="B344" s="35"/>
      <c r="C344" s="35"/>
      <c r="D344" s="35"/>
      <c r="E344" s="35"/>
      <c r="F344" s="35"/>
      <c r="G344" s="35"/>
      <c r="H344" s="7" t="s">
        <v>1366</v>
      </c>
      <c r="I344" s="7" t="s">
        <v>1367</v>
      </c>
      <c r="J344" s="112" t="str">
        <f ca="1">IFERROR(__xludf.DUMMYFUNCTION("JOIN("": "",H344,I344)"),"3E-26-22-10-02-00-00: Derivadores")</f>
        <v>3E-26-22-10-02-00-00: Derivadores</v>
      </c>
      <c r="K344" s="4">
        <v>5</v>
      </c>
      <c r="L344" s="7"/>
      <c r="M344" s="7">
        <v>8</v>
      </c>
      <c r="N344" s="7"/>
      <c r="O344" s="7"/>
      <c r="P344" s="177"/>
      <c r="Q344" s="177"/>
      <c r="R344" s="177"/>
      <c r="S344" s="177"/>
    </row>
    <row r="345" spans="1:31">
      <c r="A345" s="35" t="s">
        <v>1369</v>
      </c>
      <c r="B345" s="35"/>
      <c r="C345" s="35"/>
      <c r="D345" s="35"/>
      <c r="E345" s="35"/>
      <c r="F345" s="35"/>
      <c r="G345" s="35"/>
      <c r="H345" s="7" t="s">
        <v>1370</v>
      </c>
      <c r="I345" s="7" t="s">
        <v>1371</v>
      </c>
      <c r="J345" s="112" t="str">
        <f ca="1">IFERROR(__xludf.DUMMYFUNCTION("JOIN("": "",H345,I345)"),"3E-26-22-10-04-00-00: Emendas")</f>
        <v>3E-26-22-10-04-00-00: Emendas</v>
      </c>
      <c r="K345" s="4">
        <v>5</v>
      </c>
      <c r="L345" s="7"/>
      <c r="M345" s="7">
        <v>8</v>
      </c>
      <c r="N345" s="7"/>
      <c r="O345" s="7"/>
      <c r="P345" s="177"/>
      <c r="Q345" s="177"/>
      <c r="R345" s="177"/>
      <c r="S345" s="177"/>
    </row>
    <row r="346" spans="1:31">
      <c r="A346" s="35" t="s">
        <v>1373</v>
      </c>
      <c r="B346" s="35"/>
      <c r="C346" s="35"/>
      <c r="D346" s="35"/>
      <c r="E346" s="35"/>
      <c r="F346" s="35"/>
      <c r="G346" s="35"/>
      <c r="H346" s="7" t="s">
        <v>1374</v>
      </c>
      <c r="I346" s="7" t="s">
        <v>1375</v>
      </c>
      <c r="J346" s="112" t="str">
        <f ca="1">IFERROR(__xludf.DUMMYFUNCTION("JOIN("": "",H346,I346)"),"3E-26-22-10-06-00-00: Terminais")</f>
        <v>3E-26-22-10-06-00-00: Terminais</v>
      </c>
      <c r="K346" s="4">
        <v>5</v>
      </c>
      <c r="L346" s="7"/>
      <c r="M346" s="7">
        <v>8</v>
      </c>
      <c r="N346" s="7"/>
      <c r="O346" s="7"/>
      <c r="P346" s="177"/>
      <c r="Q346" s="177"/>
      <c r="R346" s="177"/>
      <c r="S346" s="177"/>
    </row>
    <row r="347" spans="1:31">
      <c r="A347" s="111" t="s">
        <v>1377</v>
      </c>
      <c r="B347" s="111"/>
      <c r="C347" s="111"/>
      <c r="D347" s="111"/>
      <c r="E347" s="111"/>
      <c r="F347" s="111"/>
      <c r="G347" s="111"/>
      <c r="H347" s="3" t="s">
        <v>1378</v>
      </c>
      <c r="I347" s="3" t="s">
        <v>1379</v>
      </c>
      <c r="J347" s="112" t="str">
        <f ca="1">IFERROR(__xludf.DUMMYFUNCTION("JOIN("": "",H347,I347)"),"3E-28-00-00-00-00-00: Elementos de iluminação")</f>
        <v>3E-28-00-00-00-00-00: Elementos de iluminação</v>
      </c>
      <c r="K347" s="4">
        <v>2</v>
      </c>
      <c r="L347" s="7"/>
      <c r="M347" s="7"/>
      <c r="N347" s="7"/>
      <c r="O347" s="7"/>
      <c r="P347" s="177"/>
      <c r="Q347" s="177"/>
      <c r="R347" s="177"/>
      <c r="S347" s="177"/>
      <c r="AD347" s="7"/>
      <c r="AE347" s="35"/>
    </row>
    <row r="348" spans="1:31">
      <c r="A348" s="111" t="s">
        <v>1381</v>
      </c>
      <c r="B348" s="111"/>
      <c r="C348" s="111"/>
      <c r="D348" s="111"/>
      <c r="E348" s="111"/>
      <c r="F348" s="111"/>
      <c r="G348" s="111"/>
      <c r="H348" s="3" t="s">
        <v>1382</v>
      </c>
      <c r="I348" s="3" t="s">
        <v>1383</v>
      </c>
      <c r="J348" s="112" t="str">
        <f ca="1">IFERROR(__xludf.DUMMYFUNCTION("JOIN("": "",H348,I348)"),"3E-28-02-00-00-00-00: Elementos de iluminação de uso geral")</f>
        <v>3E-28-02-00-00-00-00: Elementos de iluminação de uso geral</v>
      </c>
      <c r="K348" s="4">
        <v>3</v>
      </c>
      <c r="L348" s="7"/>
      <c r="M348" s="7"/>
      <c r="N348" s="7"/>
      <c r="O348" s="7"/>
      <c r="P348" s="177"/>
      <c r="Q348" s="177"/>
      <c r="R348" s="177"/>
      <c r="S348" s="177"/>
    </row>
    <row r="349" spans="1:31">
      <c r="A349" s="35" t="s">
        <v>1385</v>
      </c>
      <c r="B349" s="35"/>
      <c r="C349" s="35"/>
      <c r="D349" s="35"/>
      <c r="E349" s="35"/>
      <c r="F349" s="35"/>
      <c r="G349" s="35"/>
      <c r="H349" s="7" t="s">
        <v>1386</v>
      </c>
      <c r="I349" s="7" t="s">
        <v>1387</v>
      </c>
      <c r="J349" s="112" t="str">
        <f ca="1">IFERROR(__xludf.DUMMYFUNCTION("JOIN("": "",H349,I349)"),"3E-28-02-02-00-00-00: Fluxo luminoso direto")</f>
        <v>3E-28-02-02-00-00-00: Fluxo luminoso direto</v>
      </c>
      <c r="K349" s="4">
        <v>4</v>
      </c>
      <c r="L349" s="7"/>
      <c r="M349" s="7"/>
      <c r="N349" s="7"/>
      <c r="O349" s="7"/>
      <c r="P349" s="177"/>
      <c r="Q349" s="177"/>
      <c r="R349" s="177"/>
      <c r="S349" s="177"/>
    </row>
    <row r="350" spans="1:31">
      <c r="A350" s="35" t="s">
        <v>1389</v>
      </c>
      <c r="B350" s="35"/>
      <c r="C350" s="35"/>
      <c r="D350" s="35"/>
      <c r="E350" s="35"/>
      <c r="F350" s="35"/>
      <c r="G350" s="35"/>
      <c r="H350" s="7" t="s">
        <v>1390</v>
      </c>
      <c r="I350" s="7" t="s">
        <v>1391</v>
      </c>
      <c r="J350" s="112" t="str">
        <f ca="1">IFERROR(__xludf.DUMMYFUNCTION("JOIN("": "",H350,I350)"),"3E-28-02-04-00-00-00: Fluxo luminoso indireto")</f>
        <v>3E-28-02-04-00-00-00: Fluxo luminoso indireto</v>
      </c>
      <c r="K350" s="4">
        <v>4</v>
      </c>
      <c r="L350" s="7"/>
      <c r="M350" s="7"/>
      <c r="N350" s="7"/>
      <c r="O350" s="7"/>
      <c r="P350" s="177"/>
      <c r="Q350" s="177"/>
      <c r="R350" s="177"/>
      <c r="S350" s="177"/>
    </row>
    <row r="351" spans="1:31">
      <c r="A351" s="35" t="s">
        <v>1393</v>
      </c>
      <c r="B351" s="35"/>
      <c r="C351" s="35"/>
      <c r="D351" s="35"/>
      <c r="E351" s="35"/>
      <c r="F351" s="35"/>
      <c r="G351" s="35"/>
      <c r="H351" s="7" t="s">
        <v>1394</v>
      </c>
      <c r="I351" s="7" t="s">
        <v>1395</v>
      </c>
      <c r="J351" s="112" t="str">
        <f ca="1">IFERROR(__xludf.DUMMYFUNCTION("JOIN("": "",H351,I351)"),"3E-28-02-06-00-00-00: Fluxo luminoso semidireto")</f>
        <v>3E-28-02-06-00-00-00: Fluxo luminoso semidireto</v>
      </c>
      <c r="K351" s="4">
        <v>4</v>
      </c>
      <c r="L351" s="7"/>
      <c r="M351" s="7"/>
      <c r="N351" s="7"/>
      <c r="O351" s="7"/>
      <c r="P351" s="177"/>
      <c r="Q351" s="177"/>
      <c r="R351" s="177"/>
      <c r="S351" s="177"/>
    </row>
    <row r="352" spans="1:31">
      <c r="A352" s="35" t="s">
        <v>1397</v>
      </c>
      <c r="B352" s="35"/>
      <c r="C352" s="35"/>
      <c r="D352" s="35"/>
      <c r="E352" s="35"/>
      <c r="F352" s="35"/>
      <c r="G352" s="35"/>
      <c r="H352" s="7" t="s">
        <v>1398</v>
      </c>
      <c r="I352" s="7" t="s">
        <v>1399</v>
      </c>
      <c r="J352" s="112" t="str">
        <f ca="1">IFERROR(__xludf.DUMMYFUNCTION("JOIN("": "",H352,I352)"),"3E-28-02-08-00-00-00: Fluxo luminoso semi-indireto")</f>
        <v>3E-28-02-08-00-00-00: Fluxo luminoso semi-indireto</v>
      </c>
      <c r="K352" s="4">
        <v>4</v>
      </c>
      <c r="L352" s="7"/>
      <c r="M352" s="7"/>
      <c r="N352" s="7"/>
      <c r="O352" s="7"/>
      <c r="P352" s="177"/>
      <c r="Q352" s="177"/>
      <c r="R352" s="177"/>
      <c r="S352" s="177"/>
    </row>
    <row r="353" spans="1:31">
      <c r="A353" s="35" t="s">
        <v>1401</v>
      </c>
      <c r="B353" s="35"/>
      <c r="C353" s="35"/>
      <c r="D353" s="35"/>
      <c r="E353" s="35"/>
      <c r="F353" s="35"/>
      <c r="G353" s="35"/>
      <c r="H353" s="7" t="s">
        <v>1402</v>
      </c>
      <c r="I353" s="7" t="s">
        <v>1403</v>
      </c>
      <c r="J353" s="112" t="str">
        <f ca="1">IFERROR(__xludf.DUMMYFUNCTION("JOIN("": "",H353,I353)"),"3E-28-02-10-00-00-00: Fluxo luminoso geral-difuso")</f>
        <v>3E-28-02-10-00-00-00: Fluxo luminoso geral-difuso</v>
      </c>
      <c r="K353" s="4">
        <v>4</v>
      </c>
      <c r="L353" s="7"/>
      <c r="M353" s="7"/>
      <c r="N353" s="7"/>
      <c r="O353" s="7"/>
      <c r="P353" s="177"/>
      <c r="Q353" s="177"/>
      <c r="R353" s="177"/>
      <c r="S353" s="177"/>
    </row>
    <row r="354" spans="1:31">
      <c r="A354" s="111" t="s">
        <v>1405</v>
      </c>
      <c r="B354" s="111"/>
      <c r="C354" s="111"/>
      <c r="D354" s="111"/>
      <c r="E354" s="111"/>
      <c r="F354" s="111"/>
      <c r="G354" s="111"/>
      <c r="H354" s="3" t="s">
        <v>1406</v>
      </c>
      <c r="I354" s="3" t="s">
        <v>1407</v>
      </c>
      <c r="J354" s="112" t="str">
        <f ca="1">IFERROR(__xludf.DUMMYFUNCTION("JOIN("": "",H354,I354)"),"3E-28-04-00-00-00-00: Elementos para modificar fluxos luminosos")</f>
        <v>3E-28-04-00-00-00-00: Elementos para modificar fluxos luminosos</v>
      </c>
      <c r="K354" s="4">
        <v>3</v>
      </c>
      <c r="L354" s="7"/>
      <c r="M354" s="7"/>
      <c r="N354" s="7"/>
      <c r="O354" s="7"/>
      <c r="P354" s="177"/>
      <c r="Q354" s="177"/>
      <c r="R354" s="177"/>
      <c r="S354" s="177"/>
    </row>
    <row r="355" spans="1:31">
      <c r="A355" s="35" t="s">
        <v>1409</v>
      </c>
      <c r="B355" s="35"/>
      <c r="C355" s="35"/>
      <c r="D355" s="35"/>
      <c r="E355" s="35"/>
      <c r="F355" s="35"/>
      <c r="G355" s="35"/>
      <c r="H355" s="7" t="s">
        <v>1410</v>
      </c>
      <c r="I355" s="7" t="s">
        <v>1411</v>
      </c>
      <c r="J355" s="112" t="str">
        <f ca="1">IFERROR(__xludf.DUMMYFUNCTION("JOIN("": "",H355,I355)"),"3E-28-04-02-00-00-00: Superfície de absorção")</f>
        <v>3E-28-04-02-00-00-00: Superfície de absorção</v>
      </c>
      <c r="K355" s="4">
        <v>4</v>
      </c>
      <c r="L355" s="7"/>
      <c r="M355" s="7"/>
      <c r="N355" s="7"/>
      <c r="O355" s="7"/>
      <c r="P355" s="177"/>
      <c r="Q355" s="177"/>
      <c r="R355" s="177"/>
      <c r="S355" s="177"/>
    </row>
    <row r="356" spans="1:31">
      <c r="A356" s="35" t="s">
        <v>1413</v>
      </c>
      <c r="B356" s="35"/>
      <c r="C356" s="35"/>
      <c r="D356" s="35"/>
      <c r="E356" s="35"/>
      <c r="F356" s="35"/>
      <c r="G356" s="35"/>
      <c r="H356" s="7" t="s">
        <v>1414</v>
      </c>
      <c r="I356" s="7" t="s">
        <v>1415</v>
      </c>
      <c r="J356" s="112" t="str">
        <f ca="1">IFERROR(__xludf.DUMMYFUNCTION("JOIN("": "",H356,I356)"),"3E-28-04-04-00-00-00: Superfície de refração")</f>
        <v>3E-28-04-04-00-00-00: Superfície de refração</v>
      </c>
      <c r="K356" s="4">
        <v>4</v>
      </c>
      <c r="L356" s="7"/>
      <c r="M356" s="7"/>
      <c r="N356" s="7"/>
      <c r="O356" s="7"/>
      <c r="P356" s="177"/>
      <c r="Q356" s="177"/>
      <c r="R356" s="177"/>
      <c r="S356" s="177"/>
    </row>
    <row r="357" spans="1:31">
      <c r="A357" s="35" t="s">
        <v>1417</v>
      </c>
      <c r="B357" s="35"/>
      <c r="C357" s="35"/>
      <c r="D357" s="35"/>
      <c r="E357" s="35"/>
      <c r="F357" s="35"/>
      <c r="G357" s="35"/>
      <c r="H357" s="7" t="s">
        <v>1418</v>
      </c>
      <c r="I357" s="7" t="s">
        <v>1419</v>
      </c>
      <c r="J357" s="112" t="str">
        <f ca="1">IFERROR(__xludf.DUMMYFUNCTION("JOIN("": "",H357,I357)"),"3E-28-04-06-00-00-00: Superficie de reflexão")</f>
        <v>3E-28-04-06-00-00-00: Superficie de reflexão</v>
      </c>
      <c r="K357" s="4">
        <v>4</v>
      </c>
      <c r="L357" s="7"/>
      <c r="M357" s="7"/>
      <c r="N357" s="7"/>
      <c r="O357" s="7"/>
      <c r="P357" s="177"/>
      <c r="Q357" s="177"/>
      <c r="R357" s="177"/>
      <c r="S357" s="177"/>
    </row>
    <row r="358" spans="1:31">
      <c r="A358" s="35" t="s">
        <v>1421</v>
      </c>
      <c r="B358" s="35"/>
      <c r="C358" s="35"/>
      <c r="D358" s="35"/>
      <c r="E358" s="35"/>
      <c r="F358" s="35"/>
      <c r="G358" s="35"/>
      <c r="H358" s="7" t="s">
        <v>1422</v>
      </c>
      <c r="I358" s="7" t="s">
        <v>1423</v>
      </c>
      <c r="J358" s="112" t="str">
        <f ca="1">IFERROR(__xludf.DUMMYFUNCTION("JOIN("": "",H358,I358)"),"3E-28-04-08-00-00-00: Superfície de difusão")</f>
        <v>3E-28-04-08-00-00-00: Superfície de difusão</v>
      </c>
      <c r="K358" s="4">
        <v>4</v>
      </c>
      <c r="L358" s="7"/>
      <c r="M358" s="7"/>
      <c r="N358" s="7"/>
      <c r="O358" s="7"/>
      <c r="P358" s="177"/>
      <c r="Q358" s="177"/>
      <c r="R358" s="177"/>
      <c r="S358" s="177"/>
    </row>
    <row r="359" spans="1:31">
      <c r="A359" s="35" t="s">
        <v>1425</v>
      </c>
      <c r="B359" s="35"/>
      <c r="C359" s="35"/>
      <c r="D359" s="35"/>
      <c r="E359" s="35"/>
      <c r="F359" s="35"/>
      <c r="G359" s="35"/>
      <c r="H359" s="7" t="s">
        <v>1426</v>
      </c>
      <c r="I359" s="7" t="s">
        <v>1427</v>
      </c>
      <c r="J359" s="112" t="str">
        <f ca="1">IFERROR(__xludf.DUMMYFUNCTION("JOIN("": "",H359,I359)"),"3E-28-04-10-00-00-00: Superfície louver")</f>
        <v>3E-28-04-10-00-00-00: Superfície louver</v>
      </c>
      <c r="K359" s="4">
        <v>4</v>
      </c>
      <c r="L359" s="7"/>
      <c r="M359" s="7"/>
      <c r="N359" s="7"/>
      <c r="O359" s="7"/>
      <c r="P359" s="177"/>
      <c r="Q359" s="177"/>
      <c r="R359" s="177"/>
      <c r="S359" s="177"/>
    </row>
    <row r="360" spans="1:31">
      <c r="A360" s="111" t="s">
        <v>1429</v>
      </c>
      <c r="B360" s="111"/>
      <c r="C360" s="111"/>
      <c r="D360" s="111"/>
      <c r="E360" s="111"/>
      <c r="F360" s="111"/>
      <c r="G360" s="111"/>
      <c r="H360" s="3" t="s">
        <v>1430</v>
      </c>
      <c r="I360" s="3" t="s">
        <v>1431</v>
      </c>
      <c r="J360" s="112" t="str">
        <f ca="1">IFERROR(__xludf.DUMMYFUNCTION("JOIN("": "",H360,I360)"),"3E-28-06-00-00-00-00: Elementos de iluminação de emergência")</f>
        <v>3E-28-06-00-00-00-00: Elementos de iluminação de emergência</v>
      </c>
      <c r="K360" s="4">
        <v>3</v>
      </c>
      <c r="L360" s="7"/>
      <c r="M360" s="7"/>
      <c r="N360" s="7"/>
      <c r="O360" s="7"/>
      <c r="P360" s="177"/>
      <c r="Q360" s="177"/>
      <c r="R360" s="177"/>
      <c r="S360" s="177"/>
    </row>
    <row r="361" spans="1:31">
      <c r="A361" s="111" t="s">
        <v>1433</v>
      </c>
      <c r="B361" s="111"/>
      <c r="C361" s="111"/>
      <c r="D361" s="111"/>
      <c r="E361" s="111"/>
      <c r="F361" s="111"/>
      <c r="G361" s="111"/>
      <c r="H361" s="3" t="s">
        <v>1434</v>
      </c>
      <c r="I361" s="3" t="s">
        <v>1435</v>
      </c>
      <c r="J361" s="112" t="str">
        <f ca="1">IFERROR(__xludf.DUMMYFUNCTION("JOIN("": "",H361,I361)"),"3E-30-00-00-00-00-00: Elementos de ventilação e exaustão")</f>
        <v>3E-30-00-00-00-00-00: Elementos de ventilação e exaustão</v>
      </c>
      <c r="K361" s="4">
        <v>2</v>
      </c>
      <c r="L361" s="7"/>
      <c r="M361" s="7"/>
      <c r="N361" s="7"/>
      <c r="O361" s="7"/>
      <c r="P361" s="177"/>
      <c r="Q361" s="177"/>
      <c r="R361" s="177"/>
      <c r="S361" s="177"/>
      <c r="AD361" s="7"/>
      <c r="AE361" s="35"/>
    </row>
    <row r="362" spans="1:31">
      <c r="A362" s="111" t="s">
        <v>1437</v>
      </c>
      <c r="B362" s="111"/>
      <c r="C362" s="111"/>
      <c r="D362" s="111"/>
      <c r="E362" s="111"/>
      <c r="F362" s="111"/>
      <c r="G362" s="111"/>
      <c r="H362" s="3" t="s">
        <v>1438</v>
      </c>
      <c r="I362" s="3" t="s">
        <v>1439</v>
      </c>
      <c r="J362" s="112" t="str">
        <f ca="1">IFERROR(__xludf.DUMMYFUNCTION("JOIN("": "",H362,I362)"),"3E-30-02-00-00-00-00: Elementos de ventilação")</f>
        <v>3E-30-02-00-00-00-00: Elementos de ventilação</v>
      </c>
      <c r="K362" s="4">
        <v>3</v>
      </c>
      <c r="L362" s="7"/>
      <c r="M362" s="7"/>
      <c r="N362" s="7"/>
      <c r="O362" s="7"/>
      <c r="P362" s="177"/>
      <c r="Q362" s="177"/>
      <c r="R362" s="177"/>
      <c r="S362" s="177"/>
    </row>
    <row r="363" spans="1:31">
      <c r="A363" s="35" t="s">
        <v>1441</v>
      </c>
      <c r="B363" s="35"/>
      <c r="C363" s="35"/>
      <c r="D363" s="35"/>
      <c r="E363" s="35"/>
      <c r="F363" s="35"/>
      <c r="G363" s="35"/>
      <c r="H363" s="7" t="s">
        <v>1442</v>
      </c>
      <c r="I363" s="7" t="s">
        <v>1443</v>
      </c>
      <c r="J363" s="112" t="str">
        <f ca="1">IFERROR(__xludf.DUMMYFUNCTION("JOIN("": "",H363,I363)"),"3E-30-02-02-00-00-00: Ventilador centrífugo")</f>
        <v>3E-30-02-02-00-00-00: Ventilador centrífugo</v>
      </c>
      <c r="K363" s="4">
        <v>4</v>
      </c>
      <c r="L363" s="7"/>
      <c r="M363" s="7"/>
      <c r="N363" s="7"/>
      <c r="O363" s="7"/>
      <c r="P363" s="177"/>
      <c r="Q363" s="177"/>
      <c r="R363" s="177"/>
      <c r="S363" s="177"/>
    </row>
    <row r="364" spans="1:31">
      <c r="A364" s="35" t="s">
        <v>1445</v>
      </c>
      <c r="B364" s="35"/>
      <c r="C364" s="35"/>
      <c r="D364" s="35"/>
      <c r="E364" s="35"/>
      <c r="F364" s="35"/>
      <c r="G364" s="35"/>
      <c r="H364" s="7" t="s">
        <v>1446</v>
      </c>
      <c r="I364" s="7" t="s">
        <v>1447</v>
      </c>
      <c r="J364" s="112" t="str">
        <f ca="1">IFERROR(__xludf.DUMMYFUNCTION("JOIN("": "",H364,I364)"),"3E-30-02-04-00-00-00: Ventilador axial ou tipo hélice")</f>
        <v>3E-30-02-04-00-00-00: Ventilador axial ou tipo hélice</v>
      </c>
      <c r="K364" s="4">
        <v>4</v>
      </c>
      <c r="L364" s="7"/>
      <c r="M364" s="7"/>
      <c r="N364" s="7"/>
      <c r="O364" s="7"/>
      <c r="P364" s="177"/>
      <c r="Q364" s="177"/>
      <c r="R364" s="177"/>
      <c r="S364" s="177"/>
    </row>
    <row r="365" spans="1:31">
      <c r="A365" s="111" t="s">
        <v>1449</v>
      </c>
      <c r="B365" s="111"/>
      <c r="C365" s="111"/>
      <c r="D365" s="111"/>
      <c r="E365" s="111"/>
      <c r="F365" s="111"/>
      <c r="G365" s="111"/>
      <c r="H365" s="3" t="s">
        <v>1450</v>
      </c>
      <c r="I365" s="3" t="s">
        <v>1451</v>
      </c>
      <c r="J365" s="112" t="str">
        <f ca="1">IFERROR(__xludf.DUMMYFUNCTION("JOIN("": "",H365,I365)"),"3E-30-04-00-00-00-00: Elementos de exaustão")</f>
        <v>3E-30-04-00-00-00-00: Elementos de exaustão</v>
      </c>
      <c r="K365" s="4">
        <v>3</v>
      </c>
      <c r="L365" s="7"/>
      <c r="M365" s="7"/>
      <c r="N365" s="7"/>
      <c r="O365" s="7"/>
      <c r="P365" s="177"/>
      <c r="Q365" s="177"/>
      <c r="R365" s="177"/>
      <c r="S365" s="177"/>
    </row>
    <row r="366" spans="1:31">
      <c r="A366" s="35" t="s">
        <v>1453</v>
      </c>
      <c r="B366" s="35"/>
      <c r="C366" s="35"/>
      <c r="D366" s="35"/>
      <c r="E366" s="35"/>
      <c r="F366" s="35"/>
      <c r="G366" s="35"/>
      <c r="H366" s="7" t="s">
        <v>1454</v>
      </c>
      <c r="I366" s="7" t="s">
        <v>1455</v>
      </c>
      <c r="J366" s="112" t="str">
        <f ca="1">IFERROR(__xludf.DUMMYFUNCTION("JOIN("": "",H366,I366)"),"3E-30-04-02-00-00-00: Captor de exaustão")</f>
        <v>3E-30-04-02-00-00-00: Captor de exaustão</v>
      </c>
      <c r="K366" s="4">
        <v>4</v>
      </c>
      <c r="L366" s="7"/>
      <c r="M366" s="7"/>
      <c r="N366" s="7"/>
      <c r="O366" s="7"/>
      <c r="P366" s="177"/>
      <c r="Q366" s="177"/>
      <c r="R366" s="177"/>
      <c r="S366" s="177"/>
    </row>
    <row r="367" spans="1:31">
      <c r="A367" s="35" t="s">
        <v>1457</v>
      </c>
      <c r="B367" s="35"/>
      <c r="C367" s="35"/>
      <c r="D367" s="35"/>
      <c r="E367" s="35"/>
      <c r="F367" s="35"/>
      <c r="G367" s="35"/>
      <c r="H367" s="7" t="s">
        <v>1458</v>
      </c>
      <c r="I367" s="7" t="s">
        <v>1459</v>
      </c>
      <c r="J367" s="112" t="str">
        <f ca="1">IFERROR(__xludf.DUMMYFUNCTION("JOIN("": "",H367,I367)"),"3E-30-04-04-00-00-00: Duto de ar de exaustão")</f>
        <v>3E-30-04-04-00-00-00: Duto de ar de exaustão</v>
      </c>
      <c r="K367" s="4">
        <v>4</v>
      </c>
      <c r="L367" s="7"/>
      <c r="M367" s="7"/>
      <c r="N367" s="7"/>
      <c r="O367" s="7"/>
      <c r="P367" s="177"/>
      <c r="Q367" s="177"/>
      <c r="R367" s="177"/>
      <c r="S367" s="177"/>
    </row>
    <row r="368" spans="1:31">
      <c r="A368" s="35" t="s">
        <v>1461</v>
      </c>
      <c r="B368" s="35"/>
      <c r="C368" s="35"/>
      <c r="D368" s="35"/>
      <c r="E368" s="35"/>
      <c r="F368" s="35"/>
      <c r="G368" s="35"/>
      <c r="H368" s="7" t="s">
        <v>1462</v>
      </c>
      <c r="I368" s="7" t="s">
        <v>1463</v>
      </c>
      <c r="J368" s="112" t="str">
        <f ca="1">IFERROR(__xludf.DUMMYFUNCTION("JOIN("": "",H368,I368)"),"3E-30-04-06-00-00-00: Ventilador de exaustão")</f>
        <v>3E-30-04-06-00-00-00: Ventilador de exaustão</v>
      </c>
      <c r="K368" s="4">
        <v>4</v>
      </c>
      <c r="L368" s="7"/>
      <c r="M368" s="7"/>
      <c r="N368" s="7"/>
      <c r="O368" s="7"/>
      <c r="P368" s="177"/>
      <c r="Q368" s="177"/>
      <c r="R368" s="177"/>
      <c r="S368" s="177"/>
    </row>
    <row r="369" spans="1:31">
      <c r="A369" s="35" t="s">
        <v>1465</v>
      </c>
      <c r="B369" s="35"/>
      <c r="C369" s="35"/>
      <c r="D369" s="35"/>
      <c r="E369" s="35"/>
      <c r="F369" s="35"/>
      <c r="G369" s="35"/>
      <c r="H369" s="7" t="s">
        <v>1466</v>
      </c>
      <c r="I369" s="7" t="s">
        <v>1467</v>
      </c>
      <c r="J369" s="112" t="str">
        <f ca="1">IFERROR(__xludf.DUMMYFUNCTION("JOIN("": "",H369,I369)"),"3E-30-04-08-00-00-00: Chaminé de exaustão")</f>
        <v>3E-30-04-08-00-00-00: Chaminé de exaustão</v>
      </c>
      <c r="K369" s="4">
        <v>4</v>
      </c>
      <c r="L369" s="7"/>
      <c r="M369" s="7"/>
      <c r="N369" s="7"/>
      <c r="O369" s="7"/>
      <c r="P369" s="177"/>
      <c r="Q369" s="177"/>
      <c r="R369" s="177"/>
      <c r="S369" s="177"/>
    </row>
    <row r="370" spans="1:31">
      <c r="A370" s="111" t="s">
        <v>1469</v>
      </c>
      <c r="B370" s="111"/>
      <c r="C370" s="111"/>
      <c r="D370" s="111"/>
      <c r="E370" s="111"/>
      <c r="F370" s="111"/>
      <c r="G370" s="111"/>
      <c r="H370" s="3" t="s">
        <v>1470</v>
      </c>
      <c r="I370" s="3" t="s">
        <v>1471</v>
      </c>
      <c r="J370" s="112" t="str">
        <f ca="1">IFERROR(__xludf.DUMMYFUNCTION("JOIN("": "",H370,I370)"),"3E-32-00-00-00-00-00: Elementos de rede de distribuição de telecomunicações")</f>
        <v>3E-32-00-00-00-00-00: Elementos de rede de distribuição de telecomunicações</v>
      </c>
      <c r="K370" s="4">
        <v>2</v>
      </c>
      <c r="L370" s="7"/>
      <c r="M370" s="7"/>
      <c r="N370" s="7"/>
      <c r="O370" s="7"/>
      <c r="P370" s="177"/>
      <c r="Q370" s="177"/>
      <c r="R370" s="177"/>
      <c r="S370" s="177"/>
      <c r="AD370" s="7"/>
      <c r="AE370" s="35"/>
    </row>
    <row r="371" spans="1:31">
      <c r="A371" s="111" t="s">
        <v>1473</v>
      </c>
      <c r="B371" s="111"/>
      <c r="C371" s="111"/>
      <c r="D371" s="111"/>
      <c r="E371" s="111"/>
      <c r="F371" s="111"/>
      <c r="G371" s="111"/>
      <c r="H371" s="3" t="s">
        <v>1474</v>
      </c>
      <c r="I371" s="3" t="s">
        <v>1475</v>
      </c>
      <c r="J371" s="112" t="str">
        <f ca="1">IFERROR(__xludf.DUMMYFUNCTION("JOIN("": "",H371,I371)"),"3E-32-02-00-00-00-00: Elementos de rede de distribuição de telefonia")</f>
        <v>3E-32-02-00-00-00-00: Elementos de rede de distribuição de telefonia</v>
      </c>
      <c r="K371" s="4">
        <v>3</v>
      </c>
      <c r="L371" s="7"/>
      <c r="M371" s="7"/>
      <c r="N371" s="7"/>
      <c r="O371" s="7"/>
      <c r="P371" s="177"/>
      <c r="Q371" s="177"/>
      <c r="R371" s="177"/>
      <c r="S371" s="177"/>
    </row>
    <row r="372" spans="1:31">
      <c r="A372" s="35" t="s">
        <v>1477</v>
      </c>
      <c r="B372" s="35"/>
      <c r="C372" s="35"/>
      <c r="D372" s="35"/>
      <c r="E372" s="35"/>
      <c r="F372" s="35"/>
      <c r="G372" s="35"/>
      <c r="H372" s="7" t="s">
        <v>1478</v>
      </c>
      <c r="I372" s="7" t="s">
        <v>1479</v>
      </c>
      <c r="J372" s="112" t="str">
        <f ca="1">IFERROR(__xludf.DUMMYFUNCTION("JOIN("": "",H372,I372)"),"3E-32-02-02-00-00-00: Elementos da rede primária de distribuição de telefonia")</f>
        <v>3E-32-02-02-00-00-00: Elementos da rede primária de distribuição de telefonia</v>
      </c>
      <c r="K372" s="4">
        <v>4</v>
      </c>
      <c r="L372" s="7"/>
      <c r="M372" s="7"/>
      <c r="N372" s="7"/>
      <c r="O372" s="7"/>
      <c r="P372" s="177"/>
      <c r="Q372" s="177"/>
      <c r="R372" s="177"/>
      <c r="S372" s="177"/>
    </row>
    <row r="373" spans="1:31">
      <c r="A373" s="35" t="s">
        <v>1481</v>
      </c>
      <c r="B373" s="35"/>
      <c r="C373" s="35"/>
      <c r="D373" s="35"/>
      <c r="E373" s="35"/>
      <c r="F373" s="35"/>
      <c r="G373" s="35"/>
      <c r="H373" s="7" t="s">
        <v>1482</v>
      </c>
      <c r="I373" s="7" t="s">
        <v>1483</v>
      </c>
      <c r="J373" s="112" t="str">
        <f ca="1">IFERROR(__xludf.DUMMYFUNCTION("JOIN("": "",H373,I373)"),"3E-32-02-04-00-00-00: Elementos da rede secundária de distribuição de telefonia")</f>
        <v>3E-32-02-04-00-00-00: Elementos da rede secundária de distribuição de telefonia</v>
      </c>
      <c r="K373" s="4">
        <v>4</v>
      </c>
      <c r="L373" s="7"/>
      <c r="M373" s="7"/>
      <c r="N373" s="7"/>
      <c r="O373" s="7"/>
      <c r="P373" s="177"/>
      <c r="Q373" s="177"/>
      <c r="R373" s="177"/>
      <c r="S373" s="177"/>
    </row>
    <row r="374" spans="1:31">
      <c r="A374" s="111" t="s">
        <v>1485</v>
      </c>
      <c r="B374" s="111"/>
      <c r="C374" s="111"/>
      <c r="D374" s="111"/>
      <c r="E374" s="111"/>
      <c r="F374" s="111"/>
      <c r="G374" s="111"/>
      <c r="H374" s="3" t="s">
        <v>1486</v>
      </c>
      <c r="I374" s="3" t="s">
        <v>1487</v>
      </c>
      <c r="J374" s="112" t="str">
        <f ca="1">IFERROR(__xludf.DUMMYFUNCTION("JOIN("": "",H374,I374)"),"3E-32-04-00-00-00-00: Elementos para redes de rádio")</f>
        <v>3E-32-04-00-00-00-00: Elementos para redes de rádio</v>
      </c>
      <c r="K374" s="4">
        <v>3</v>
      </c>
      <c r="L374" s="7"/>
      <c r="M374" s="7"/>
      <c r="N374" s="7"/>
      <c r="O374" s="7"/>
      <c r="P374" s="177"/>
      <c r="Q374" s="177"/>
      <c r="R374" s="177"/>
      <c r="S374" s="177"/>
    </row>
    <row r="375" spans="1:31">
      <c r="A375" s="111" t="s">
        <v>1489</v>
      </c>
      <c r="B375" s="111"/>
      <c r="C375" s="111"/>
      <c r="D375" s="111"/>
      <c r="E375" s="111"/>
      <c r="F375" s="111"/>
      <c r="G375" s="111"/>
      <c r="H375" s="3" t="s">
        <v>1490</v>
      </c>
      <c r="I375" s="3" t="s">
        <v>1491</v>
      </c>
      <c r="J375" s="112" t="str">
        <f ca="1">IFERROR(__xludf.DUMMYFUNCTION("JOIN("": "",H375,I375)"),"3E-32-06-00-00-00-00: Elementos para redes de tv")</f>
        <v>3E-32-06-00-00-00-00: Elementos para redes de tv</v>
      </c>
      <c r="K375" s="4">
        <v>3</v>
      </c>
      <c r="L375" s="7"/>
      <c r="M375" s="7"/>
      <c r="N375" s="7"/>
      <c r="O375" s="7"/>
      <c r="P375" s="177"/>
      <c r="Q375" s="177"/>
      <c r="R375" s="177"/>
      <c r="S375" s="177"/>
    </row>
    <row r="376" spans="1:31">
      <c r="A376" s="111" t="s">
        <v>1493</v>
      </c>
      <c r="B376" s="111"/>
      <c r="C376" s="111"/>
      <c r="D376" s="111"/>
      <c r="E376" s="111"/>
      <c r="F376" s="111"/>
      <c r="G376" s="111"/>
      <c r="H376" s="3" t="s">
        <v>1494</v>
      </c>
      <c r="I376" s="3" t="s">
        <v>1495</v>
      </c>
      <c r="J376" s="112" t="str">
        <f ca="1">IFERROR(__xludf.DUMMYFUNCTION("JOIN("": "",H376,I376)"),"3E-32-08-00-00-00-00: Elementos para distribuição de internet")</f>
        <v>3E-32-08-00-00-00-00: Elementos para distribuição de internet</v>
      </c>
      <c r="K376" s="4">
        <v>3</v>
      </c>
      <c r="L376" s="7"/>
      <c r="M376" s="7"/>
      <c r="N376" s="7"/>
      <c r="O376" s="7"/>
      <c r="P376" s="177"/>
      <c r="Q376" s="177"/>
      <c r="R376" s="177"/>
      <c r="S376" s="177"/>
    </row>
    <row r="377" spans="1:31">
      <c r="A377" s="111" t="s">
        <v>1497</v>
      </c>
      <c r="B377" s="111"/>
      <c r="C377" s="111"/>
      <c r="D377" s="111"/>
      <c r="E377" s="111"/>
      <c r="F377" s="111"/>
      <c r="G377" s="111"/>
      <c r="H377" s="3" t="s">
        <v>1498</v>
      </c>
      <c r="I377" s="3" t="s">
        <v>1499</v>
      </c>
      <c r="J377" s="112" t="str">
        <f ca="1">IFERROR(__xludf.DUMMYFUNCTION("JOIN("": "",H377,I377)"),"3E-34-00-00-00-00-00: Elementos de instalações prediais de telecomunicações")</f>
        <v>3E-34-00-00-00-00-00: Elementos de instalações prediais de telecomunicações</v>
      </c>
      <c r="K377" s="4">
        <v>2</v>
      </c>
      <c r="L377" s="7"/>
      <c r="M377" s="7"/>
      <c r="N377" s="7"/>
      <c r="O377" s="7"/>
      <c r="P377" s="177"/>
      <c r="Q377" s="177"/>
      <c r="R377" s="177"/>
      <c r="S377" s="177"/>
      <c r="AD377" s="7"/>
      <c r="AE377" s="35"/>
    </row>
    <row r="378" spans="1:31">
      <c r="A378" s="111" t="s">
        <v>1501</v>
      </c>
      <c r="B378" s="111"/>
      <c r="C378" s="111"/>
      <c r="D378" s="111"/>
      <c r="E378" s="111"/>
      <c r="F378" s="111"/>
      <c r="G378" s="111"/>
      <c r="H378" s="3" t="s">
        <v>1502</v>
      </c>
      <c r="I378" s="3" t="s">
        <v>1503</v>
      </c>
      <c r="J378" s="112" t="str">
        <f ca="1">IFERROR(__xludf.DUMMYFUNCTION("JOIN("": "",H378,I378)"),"3E-34-02-00-00-00-00: Elementos de instalações de telefonia")</f>
        <v>3E-34-02-00-00-00-00: Elementos de instalações de telefonia</v>
      </c>
      <c r="K378" s="4">
        <v>3</v>
      </c>
      <c r="L378" s="7"/>
      <c r="M378" s="7"/>
      <c r="N378" s="7"/>
      <c r="O378" s="7"/>
      <c r="P378" s="177"/>
      <c r="Q378" s="177"/>
      <c r="R378" s="177"/>
      <c r="S378" s="177"/>
    </row>
    <row r="379" spans="1:31">
      <c r="A379" s="35" t="s">
        <v>1505</v>
      </c>
      <c r="B379" s="35"/>
      <c r="C379" s="35"/>
      <c r="D379" s="35"/>
      <c r="E379" s="35"/>
      <c r="F379" s="35"/>
      <c r="G379" s="35"/>
      <c r="H379" s="7" t="s">
        <v>1506</v>
      </c>
      <c r="I379" s="7" t="s">
        <v>1507</v>
      </c>
      <c r="J379" s="112" t="str">
        <f ca="1">IFERROR(__xludf.DUMMYFUNCTION("JOIN("": "",H379,I379)"),"3E-34-02-02-00-00-00: Elementos de entrada telefônica")</f>
        <v>3E-34-02-02-00-00-00: Elementos de entrada telefônica</v>
      </c>
      <c r="K379" s="4">
        <v>4</v>
      </c>
      <c r="L379" s="7"/>
      <c r="M379" s="7"/>
      <c r="N379" s="7"/>
      <c r="O379" s="7"/>
      <c r="P379" s="177"/>
      <c r="Q379" s="177"/>
      <c r="R379" s="177"/>
      <c r="S379" s="177"/>
    </row>
    <row r="380" spans="1:31">
      <c r="A380" s="35" t="s">
        <v>1509</v>
      </c>
      <c r="B380" s="35"/>
      <c r="C380" s="35"/>
      <c r="D380" s="35"/>
      <c r="E380" s="35"/>
      <c r="F380" s="35"/>
      <c r="G380" s="35"/>
      <c r="H380" s="7" t="s">
        <v>1510</v>
      </c>
      <c r="I380" s="7" t="s">
        <v>1511</v>
      </c>
      <c r="J380" s="112" t="str">
        <f ca="1">IFERROR(__xludf.DUMMYFUNCTION("JOIN("": "",H380,I380)"),"3E-34-02-04-00-00-00: Elementos de ramais de entrada telefônica")</f>
        <v>3E-34-02-04-00-00-00: Elementos de ramais de entrada telefônica</v>
      </c>
      <c r="K380" s="4">
        <v>4</v>
      </c>
      <c r="L380" s="7"/>
      <c r="M380" s="7"/>
      <c r="N380" s="7"/>
      <c r="O380" s="7"/>
      <c r="P380" s="177"/>
      <c r="Q380" s="177"/>
      <c r="R380" s="177"/>
      <c r="S380" s="177"/>
    </row>
    <row r="381" spans="1:31">
      <c r="A381" s="35" t="s">
        <v>1513</v>
      </c>
      <c r="B381" s="35"/>
      <c r="C381" s="35"/>
      <c r="D381" s="35"/>
      <c r="E381" s="35"/>
      <c r="F381" s="35"/>
      <c r="G381" s="35"/>
      <c r="H381" s="7" t="s">
        <v>1514</v>
      </c>
      <c r="I381" s="7" t="s">
        <v>1515</v>
      </c>
      <c r="J381" s="112" t="str">
        <f ca="1">IFERROR(__xludf.DUMMYFUNCTION("JOIN("": "",H381,I381)"),"3E-34-02-06-00-00-00: Elementos para distribuição interna de telefonia")</f>
        <v>3E-34-02-06-00-00-00: Elementos para distribuição interna de telefonia</v>
      </c>
      <c r="K381" s="4">
        <v>4</v>
      </c>
      <c r="L381" s="7"/>
      <c r="M381" s="7"/>
      <c r="N381" s="7"/>
      <c r="O381" s="7"/>
      <c r="P381" s="177"/>
      <c r="Q381" s="177"/>
      <c r="R381" s="177"/>
      <c r="S381" s="177"/>
    </row>
    <row r="382" spans="1:31">
      <c r="A382" s="111" t="s">
        <v>1517</v>
      </c>
      <c r="B382" s="111"/>
      <c r="C382" s="111"/>
      <c r="D382" s="111"/>
      <c r="E382" s="111"/>
      <c r="F382" s="111"/>
      <c r="G382" s="111"/>
      <c r="H382" s="3" t="s">
        <v>1518</v>
      </c>
      <c r="I382" s="3" t="s">
        <v>1519</v>
      </c>
      <c r="J382" s="112" t="str">
        <f ca="1">IFERROR(__xludf.DUMMYFUNCTION("JOIN("": "",H382,I382)"),"3E-34-04-00-00-00-00: Elementos para instalações de internet")</f>
        <v>3E-34-04-00-00-00-00: Elementos para instalações de internet</v>
      </c>
      <c r="K382" s="4">
        <v>3</v>
      </c>
      <c r="L382" s="7"/>
      <c r="M382" s="7"/>
      <c r="N382" s="7"/>
      <c r="O382" s="7"/>
      <c r="P382" s="177"/>
      <c r="Q382" s="177"/>
      <c r="R382" s="177"/>
      <c r="S382" s="177"/>
    </row>
    <row r="383" spans="1:31">
      <c r="A383" s="111" t="s">
        <v>1521</v>
      </c>
      <c r="B383" s="111"/>
      <c r="C383" s="111"/>
      <c r="D383" s="111"/>
      <c r="E383" s="111"/>
      <c r="F383" s="111"/>
      <c r="G383" s="111"/>
      <c r="H383" s="3" t="s">
        <v>1522</v>
      </c>
      <c r="I383" s="3" t="s">
        <v>1523</v>
      </c>
      <c r="J383" s="112" t="str">
        <f ca="1">IFERROR(__xludf.DUMMYFUNCTION("JOIN("": "",H383,I383)"),"3E-34-06-00-00-00-00: Elementos para instalações de recepção de sinal de rádio")</f>
        <v>3E-34-06-00-00-00-00: Elementos para instalações de recepção de sinal de rádio</v>
      </c>
      <c r="K383" s="4">
        <v>3</v>
      </c>
      <c r="L383" s="7"/>
      <c r="M383" s="7"/>
      <c r="N383" s="7"/>
      <c r="O383" s="7"/>
      <c r="P383" s="177"/>
      <c r="Q383" s="177"/>
      <c r="R383" s="177"/>
      <c r="S383" s="177"/>
    </row>
    <row r="384" spans="1:31">
      <c r="A384" s="111" t="s">
        <v>1525</v>
      </c>
      <c r="B384" s="111"/>
      <c r="C384" s="111"/>
      <c r="D384" s="111"/>
      <c r="E384" s="111"/>
      <c r="F384" s="111"/>
      <c r="G384" s="111"/>
      <c r="H384" s="3" t="s">
        <v>1526</v>
      </c>
      <c r="I384" s="3" t="s">
        <v>1527</v>
      </c>
      <c r="J384" s="112" t="str">
        <f ca="1">IFERROR(__xludf.DUMMYFUNCTION("JOIN("": "",H384,I384)"),"3E-34-08-00-00-00-00: Elementos para instalações de recepção de sinal de tv")</f>
        <v>3E-34-08-00-00-00-00: Elementos para instalações de recepção de sinal de tv</v>
      </c>
      <c r="K384" s="4">
        <v>3</v>
      </c>
      <c r="L384" s="7"/>
      <c r="M384" s="7"/>
      <c r="N384" s="7"/>
      <c r="O384" s="7"/>
      <c r="P384" s="177"/>
      <c r="Q384" s="177"/>
      <c r="R384" s="177"/>
      <c r="S384" s="177"/>
    </row>
    <row r="385" spans="1:31">
      <c r="A385" s="111" t="s">
        <v>1529</v>
      </c>
      <c r="B385" s="111"/>
      <c r="C385" s="111"/>
      <c r="D385" s="111"/>
      <c r="E385" s="111"/>
      <c r="F385" s="111"/>
      <c r="G385" s="111"/>
      <c r="H385" s="3" t="s">
        <v>1530</v>
      </c>
      <c r="I385" s="3" t="s">
        <v>1531</v>
      </c>
      <c r="J385" s="112" t="str">
        <f ca="1">IFERROR(__xludf.DUMMYFUNCTION("JOIN("": "",H385,I385)"),"3E-36-00-00-00-00-00: Elementos para sistemas de abastecimento de água")</f>
        <v>3E-36-00-00-00-00-00: Elementos para sistemas de abastecimento de água</v>
      </c>
      <c r="K385" s="4">
        <v>2</v>
      </c>
      <c r="L385" s="7"/>
      <c r="M385" s="7"/>
      <c r="N385" s="7"/>
      <c r="O385" s="7"/>
      <c r="P385" s="177"/>
      <c r="Q385" s="177"/>
      <c r="R385" s="177"/>
      <c r="S385" s="177"/>
      <c r="AD385" s="7"/>
      <c r="AE385" s="35"/>
    </row>
    <row r="386" spans="1:31">
      <c r="A386" s="111" t="s">
        <v>1533</v>
      </c>
      <c r="B386" s="111"/>
      <c r="C386" s="111"/>
      <c r="D386" s="111"/>
      <c r="E386" s="111"/>
      <c r="F386" s="111"/>
      <c r="G386" s="111"/>
      <c r="H386" s="3" t="s">
        <v>1534</v>
      </c>
      <c r="I386" s="3" t="s">
        <v>1535</v>
      </c>
      <c r="J386" s="112" t="str">
        <f ca="1">IFERROR(__xludf.DUMMYFUNCTION("JOIN("": "",H386,I386)"),"3E-36-02-00-00-00-00: Elementos para captação de água bruta")</f>
        <v>3E-36-02-00-00-00-00: Elementos para captação de água bruta</v>
      </c>
      <c r="K386" s="4">
        <v>3</v>
      </c>
      <c r="L386" s="7"/>
      <c r="M386" s="7"/>
      <c r="N386" s="7"/>
      <c r="O386" s="7"/>
      <c r="P386" s="177"/>
      <c r="Q386" s="177"/>
      <c r="R386" s="177"/>
      <c r="S386" s="177"/>
    </row>
    <row r="387" spans="1:31">
      <c r="A387" s="111" t="s">
        <v>1537</v>
      </c>
      <c r="B387" s="111"/>
      <c r="C387" s="111"/>
      <c r="D387" s="111"/>
      <c r="E387" s="111"/>
      <c r="F387" s="111"/>
      <c r="G387" s="111"/>
      <c r="H387" s="3" t="s">
        <v>1538</v>
      </c>
      <c r="I387" s="3" t="s">
        <v>1539</v>
      </c>
      <c r="J387" s="112" t="str">
        <f ca="1">IFERROR(__xludf.DUMMYFUNCTION("JOIN("": "",H387,I387)"),"3E-36-04-00-00-00-00: Elementos para adução de água bruta")</f>
        <v>3E-36-04-00-00-00-00: Elementos para adução de água bruta</v>
      </c>
      <c r="K387" s="4">
        <v>3</v>
      </c>
      <c r="L387" s="7"/>
      <c r="M387" s="7"/>
      <c r="N387" s="7"/>
      <c r="O387" s="7"/>
      <c r="P387" s="177"/>
      <c r="Q387" s="177"/>
      <c r="R387" s="177"/>
      <c r="S387" s="177"/>
    </row>
    <row r="388" spans="1:31">
      <c r="A388" s="111" t="s">
        <v>1541</v>
      </c>
      <c r="B388" s="111"/>
      <c r="C388" s="111"/>
      <c r="D388" s="111"/>
      <c r="E388" s="111"/>
      <c r="F388" s="111"/>
      <c r="G388" s="111"/>
      <c r="H388" s="3" t="s">
        <v>1542</v>
      </c>
      <c r="I388" s="3" t="s">
        <v>1543</v>
      </c>
      <c r="J388" s="112" t="str">
        <f ca="1">IFERROR(__xludf.DUMMYFUNCTION("JOIN("": "",H388,I388)"),"3E-36-06-00-00-00-00: Elementos para reservação de água bruta")</f>
        <v>3E-36-06-00-00-00-00: Elementos para reservação de água bruta</v>
      </c>
      <c r="K388" s="4">
        <v>3</v>
      </c>
      <c r="L388" s="7"/>
      <c r="M388" s="7"/>
      <c r="N388" s="7"/>
      <c r="O388" s="7"/>
      <c r="P388" s="177"/>
      <c r="Q388" s="177"/>
      <c r="R388" s="177"/>
      <c r="S388" s="177"/>
    </row>
    <row r="389" spans="1:31">
      <c r="A389" s="111" t="s">
        <v>1545</v>
      </c>
      <c r="B389" s="111"/>
      <c r="C389" s="111"/>
      <c r="D389" s="111"/>
      <c r="E389" s="111"/>
      <c r="F389" s="111"/>
      <c r="G389" s="111"/>
      <c r="H389" s="3" t="s">
        <v>1546</v>
      </c>
      <c r="I389" s="3" t="s">
        <v>1547</v>
      </c>
      <c r="J389" s="112" t="str">
        <f ca="1">IFERROR(__xludf.DUMMYFUNCTION("JOIN("": "",H389,I389)"),"3E-36-08-00-00-00-00: Elementos para tratamento de água bruta")</f>
        <v>3E-36-08-00-00-00-00: Elementos para tratamento de água bruta</v>
      </c>
      <c r="K389" s="4">
        <v>3</v>
      </c>
      <c r="L389" s="7"/>
      <c r="M389" s="7"/>
      <c r="N389" s="7"/>
      <c r="O389" s="7"/>
      <c r="P389" s="177"/>
      <c r="Q389" s="177"/>
      <c r="R389" s="177"/>
      <c r="S389" s="177"/>
    </row>
    <row r="390" spans="1:31">
      <c r="A390" s="111" t="s">
        <v>1549</v>
      </c>
      <c r="B390" s="111"/>
      <c r="C390" s="111"/>
      <c r="D390" s="111"/>
      <c r="E390" s="111"/>
      <c r="F390" s="111"/>
      <c r="G390" s="111"/>
      <c r="H390" s="3" t="s">
        <v>1550</v>
      </c>
      <c r="I390" s="3" t="s">
        <v>1551</v>
      </c>
      <c r="J390" s="112" t="str">
        <f ca="1">IFERROR(__xludf.DUMMYFUNCTION("JOIN("": "",H390,I390)"),"3E-36-10-00-00-00-00: Elementos para adução de água potável")</f>
        <v>3E-36-10-00-00-00-00: Elementos para adução de água potável</v>
      </c>
      <c r="K390" s="4">
        <v>3</v>
      </c>
      <c r="L390" s="7"/>
      <c r="M390" s="7"/>
      <c r="N390" s="7"/>
      <c r="O390" s="7"/>
      <c r="P390" s="177"/>
      <c r="Q390" s="177"/>
      <c r="R390" s="177"/>
      <c r="S390" s="177"/>
    </row>
    <row r="391" spans="1:31">
      <c r="A391" s="111" t="s">
        <v>1553</v>
      </c>
      <c r="B391" s="111"/>
      <c r="C391" s="111"/>
      <c r="D391" s="111"/>
      <c r="E391" s="111"/>
      <c r="F391" s="111"/>
      <c r="G391" s="111"/>
      <c r="H391" s="3" t="s">
        <v>1554</v>
      </c>
      <c r="I391" s="3" t="s">
        <v>1555</v>
      </c>
      <c r="J391" s="112" t="str">
        <f ca="1">IFERROR(__xludf.DUMMYFUNCTION("JOIN("": "",H391,I391)"),"3E-36-12-00-00-00-00: Elementos para reservação de água potável")</f>
        <v>3E-36-12-00-00-00-00: Elementos para reservação de água potável</v>
      </c>
      <c r="K391" s="4">
        <v>3</v>
      </c>
      <c r="L391" s="7"/>
      <c r="M391" s="7"/>
      <c r="N391" s="7"/>
      <c r="O391" s="7"/>
      <c r="P391" s="177"/>
      <c r="Q391" s="177"/>
      <c r="R391" s="177"/>
      <c r="S391" s="177"/>
    </row>
    <row r="392" spans="1:31">
      <c r="A392" s="111" t="s">
        <v>1557</v>
      </c>
      <c r="B392" s="111"/>
      <c r="C392" s="111"/>
      <c r="D392" s="111"/>
      <c r="E392" s="111"/>
      <c r="F392" s="111"/>
      <c r="G392" s="111"/>
      <c r="H392" s="3" t="s">
        <v>1558</v>
      </c>
      <c r="I392" s="3" t="s">
        <v>1559</v>
      </c>
      <c r="J392" s="112" t="str">
        <f ca="1">IFERROR(__xludf.DUMMYFUNCTION("JOIN("": "",H392,I392)"),"3E-36-14-00-00-00-00: Elementos para distribuição de água potável")</f>
        <v>3E-36-14-00-00-00-00: Elementos para distribuição de água potável</v>
      </c>
      <c r="K392" s="4">
        <v>3</v>
      </c>
      <c r="L392" s="7"/>
      <c r="M392" s="7"/>
      <c r="N392" s="7"/>
      <c r="O392" s="7"/>
      <c r="P392" s="177"/>
      <c r="Q392" s="177"/>
      <c r="R392" s="177"/>
      <c r="S392" s="177"/>
    </row>
    <row r="393" spans="1:31">
      <c r="A393" s="35" t="s">
        <v>1561</v>
      </c>
      <c r="B393" s="35"/>
      <c r="C393" s="35"/>
      <c r="D393" s="35"/>
      <c r="E393" s="35"/>
      <c r="F393" s="35"/>
      <c r="G393" s="35"/>
      <c r="H393" s="7" t="s">
        <v>1562</v>
      </c>
      <c r="I393" s="7" t="s">
        <v>1563</v>
      </c>
      <c r="J393" s="112" t="str">
        <f ca="1">IFERROR(__xludf.DUMMYFUNCTION("JOIN("": "",H393,I393)"),"3E-36-14-02-00-00-00: Elementos para distribuição direta de água potável")</f>
        <v>3E-36-14-02-00-00-00: Elementos para distribuição direta de água potável</v>
      </c>
      <c r="K393" s="4">
        <v>4</v>
      </c>
      <c r="L393" s="7"/>
      <c r="M393" s="7"/>
      <c r="N393" s="7"/>
      <c r="O393" s="7"/>
      <c r="P393" s="177"/>
      <c r="Q393" s="177"/>
      <c r="R393" s="177"/>
      <c r="S393" s="177"/>
    </row>
    <row r="394" spans="1:31">
      <c r="A394" s="35" t="s">
        <v>1565</v>
      </c>
      <c r="B394" s="35"/>
      <c r="C394" s="35"/>
      <c r="D394" s="35"/>
      <c r="E394" s="35"/>
      <c r="F394" s="35"/>
      <c r="G394" s="35"/>
      <c r="H394" s="7" t="s">
        <v>1566</v>
      </c>
      <c r="I394" s="7" t="s">
        <v>1567</v>
      </c>
      <c r="J394" s="112" t="str">
        <f ca="1">IFERROR(__xludf.DUMMYFUNCTION("JOIN("": "",H394,I394)"),"3E-36-14-04-00-00-00: Elementos para distribuição indireta de água potável")</f>
        <v>3E-36-14-04-00-00-00: Elementos para distribuição indireta de água potável</v>
      </c>
      <c r="K394" s="4">
        <v>4</v>
      </c>
      <c r="L394" s="7"/>
      <c r="M394" s="7"/>
      <c r="N394" s="7"/>
      <c r="O394" s="7"/>
      <c r="P394" s="177"/>
      <c r="Q394" s="177"/>
      <c r="R394" s="177"/>
      <c r="S394" s="177"/>
    </row>
    <row r="395" spans="1:31">
      <c r="A395" s="35" t="s">
        <v>1569</v>
      </c>
      <c r="B395" s="35"/>
      <c r="C395" s="35"/>
      <c r="D395" s="35"/>
      <c r="E395" s="35"/>
      <c r="F395" s="35"/>
      <c r="G395" s="35"/>
      <c r="H395" s="7" t="s">
        <v>1570</v>
      </c>
      <c r="I395" s="7" t="s">
        <v>1571</v>
      </c>
      <c r="J395" s="112" t="str">
        <f ca="1">IFERROR(__xludf.DUMMYFUNCTION("JOIN("": "",H395,I395)"),"3E-36-14-04-02-00-00: Elementos para distribuição indireta de água potável sem bombeamento")</f>
        <v>3E-36-14-04-02-00-00: Elementos para distribuição indireta de água potável sem bombeamento</v>
      </c>
      <c r="K395" s="4">
        <v>5</v>
      </c>
      <c r="L395" s="7"/>
      <c r="M395" s="7"/>
      <c r="N395" s="7"/>
      <c r="O395" s="7"/>
      <c r="P395" s="177"/>
      <c r="Q395" s="177"/>
      <c r="R395" s="177"/>
      <c r="S395" s="177"/>
    </row>
    <row r="396" spans="1:31">
      <c r="A396" s="35" t="s">
        <v>1573</v>
      </c>
      <c r="B396" s="35"/>
      <c r="C396" s="35"/>
      <c r="D396" s="35"/>
      <c r="E396" s="35"/>
      <c r="F396" s="35"/>
      <c r="G396" s="35"/>
      <c r="H396" s="7" t="s">
        <v>1574</v>
      </c>
      <c r="I396" s="7" t="s">
        <v>1575</v>
      </c>
      <c r="J396" s="112" t="str">
        <f ca="1">IFERROR(__xludf.DUMMYFUNCTION("JOIN("": "",H396,I396)"),"3E-36-14-04-04-00-00: Elementos para distribuição indireta de água potável com bombeamento")</f>
        <v>3E-36-14-04-04-00-00: Elementos para distribuição indireta de água potável com bombeamento</v>
      </c>
      <c r="K396" s="4">
        <v>5</v>
      </c>
      <c r="L396" s="7"/>
      <c r="M396" s="7"/>
      <c r="N396" s="7"/>
      <c r="O396" s="7"/>
      <c r="P396" s="177"/>
      <c r="Q396" s="177"/>
      <c r="R396" s="177"/>
      <c r="S396" s="177"/>
    </row>
    <row r="397" spans="1:31">
      <c r="A397" s="35" t="s">
        <v>1577</v>
      </c>
      <c r="B397" s="35"/>
      <c r="C397" s="35"/>
      <c r="D397" s="35"/>
      <c r="E397" s="35"/>
      <c r="F397" s="35"/>
      <c r="G397" s="35"/>
      <c r="H397" s="7" t="s">
        <v>1578</v>
      </c>
      <c r="I397" s="7" t="s">
        <v>1579</v>
      </c>
      <c r="J397" s="112" t="str">
        <f ca="1">IFERROR(__xludf.DUMMYFUNCTION("JOIN("": "",H397,I397)"),"3E-36-14-06-00-00-00: Elementos para distribuição mista de água potável")</f>
        <v>3E-36-14-06-00-00-00: Elementos para distribuição mista de água potável</v>
      </c>
      <c r="K397" s="4">
        <v>4</v>
      </c>
      <c r="L397" s="7"/>
      <c r="M397" s="7"/>
      <c r="N397" s="7"/>
      <c r="O397" s="7"/>
      <c r="P397" s="177"/>
      <c r="Q397" s="177"/>
      <c r="R397" s="177"/>
      <c r="S397" s="177"/>
    </row>
    <row r="398" spans="1:31">
      <c r="A398" s="35" t="s">
        <v>1581</v>
      </c>
      <c r="B398" s="35"/>
      <c r="C398" s="35"/>
      <c r="D398" s="35"/>
      <c r="E398" s="35"/>
      <c r="F398" s="35"/>
      <c r="G398" s="35"/>
      <c r="H398" s="7" t="s">
        <v>1582</v>
      </c>
      <c r="I398" s="7" t="s">
        <v>1583</v>
      </c>
      <c r="J398" s="112" t="str">
        <f ca="1">IFERROR(__xludf.DUMMYFUNCTION("JOIN("": "",H398,I398)"),"3E-36-14-08-00-00-00: Elementos para distribuição hidropneumática de água potável")</f>
        <v>3E-36-14-08-00-00-00: Elementos para distribuição hidropneumática de água potável</v>
      </c>
      <c r="K398" s="4">
        <v>4</v>
      </c>
      <c r="L398" s="7"/>
      <c r="M398" s="7"/>
      <c r="N398" s="7"/>
      <c r="O398" s="7"/>
      <c r="P398" s="177"/>
      <c r="Q398" s="177"/>
      <c r="R398" s="177"/>
      <c r="S398" s="177"/>
    </row>
    <row r="399" spans="1:31">
      <c r="A399" s="111" t="s">
        <v>1585</v>
      </c>
      <c r="B399" s="111"/>
      <c r="C399" s="111"/>
      <c r="D399" s="111"/>
      <c r="E399" s="111"/>
      <c r="F399" s="111"/>
      <c r="G399" s="111"/>
      <c r="H399" s="3" t="s">
        <v>1586</v>
      </c>
      <c r="I399" s="3" t="s">
        <v>1587</v>
      </c>
      <c r="J399" s="112" t="str">
        <f ca="1">IFERROR(__xludf.DUMMYFUNCTION("JOIN("": "",H399,I399)"),"3E-38-00-00-00-00-00: Elementos de instalações hidráulicas")</f>
        <v>3E-38-00-00-00-00-00: Elementos de instalações hidráulicas</v>
      </c>
      <c r="K399" s="4">
        <v>2</v>
      </c>
      <c r="L399" s="7"/>
      <c r="M399" s="7"/>
      <c r="N399" s="7"/>
      <c r="O399" s="7"/>
      <c r="P399" s="177"/>
      <c r="Q399" s="177"/>
      <c r="R399" s="177"/>
      <c r="S399" s="177"/>
      <c r="AD399" s="7"/>
      <c r="AE399" s="35"/>
    </row>
    <row r="400" spans="1:31">
      <c r="A400" s="111" t="s">
        <v>1589</v>
      </c>
      <c r="B400" s="111"/>
      <c r="C400" s="111"/>
      <c r="D400" s="111"/>
      <c r="E400" s="111"/>
      <c r="F400" s="111"/>
      <c r="G400" s="111"/>
      <c r="H400" s="3" t="s">
        <v>1590</v>
      </c>
      <c r="I400" s="3" t="s">
        <v>1591</v>
      </c>
      <c r="J400" s="112" t="str">
        <f ca="1">IFERROR(__xludf.DUMMYFUNCTION("JOIN("": "",H400,I400)"),"3E-38-02-00-00-00-00: Elementos alimentadores em instalações hidráulicas")</f>
        <v>3E-38-02-00-00-00-00: Elementos alimentadores em instalações hidráulicas</v>
      </c>
      <c r="K400" s="4">
        <v>3</v>
      </c>
      <c r="L400" s="7"/>
      <c r="M400" s="7"/>
      <c r="N400" s="7"/>
      <c r="O400" s="7"/>
      <c r="P400" s="177"/>
      <c r="Q400" s="177"/>
      <c r="R400" s="177"/>
      <c r="S400" s="177"/>
    </row>
    <row r="401" spans="1:19">
      <c r="A401" s="35" t="s">
        <v>1593</v>
      </c>
      <c r="B401" s="35"/>
      <c r="C401" s="35"/>
      <c r="D401" s="35"/>
      <c r="E401" s="35"/>
      <c r="F401" s="35"/>
      <c r="G401" s="35"/>
      <c r="H401" s="7" t="s">
        <v>1594</v>
      </c>
      <c r="I401" s="7" t="s">
        <v>1595</v>
      </c>
      <c r="J401" s="112" t="str">
        <f ca="1">IFERROR(__xludf.DUMMYFUNCTION("JOIN("": "",H401,I401)"),"3E-38-02-02-00-00-00: Ramal de alimentação de água")</f>
        <v>3E-38-02-02-00-00-00: Ramal de alimentação de água</v>
      </c>
      <c r="K401" s="4">
        <v>4</v>
      </c>
      <c r="L401" s="7"/>
      <c r="M401" s="7"/>
      <c r="N401" s="7"/>
      <c r="O401" s="7"/>
      <c r="P401" s="177"/>
      <c r="Q401" s="177"/>
      <c r="R401" s="177"/>
      <c r="S401" s="177"/>
    </row>
    <row r="402" spans="1:19">
      <c r="A402" s="35" t="s">
        <v>1597</v>
      </c>
      <c r="B402" s="35"/>
      <c r="C402" s="35"/>
      <c r="D402" s="35"/>
      <c r="E402" s="35"/>
      <c r="F402" s="35"/>
      <c r="G402" s="35"/>
      <c r="H402" s="7" t="s">
        <v>1598</v>
      </c>
      <c r="I402" s="7" t="s">
        <v>1599</v>
      </c>
      <c r="J402" s="112" t="str">
        <f ca="1">IFERROR(__xludf.DUMMYFUNCTION("JOIN("": "",H402,I402)"),"3E-38-02-04-00-00-00: Alimentador de água")</f>
        <v>3E-38-02-04-00-00-00: Alimentador de água</v>
      </c>
      <c r="K402" s="4">
        <v>4</v>
      </c>
      <c r="L402" s="7"/>
      <c r="M402" s="7"/>
      <c r="N402" s="7"/>
      <c r="O402" s="7"/>
      <c r="P402" s="177"/>
      <c r="Q402" s="177"/>
      <c r="R402" s="177"/>
      <c r="S402" s="177"/>
    </row>
    <row r="403" spans="1:19">
      <c r="A403" s="35" t="s">
        <v>1601</v>
      </c>
      <c r="B403" s="35"/>
      <c r="C403" s="35"/>
      <c r="D403" s="35"/>
      <c r="E403" s="35"/>
      <c r="F403" s="35"/>
      <c r="G403" s="35"/>
      <c r="H403" s="7" t="s">
        <v>1602</v>
      </c>
      <c r="I403" s="7" t="s">
        <v>1603</v>
      </c>
      <c r="J403" s="112" t="str">
        <f ca="1">IFERROR(__xludf.DUMMYFUNCTION("JOIN("": "",H403,I403)"),"3E-38-02-06-00-00-00: Cavalete de água")</f>
        <v>3E-38-02-06-00-00-00: Cavalete de água</v>
      </c>
      <c r="K403" s="4">
        <v>4</v>
      </c>
      <c r="L403" s="7"/>
      <c r="M403" s="7"/>
      <c r="N403" s="7"/>
      <c r="O403" s="7"/>
      <c r="P403" s="177"/>
      <c r="Q403" s="177"/>
      <c r="R403" s="177"/>
      <c r="S403" s="177"/>
    </row>
    <row r="404" spans="1:19">
      <c r="A404" s="35" t="s">
        <v>1605</v>
      </c>
      <c r="B404" s="35"/>
      <c r="C404" s="35"/>
      <c r="D404" s="35"/>
      <c r="E404" s="35"/>
      <c r="F404" s="35"/>
      <c r="G404" s="35"/>
      <c r="H404" s="7" t="s">
        <v>1606</v>
      </c>
      <c r="I404" s="7" t="s">
        <v>1607</v>
      </c>
      <c r="J404" s="112" t="str">
        <f ca="1">IFERROR(__xludf.DUMMYFUNCTION("JOIN("": "",H404,I404)"),"3E-38-02-08-00-00-00: Reservatório de água")</f>
        <v>3E-38-02-08-00-00-00: Reservatório de água</v>
      </c>
      <c r="K404" s="4">
        <v>4</v>
      </c>
      <c r="L404" s="7"/>
      <c r="M404" s="7"/>
      <c r="N404" s="7"/>
      <c r="O404" s="7"/>
      <c r="P404" s="177"/>
      <c r="Q404" s="177"/>
      <c r="R404" s="177"/>
      <c r="S404" s="177"/>
    </row>
    <row r="405" spans="1:19">
      <c r="A405" s="35" t="s">
        <v>1609</v>
      </c>
      <c r="B405" s="35"/>
      <c r="C405" s="35"/>
      <c r="D405" s="35"/>
      <c r="E405" s="35"/>
      <c r="F405" s="35"/>
      <c r="G405" s="35"/>
      <c r="H405" s="7" t="s">
        <v>1610</v>
      </c>
      <c r="I405" s="7" t="s">
        <v>1611</v>
      </c>
      <c r="J405" s="112" t="str">
        <f ca="1">IFERROR(__xludf.DUMMYFUNCTION("JOIN("": "",H405,I405)"),"3E-38-02-10-00-00-00: Condutor de recalque de água")</f>
        <v>3E-38-02-10-00-00-00: Condutor de recalque de água</v>
      </c>
      <c r="K405" s="4">
        <v>4</v>
      </c>
      <c r="L405" s="7"/>
      <c r="M405" s="7"/>
      <c r="N405" s="7"/>
      <c r="O405" s="7"/>
      <c r="P405" s="177"/>
      <c r="Q405" s="177"/>
      <c r="R405" s="177"/>
      <c r="S405" s="177"/>
    </row>
    <row r="406" spans="1:19">
      <c r="A406" s="35" t="s">
        <v>1613</v>
      </c>
      <c r="B406" s="35"/>
      <c r="C406" s="35"/>
      <c r="D406" s="35"/>
      <c r="E406" s="35"/>
      <c r="F406" s="35"/>
      <c r="G406" s="35"/>
      <c r="H406" s="7" t="s">
        <v>1614</v>
      </c>
      <c r="I406" s="7" t="s">
        <v>1615</v>
      </c>
      <c r="J406" s="112" t="str">
        <f ca="1">IFERROR(__xludf.DUMMYFUNCTION("JOIN("": "",H406,I406)"),"3E-38-02-12-00-00-00: Dispositivo para sucção de água")</f>
        <v>3E-38-02-12-00-00-00: Dispositivo para sucção de água</v>
      </c>
      <c r="K406" s="4">
        <v>4</v>
      </c>
      <c r="L406" s="7"/>
      <c r="M406" s="7"/>
      <c r="N406" s="7"/>
      <c r="O406" s="7"/>
      <c r="P406" s="177"/>
      <c r="Q406" s="177"/>
      <c r="R406" s="177"/>
      <c r="S406" s="177"/>
    </row>
    <row r="407" spans="1:19">
      <c r="A407" s="35" t="s">
        <v>1617</v>
      </c>
      <c r="B407" s="35"/>
      <c r="C407" s="35"/>
      <c r="D407" s="35"/>
      <c r="E407" s="35"/>
      <c r="F407" s="35"/>
      <c r="G407" s="35"/>
      <c r="H407" s="7" t="s">
        <v>1618</v>
      </c>
      <c r="I407" s="7" t="s">
        <v>1619</v>
      </c>
      <c r="J407" s="112" t="str">
        <f ca="1">IFERROR(__xludf.DUMMYFUNCTION("JOIN("": "",H407,I407)"),"3E-38-02-14-00-00-00: Dispositivo para ventilação de água")</f>
        <v>3E-38-02-14-00-00-00: Dispositivo para ventilação de água</v>
      </c>
      <c r="K407" s="4">
        <v>4</v>
      </c>
      <c r="L407" s="7"/>
      <c r="M407" s="7"/>
      <c r="N407" s="7"/>
      <c r="O407" s="7"/>
      <c r="P407" s="177"/>
      <c r="Q407" s="177"/>
      <c r="R407" s="177"/>
      <c r="S407" s="177"/>
    </row>
    <row r="408" spans="1:19">
      <c r="A408" s="111" t="s">
        <v>1621</v>
      </c>
      <c r="B408" s="111"/>
      <c r="C408" s="111"/>
      <c r="D408" s="111"/>
      <c r="E408" s="111"/>
      <c r="F408" s="111"/>
      <c r="G408" s="111"/>
      <c r="H408" s="3" t="s">
        <v>1622</v>
      </c>
      <c r="I408" s="3" t="s">
        <v>1623</v>
      </c>
      <c r="J408" s="112" t="str">
        <f ca="1">IFERROR(__xludf.DUMMYFUNCTION("JOIN("": "",H408,I408)"),"3E-38-04-00-00-00-00: Elementos extravasores em instalações hidráulicas")</f>
        <v>3E-38-04-00-00-00-00: Elementos extravasores em instalações hidráulicas</v>
      </c>
      <c r="K408" s="4">
        <v>3</v>
      </c>
      <c r="L408" s="7"/>
      <c r="M408" s="7"/>
      <c r="N408" s="7"/>
      <c r="O408" s="7"/>
      <c r="P408" s="177"/>
      <c r="Q408" s="177"/>
      <c r="R408" s="177"/>
      <c r="S408" s="177"/>
    </row>
    <row r="409" spans="1:19">
      <c r="A409" s="35" t="s">
        <v>1625</v>
      </c>
      <c r="B409" s="35"/>
      <c r="C409" s="35"/>
      <c r="D409" s="35"/>
      <c r="E409" s="35"/>
      <c r="F409" s="35"/>
      <c r="G409" s="35"/>
      <c r="H409" s="7" t="s">
        <v>1626</v>
      </c>
      <c r="I409" s="7" t="s">
        <v>1627</v>
      </c>
      <c r="J409" s="112" t="str">
        <f ca="1">IFERROR(__xludf.DUMMYFUNCTION("JOIN("": "",H409,I409)"),"3E-38-04-02-00-00-00: Tubulação para extravasão de água")</f>
        <v>3E-38-04-02-00-00-00: Tubulação para extravasão de água</v>
      </c>
      <c r="K409" s="4">
        <v>4</v>
      </c>
      <c r="L409" s="7"/>
      <c r="M409" s="7"/>
      <c r="N409" s="7"/>
      <c r="O409" s="7"/>
      <c r="P409" s="177"/>
      <c r="Q409" s="177"/>
      <c r="R409" s="177"/>
      <c r="S409" s="177"/>
    </row>
    <row r="410" spans="1:19">
      <c r="A410" s="35" t="s">
        <v>1629</v>
      </c>
      <c r="B410" s="35"/>
      <c r="C410" s="35"/>
      <c r="D410" s="35"/>
      <c r="E410" s="35"/>
      <c r="F410" s="35"/>
      <c r="G410" s="35"/>
      <c r="H410" s="7" t="s">
        <v>1630</v>
      </c>
      <c r="I410" s="7" t="s">
        <v>1631</v>
      </c>
      <c r="J410" s="112" t="str">
        <f ca="1">IFERROR(__xludf.DUMMYFUNCTION("JOIN("": "",H410,I410)"),"3E-38-04-04-00-00-00: Tubulação para limpeza de água")</f>
        <v>3E-38-04-04-00-00-00: Tubulação para limpeza de água</v>
      </c>
      <c r="K410" s="4">
        <v>4</v>
      </c>
      <c r="L410" s="7"/>
      <c r="M410" s="7"/>
      <c r="N410" s="7"/>
      <c r="O410" s="7"/>
      <c r="P410" s="177"/>
      <c r="Q410" s="177"/>
      <c r="R410" s="177"/>
      <c r="S410" s="177"/>
    </row>
    <row r="411" spans="1:19">
      <c r="A411" s="111" t="s">
        <v>1633</v>
      </c>
      <c r="B411" s="111"/>
      <c r="C411" s="111"/>
      <c r="D411" s="111"/>
      <c r="E411" s="111"/>
      <c r="F411" s="111"/>
      <c r="G411" s="111"/>
      <c r="H411" s="3" t="s">
        <v>1634</v>
      </c>
      <c r="I411" s="3" t="s">
        <v>1635</v>
      </c>
      <c r="J411" s="112" t="str">
        <f ca="1">IFERROR(__xludf.DUMMYFUNCTION("JOIN("": "",H411,I411)"),"3E-38-06-00-00-00-00: Elementos distribuidores em instalações hidráulicas")</f>
        <v>3E-38-06-00-00-00-00: Elementos distribuidores em instalações hidráulicas</v>
      </c>
      <c r="K411" s="4">
        <v>3</v>
      </c>
      <c r="L411" s="7"/>
      <c r="M411" s="7"/>
      <c r="N411" s="7"/>
      <c r="O411" s="7"/>
      <c r="P411" s="177"/>
      <c r="Q411" s="177"/>
      <c r="R411" s="177"/>
      <c r="S411" s="177"/>
    </row>
    <row r="412" spans="1:19">
      <c r="A412" s="35" t="s">
        <v>1637</v>
      </c>
      <c r="B412" s="35"/>
      <c r="C412" s="35"/>
      <c r="D412" s="35"/>
      <c r="E412" s="35"/>
      <c r="F412" s="35"/>
      <c r="G412" s="35"/>
      <c r="H412" s="7" t="s">
        <v>1638</v>
      </c>
      <c r="I412" s="7" t="s">
        <v>1639</v>
      </c>
      <c r="J412" s="112" t="str">
        <f ca="1">IFERROR(__xludf.DUMMYFUNCTION("JOIN("": "",H412,I412)"),"3E-38-06-02-00-00-00: Barrilete de água")</f>
        <v>3E-38-06-02-00-00-00: Barrilete de água</v>
      </c>
      <c r="K412" s="4">
        <v>4</v>
      </c>
      <c r="L412" s="7"/>
      <c r="M412" s="7"/>
      <c r="N412" s="7"/>
      <c r="O412" s="7"/>
      <c r="P412" s="177"/>
      <c r="Q412" s="177"/>
      <c r="R412" s="177"/>
      <c r="S412" s="177"/>
    </row>
    <row r="413" spans="1:19">
      <c r="A413" s="35" t="s">
        <v>1641</v>
      </c>
      <c r="B413" s="35"/>
      <c r="C413" s="35"/>
      <c r="D413" s="35"/>
      <c r="E413" s="35"/>
      <c r="F413" s="35"/>
      <c r="G413" s="35"/>
      <c r="H413" s="7" t="s">
        <v>1642</v>
      </c>
      <c r="I413" s="7" t="s">
        <v>1643</v>
      </c>
      <c r="J413" s="112" t="str">
        <f ca="1">IFERROR(__xludf.DUMMYFUNCTION("JOIN("": "",H413,I413)"),"3E-38-06-02-02-00-00: Barrilete de água unificado")</f>
        <v>3E-38-06-02-02-00-00: Barrilete de água unificado</v>
      </c>
      <c r="K413" s="4">
        <v>5</v>
      </c>
      <c r="L413" s="7"/>
      <c r="M413" s="7"/>
      <c r="N413" s="7"/>
      <c r="O413" s="7"/>
      <c r="P413" s="177"/>
      <c r="Q413" s="177"/>
      <c r="R413" s="177"/>
      <c r="S413" s="177"/>
    </row>
    <row r="414" spans="1:19">
      <c r="A414" s="35" t="s">
        <v>1645</v>
      </c>
      <c r="B414" s="35"/>
      <c r="C414" s="35"/>
      <c r="D414" s="35"/>
      <c r="E414" s="35"/>
      <c r="F414" s="35"/>
      <c r="G414" s="35"/>
      <c r="H414" s="7" t="s">
        <v>1646</v>
      </c>
      <c r="I414" s="7" t="s">
        <v>1647</v>
      </c>
      <c r="J414" s="112" t="str">
        <f ca="1">IFERROR(__xludf.DUMMYFUNCTION("JOIN("": "",H414,I414)"),"3E-38-06-02-04-00-00: Barrilete de água ramificado")</f>
        <v>3E-38-06-02-04-00-00: Barrilete de água ramificado</v>
      </c>
      <c r="K414" s="4">
        <v>5</v>
      </c>
      <c r="L414" s="7"/>
      <c r="M414" s="7"/>
      <c r="N414" s="7"/>
      <c r="O414" s="7"/>
      <c r="P414" s="177"/>
      <c r="Q414" s="177"/>
      <c r="R414" s="177"/>
      <c r="S414" s="177"/>
    </row>
    <row r="415" spans="1:19">
      <c r="A415" s="35" t="s">
        <v>1649</v>
      </c>
      <c r="B415" s="35"/>
      <c r="C415" s="35"/>
      <c r="D415" s="35"/>
      <c r="E415" s="35"/>
      <c r="F415" s="35"/>
      <c r="G415" s="35"/>
      <c r="H415" s="7" t="s">
        <v>1650</v>
      </c>
      <c r="I415" s="7" t="s">
        <v>1651</v>
      </c>
      <c r="J415" s="112" t="str">
        <f ca="1">IFERROR(__xludf.DUMMYFUNCTION("JOIN("": "",H415,I415)"),"3E-38-06-04-00-00-00: Prumada de água")</f>
        <v>3E-38-06-04-00-00-00: Prumada de água</v>
      </c>
      <c r="K415" s="4">
        <v>4</v>
      </c>
      <c r="L415" s="7"/>
      <c r="M415" s="7"/>
      <c r="N415" s="7"/>
      <c r="O415" s="7"/>
      <c r="P415" s="177"/>
      <c r="Q415" s="177"/>
      <c r="R415" s="177"/>
      <c r="S415" s="177"/>
    </row>
    <row r="416" spans="1:19">
      <c r="A416" s="35" t="s">
        <v>1653</v>
      </c>
      <c r="B416" s="35"/>
      <c r="C416" s="35"/>
      <c r="D416" s="35"/>
      <c r="E416" s="35"/>
      <c r="F416" s="35"/>
      <c r="G416" s="35"/>
      <c r="H416" s="7" t="s">
        <v>1654</v>
      </c>
      <c r="I416" s="7" t="s">
        <v>1655</v>
      </c>
      <c r="J416" s="112" t="str">
        <f ca="1">IFERROR(__xludf.DUMMYFUNCTION("JOIN("": "",H416,I416)"),"3E-38-06-06-00-00-00: Coluna de água")</f>
        <v>3E-38-06-06-00-00-00: Coluna de água</v>
      </c>
      <c r="K416" s="4">
        <v>4</v>
      </c>
      <c r="L416" s="7"/>
      <c r="M416" s="7"/>
      <c r="N416" s="7"/>
      <c r="O416" s="7"/>
      <c r="P416" s="177"/>
      <c r="Q416" s="177"/>
      <c r="R416" s="177"/>
      <c r="S416" s="177"/>
    </row>
    <row r="417" spans="1:31">
      <c r="A417" s="35" t="s">
        <v>1657</v>
      </c>
      <c r="B417" s="35"/>
      <c r="C417" s="35"/>
      <c r="D417" s="35"/>
      <c r="E417" s="35"/>
      <c r="F417" s="35"/>
      <c r="G417" s="35"/>
      <c r="H417" s="7" t="s">
        <v>1658</v>
      </c>
      <c r="I417" s="7" t="s">
        <v>1659</v>
      </c>
      <c r="J417" s="112" t="str">
        <f ca="1">IFERROR(__xludf.DUMMYFUNCTION("JOIN("": "",H417,I417)"),"3E-38-06-08-00-00-00: Ramal de distribuição de água")</f>
        <v>3E-38-06-08-00-00-00: Ramal de distribuição de água</v>
      </c>
      <c r="K417" s="4">
        <v>4</v>
      </c>
      <c r="L417" s="7"/>
      <c r="M417" s="7"/>
      <c r="N417" s="7"/>
      <c r="O417" s="7"/>
      <c r="P417" s="177"/>
      <c r="Q417" s="177"/>
      <c r="R417" s="177"/>
      <c r="S417" s="177"/>
    </row>
    <row r="418" spans="1:31">
      <c r="A418" s="35" t="s">
        <v>1661</v>
      </c>
      <c r="B418" s="35"/>
      <c r="C418" s="35"/>
      <c r="D418" s="35"/>
      <c r="E418" s="35"/>
      <c r="F418" s="35"/>
      <c r="G418" s="35"/>
      <c r="H418" s="7" t="s">
        <v>1662</v>
      </c>
      <c r="I418" s="7" t="s">
        <v>1663</v>
      </c>
      <c r="J418" s="112" t="str">
        <f ca="1">IFERROR(__xludf.DUMMYFUNCTION("JOIN("": "",H418,I418)"),"3E-38-06-10-00-00-00: Sub-ramal de distribuição de água")</f>
        <v>3E-38-06-10-00-00-00: Sub-ramal de distribuição de água</v>
      </c>
      <c r="K418" s="4">
        <v>4</v>
      </c>
      <c r="L418" s="7"/>
      <c r="M418" s="7"/>
      <c r="N418" s="7"/>
      <c r="O418" s="7"/>
      <c r="P418" s="177"/>
      <c r="Q418" s="177"/>
      <c r="R418" s="177"/>
      <c r="S418" s="177"/>
    </row>
    <row r="419" spans="1:31">
      <c r="A419" s="111" t="s">
        <v>1665</v>
      </c>
      <c r="B419" s="111"/>
      <c r="C419" s="111"/>
      <c r="D419" s="111"/>
      <c r="E419" s="111"/>
      <c r="F419" s="111"/>
      <c r="G419" s="111"/>
      <c r="H419" s="3" t="s">
        <v>1666</v>
      </c>
      <c r="I419" s="3" t="s">
        <v>1667</v>
      </c>
      <c r="J419" s="112" t="str">
        <f ca="1">IFERROR(__xludf.DUMMYFUNCTION("JOIN("": "",H419,I419)"),"3E-38-08-00-00-00-00: Elementos conectores em instalações hidráulicas")</f>
        <v>3E-38-08-00-00-00-00: Elementos conectores em instalações hidráulicas</v>
      </c>
      <c r="K419" s="4">
        <v>3</v>
      </c>
      <c r="L419" s="7"/>
      <c r="M419" s="7"/>
      <c r="N419" s="7"/>
      <c r="O419" s="7"/>
      <c r="P419" s="177"/>
      <c r="Q419" s="177"/>
      <c r="R419" s="177"/>
      <c r="S419" s="177"/>
    </row>
    <row r="420" spans="1:31">
      <c r="A420" s="111" t="s">
        <v>1669</v>
      </c>
      <c r="B420" s="111"/>
      <c r="C420" s="111"/>
      <c r="D420" s="111"/>
      <c r="E420" s="111"/>
      <c r="F420" s="111"/>
      <c r="G420" s="111"/>
      <c r="H420" s="3" t="s">
        <v>1670</v>
      </c>
      <c r="I420" s="3" t="s">
        <v>1671</v>
      </c>
      <c r="J420" s="112" t="str">
        <f ca="1">IFERROR(__xludf.DUMMYFUNCTION("JOIN("": "",H420,I420)"),"3E-38-10-00-00-00-00: Elementos aquecedores para instalações hidráulicas")</f>
        <v>3E-38-10-00-00-00-00: Elementos aquecedores para instalações hidráulicas</v>
      </c>
      <c r="K420" s="4">
        <v>3</v>
      </c>
      <c r="L420" s="7"/>
      <c r="M420" s="7"/>
      <c r="N420" s="7"/>
      <c r="O420" s="7"/>
      <c r="P420" s="177"/>
      <c r="Q420" s="177"/>
      <c r="R420" s="177"/>
      <c r="S420" s="177"/>
    </row>
    <row r="421" spans="1:31">
      <c r="A421" s="35" t="s">
        <v>1673</v>
      </c>
      <c r="B421" s="35"/>
      <c r="C421" s="35"/>
      <c r="D421" s="35"/>
      <c r="E421" s="35"/>
      <c r="F421" s="35"/>
      <c r="G421" s="35"/>
      <c r="H421" s="7" t="s">
        <v>1674</v>
      </c>
      <c r="I421" s="7" t="s">
        <v>1675</v>
      </c>
      <c r="J421" s="112" t="str">
        <f ca="1">IFERROR(__xludf.DUMMYFUNCTION("JOIN("": "",H421,I421)"),"3E-38-10-02-00-00-00: Aquecedor elétrico para instalações hidráulicas")</f>
        <v>3E-38-10-02-00-00-00: Aquecedor elétrico para instalações hidráulicas</v>
      </c>
      <c r="K421" s="4">
        <v>4</v>
      </c>
      <c r="L421" s="7"/>
      <c r="M421" s="7"/>
      <c r="N421" s="7"/>
      <c r="O421" s="7"/>
      <c r="P421" s="177"/>
      <c r="Q421" s="177"/>
      <c r="R421" s="177"/>
      <c r="S421" s="177"/>
    </row>
    <row r="422" spans="1:31">
      <c r="A422" s="35" t="s">
        <v>1677</v>
      </c>
      <c r="B422" s="35"/>
      <c r="C422" s="35"/>
      <c r="D422" s="35"/>
      <c r="E422" s="35"/>
      <c r="F422" s="35"/>
      <c r="G422" s="35"/>
      <c r="H422" s="7" t="s">
        <v>1678</v>
      </c>
      <c r="I422" s="7" t="s">
        <v>1679</v>
      </c>
      <c r="J422" s="112" t="str">
        <f ca="1">IFERROR(__xludf.DUMMYFUNCTION("JOIN("": "",H422,I422)"),"3E-38-10-02-02-00-00: Aquecedor elétrico de passagem para instalações hidráulicas")</f>
        <v>3E-38-10-02-02-00-00: Aquecedor elétrico de passagem para instalações hidráulicas</v>
      </c>
      <c r="K422" s="4">
        <v>5</v>
      </c>
      <c r="L422" s="7"/>
      <c r="M422" s="7"/>
      <c r="N422" s="7"/>
      <c r="O422" s="7"/>
      <c r="P422" s="177"/>
      <c r="Q422" s="177"/>
      <c r="R422" s="177"/>
      <c r="S422" s="177"/>
    </row>
    <row r="423" spans="1:31">
      <c r="A423" s="35" t="s">
        <v>1681</v>
      </c>
      <c r="B423" s="35"/>
      <c r="C423" s="35"/>
      <c r="D423" s="35"/>
      <c r="E423" s="35"/>
      <c r="F423" s="35"/>
      <c r="G423" s="35"/>
      <c r="H423" s="7" t="s">
        <v>1682</v>
      </c>
      <c r="I423" s="7" t="s">
        <v>1683</v>
      </c>
      <c r="J423" s="112" t="str">
        <f ca="1">IFERROR(__xludf.DUMMYFUNCTION("JOIN("": "",H423,I423)"),"3E-38-10-02-04-00-00: Aquecedor elétrico por acumulação para instalações hidráulicas")</f>
        <v>3E-38-10-02-04-00-00: Aquecedor elétrico por acumulação para instalações hidráulicas</v>
      </c>
      <c r="K423" s="4">
        <v>5</v>
      </c>
      <c r="L423" s="7"/>
      <c r="M423" s="7"/>
      <c r="N423" s="7"/>
      <c r="O423" s="7"/>
      <c r="P423" s="177"/>
      <c r="Q423" s="177"/>
      <c r="R423" s="177"/>
      <c r="S423" s="177"/>
    </row>
    <row r="424" spans="1:31">
      <c r="A424" s="35" t="s">
        <v>1685</v>
      </c>
      <c r="B424" s="35"/>
      <c r="C424" s="35"/>
      <c r="D424" s="35"/>
      <c r="E424" s="35"/>
      <c r="F424" s="35"/>
      <c r="G424" s="35"/>
      <c r="H424" s="7" t="s">
        <v>1686</v>
      </c>
      <c r="I424" s="7" t="s">
        <v>1687</v>
      </c>
      <c r="J424" s="112" t="str">
        <f ca="1">IFERROR(__xludf.DUMMYFUNCTION("JOIN("": "",H424,I424)"),"3E-38-10-04-00-00-00: Aquecedor a gás para instalações hidráulicas")</f>
        <v>3E-38-10-04-00-00-00: Aquecedor a gás para instalações hidráulicas</v>
      </c>
      <c r="K424" s="4">
        <v>4</v>
      </c>
      <c r="L424" s="7"/>
      <c r="M424" s="7"/>
      <c r="N424" s="7"/>
      <c r="O424" s="7"/>
      <c r="P424" s="177"/>
      <c r="Q424" s="177"/>
      <c r="R424" s="177"/>
      <c r="S424" s="177"/>
    </row>
    <row r="425" spans="1:31">
      <c r="A425" s="35" t="s">
        <v>1689</v>
      </c>
      <c r="B425" s="35"/>
      <c r="C425" s="35"/>
      <c r="D425" s="35"/>
      <c r="E425" s="35"/>
      <c r="F425" s="35"/>
      <c r="G425" s="35"/>
      <c r="H425" s="7" t="s">
        <v>1690</v>
      </c>
      <c r="I425" s="7" t="s">
        <v>1691</v>
      </c>
      <c r="J425" s="112" t="str">
        <f ca="1">IFERROR(__xludf.DUMMYFUNCTION("JOIN("": "",H425,I425)"),"3E-38-10-04-02-00-00: Aquecedor a gás de passagem para instalações hidráulicas")</f>
        <v>3E-38-10-04-02-00-00: Aquecedor a gás de passagem para instalações hidráulicas</v>
      </c>
      <c r="K425" s="4">
        <v>5</v>
      </c>
      <c r="L425" s="7"/>
      <c r="M425" s="7"/>
      <c r="N425" s="7"/>
      <c r="O425" s="7"/>
      <c r="P425" s="177"/>
      <c r="Q425" s="177"/>
      <c r="R425" s="177"/>
      <c r="S425" s="177"/>
    </row>
    <row r="426" spans="1:31">
      <c r="A426" s="35" t="s">
        <v>1693</v>
      </c>
      <c r="B426" s="35"/>
      <c r="C426" s="35"/>
      <c r="D426" s="35"/>
      <c r="E426" s="35"/>
      <c r="F426" s="35"/>
      <c r="G426" s="35"/>
      <c r="H426" s="7" t="s">
        <v>1694</v>
      </c>
      <c r="I426" s="7" t="s">
        <v>1695</v>
      </c>
      <c r="J426" s="112" t="str">
        <f ca="1">IFERROR(__xludf.DUMMYFUNCTION("JOIN("": "",H426,I426)"),"3E-38-10-04-04-00-00: Aquecedor a gás por acumulação para instalações hidráulicas")</f>
        <v>3E-38-10-04-04-00-00: Aquecedor a gás por acumulação para instalações hidráulicas</v>
      </c>
      <c r="K426" s="4">
        <v>5</v>
      </c>
      <c r="L426" s="7"/>
      <c r="M426" s="7"/>
      <c r="N426" s="7"/>
      <c r="O426" s="7"/>
      <c r="P426" s="177"/>
      <c r="Q426" s="177"/>
      <c r="R426" s="177"/>
      <c r="S426" s="177"/>
    </row>
    <row r="427" spans="1:31">
      <c r="A427" s="111" t="s">
        <v>1697</v>
      </c>
      <c r="B427" s="111"/>
      <c r="C427" s="111"/>
      <c r="D427" s="111"/>
      <c r="E427" s="111"/>
      <c r="F427" s="111"/>
      <c r="G427" s="111"/>
      <c r="H427" s="3" t="s">
        <v>1698</v>
      </c>
      <c r="I427" s="3" t="s">
        <v>1699</v>
      </c>
      <c r="J427" s="112" t="str">
        <f ca="1">IFERROR(__xludf.DUMMYFUNCTION("JOIN("": "",H427,I427)"),"3E-38-12-00-00-00-00: Elementos de isolamento térmico para instalações hidráulicas")</f>
        <v>3E-38-12-00-00-00-00: Elementos de isolamento térmico para instalações hidráulicas</v>
      </c>
      <c r="K427" s="4">
        <v>3</v>
      </c>
      <c r="L427" s="7"/>
      <c r="M427" s="7"/>
      <c r="N427" s="7"/>
      <c r="O427" s="7"/>
      <c r="P427" s="177"/>
      <c r="Q427" s="177"/>
      <c r="R427" s="177"/>
      <c r="S427" s="177"/>
    </row>
    <row r="428" spans="1:31">
      <c r="A428" s="181" t="s">
        <v>1701</v>
      </c>
      <c r="B428" s="181"/>
      <c r="C428" s="181"/>
      <c r="D428" s="181"/>
      <c r="E428" s="181"/>
      <c r="F428" s="181"/>
      <c r="G428" s="181"/>
      <c r="H428" s="9" t="s">
        <v>1702</v>
      </c>
      <c r="I428" s="3" t="s">
        <v>1703</v>
      </c>
      <c r="J428" s="112" t="str">
        <f ca="1">IFERROR(__xludf.DUMMYFUNCTION("JOIN("": "",H428,I428)"),"3E-38-14-00-00-00-00: Elementos controladores de fluxo em instalações hidráulicas")</f>
        <v>3E-38-14-00-00-00-00: Elementos controladores de fluxo em instalações hidráulicas</v>
      </c>
      <c r="K428" s="4">
        <v>3</v>
      </c>
      <c r="L428" s="7"/>
      <c r="M428" s="7"/>
      <c r="N428" s="7"/>
      <c r="O428" s="7"/>
      <c r="P428" s="177"/>
      <c r="Q428" s="177"/>
      <c r="R428" s="177"/>
      <c r="S428" s="177"/>
    </row>
    <row r="429" spans="1:31">
      <c r="A429" s="111" t="s">
        <v>1705</v>
      </c>
      <c r="B429" s="111"/>
      <c r="C429" s="111"/>
      <c r="D429" s="111"/>
      <c r="E429" s="111"/>
      <c r="F429" s="111"/>
      <c r="G429" s="111"/>
      <c r="H429" s="3" t="s">
        <v>1706</v>
      </c>
      <c r="I429" s="3" t="s">
        <v>1707</v>
      </c>
      <c r="J429" s="112" t="str">
        <f ca="1">IFERROR(__xludf.DUMMYFUNCTION("JOIN("": "",H429,I429)"),"3E-38-16-00-00-00-00: Elementos terminais em instalações hidráulicas")</f>
        <v>3E-38-16-00-00-00-00: Elementos terminais em instalações hidráulicas</v>
      </c>
      <c r="K429" s="4">
        <v>3</v>
      </c>
      <c r="L429" s="7"/>
      <c r="M429" s="7"/>
      <c r="N429" s="7"/>
      <c r="O429" s="7"/>
      <c r="P429" s="177"/>
      <c r="Q429" s="177"/>
      <c r="R429" s="177"/>
      <c r="S429" s="177"/>
    </row>
    <row r="430" spans="1:31">
      <c r="A430" s="111" t="s">
        <v>1709</v>
      </c>
      <c r="B430" s="111"/>
      <c r="C430" s="111"/>
      <c r="D430" s="111"/>
      <c r="E430" s="111"/>
      <c r="F430" s="111"/>
      <c r="G430" s="111"/>
      <c r="H430" s="3" t="s">
        <v>1710</v>
      </c>
      <c r="I430" s="3" t="s">
        <v>1711</v>
      </c>
      <c r="J430" s="112" t="str">
        <f ca="1">IFERROR(__xludf.DUMMYFUNCTION("JOIN("": "",H430,I430)"),"3E-40-00-00-00-00-00: Elementos de instalações de água pluvial")</f>
        <v>3E-40-00-00-00-00-00: Elementos de instalações de água pluvial</v>
      </c>
      <c r="K430" s="4">
        <v>2</v>
      </c>
      <c r="L430" s="7"/>
      <c r="M430" s="7"/>
      <c r="N430" s="7"/>
      <c r="O430" s="7"/>
      <c r="P430" s="177"/>
      <c r="Q430" s="177"/>
      <c r="R430" s="177"/>
      <c r="S430" s="177"/>
      <c r="AD430" s="7"/>
      <c r="AE430" s="35"/>
    </row>
    <row r="431" spans="1:31">
      <c r="A431" s="111" t="s">
        <v>1713</v>
      </c>
      <c r="B431" s="111"/>
      <c r="C431" s="111"/>
      <c r="D431" s="111"/>
      <c r="E431" s="111"/>
      <c r="F431" s="111"/>
      <c r="G431" s="111"/>
      <c r="H431" s="3" t="s">
        <v>1714</v>
      </c>
      <c r="I431" s="3" t="s">
        <v>1715</v>
      </c>
      <c r="J431" s="112" t="str">
        <f ca="1">IFERROR(__xludf.DUMMYFUNCTION("JOIN("": "",H431,I431)"),"3E-40-02-00-00-00-00: Elementos para captação de águas pluviais")</f>
        <v>3E-40-02-00-00-00-00: Elementos para captação de águas pluviais</v>
      </c>
      <c r="K431" s="4">
        <v>3</v>
      </c>
      <c r="L431" s="7"/>
      <c r="M431" s="7"/>
      <c r="N431" s="7"/>
      <c r="O431" s="7"/>
      <c r="P431" s="177"/>
      <c r="Q431" s="177"/>
      <c r="R431" s="177"/>
      <c r="S431" s="177"/>
    </row>
    <row r="432" spans="1:31">
      <c r="A432" s="111" t="s">
        <v>1717</v>
      </c>
      <c r="B432" s="111"/>
      <c r="C432" s="111"/>
      <c r="D432" s="111"/>
      <c r="E432" s="111"/>
      <c r="F432" s="111"/>
      <c r="G432" s="111"/>
      <c r="H432" s="3" t="s">
        <v>1718</v>
      </c>
      <c r="I432" s="3" t="s">
        <v>1719</v>
      </c>
      <c r="J432" s="112" t="str">
        <f ca="1">IFERROR(__xludf.DUMMYFUNCTION("JOIN("": "",H432,I432)"),"3E-40-04-00-00-00-00: Elementos para inspeção de instalações de água pluvial")</f>
        <v>3E-40-04-00-00-00-00: Elementos para inspeção de instalações de água pluvial</v>
      </c>
      <c r="K432" s="4">
        <v>3</v>
      </c>
      <c r="L432" s="7"/>
      <c r="M432" s="7"/>
      <c r="N432" s="7"/>
      <c r="O432" s="7"/>
      <c r="P432" s="177"/>
      <c r="Q432" s="177"/>
      <c r="R432" s="177"/>
      <c r="S432" s="177"/>
    </row>
    <row r="433" spans="1:31">
      <c r="A433" s="111" t="s">
        <v>1721</v>
      </c>
      <c r="B433" s="111"/>
      <c r="C433" s="111"/>
      <c r="D433" s="111"/>
      <c r="E433" s="111"/>
      <c r="F433" s="111"/>
      <c r="G433" s="111"/>
      <c r="H433" s="3" t="s">
        <v>1722</v>
      </c>
      <c r="I433" s="3" t="s">
        <v>1723</v>
      </c>
      <c r="J433" s="112" t="str">
        <f ca="1">IFERROR(__xludf.DUMMYFUNCTION("JOIN("": "",H433,I433)"),"3E-40-06-00-00-00-00: Elementos para tratamento de águas pluviais")</f>
        <v>3E-40-06-00-00-00-00: Elementos para tratamento de águas pluviais</v>
      </c>
      <c r="K433" s="4">
        <v>3</v>
      </c>
      <c r="L433" s="7"/>
      <c r="M433" s="7"/>
      <c r="N433" s="7"/>
      <c r="O433" s="7"/>
      <c r="P433" s="177"/>
      <c r="Q433" s="177"/>
      <c r="R433" s="177"/>
      <c r="S433" s="177"/>
    </row>
    <row r="434" spans="1:31">
      <c r="A434" s="35" t="s">
        <v>1725</v>
      </c>
      <c r="B434" s="35"/>
      <c r="C434" s="35"/>
      <c r="D434" s="35"/>
      <c r="E434" s="35"/>
      <c r="F434" s="35"/>
      <c r="G434" s="35"/>
      <c r="H434" s="7" t="s">
        <v>1726</v>
      </c>
      <c r="I434" s="7" t="s">
        <v>1727</v>
      </c>
      <c r="J434" s="112" t="str">
        <f ca="1">IFERROR(__xludf.DUMMYFUNCTION("JOIN("": "",H434,I434)"),"3E-40-06-02-00-00-00: Dispositivo de descarte das primeiras águas")</f>
        <v>3E-40-06-02-00-00-00: Dispositivo de descarte das primeiras águas</v>
      </c>
      <c r="K434" s="4">
        <v>4</v>
      </c>
      <c r="L434" s="7"/>
      <c r="M434" s="7"/>
      <c r="N434" s="7"/>
      <c r="O434" s="7"/>
      <c r="P434" s="177"/>
      <c r="Q434" s="177"/>
      <c r="R434" s="177"/>
      <c r="S434" s="177"/>
    </row>
    <row r="435" spans="1:31">
      <c r="A435" s="35" t="s">
        <v>1729</v>
      </c>
      <c r="B435" s="35"/>
      <c r="C435" s="35"/>
      <c r="D435" s="35"/>
      <c r="E435" s="35"/>
      <c r="F435" s="35"/>
      <c r="G435" s="35"/>
      <c r="H435" s="7" t="s">
        <v>1730</v>
      </c>
      <c r="I435" s="7" t="s">
        <v>1731</v>
      </c>
      <c r="J435" s="112" t="str">
        <f ca="1">IFERROR(__xludf.DUMMYFUNCTION("JOIN("": "",H435,I435)"),"3E-40-06-04-00-00-00: Separador de materiais grosseiros para aproveitamento de águas pluviais")</f>
        <v>3E-40-06-04-00-00-00: Separador de materiais grosseiros para aproveitamento de águas pluviais</v>
      </c>
      <c r="K435" s="4">
        <v>4</v>
      </c>
      <c r="L435" s="7"/>
      <c r="M435" s="7"/>
      <c r="N435" s="7"/>
      <c r="O435" s="7"/>
      <c r="P435" s="177"/>
      <c r="Q435" s="177"/>
      <c r="R435" s="177"/>
      <c r="S435" s="177"/>
    </row>
    <row r="436" spans="1:31">
      <c r="A436" s="35" t="s">
        <v>1733</v>
      </c>
      <c r="B436" s="35"/>
      <c r="C436" s="35"/>
      <c r="D436" s="35"/>
      <c r="E436" s="35"/>
      <c r="F436" s="35"/>
      <c r="G436" s="35"/>
      <c r="H436" s="7" t="s">
        <v>1734</v>
      </c>
      <c r="I436" s="7" t="s">
        <v>1735</v>
      </c>
      <c r="J436" s="112" t="str">
        <f ca="1">IFERROR(__xludf.DUMMYFUNCTION("JOIN("": "",H436,I436)"),"3E-40-06-06-00-00-00: Sistema de tratamento e desinfecção para aproveitamento de águas pluviais")</f>
        <v>3E-40-06-06-00-00-00: Sistema de tratamento e desinfecção para aproveitamento de águas pluviais</v>
      </c>
      <c r="K436" s="4">
        <v>4</v>
      </c>
      <c r="L436" s="7"/>
      <c r="M436" s="7"/>
      <c r="N436" s="7"/>
      <c r="O436" s="7"/>
      <c r="P436" s="177"/>
      <c r="Q436" s="177"/>
      <c r="R436" s="177"/>
      <c r="S436" s="177"/>
    </row>
    <row r="437" spans="1:31">
      <c r="A437" s="35" t="s">
        <v>1737</v>
      </c>
      <c r="B437" s="35"/>
      <c r="C437" s="35"/>
      <c r="D437" s="35"/>
      <c r="E437" s="35"/>
      <c r="F437" s="35"/>
      <c r="G437" s="35"/>
      <c r="H437" s="7" t="s">
        <v>1738</v>
      </c>
      <c r="I437" s="7" t="s">
        <v>1739</v>
      </c>
      <c r="J437" s="112" t="str">
        <f ca="1">IFERROR(__xludf.DUMMYFUNCTION("JOIN("": "",H437,I437)"),"3E-40-06-08-00-00-00: Reservatório para aproveitamento de águas pluviais")</f>
        <v>3E-40-06-08-00-00-00: Reservatório para aproveitamento de águas pluviais</v>
      </c>
      <c r="K437" s="4">
        <v>4</v>
      </c>
      <c r="L437" s="7"/>
      <c r="M437" s="7"/>
      <c r="N437" s="7"/>
      <c r="O437" s="7"/>
      <c r="P437" s="177"/>
      <c r="Q437" s="177"/>
      <c r="R437" s="177"/>
      <c r="S437" s="177"/>
    </row>
    <row r="438" spans="1:31">
      <c r="A438" s="35" t="s">
        <v>1741</v>
      </c>
      <c r="B438" s="35"/>
      <c r="C438" s="35"/>
      <c r="D438" s="35"/>
      <c r="E438" s="35"/>
      <c r="F438" s="35"/>
      <c r="G438" s="35"/>
      <c r="H438" s="7" t="s">
        <v>1742</v>
      </c>
      <c r="I438" s="7" t="s">
        <v>1743</v>
      </c>
      <c r="J438" s="112" t="str">
        <f ca="1">IFERROR(__xludf.DUMMYFUNCTION("JOIN("": "",H438,I438)"),"3E-40-06-10-00-00-00: Bomba de recalque para aproveitamento de águas pluviais")</f>
        <v>3E-40-06-10-00-00-00: Bomba de recalque para aproveitamento de águas pluviais</v>
      </c>
      <c r="K438" s="4">
        <v>4</v>
      </c>
      <c r="L438" s="7"/>
      <c r="M438" s="7"/>
      <c r="N438" s="7"/>
      <c r="O438" s="7"/>
      <c r="P438" s="177"/>
      <c r="Q438" s="177"/>
      <c r="R438" s="177"/>
      <c r="S438" s="177"/>
    </row>
    <row r="439" spans="1:31">
      <c r="A439" s="35" t="s">
        <v>1745</v>
      </c>
      <c r="B439" s="35"/>
      <c r="C439" s="35"/>
      <c r="D439" s="35"/>
      <c r="E439" s="35"/>
      <c r="F439" s="35"/>
      <c r="G439" s="35"/>
      <c r="H439" s="7" t="s">
        <v>1746</v>
      </c>
      <c r="I439" s="7" t="s">
        <v>1747</v>
      </c>
      <c r="J439" s="112" t="str">
        <f ca="1">IFERROR(__xludf.DUMMYFUNCTION("JOIN("": "",H439,I439)"),"3E-40-06-12-00-00-00: Poço de infiltração para aproveitamento de águas pluviais")</f>
        <v>3E-40-06-12-00-00-00: Poço de infiltração para aproveitamento de águas pluviais</v>
      </c>
      <c r="K439" s="4">
        <v>4</v>
      </c>
      <c r="L439" s="7"/>
      <c r="M439" s="7"/>
      <c r="N439" s="7"/>
      <c r="O439" s="7"/>
      <c r="P439" s="177"/>
      <c r="Q439" s="177"/>
      <c r="R439" s="177"/>
      <c r="S439" s="177"/>
    </row>
    <row r="440" spans="1:31">
      <c r="A440" s="35" t="s">
        <v>1749</v>
      </c>
      <c r="B440" s="35"/>
      <c r="C440" s="35"/>
      <c r="D440" s="35"/>
      <c r="E440" s="35"/>
      <c r="F440" s="35"/>
      <c r="G440" s="35"/>
      <c r="H440" s="7" t="s">
        <v>1750</v>
      </c>
      <c r="I440" s="7" t="s">
        <v>1751</v>
      </c>
      <c r="J440" s="112" t="str">
        <f ca="1">IFERROR(__xludf.DUMMYFUNCTION("JOIN("": "",H440,I440)"),"3E-40-06-14-00-00-00: Extravasor para aproveitamento de águas pluviais")</f>
        <v>3E-40-06-14-00-00-00: Extravasor para aproveitamento de águas pluviais</v>
      </c>
      <c r="K440" s="4">
        <v>4</v>
      </c>
      <c r="L440" s="7"/>
      <c r="M440" s="7"/>
      <c r="N440" s="7"/>
      <c r="O440" s="7"/>
      <c r="P440" s="177"/>
      <c r="Q440" s="177"/>
      <c r="R440" s="177"/>
      <c r="S440" s="177"/>
    </row>
    <row r="441" spans="1:31">
      <c r="A441" s="111" t="s">
        <v>1753</v>
      </c>
      <c r="B441" s="111"/>
      <c r="C441" s="111"/>
      <c r="D441" s="111"/>
      <c r="E441" s="111"/>
      <c r="F441" s="111"/>
      <c r="G441" s="111"/>
      <c r="H441" s="3" t="s">
        <v>1754</v>
      </c>
      <c r="I441" s="3" t="s">
        <v>1755</v>
      </c>
      <c r="J441" s="112" t="str">
        <f ca="1">IFERROR(__xludf.DUMMYFUNCTION("JOIN("": "",H441,I441)"),"3E-40-08-00-00-00-00: Elementos para esgotamento de águas pluviais")</f>
        <v>3E-40-08-00-00-00-00: Elementos para esgotamento de águas pluviais</v>
      </c>
      <c r="K441" s="4">
        <v>3</v>
      </c>
      <c r="L441" s="7"/>
      <c r="M441" s="7"/>
      <c r="N441" s="7"/>
      <c r="O441" s="7"/>
      <c r="P441" s="177"/>
      <c r="Q441" s="177"/>
      <c r="R441" s="177"/>
      <c r="S441" s="177"/>
    </row>
    <row r="442" spans="1:31">
      <c r="A442" s="111" t="s">
        <v>1757</v>
      </c>
      <c r="B442" s="111"/>
      <c r="C442" s="111"/>
      <c r="D442" s="111"/>
      <c r="E442" s="111"/>
      <c r="F442" s="111"/>
      <c r="G442" s="111"/>
      <c r="H442" s="3" t="s">
        <v>1758</v>
      </c>
      <c r="I442" s="3" t="s">
        <v>1759</v>
      </c>
      <c r="J442" s="112" t="str">
        <f ca="1">IFERROR(__xludf.DUMMYFUNCTION("JOIN("": "",H442,I442)"),"3E-42-00-00-00-00-00: Elementos de instalações sanitárias")</f>
        <v>3E-42-00-00-00-00-00: Elementos de instalações sanitárias</v>
      </c>
      <c r="K442" s="4">
        <v>2</v>
      </c>
      <c r="L442" s="7"/>
      <c r="M442" s="7"/>
      <c r="N442" s="7"/>
      <c r="O442" s="7"/>
      <c r="P442" s="177"/>
      <c r="Q442" s="177"/>
      <c r="R442" s="177"/>
      <c r="S442" s="177"/>
      <c r="AD442" s="7"/>
      <c r="AE442" s="35"/>
    </row>
    <row r="443" spans="1:31">
      <c r="A443" s="111" t="s">
        <v>1761</v>
      </c>
      <c r="B443" s="111"/>
      <c r="C443" s="111"/>
      <c r="D443" s="111"/>
      <c r="E443" s="111"/>
      <c r="F443" s="111"/>
      <c r="G443" s="111"/>
      <c r="H443" s="3" t="s">
        <v>1762</v>
      </c>
      <c r="I443" s="3" t="s">
        <v>1763</v>
      </c>
      <c r="J443" s="112" t="str">
        <f ca="1">IFERROR(__xludf.DUMMYFUNCTION("JOIN("": "",H443,I443)"),"3E-42-02-00-00-00-00: Elementos controladores de fluxo em instalações sanitárias")</f>
        <v>3E-42-02-00-00-00-00: Elementos controladores de fluxo em instalações sanitárias</v>
      </c>
      <c r="K443" s="4">
        <v>3</v>
      </c>
      <c r="L443" s="7"/>
      <c r="M443" s="7"/>
      <c r="N443" s="7"/>
      <c r="O443" s="7"/>
      <c r="P443" s="177"/>
      <c r="Q443" s="177"/>
      <c r="R443" s="177"/>
      <c r="S443" s="177"/>
    </row>
    <row r="444" spans="1:31">
      <c r="A444" s="35" t="s">
        <v>1765</v>
      </c>
      <c r="B444" s="35"/>
      <c r="C444" s="35"/>
      <c r="D444" s="35"/>
      <c r="E444" s="35"/>
      <c r="F444" s="35"/>
      <c r="G444" s="35"/>
      <c r="H444" s="7" t="s">
        <v>1766</v>
      </c>
      <c r="I444" s="7" t="s">
        <v>1767</v>
      </c>
      <c r="J444" s="112" t="str">
        <f ca="1">IFERROR(__xludf.DUMMYFUNCTION("JOIN("": "",H444,I444)"),"3E-42-02-02-00-00-00: Válvula de retenção de instalação sanitária")</f>
        <v>3E-42-02-02-00-00-00: Válvula de retenção de instalação sanitária</v>
      </c>
      <c r="K444" s="4">
        <v>4</v>
      </c>
      <c r="L444" s="7"/>
      <c r="M444" s="7"/>
      <c r="N444" s="7"/>
      <c r="O444" s="7"/>
      <c r="P444" s="177"/>
      <c r="Q444" s="177"/>
      <c r="R444" s="177"/>
      <c r="S444" s="177"/>
    </row>
    <row r="445" spans="1:31">
      <c r="A445" s="35" t="s">
        <v>1769</v>
      </c>
      <c r="B445" s="35"/>
      <c r="C445" s="35"/>
      <c r="D445" s="35"/>
      <c r="E445" s="35"/>
      <c r="F445" s="35"/>
      <c r="G445" s="35"/>
      <c r="H445" s="7" t="s">
        <v>1770</v>
      </c>
      <c r="I445" s="7" t="s">
        <v>1771</v>
      </c>
      <c r="J445" s="112" t="str">
        <f ca="1">IFERROR(__xludf.DUMMYFUNCTION("JOIN("": "",H445,I445)"),"3E-42-02-02-02-00-00: Tipo leve")</f>
        <v>3E-42-02-02-02-00-00: Tipo leve</v>
      </c>
      <c r="K445" s="4">
        <v>5</v>
      </c>
      <c r="L445" s="7"/>
      <c r="M445" s="7"/>
      <c r="N445" s="7"/>
      <c r="O445" s="7"/>
      <c r="P445" s="177"/>
      <c r="Q445" s="177"/>
      <c r="R445" s="177"/>
      <c r="S445" s="177"/>
    </row>
    <row r="446" spans="1:31">
      <c r="A446" s="35" t="s">
        <v>1773</v>
      </c>
      <c r="B446" s="35"/>
      <c r="C446" s="35"/>
      <c r="D446" s="35"/>
      <c r="E446" s="35"/>
      <c r="F446" s="35"/>
      <c r="G446" s="35"/>
      <c r="H446" s="7" t="s">
        <v>1774</v>
      </c>
      <c r="I446" s="7" t="s">
        <v>1775</v>
      </c>
      <c r="J446" s="112" t="str">
        <f ca="1">IFERROR(__xludf.DUMMYFUNCTION("JOIN("": "",H446,I446)"),"3E-42-02-02-04-00-00: Tipo pesado")</f>
        <v>3E-42-02-02-04-00-00: Tipo pesado</v>
      </c>
      <c r="K446" s="4">
        <v>5</v>
      </c>
      <c r="L446" s="7"/>
      <c r="M446" s="7"/>
      <c r="N446" s="7"/>
      <c r="O446" s="7"/>
      <c r="P446" s="177"/>
      <c r="Q446" s="177"/>
      <c r="R446" s="177"/>
      <c r="S446" s="177"/>
    </row>
    <row r="447" spans="1:31">
      <c r="A447" s="35" t="s">
        <v>1777</v>
      </c>
      <c r="B447" s="35"/>
      <c r="C447" s="35"/>
      <c r="D447" s="35"/>
      <c r="E447" s="35"/>
      <c r="F447" s="35"/>
      <c r="G447" s="35"/>
      <c r="H447" s="7" t="s">
        <v>1778</v>
      </c>
      <c r="I447" s="7" t="s">
        <v>1779</v>
      </c>
      <c r="J447" s="112" t="str">
        <f ca="1">IFERROR(__xludf.DUMMYFUNCTION("JOIN("": "",H447,I447)"),"3E-42-02-04-00-00-00: Registro de instalação sanitária")</f>
        <v>3E-42-02-04-00-00-00: Registro de instalação sanitária</v>
      </c>
      <c r="K447" s="4">
        <v>4</v>
      </c>
      <c r="L447" s="7"/>
      <c r="M447" s="7"/>
      <c r="N447" s="7"/>
      <c r="O447" s="7"/>
      <c r="P447" s="177"/>
      <c r="Q447" s="177"/>
      <c r="R447" s="177"/>
      <c r="S447" s="177"/>
    </row>
    <row r="448" spans="1:31">
      <c r="A448" s="35" t="s">
        <v>1781</v>
      </c>
      <c r="B448" s="35"/>
      <c r="C448" s="35"/>
      <c r="D448" s="35"/>
      <c r="E448" s="35"/>
      <c r="F448" s="35"/>
      <c r="G448" s="35"/>
      <c r="H448" s="7" t="s">
        <v>1782</v>
      </c>
      <c r="I448" s="7" t="s">
        <v>1783</v>
      </c>
      <c r="J448" s="112" t="str">
        <f ca="1">IFERROR(__xludf.DUMMYFUNCTION("JOIN("": "",H448,I448)"),"3E-42-02-04-02-00-00: Registro globo aberto")</f>
        <v>3E-42-02-04-02-00-00: Registro globo aberto</v>
      </c>
      <c r="K448" s="4">
        <v>5</v>
      </c>
      <c r="L448" s="7"/>
      <c r="M448" s="7"/>
      <c r="N448" s="7"/>
      <c r="O448" s="7"/>
      <c r="P448" s="177"/>
      <c r="Q448" s="177"/>
      <c r="R448" s="177"/>
      <c r="S448" s="177"/>
    </row>
    <row r="449" spans="1:19">
      <c r="A449" s="35" t="s">
        <v>1785</v>
      </c>
      <c r="B449" s="35"/>
      <c r="C449" s="35"/>
      <c r="D449" s="35"/>
      <c r="E449" s="35"/>
      <c r="F449" s="35"/>
      <c r="G449" s="35"/>
      <c r="H449" s="7" t="s">
        <v>1786</v>
      </c>
      <c r="I449" s="7" t="s">
        <v>1787</v>
      </c>
      <c r="J449" s="112" t="str">
        <f ca="1">IFERROR(__xludf.DUMMYFUNCTION("JOIN("": "",H449,I449)"),"3E-42-02-04-04-00-00: Registro gaveta aberto")</f>
        <v>3E-42-02-04-04-00-00: Registro gaveta aberto</v>
      </c>
      <c r="K449" s="4">
        <v>5</v>
      </c>
      <c r="L449" s="7"/>
      <c r="M449" s="7"/>
      <c r="N449" s="7"/>
      <c r="O449" s="7"/>
      <c r="P449" s="177"/>
      <c r="Q449" s="177"/>
      <c r="R449" s="177"/>
      <c r="S449" s="177"/>
    </row>
    <row r="450" spans="1:19">
      <c r="A450" s="35" t="s">
        <v>1789</v>
      </c>
      <c r="B450" s="35"/>
      <c r="C450" s="35"/>
      <c r="D450" s="35"/>
      <c r="E450" s="35"/>
      <c r="F450" s="35"/>
      <c r="G450" s="35"/>
      <c r="H450" s="7" t="s">
        <v>1790</v>
      </c>
      <c r="I450" s="7" t="s">
        <v>1791</v>
      </c>
      <c r="J450" s="112" t="str">
        <f ca="1">IFERROR(__xludf.DUMMYFUNCTION("JOIN("": "",H450,I450)"),"3E-42-02-04-06-00-00: Registro ângulo aberto")</f>
        <v>3E-42-02-04-06-00-00: Registro ângulo aberto</v>
      </c>
      <c r="K450" s="4">
        <v>5</v>
      </c>
      <c r="L450" s="7"/>
      <c r="M450" s="7"/>
      <c r="N450" s="7"/>
      <c r="O450" s="7"/>
      <c r="P450" s="177"/>
      <c r="Q450" s="177"/>
      <c r="R450" s="177"/>
      <c r="S450" s="177"/>
    </row>
    <row r="451" spans="1:19">
      <c r="A451" s="111" t="s">
        <v>1793</v>
      </c>
      <c r="B451" s="111"/>
      <c r="C451" s="111"/>
      <c r="D451" s="111"/>
      <c r="E451" s="111"/>
      <c r="F451" s="111"/>
      <c r="G451" s="111"/>
      <c r="H451" s="3" t="s">
        <v>1794</v>
      </c>
      <c r="I451" s="3" t="s">
        <v>1795</v>
      </c>
      <c r="J451" s="112" t="str">
        <f ca="1">IFERROR(__xludf.DUMMYFUNCTION("JOIN("": "",H451,I451)"),"3E-42-04-00-00-00-00: Elementos coletores em instalações sanitárias")</f>
        <v>3E-42-04-00-00-00-00: Elementos coletores em instalações sanitárias</v>
      </c>
      <c r="K451" s="4">
        <v>3</v>
      </c>
      <c r="L451" s="7"/>
      <c r="M451" s="7"/>
      <c r="N451" s="7"/>
      <c r="O451" s="7"/>
      <c r="P451" s="177"/>
      <c r="Q451" s="177"/>
      <c r="R451" s="177"/>
      <c r="S451" s="177"/>
    </row>
    <row r="452" spans="1:19">
      <c r="A452" s="35" t="s">
        <v>1797</v>
      </c>
      <c r="B452" s="35"/>
      <c r="C452" s="35"/>
      <c r="D452" s="35"/>
      <c r="E452" s="35"/>
      <c r="F452" s="35"/>
      <c r="G452" s="35"/>
      <c r="H452" s="7" t="s">
        <v>1798</v>
      </c>
      <c r="I452" s="7" t="s">
        <v>1799</v>
      </c>
      <c r="J452" s="112" t="str">
        <f ca="1">IFERROR(__xludf.DUMMYFUNCTION("JOIN("": "",H452,I452)"),"3E-42-04-02-00-00-00: Coletor de instalação sanitária")</f>
        <v>3E-42-04-02-00-00-00: Coletor de instalação sanitária</v>
      </c>
      <c r="K452" s="4">
        <v>4</v>
      </c>
      <c r="L452" s="7"/>
      <c r="M452" s="7"/>
      <c r="N452" s="7"/>
      <c r="O452" s="7"/>
      <c r="P452" s="177"/>
      <c r="Q452" s="177"/>
      <c r="R452" s="177"/>
      <c r="S452" s="177"/>
    </row>
    <row r="453" spans="1:19">
      <c r="A453" s="35" t="s">
        <v>1801</v>
      </c>
      <c r="B453" s="35"/>
      <c r="C453" s="35"/>
      <c r="D453" s="35"/>
      <c r="E453" s="35"/>
      <c r="F453" s="35"/>
      <c r="G453" s="35"/>
      <c r="H453" s="7" t="s">
        <v>1802</v>
      </c>
      <c r="I453" s="7" t="s">
        <v>1803</v>
      </c>
      <c r="J453" s="112" t="str">
        <f ca="1">IFERROR(__xludf.DUMMYFUNCTION("JOIN("": "",H453,I453)"),"3E-42-04-04-00-00-00: Sub-coletor de instalação sanitária")</f>
        <v>3E-42-04-04-00-00-00: Sub-coletor de instalação sanitária</v>
      </c>
      <c r="K453" s="4">
        <v>4</v>
      </c>
      <c r="L453" s="7"/>
      <c r="M453" s="7"/>
      <c r="N453" s="7"/>
      <c r="O453" s="7"/>
      <c r="P453" s="177"/>
      <c r="Q453" s="177"/>
      <c r="R453" s="177"/>
      <c r="S453" s="177"/>
    </row>
    <row r="454" spans="1:19">
      <c r="A454" s="111" t="s">
        <v>1805</v>
      </c>
      <c r="B454" s="111"/>
      <c r="C454" s="111"/>
      <c r="D454" s="111"/>
      <c r="E454" s="111"/>
      <c r="F454" s="111"/>
      <c r="G454" s="111"/>
      <c r="H454" s="3" t="s">
        <v>1806</v>
      </c>
      <c r="I454" s="3" t="s">
        <v>1807</v>
      </c>
      <c r="J454" s="112" t="str">
        <f ca="1">IFERROR(__xludf.DUMMYFUNCTION("JOIN("": "",H454,I454)"),"3E-42-06-00-00-00-00: Elementos distribuidores em instalações sanitárias")</f>
        <v>3E-42-06-00-00-00-00: Elementos distribuidores em instalações sanitárias</v>
      </c>
      <c r="K454" s="4">
        <v>3</v>
      </c>
      <c r="L454" s="7"/>
      <c r="M454" s="7"/>
      <c r="N454" s="7"/>
      <c r="O454" s="7"/>
      <c r="P454" s="177"/>
      <c r="Q454" s="177"/>
      <c r="R454" s="177"/>
      <c r="S454" s="177"/>
    </row>
    <row r="455" spans="1:19">
      <c r="A455" s="35" t="s">
        <v>1809</v>
      </c>
      <c r="B455" s="35"/>
      <c r="C455" s="35"/>
      <c r="D455" s="35"/>
      <c r="E455" s="35"/>
      <c r="F455" s="35"/>
      <c r="G455" s="35"/>
      <c r="H455" s="7" t="s">
        <v>1810</v>
      </c>
      <c r="I455" s="7" t="s">
        <v>1811</v>
      </c>
      <c r="J455" s="112" t="str">
        <f ca="1">IFERROR(__xludf.DUMMYFUNCTION("JOIN("": "",H455,I455)"),"3E-42-06-02-00-00-00: Distribuição primária de instalação sanitária")</f>
        <v>3E-42-06-02-00-00-00: Distribuição primária de instalação sanitária</v>
      </c>
      <c r="K455" s="4">
        <v>4</v>
      </c>
      <c r="L455" s="7"/>
      <c r="M455" s="7"/>
      <c r="N455" s="7"/>
      <c r="O455" s="7"/>
      <c r="P455" s="177"/>
      <c r="Q455" s="177"/>
      <c r="R455" s="177"/>
      <c r="S455" s="177"/>
    </row>
    <row r="456" spans="1:19">
      <c r="A456" s="35" t="s">
        <v>1813</v>
      </c>
      <c r="B456" s="35"/>
      <c r="C456" s="35"/>
      <c r="D456" s="35"/>
      <c r="E456" s="35"/>
      <c r="F456" s="35"/>
      <c r="G456" s="35"/>
      <c r="H456" s="7" t="s">
        <v>1814</v>
      </c>
      <c r="I456" s="7" t="s">
        <v>1815</v>
      </c>
      <c r="J456" s="112" t="str">
        <f ca="1">IFERROR(__xludf.DUMMYFUNCTION("JOIN("": "",H456,I456)"),"3E-42-06-04-00-00-00: Distribuição secundária de instalação sanitária")</f>
        <v>3E-42-06-04-00-00-00: Distribuição secundária de instalação sanitária</v>
      </c>
      <c r="K456" s="4">
        <v>4</v>
      </c>
      <c r="L456" s="7"/>
      <c r="M456" s="7"/>
      <c r="N456" s="7"/>
      <c r="O456" s="7"/>
      <c r="P456" s="177"/>
      <c r="Q456" s="177"/>
      <c r="R456" s="177"/>
      <c r="S456" s="177"/>
    </row>
    <row r="457" spans="1:19">
      <c r="A457" s="35" t="s">
        <v>1817</v>
      </c>
      <c r="B457" s="35"/>
      <c r="C457" s="35"/>
      <c r="D457" s="35"/>
      <c r="E457" s="35"/>
      <c r="F457" s="35"/>
      <c r="G457" s="35"/>
      <c r="H457" s="7" t="s">
        <v>1818</v>
      </c>
      <c r="I457" s="7" t="s">
        <v>1819</v>
      </c>
      <c r="J457" s="112" t="str">
        <f ca="1">IFERROR(__xludf.DUMMYFUNCTION("JOIN("": "",H457,I457)"),"3E-42-06-06-00-00-00: Ramal de esgoto de instalação sanitária")</f>
        <v>3E-42-06-06-00-00-00: Ramal de esgoto de instalação sanitária</v>
      </c>
      <c r="K457" s="4">
        <v>4</v>
      </c>
      <c r="L457" s="7"/>
      <c r="M457" s="7"/>
      <c r="N457" s="7"/>
      <c r="O457" s="7"/>
      <c r="P457" s="177"/>
      <c r="Q457" s="177"/>
      <c r="R457" s="177"/>
      <c r="S457" s="177"/>
    </row>
    <row r="458" spans="1:19">
      <c r="A458" s="35" t="s">
        <v>1821</v>
      </c>
      <c r="B458" s="35"/>
      <c r="C458" s="35"/>
      <c r="D458" s="35"/>
      <c r="E458" s="35"/>
      <c r="F458" s="35"/>
      <c r="G458" s="35"/>
      <c r="H458" s="7" t="s">
        <v>1822</v>
      </c>
      <c r="I458" s="7" t="s">
        <v>1823</v>
      </c>
      <c r="J458" s="112" t="str">
        <f ca="1">IFERROR(__xludf.DUMMYFUNCTION("JOIN("": "",H458,I458)"),"3E-42-06-08-00-00-00: Ramal de descarga de instalação sanitária")</f>
        <v>3E-42-06-08-00-00-00: Ramal de descarga de instalação sanitária</v>
      </c>
      <c r="K458" s="4">
        <v>4</v>
      </c>
      <c r="L458" s="7"/>
      <c r="M458" s="7"/>
      <c r="N458" s="7"/>
      <c r="O458" s="7"/>
      <c r="P458" s="177"/>
      <c r="Q458" s="177"/>
      <c r="R458" s="177"/>
      <c r="S458" s="177"/>
    </row>
    <row r="459" spans="1:19">
      <c r="A459" s="35" t="s">
        <v>1825</v>
      </c>
      <c r="B459" s="35"/>
      <c r="C459" s="35"/>
      <c r="D459" s="35"/>
      <c r="E459" s="35"/>
      <c r="F459" s="35"/>
      <c r="G459" s="35"/>
      <c r="H459" s="7" t="s">
        <v>1826</v>
      </c>
      <c r="I459" s="7" t="s">
        <v>1827</v>
      </c>
      <c r="J459" s="112" t="str">
        <f ca="1">IFERROR(__xludf.DUMMYFUNCTION("JOIN("": "",H459,I459)"),"3E-42-06-10-00-00-00: Prumada de queda de instalação sanitária")</f>
        <v>3E-42-06-10-00-00-00: Prumada de queda de instalação sanitária</v>
      </c>
      <c r="K459" s="4">
        <v>4</v>
      </c>
      <c r="L459" s="7"/>
      <c r="M459" s="7"/>
      <c r="N459" s="7"/>
      <c r="O459" s="7"/>
      <c r="P459" s="177"/>
      <c r="Q459" s="177"/>
      <c r="R459" s="177"/>
      <c r="S459" s="177"/>
    </row>
    <row r="460" spans="1:19">
      <c r="A460" s="35" t="s">
        <v>1829</v>
      </c>
      <c r="B460" s="35"/>
      <c r="C460" s="35"/>
      <c r="D460" s="35"/>
      <c r="E460" s="35"/>
      <c r="F460" s="35"/>
      <c r="G460" s="35"/>
      <c r="H460" s="7" t="s">
        <v>1830</v>
      </c>
      <c r="I460" s="7" t="s">
        <v>1831</v>
      </c>
      <c r="J460" s="112" t="str">
        <f ca="1">IFERROR(__xludf.DUMMYFUNCTION("JOIN("": "",H460,I460)"),"3E-42-06-12-00-00-00: Coluna de queda de instalação sanitária")</f>
        <v>3E-42-06-12-00-00-00: Coluna de queda de instalação sanitária</v>
      </c>
      <c r="K460" s="4">
        <v>4</v>
      </c>
      <c r="L460" s="7"/>
      <c r="M460" s="7"/>
      <c r="N460" s="7"/>
      <c r="O460" s="7"/>
      <c r="P460" s="177"/>
      <c r="Q460" s="177"/>
      <c r="R460" s="177"/>
      <c r="S460" s="177"/>
    </row>
    <row r="461" spans="1:19">
      <c r="A461" s="111" t="s">
        <v>1833</v>
      </c>
      <c r="B461" s="111"/>
      <c r="C461" s="111"/>
      <c r="D461" s="111"/>
      <c r="E461" s="111"/>
      <c r="F461" s="111"/>
      <c r="G461" s="111"/>
      <c r="H461" s="3" t="s">
        <v>1834</v>
      </c>
      <c r="I461" s="3" t="s">
        <v>1835</v>
      </c>
      <c r="J461" s="112" t="str">
        <f ca="1">IFERROR(__xludf.DUMMYFUNCTION("JOIN("": "",H461,I461)"),"3E-42-08-00-00-00-00: Elementos conectores em instalações sanitárias")</f>
        <v>3E-42-08-00-00-00-00: Elementos conectores em instalações sanitárias</v>
      </c>
      <c r="K461" s="4">
        <v>3</v>
      </c>
      <c r="L461" s="7"/>
      <c r="M461" s="7"/>
      <c r="N461" s="7"/>
      <c r="O461" s="7"/>
      <c r="P461" s="177"/>
      <c r="Q461" s="177"/>
      <c r="R461" s="177"/>
      <c r="S461" s="177"/>
    </row>
    <row r="462" spans="1:19">
      <c r="A462" s="111" t="s">
        <v>1837</v>
      </c>
      <c r="B462" s="111"/>
      <c r="C462" s="111"/>
      <c r="D462" s="111"/>
      <c r="E462" s="111"/>
      <c r="F462" s="111"/>
      <c r="G462" s="111"/>
      <c r="H462" s="3" t="s">
        <v>1838</v>
      </c>
      <c r="I462" s="3" t="s">
        <v>1839</v>
      </c>
      <c r="J462" s="112" t="str">
        <f ca="1">IFERROR(__xludf.DUMMYFUNCTION("JOIN("": "",H462,I462)"),"3E-42-10-00-00-00-00: Elementos para ventilação em instalações sanitárias")</f>
        <v>3E-42-10-00-00-00-00: Elementos para ventilação em instalações sanitárias</v>
      </c>
      <c r="K462" s="4">
        <v>3</v>
      </c>
      <c r="L462" s="7"/>
      <c r="M462" s="7"/>
      <c r="N462" s="7"/>
      <c r="O462" s="7"/>
      <c r="P462" s="177"/>
      <c r="Q462" s="177"/>
      <c r="R462" s="177"/>
      <c r="S462" s="177"/>
    </row>
    <row r="463" spans="1:19">
      <c r="A463" s="35" t="s">
        <v>1841</v>
      </c>
      <c r="B463" s="35"/>
      <c r="C463" s="35"/>
      <c r="D463" s="35"/>
      <c r="E463" s="35"/>
      <c r="F463" s="35"/>
      <c r="G463" s="35"/>
      <c r="H463" s="7" t="s">
        <v>1842</v>
      </c>
      <c r="I463" s="7" t="s">
        <v>1843</v>
      </c>
      <c r="J463" s="112" t="str">
        <f ca="1">IFERROR(__xludf.DUMMYFUNCTION("JOIN("": "",H463,I463)"),"3E-42-10-02-00-00-00: Ramal de ventilação de instalação sanitária")</f>
        <v>3E-42-10-02-00-00-00: Ramal de ventilação de instalação sanitária</v>
      </c>
      <c r="K463" s="4">
        <v>4</v>
      </c>
      <c r="L463" s="7"/>
      <c r="M463" s="7"/>
      <c r="N463" s="7"/>
      <c r="O463" s="7"/>
      <c r="P463" s="177"/>
      <c r="Q463" s="177"/>
      <c r="R463" s="177"/>
      <c r="S463" s="177"/>
    </row>
    <row r="464" spans="1:19">
      <c r="A464" s="35" t="s">
        <v>1845</v>
      </c>
      <c r="B464" s="35"/>
      <c r="C464" s="35"/>
      <c r="D464" s="35"/>
      <c r="E464" s="35"/>
      <c r="F464" s="35"/>
      <c r="G464" s="35"/>
      <c r="H464" s="7" t="s">
        <v>1846</v>
      </c>
      <c r="I464" s="7" t="s">
        <v>1847</v>
      </c>
      <c r="J464" s="112" t="str">
        <f ca="1">IFERROR(__xludf.DUMMYFUNCTION("JOIN("": "",H464,I464)"),"3E-42-10-04-00-00-00: Coluna de ventilação de instalação sanitária")</f>
        <v>3E-42-10-04-00-00-00: Coluna de ventilação de instalação sanitária</v>
      </c>
      <c r="K464" s="4">
        <v>4</v>
      </c>
      <c r="L464" s="7"/>
      <c r="M464" s="7"/>
      <c r="N464" s="7"/>
      <c r="O464" s="7"/>
      <c r="P464" s="177"/>
      <c r="Q464" s="177"/>
      <c r="R464" s="177"/>
      <c r="S464" s="177"/>
    </row>
    <row r="465" spans="1:19">
      <c r="A465" s="35" t="s">
        <v>1849</v>
      </c>
      <c r="B465" s="35"/>
      <c r="C465" s="35"/>
      <c r="D465" s="35"/>
      <c r="E465" s="35"/>
      <c r="F465" s="35"/>
      <c r="G465" s="35"/>
      <c r="H465" s="7" t="s">
        <v>1850</v>
      </c>
      <c r="I465" s="7" t="s">
        <v>1851</v>
      </c>
      <c r="J465" s="112" t="str">
        <f ca="1">IFERROR(__xludf.DUMMYFUNCTION("JOIN("": "",H465,I465)"),"3E-42-10-06-00-00-00: Ventilador primário de instalação sanitária")</f>
        <v>3E-42-10-06-00-00-00: Ventilador primário de instalação sanitária</v>
      </c>
      <c r="K465" s="4">
        <v>4</v>
      </c>
      <c r="L465" s="7"/>
      <c r="M465" s="7"/>
      <c r="N465" s="7"/>
      <c r="O465" s="7"/>
      <c r="P465" s="177"/>
      <c r="Q465" s="177"/>
      <c r="R465" s="177"/>
      <c r="S465" s="177"/>
    </row>
    <row r="466" spans="1:19">
      <c r="A466" s="35" t="s">
        <v>1853</v>
      </c>
      <c r="B466" s="35"/>
      <c r="C466" s="35"/>
      <c r="D466" s="35"/>
      <c r="E466" s="35"/>
      <c r="F466" s="35"/>
      <c r="G466" s="35"/>
      <c r="H466" s="7" t="s">
        <v>1854</v>
      </c>
      <c r="I466" s="7" t="s">
        <v>1855</v>
      </c>
      <c r="J466" s="112" t="str">
        <f ca="1">IFERROR(__xludf.DUMMYFUNCTION("JOIN("": "",H466,I466)"),"3E-42-10-08-00-00-00: Ventilador secundário de instalação sanitária")</f>
        <v>3E-42-10-08-00-00-00: Ventilador secundário de instalação sanitária</v>
      </c>
      <c r="K466" s="4">
        <v>4</v>
      </c>
      <c r="L466" s="7"/>
      <c r="M466" s="7"/>
      <c r="N466" s="7"/>
      <c r="O466" s="7"/>
      <c r="P466" s="177"/>
      <c r="Q466" s="177"/>
      <c r="R466" s="177"/>
      <c r="S466" s="177"/>
    </row>
    <row r="467" spans="1:19">
      <c r="A467" s="111" t="s">
        <v>1857</v>
      </c>
      <c r="B467" s="111"/>
      <c r="C467" s="111"/>
      <c r="D467" s="111"/>
      <c r="E467" s="111"/>
      <c r="F467" s="111"/>
      <c r="G467" s="111"/>
      <c r="H467" s="3" t="s">
        <v>1858</v>
      </c>
      <c r="I467" s="3" t="s">
        <v>1859</v>
      </c>
      <c r="J467" s="112" t="str">
        <f ca="1">IFERROR(__xludf.DUMMYFUNCTION("JOIN("": "",H467,I467)"),"3E-42-12-00-00-00-00: Elementos de inspeção de instalações sanitárias")</f>
        <v>3E-42-12-00-00-00-00: Elementos de inspeção de instalações sanitárias</v>
      </c>
      <c r="K467" s="4">
        <v>3</v>
      </c>
      <c r="L467" s="7"/>
      <c r="M467" s="7"/>
      <c r="N467" s="7"/>
      <c r="O467" s="7"/>
      <c r="P467" s="177"/>
      <c r="Q467" s="177"/>
      <c r="R467" s="177"/>
      <c r="S467" s="177"/>
    </row>
    <row r="468" spans="1:19">
      <c r="A468" s="111" t="s">
        <v>1861</v>
      </c>
      <c r="B468" s="111"/>
      <c r="C468" s="111"/>
      <c r="D468" s="111"/>
      <c r="E468" s="111"/>
      <c r="F468" s="111"/>
      <c r="G468" s="111"/>
      <c r="H468" s="3" t="s">
        <v>1862</v>
      </c>
      <c r="I468" s="3" t="s">
        <v>1863</v>
      </c>
      <c r="J468" s="112" t="str">
        <f ca="1">IFERROR(__xludf.DUMMYFUNCTION("JOIN("": "",H468,I468)"),"3E-42-14-00-00-00-00: Elementos de reúso de águas cinzas")</f>
        <v>3E-42-14-00-00-00-00: Elementos de reúso de águas cinzas</v>
      </c>
      <c r="K468" s="4">
        <v>3</v>
      </c>
      <c r="L468" s="7"/>
      <c r="M468" s="7"/>
      <c r="N468" s="7"/>
      <c r="O468" s="7"/>
      <c r="P468" s="177"/>
      <c r="Q468" s="177"/>
      <c r="R468" s="177"/>
      <c r="S468" s="177"/>
    </row>
    <row r="469" spans="1:19">
      <c r="A469" s="35" t="s">
        <v>1865</v>
      </c>
      <c r="B469" s="35"/>
      <c r="C469" s="35"/>
      <c r="D469" s="35"/>
      <c r="E469" s="35"/>
      <c r="F469" s="35"/>
      <c r="G469" s="35"/>
      <c r="H469" s="7" t="s">
        <v>1866</v>
      </c>
      <c r="I469" s="7" t="s">
        <v>1867</v>
      </c>
      <c r="J469" s="112" t="str">
        <f ca="1">IFERROR(__xludf.DUMMYFUNCTION("JOIN("": "",H469,I469)"),"3E-42-14-02-00-00-00: Coleta de reúso de águas cinzas")</f>
        <v>3E-42-14-02-00-00-00: Coleta de reúso de águas cinzas</v>
      </c>
      <c r="K469" s="4">
        <v>4</v>
      </c>
      <c r="L469" s="7"/>
      <c r="M469" s="7"/>
      <c r="N469" s="7"/>
      <c r="O469" s="7"/>
      <c r="P469" s="177"/>
      <c r="Q469" s="177"/>
      <c r="R469" s="177"/>
      <c r="S469" s="177"/>
    </row>
    <row r="470" spans="1:19">
      <c r="A470" s="35" t="s">
        <v>1869</v>
      </c>
      <c r="B470" s="35"/>
      <c r="C470" s="35"/>
      <c r="D470" s="35"/>
      <c r="E470" s="35"/>
      <c r="F470" s="35"/>
      <c r="G470" s="35"/>
      <c r="H470" s="7" t="s">
        <v>1870</v>
      </c>
      <c r="I470" s="7" t="s">
        <v>1871</v>
      </c>
      <c r="J470" s="112" t="str">
        <f ca="1">IFERROR(__xludf.DUMMYFUNCTION("JOIN("": "",H470,I470)"),"3E-42-14-04-00-00-00: Estação de tratamento de reúso de águas cinzas")</f>
        <v>3E-42-14-04-00-00-00: Estação de tratamento de reúso de águas cinzas</v>
      </c>
      <c r="K470" s="4">
        <v>4</v>
      </c>
      <c r="L470" s="7"/>
      <c r="M470" s="7"/>
      <c r="N470" s="7"/>
      <c r="O470" s="7"/>
      <c r="P470" s="177"/>
      <c r="Q470" s="177"/>
      <c r="R470" s="177"/>
      <c r="S470" s="177"/>
    </row>
    <row r="471" spans="1:19">
      <c r="A471" s="35" t="s">
        <v>1873</v>
      </c>
      <c r="B471" s="35"/>
      <c r="C471" s="35"/>
      <c r="D471" s="35"/>
      <c r="E471" s="35"/>
      <c r="F471" s="35"/>
      <c r="G471" s="35"/>
      <c r="H471" s="7" t="s">
        <v>1874</v>
      </c>
      <c r="I471" s="7" t="s">
        <v>1875</v>
      </c>
      <c r="J471" s="112" t="str">
        <f ca="1">IFERROR(__xludf.DUMMYFUNCTION("JOIN("": "",H471,I471)"),"3E-42-14-06-00-00-00: Reservatório de reúso de águas cinzas")</f>
        <v>3E-42-14-06-00-00-00: Reservatório de reúso de águas cinzas</v>
      </c>
      <c r="K471" s="4">
        <v>4</v>
      </c>
      <c r="L471" s="7"/>
      <c r="M471" s="7"/>
      <c r="N471" s="7"/>
      <c r="O471" s="7"/>
      <c r="P471" s="177"/>
      <c r="Q471" s="177"/>
      <c r="R471" s="177"/>
      <c r="S471" s="177"/>
    </row>
    <row r="472" spans="1:19">
      <c r="A472" s="35" t="s">
        <v>1877</v>
      </c>
      <c r="B472" s="35"/>
      <c r="C472" s="35"/>
      <c r="D472" s="35"/>
      <c r="E472" s="35"/>
      <c r="F472" s="35"/>
      <c r="G472" s="35"/>
      <c r="H472" s="7" t="s">
        <v>1878</v>
      </c>
      <c r="I472" s="7" t="s">
        <v>1879</v>
      </c>
      <c r="J472" s="112" t="str">
        <f ca="1">IFERROR(__xludf.DUMMYFUNCTION("JOIN("": "",H472,I472)"),"3E-42-14-08-00-00-00: Terminal de reúso de águas cinzas")</f>
        <v>3E-42-14-08-00-00-00: Terminal de reúso de águas cinzas</v>
      </c>
      <c r="K472" s="4">
        <v>4</v>
      </c>
      <c r="L472" s="7"/>
      <c r="M472" s="7"/>
      <c r="N472" s="7"/>
      <c r="O472" s="7"/>
      <c r="P472" s="177"/>
      <c r="Q472" s="177"/>
      <c r="R472" s="177"/>
      <c r="S472" s="177"/>
    </row>
    <row r="473" spans="1:19">
      <c r="A473" s="111" t="s">
        <v>1881</v>
      </c>
      <c r="B473" s="111"/>
      <c r="C473" s="111"/>
      <c r="D473" s="111"/>
      <c r="E473" s="111"/>
      <c r="F473" s="111"/>
      <c r="G473" s="111"/>
      <c r="H473" s="3" t="s">
        <v>1882</v>
      </c>
      <c r="I473" s="3" t="s">
        <v>1883</v>
      </c>
      <c r="J473" s="112" t="str">
        <f ca="1">IFERROR(__xludf.DUMMYFUNCTION("JOIN("": "",H473,I473)"),"3E-42-16-00-00-00-00: Elementos para esgotamento sanitário local")</f>
        <v>3E-42-16-00-00-00-00: Elementos para esgotamento sanitário local</v>
      </c>
      <c r="K473" s="4">
        <v>3</v>
      </c>
      <c r="L473" s="7"/>
      <c r="M473" s="7"/>
      <c r="N473" s="7"/>
      <c r="O473" s="7"/>
      <c r="P473" s="177"/>
      <c r="Q473" s="177"/>
      <c r="R473" s="177"/>
      <c r="S473" s="177"/>
    </row>
    <row r="474" spans="1:19">
      <c r="A474" s="35" t="s">
        <v>1885</v>
      </c>
      <c r="B474" s="35"/>
      <c r="C474" s="35"/>
      <c r="D474" s="35"/>
      <c r="E474" s="35"/>
      <c r="F474" s="35"/>
      <c r="G474" s="35"/>
      <c r="H474" s="7" t="s">
        <v>1886</v>
      </c>
      <c r="I474" s="7" t="s">
        <v>1907</v>
      </c>
      <c r="J474" s="112" t="str">
        <f ca="1">IFERROR(__xludf.DUMMYFUNCTION("JOIN("": "",H474,I474)"),"3E-42-16-02-00-00-00: Fossa negra")</f>
        <v>3E-42-16-02-00-00-00: Fossa negra</v>
      </c>
      <c r="K474" s="4">
        <v>4</v>
      </c>
      <c r="L474" s="7"/>
      <c r="M474" s="7"/>
      <c r="N474" s="7"/>
      <c r="O474" s="7"/>
      <c r="P474" s="177"/>
      <c r="Q474" s="177"/>
      <c r="R474" s="177"/>
      <c r="S474" s="177"/>
    </row>
    <row r="475" spans="1:19">
      <c r="A475" s="35" t="s">
        <v>1885</v>
      </c>
      <c r="B475" s="35"/>
      <c r="C475" s="35"/>
      <c r="D475" s="35"/>
      <c r="E475" s="35"/>
      <c r="F475" s="35"/>
      <c r="G475" s="35"/>
      <c r="H475" s="7" t="s">
        <v>1886</v>
      </c>
      <c r="I475" s="7" t="s">
        <v>1905</v>
      </c>
      <c r="J475" s="112" t="str">
        <f ca="1">IFERROR(__xludf.DUMMYFUNCTION("JOIN("": "",H475,I475)"),"3E-42-16-02-00-00-00: Fossa seca")</f>
        <v>3E-42-16-02-00-00-00: Fossa seca</v>
      </c>
      <c r="K475" s="4">
        <v>4</v>
      </c>
      <c r="L475" s="7"/>
      <c r="M475" s="7"/>
      <c r="N475" s="7"/>
      <c r="O475" s="7"/>
      <c r="P475" s="177"/>
      <c r="Q475" s="177"/>
      <c r="R475" s="177"/>
      <c r="S475" s="177"/>
    </row>
    <row r="476" spans="1:19">
      <c r="A476" s="35" t="s">
        <v>1885</v>
      </c>
      <c r="B476" s="35"/>
      <c r="C476" s="35"/>
      <c r="D476" s="35"/>
      <c r="E476" s="35"/>
      <c r="F476" s="35"/>
      <c r="G476" s="35"/>
      <c r="H476" s="7" t="s">
        <v>1886</v>
      </c>
      <c r="I476" s="7" t="s">
        <v>1887</v>
      </c>
      <c r="J476" s="112" t="str">
        <f ca="1">IFERROR(__xludf.DUMMYFUNCTION("JOIN("": "",H476,I476)"),"3E-42-16-02-00-00-00: Fossa séptica")</f>
        <v>3E-42-16-02-00-00-00: Fossa séptica</v>
      </c>
      <c r="K476" s="4">
        <v>4</v>
      </c>
      <c r="L476" s="7"/>
      <c r="M476" s="7"/>
      <c r="N476" s="7"/>
      <c r="O476" s="7"/>
      <c r="P476" s="177"/>
      <c r="Q476" s="177"/>
      <c r="R476" s="177"/>
      <c r="S476" s="177"/>
    </row>
    <row r="477" spans="1:19">
      <c r="A477" s="35" t="s">
        <v>1889</v>
      </c>
      <c r="B477" s="35"/>
      <c r="C477" s="35"/>
      <c r="D477" s="35"/>
      <c r="E477" s="35"/>
      <c r="F477" s="35"/>
      <c r="G477" s="35"/>
      <c r="H477" s="7" t="s">
        <v>1890</v>
      </c>
      <c r="I477" s="7" t="s">
        <v>1891</v>
      </c>
      <c r="J477" s="112" t="str">
        <f ca="1">IFERROR(__xludf.DUMMYFUNCTION("JOIN("": "",H477,I477)"),"3E-42-16-02-02-00-00: Sumidouro")</f>
        <v>3E-42-16-02-02-00-00: Sumidouro</v>
      </c>
      <c r="K477" s="4">
        <v>5</v>
      </c>
      <c r="L477" s="7"/>
      <c r="M477" s="7"/>
      <c r="N477" s="7"/>
      <c r="O477" s="7"/>
      <c r="P477" s="177"/>
      <c r="Q477" s="177"/>
      <c r="R477" s="177"/>
      <c r="S477" s="177"/>
    </row>
    <row r="478" spans="1:19">
      <c r="A478" s="35" t="s">
        <v>1893</v>
      </c>
      <c r="B478" s="35"/>
      <c r="C478" s="35"/>
      <c r="D478" s="35"/>
      <c r="E478" s="35"/>
      <c r="F478" s="35"/>
      <c r="G478" s="35"/>
      <c r="H478" s="7" t="s">
        <v>1894</v>
      </c>
      <c r="I478" s="7" t="s">
        <v>1895</v>
      </c>
      <c r="J478" s="112" t="str">
        <f ca="1">IFERROR(__xludf.DUMMYFUNCTION("JOIN("": "",H478,I478)"),"3E-42-16-02-04-00-00: Caixa de distribuição")</f>
        <v>3E-42-16-02-04-00-00: Caixa de distribuição</v>
      </c>
      <c r="K478" s="4">
        <v>5</v>
      </c>
      <c r="L478" s="7"/>
      <c r="M478" s="7"/>
      <c r="N478" s="7"/>
      <c r="O478" s="7"/>
      <c r="P478" s="177"/>
      <c r="Q478" s="177"/>
      <c r="R478" s="177"/>
      <c r="S478" s="177"/>
    </row>
    <row r="479" spans="1:19">
      <c r="A479" s="35" t="s">
        <v>1897</v>
      </c>
      <c r="B479" s="35"/>
      <c r="C479" s="35"/>
      <c r="D479" s="35"/>
      <c r="E479" s="35"/>
      <c r="F479" s="35"/>
      <c r="G479" s="35"/>
      <c r="H479" s="7" t="s">
        <v>1898</v>
      </c>
      <c r="I479" s="7" t="s">
        <v>1899</v>
      </c>
      <c r="J479" s="112" t="str">
        <f ca="1">IFERROR(__xludf.DUMMYFUNCTION("JOIN("": "",H479,I479)"),"3E-42-16-02-06-00-00: Vala de infiltração")</f>
        <v>3E-42-16-02-06-00-00: Vala de infiltração</v>
      </c>
      <c r="K479" s="4">
        <v>5</v>
      </c>
      <c r="L479" s="7"/>
      <c r="M479" s="7"/>
      <c r="N479" s="7"/>
      <c r="O479" s="7"/>
      <c r="P479" s="177"/>
      <c r="Q479" s="177"/>
      <c r="R479" s="177"/>
      <c r="S479" s="177"/>
    </row>
    <row r="480" spans="1:19">
      <c r="A480" s="35" t="s">
        <v>1901</v>
      </c>
      <c r="B480" s="35"/>
      <c r="C480" s="35"/>
      <c r="D480" s="35"/>
      <c r="E480" s="35"/>
      <c r="F480" s="35"/>
      <c r="G480" s="35"/>
      <c r="H480" s="7" t="s">
        <v>1902</v>
      </c>
      <c r="I480" s="7" t="s">
        <v>1903</v>
      </c>
      <c r="J480" s="112" t="str">
        <f ca="1">IFERROR(__xludf.DUMMYFUNCTION("JOIN("": "",H480,I480)"),"3E-42-16-02-08-00-00: Galeria filtrante")</f>
        <v>3E-42-16-02-08-00-00: Galeria filtrante</v>
      </c>
      <c r="K480" s="4">
        <v>5</v>
      </c>
      <c r="L480" s="7"/>
      <c r="M480" s="7"/>
      <c r="N480" s="7"/>
      <c r="O480" s="7"/>
      <c r="P480" s="177"/>
      <c r="Q480" s="177"/>
      <c r="R480" s="177"/>
      <c r="S480" s="177"/>
    </row>
    <row r="481" spans="1:31">
      <c r="A481" s="111" t="s">
        <v>1909</v>
      </c>
      <c r="B481" s="111"/>
      <c r="C481" s="111"/>
      <c r="D481" s="111"/>
      <c r="E481" s="111"/>
      <c r="F481" s="111"/>
      <c r="G481" s="111"/>
      <c r="H481" s="3" t="s">
        <v>1910</v>
      </c>
      <c r="I481" s="3" t="s">
        <v>1911</v>
      </c>
      <c r="J481" s="112" t="str">
        <f ca="1">IFERROR(__xludf.DUMMYFUNCTION("JOIN("": "",H481,I481)"),"3E-42-18-00-00-00-00: Elementos para esgotamento sanitário via rede coletora")</f>
        <v>3E-42-18-00-00-00-00: Elementos para esgotamento sanitário via rede coletora</v>
      </c>
      <c r="K481" s="4">
        <v>3</v>
      </c>
      <c r="L481" s="7"/>
      <c r="M481" s="7"/>
      <c r="N481" s="7"/>
      <c r="O481" s="7"/>
      <c r="P481" s="177"/>
      <c r="Q481" s="177"/>
      <c r="R481" s="177"/>
      <c r="S481" s="177"/>
    </row>
    <row r="482" spans="1:31">
      <c r="A482" s="35" t="s">
        <v>1913</v>
      </c>
      <c r="B482" s="35"/>
      <c r="C482" s="35"/>
      <c r="D482" s="35"/>
      <c r="E482" s="35"/>
      <c r="F482" s="35"/>
      <c r="G482" s="35"/>
      <c r="H482" s="7" t="s">
        <v>1914</v>
      </c>
      <c r="I482" s="7" t="s">
        <v>1915</v>
      </c>
      <c r="J482" s="112" t="str">
        <f ca="1">IFERROR(__xludf.DUMMYFUNCTION("JOIN("": "",H482,I482)"),"3E-42-18-02-00-00-00: Bacia de drenagem para a rede coletora de esgoto")</f>
        <v>3E-42-18-02-00-00-00: Bacia de drenagem para a rede coletora de esgoto</v>
      </c>
      <c r="K482" s="4">
        <v>4</v>
      </c>
      <c r="L482" s="7"/>
      <c r="M482" s="7"/>
      <c r="N482" s="7"/>
      <c r="O482" s="7"/>
      <c r="P482" s="177"/>
      <c r="Q482" s="177"/>
      <c r="R482" s="177"/>
      <c r="S482" s="177"/>
    </row>
    <row r="483" spans="1:31">
      <c r="A483" s="35" t="s">
        <v>1917</v>
      </c>
      <c r="B483" s="35"/>
      <c r="C483" s="35"/>
      <c r="D483" s="35"/>
      <c r="E483" s="35"/>
      <c r="F483" s="35"/>
      <c r="G483" s="35"/>
      <c r="H483" s="7" t="s">
        <v>1918</v>
      </c>
      <c r="I483" s="7" t="s">
        <v>1919</v>
      </c>
      <c r="J483" s="112" t="str">
        <f ca="1">IFERROR(__xludf.DUMMYFUNCTION("JOIN("": "",H483,I483)"),"3E-42-18-04-00-00-00: Caixa de passagem para a rede coletora de esgoto")</f>
        <v>3E-42-18-04-00-00-00: Caixa de passagem para a rede coletora de esgoto</v>
      </c>
      <c r="K483" s="4">
        <v>4</v>
      </c>
      <c r="L483" s="7"/>
      <c r="M483" s="7"/>
      <c r="N483" s="7"/>
      <c r="O483" s="7"/>
      <c r="P483" s="177"/>
      <c r="Q483" s="177"/>
      <c r="R483" s="177"/>
      <c r="S483" s="177"/>
    </row>
    <row r="484" spans="1:31">
      <c r="A484" s="35" t="s">
        <v>1921</v>
      </c>
      <c r="B484" s="35"/>
      <c r="C484" s="35"/>
      <c r="D484" s="35"/>
      <c r="E484" s="35"/>
      <c r="F484" s="35"/>
      <c r="G484" s="35"/>
      <c r="H484" s="7" t="s">
        <v>1922</v>
      </c>
      <c r="I484" s="7" t="s">
        <v>1923</v>
      </c>
      <c r="J484" s="112" t="str">
        <f ca="1">IFERROR(__xludf.DUMMYFUNCTION("JOIN("": "",H484,I484)"),"3E-42-18-06-00-00-00: Ligação predial para a rede coletora de esgoto")</f>
        <v>3E-42-18-06-00-00-00: Ligação predial para a rede coletora de esgoto</v>
      </c>
      <c r="K484" s="4">
        <v>4</v>
      </c>
      <c r="L484" s="7"/>
      <c r="M484" s="7"/>
      <c r="N484" s="7"/>
      <c r="O484" s="7"/>
      <c r="P484" s="177"/>
      <c r="Q484" s="177"/>
      <c r="R484" s="177"/>
      <c r="S484" s="177"/>
    </row>
    <row r="485" spans="1:31">
      <c r="A485" s="111" t="s">
        <v>1925</v>
      </c>
      <c r="B485" s="111"/>
      <c r="C485" s="111"/>
      <c r="D485" s="111"/>
      <c r="E485" s="111"/>
      <c r="F485" s="111"/>
      <c r="G485" s="111"/>
      <c r="H485" s="3" t="s">
        <v>1926</v>
      </c>
      <c r="I485" s="3" t="s">
        <v>1927</v>
      </c>
      <c r="J485" s="112" t="str">
        <f ca="1">IFERROR(__xludf.DUMMYFUNCTION("JOIN("": "",H485,I485)"),"3E-44-00-00-00-00-00: Elementos da rede de esgotamento sanitário")</f>
        <v>3E-44-00-00-00-00-00: Elementos da rede de esgotamento sanitário</v>
      </c>
      <c r="K485" s="4">
        <v>2</v>
      </c>
      <c r="L485" s="7"/>
      <c r="M485" s="7"/>
      <c r="N485" s="7"/>
      <c r="O485" s="7"/>
      <c r="P485" s="177"/>
      <c r="Q485" s="177"/>
      <c r="R485" s="177"/>
      <c r="S485" s="177"/>
      <c r="AD485" s="7"/>
      <c r="AE485" s="35"/>
    </row>
    <row r="486" spans="1:31">
      <c r="A486" s="111" t="s">
        <v>1929</v>
      </c>
      <c r="B486" s="111"/>
      <c r="C486" s="111"/>
      <c r="D486" s="111"/>
      <c r="E486" s="111"/>
      <c r="F486" s="111"/>
      <c r="G486" s="111"/>
      <c r="H486" s="3" t="s">
        <v>1930</v>
      </c>
      <c r="I486" s="3" t="s">
        <v>1931</v>
      </c>
      <c r="J486" s="112" t="str">
        <f ca="1">IFERROR(__xludf.DUMMYFUNCTION("JOIN("": "",H486,I486)"),"3E-44-02-00-00-00-00: Elementos coletores de esgoto")</f>
        <v>3E-44-02-00-00-00-00: Elementos coletores de esgoto</v>
      </c>
      <c r="K486" s="4">
        <v>3</v>
      </c>
      <c r="L486" s="7"/>
      <c r="M486" s="7"/>
      <c r="N486" s="7"/>
      <c r="O486" s="7"/>
      <c r="P486" s="177"/>
      <c r="Q486" s="177"/>
      <c r="R486" s="177"/>
      <c r="S486" s="177"/>
    </row>
    <row r="487" spans="1:31">
      <c r="A487" s="35" t="s">
        <v>1933</v>
      </c>
      <c r="B487" s="35"/>
      <c r="C487" s="35"/>
      <c r="D487" s="35"/>
      <c r="E487" s="35"/>
      <c r="F487" s="35"/>
      <c r="G487" s="35"/>
      <c r="H487" s="7" t="s">
        <v>1934</v>
      </c>
      <c r="I487" s="7" t="s">
        <v>1935</v>
      </c>
      <c r="J487" s="112" t="str">
        <f ca="1">IFERROR(__xludf.DUMMYFUNCTION("JOIN("": "",H487,I487)"),"3E-44-02-02-00-00-00: Tubulação da rede coletora de esgoto")</f>
        <v>3E-44-02-02-00-00-00: Tubulação da rede coletora de esgoto</v>
      </c>
      <c r="K487" s="4">
        <v>4</v>
      </c>
      <c r="L487" s="7"/>
      <c r="M487" s="7"/>
      <c r="N487" s="7"/>
      <c r="O487" s="7"/>
      <c r="P487" s="177"/>
      <c r="Q487" s="177"/>
      <c r="R487" s="177"/>
      <c r="S487" s="177"/>
    </row>
    <row r="488" spans="1:31">
      <c r="A488" s="35" t="s">
        <v>1937</v>
      </c>
      <c r="B488" s="35"/>
      <c r="C488" s="35"/>
      <c r="D488" s="35"/>
      <c r="E488" s="35"/>
      <c r="F488" s="35"/>
      <c r="G488" s="35"/>
      <c r="H488" s="7" t="s">
        <v>1938</v>
      </c>
      <c r="I488" s="7" t="s">
        <v>1939</v>
      </c>
      <c r="J488" s="112" t="str">
        <f ca="1">IFERROR(__xludf.DUMMYFUNCTION("JOIN("": "",H488,I488)"),"3E-44-02-04-00-00-00: Estação elevatória de rede coletora de esgoto")</f>
        <v>3E-44-02-04-00-00-00: Estação elevatória de rede coletora de esgoto</v>
      </c>
      <c r="K488" s="4">
        <v>4</v>
      </c>
      <c r="L488" s="7"/>
      <c r="M488" s="7"/>
      <c r="N488" s="7"/>
      <c r="O488" s="7"/>
      <c r="P488" s="177"/>
      <c r="Q488" s="177"/>
      <c r="R488" s="177"/>
      <c r="S488" s="177"/>
    </row>
    <row r="489" spans="1:31">
      <c r="A489" s="35" t="s">
        <v>1941</v>
      </c>
      <c r="B489" s="35"/>
      <c r="C489" s="35"/>
      <c r="D489" s="35"/>
      <c r="E489" s="35"/>
      <c r="F489" s="35"/>
      <c r="G489" s="35"/>
      <c r="H489" s="7" t="s">
        <v>1942</v>
      </c>
      <c r="I489" s="7" t="s">
        <v>1943</v>
      </c>
      <c r="J489" s="112" t="str">
        <f ca="1">IFERROR(__xludf.DUMMYFUNCTION("JOIN("": "",H489,I489)"),"3E-44-02-04-02-00-00: Bomba de rede coletora de esgoto")</f>
        <v>3E-44-02-04-02-00-00: Bomba de rede coletora de esgoto</v>
      </c>
      <c r="K489" s="4">
        <v>5</v>
      </c>
      <c r="L489" s="7"/>
      <c r="M489" s="7"/>
      <c r="N489" s="7"/>
      <c r="O489" s="7"/>
      <c r="P489" s="177"/>
      <c r="Q489" s="177"/>
      <c r="R489" s="177"/>
      <c r="S489" s="177"/>
    </row>
    <row r="490" spans="1:31">
      <c r="A490" s="35" t="s">
        <v>1945</v>
      </c>
      <c r="B490" s="35"/>
      <c r="C490" s="35"/>
      <c r="D490" s="35"/>
      <c r="E490" s="35"/>
      <c r="F490" s="35"/>
      <c r="G490" s="35"/>
      <c r="H490" s="7" t="s">
        <v>1946</v>
      </c>
      <c r="I490" s="7" t="s">
        <v>1947</v>
      </c>
      <c r="J490" s="112" t="str">
        <f ca="1">IFERROR(__xludf.DUMMYFUNCTION("JOIN("": "",H490,I490)"),"3E-44-02-04-04-00-00: Poço de sucção de rede coletora de esgoto")</f>
        <v>3E-44-02-04-04-00-00: Poço de sucção de rede coletora de esgoto</v>
      </c>
      <c r="K490" s="4">
        <v>5</v>
      </c>
      <c r="L490" s="7"/>
      <c r="M490" s="7"/>
      <c r="N490" s="7"/>
      <c r="O490" s="7"/>
      <c r="P490" s="177"/>
      <c r="Q490" s="177"/>
      <c r="R490" s="177"/>
      <c r="S490" s="177"/>
    </row>
    <row r="491" spans="1:31">
      <c r="A491" s="35" t="s">
        <v>1949</v>
      </c>
      <c r="B491" s="35"/>
      <c r="C491" s="35"/>
      <c r="D491" s="35"/>
      <c r="E491" s="35"/>
      <c r="F491" s="35"/>
      <c r="G491" s="35"/>
      <c r="H491" s="7" t="s">
        <v>1950</v>
      </c>
      <c r="I491" s="7" t="s">
        <v>1951</v>
      </c>
      <c r="J491" s="112" t="str">
        <f ca="1">IFERROR(__xludf.DUMMYFUNCTION("JOIN("": "",H491,I491)"),"3E-44-02-04-06-00-00: Canalização de sucção de rede coletora de esgoto")</f>
        <v>3E-44-02-04-06-00-00: Canalização de sucção de rede coletora de esgoto</v>
      </c>
      <c r="K491" s="4">
        <v>5</v>
      </c>
      <c r="L491" s="7"/>
      <c r="M491" s="7"/>
      <c r="N491" s="7"/>
      <c r="O491" s="7"/>
      <c r="P491" s="177"/>
      <c r="Q491" s="177"/>
      <c r="R491" s="177"/>
      <c r="S491" s="177"/>
    </row>
    <row r="492" spans="1:31">
      <c r="A492" s="35" t="s">
        <v>1953</v>
      </c>
      <c r="B492" s="35"/>
      <c r="C492" s="35"/>
      <c r="D492" s="35"/>
      <c r="E492" s="35"/>
      <c r="F492" s="35"/>
      <c r="G492" s="35"/>
      <c r="H492" s="7" t="s">
        <v>1954</v>
      </c>
      <c r="I492" s="7" t="s">
        <v>1955</v>
      </c>
      <c r="J492" s="112" t="str">
        <f ca="1">IFERROR(__xludf.DUMMYFUNCTION("JOIN("": "",H492,I492)"),"3E-44-02-04-08-00-00: Recalque de rede coletora de esgoto")</f>
        <v>3E-44-02-04-08-00-00: Recalque de rede coletora de esgoto</v>
      </c>
      <c r="K492" s="4">
        <v>5</v>
      </c>
      <c r="L492" s="7"/>
      <c r="M492" s="7"/>
      <c r="N492" s="7"/>
      <c r="O492" s="7"/>
      <c r="P492" s="177"/>
      <c r="Q492" s="177"/>
      <c r="R492" s="177"/>
      <c r="S492" s="177"/>
    </row>
    <row r="493" spans="1:31">
      <c r="A493" s="35" t="s">
        <v>1957</v>
      </c>
      <c r="B493" s="35"/>
      <c r="C493" s="35"/>
      <c r="D493" s="35"/>
      <c r="E493" s="35"/>
      <c r="F493" s="35"/>
      <c r="G493" s="35"/>
      <c r="H493" s="7" t="s">
        <v>1958</v>
      </c>
      <c r="I493" s="7" t="s">
        <v>1959</v>
      </c>
      <c r="J493" s="112" t="str">
        <f ca="1">IFERROR(__xludf.DUMMYFUNCTION("JOIN("": "",H493,I493)"),"3E-44-02-04-1000-00: Dispositivo acessório de rede coletora de esgoto")</f>
        <v>3E-44-02-04-1000-00: Dispositivo acessório de rede coletora de esgoto</v>
      </c>
      <c r="K493" s="4">
        <v>5</v>
      </c>
      <c r="L493" s="7"/>
      <c r="M493" s="7"/>
      <c r="N493" s="7"/>
      <c r="O493" s="7"/>
      <c r="P493" s="177"/>
      <c r="Q493" s="177"/>
      <c r="R493" s="177"/>
      <c r="S493" s="177"/>
    </row>
    <row r="494" spans="1:31">
      <c r="A494" s="111" t="s">
        <v>1961</v>
      </c>
      <c r="B494" s="111"/>
      <c r="C494" s="111"/>
      <c r="D494" s="111"/>
      <c r="E494" s="111"/>
      <c r="F494" s="111"/>
      <c r="G494" s="111"/>
      <c r="H494" s="3" t="s">
        <v>1962</v>
      </c>
      <c r="I494" s="3" t="s">
        <v>1963</v>
      </c>
      <c r="J494" s="112" t="str">
        <f ca="1">IFERROR(__xludf.DUMMYFUNCTION("JOIN("": "",H494,I494)"),"3E-44-04-00-00-00-00: Elementos para tratamento de esgoto")</f>
        <v>3E-44-04-00-00-00-00: Elementos para tratamento de esgoto</v>
      </c>
      <c r="K494" s="4">
        <v>3</v>
      </c>
      <c r="L494" s="7"/>
      <c r="M494" s="7"/>
      <c r="N494" s="7"/>
      <c r="O494" s="7"/>
      <c r="P494" s="177"/>
      <c r="Q494" s="177"/>
      <c r="R494" s="177"/>
      <c r="S494" s="177"/>
    </row>
    <row r="495" spans="1:31">
      <c r="A495" s="35" t="s">
        <v>1965</v>
      </c>
      <c r="B495" s="35"/>
      <c r="C495" s="35"/>
      <c r="D495" s="35"/>
      <c r="E495" s="35"/>
      <c r="F495" s="35"/>
      <c r="G495" s="35"/>
      <c r="H495" s="7" t="s">
        <v>1966</v>
      </c>
      <c r="I495" s="7" t="s">
        <v>1967</v>
      </c>
      <c r="J495" s="112" t="str">
        <f ca="1">IFERROR(__xludf.DUMMYFUNCTION("JOIN("": "",H495,I495)"),"3E-44-04-02-00-00-00: Grade para tratamento de esgoto")</f>
        <v>3E-44-04-02-00-00-00: Grade para tratamento de esgoto</v>
      </c>
      <c r="K495" s="4">
        <v>4</v>
      </c>
      <c r="L495" s="7"/>
      <c r="M495" s="7"/>
      <c r="N495" s="7"/>
      <c r="O495" s="7"/>
      <c r="P495" s="177"/>
      <c r="Q495" s="177"/>
      <c r="R495" s="177"/>
      <c r="S495" s="177"/>
    </row>
    <row r="496" spans="1:31">
      <c r="A496" s="35" t="s">
        <v>1969</v>
      </c>
      <c r="B496" s="35"/>
      <c r="C496" s="35"/>
      <c r="D496" s="35"/>
      <c r="E496" s="35"/>
      <c r="F496" s="35"/>
      <c r="G496" s="35"/>
      <c r="H496" s="7" t="s">
        <v>1970</v>
      </c>
      <c r="I496" s="7" t="s">
        <v>1971</v>
      </c>
      <c r="J496" s="112" t="str">
        <f ca="1">IFERROR(__xludf.DUMMYFUNCTION("JOIN("": "",H496,I496)"),"3E-44-04-04-00-00-00: Tanque de areia para tratamento de esgoto")</f>
        <v>3E-44-04-04-00-00-00: Tanque de areia para tratamento de esgoto</v>
      </c>
      <c r="K496" s="4">
        <v>4</v>
      </c>
      <c r="L496" s="7"/>
      <c r="M496" s="7"/>
      <c r="N496" s="7"/>
      <c r="O496" s="7"/>
      <c r="P496" s="177"/>
      <c r="Q496" s="177"/>
      <c r="R496" s="177"/>
      <c r="S496" s="177"/>
    </row>
    <row r="497" spans="1:31">
      <c r="A497" s="35" t="s">
        <v>1973</v>
      </c>
      <c r="B497" s="35"/>
      <c r="C497" s="35"/>
      <c r="D497" s="35"/>
      <c r="E497" s="35"/>
      <c r="F497" s="35"/>
      <c r="G497" s="35"/>
      <c r="H497" s="7" t="s">
        <v>1974</v>
      </c>
      <c r="I497" s="7" t="s">
        <v>1975</v>
      </c>
      <c r="J497" s="112" t="str">
        <f ca="1">IFERROR(__xludf.DUMMYFUNCTION("JOIN("": "",H497,I497)"),"3E-44-04-06-00-00-00: Decantador primário para tratamento de esgoto")</f>
        <v>3E-44-04-06-00-00-00: Decantador primário para tratamento de esgoto</v>
      </c>
      <c r="K497" s="4">
        <v>4</v>
      </c>
      <c r="L497" s="7"/>
      <c r="M497" s="7"/>
      <c r="N497" s="7"/>
      <c r="O497" s="7"/>
      <c r="P497" s="177"/>
      <c r="Q497" s="177"/>
      <c r="R497" s="177"/>
      <c r="S497" s="177"/>
    </row>
    <row r="498" spans="1:31">
      <c r="A498" s="35" t="s">
        <v>1977</v>
      </c>
      <c r="B498" s="35"/>
      <c r="C498" s="35"/>
      <c r="D498" s="35"/>
      <c r="E498" s="35"/>
      <c r="F498" s="35"/>
      <c r="G498" s="35"/>
      <c r="H498" s="7" t="s">
        <v>1978</v>
      </c>
      <c r="I498" s="7" t="s">
        <v>1979</v>
      </c>
      <c r="J498" s="112" t="str">
        <f ca="1">IFERROR(__xludf.DUMMYFUNCTION("JOIN("": "",H498,I498)"),"3E-44-04-08-00-00-00: Câmara de aeração para tratamento de esgoto")</f>
        <v>3E-44-04-08-00-00-00: Câmara de aeração para tratamento de esgoto</v>
      </c>
      <c r="K498" s="4">
        <v>4</v>
      </c>
      <c r="L498" s="7"/>
      <c r="M498" s="7"/>
      <c r="N498" s="7"/>
      <c r="O498" s="7"/>
      <c r="P498" s="177"/>
      <c r="Q498" s="177"/>
      <c r="R498" s="177"/>
      <c r="S498" s="177"/>
    </row>
    <row r="499" spans="1:31">
      <c r="A499" s="35" t="s">
        <v>1981</v>
      </c>
      <c r="B499" s="35"/>
      <c r="C499" s="35"/>
      <c r="D499" s="35"/>
      <c r="E499" s="35"/>
      <c r="F499" s="35"/>
      <c r="G499" s="35"/>
      <c r="H499" s="7" t="s">
        <v>1982</v>
      </c>
      <c r="I499" s="7" t="s">
        <v>1983</v>
      </c>
      <c r="J499" s="112" t="str">
        <f ca="1">IFERROR(__xludf.DUMMYFUNCTION("JOIN("": "",H499,I499)"),"3E-44-04-10-00-00-00: Decantador secundário para tratamento de esgoto")</f>
        <v>3E-44-04-10-00-00-00: Decantador secundário para tratamento de esgoto</v>
      </c>
      <c r="K499" s="4">
        <v>4</v>
      </c>
      <c r="L499" s="7"/>
      <c r="M499" s="7"/>
      <c r="N499" s="7"/>
      <c r="O499" s="7"/>
      <c r="P499" s="177"/>
      <c r="Q499" s="177"/>
      <c r="R499" s="177"/>
      <c r="S499" s="177"/>
    </row>
    <row r="500" spans="1:31">
      <c r="A500" s="35" t="s">
        <v>1985</v>
      </c>
      <c r="B500" s="35"/>
      <c r="C500" s="35"/>
      <c r="D500" s="35"/>
      <c r="E500" s="35"/>
      <c r="F500" s="35"/>
      <c r="G500" s="35"/>
      <c r="H500" s="7" t="s">
        <v>1986</v>
      </c>
      <c r="I500" s="7" t="s">
        <v>1987</v>
      </c>
      <c r="J500" s="112" t="str">
        <f ca="1">IFERROR(__xludf.DUMMYFUNCTION("JOIN("": "",H500,I500)"),"3E-44-04-12-00-00-00: Digestor anaeróbio de para tratamento de esgoto")</f>
        <v>3E-44-04-12-00-00-00: Digestor anaeróbio de para tratamento de esgoto</v>
      </c>
      <c r="K500" s="4">
        <v>4</v>
      </c>
      <c r="L500" s="7"/>
      <c r="M500" s="7"/>
      <c r="N500" s="7"/>
      <c r="O500" s="7"/>
      <c r="P500" s="177"/>
      <c r="Q500" s="177"/>
      <c r="R500" s="177"/>
      <c r="S500" s="177"/>
    </row>
    <row r="501" spans="1:31">
      <c r="A501" s="35" t="s">
        <v>1989</v>
      </c>
      <c r="B501" s="35"/>
      <c r="C501" s="35"/>
      <c r="D501" s="35"/>
      <c r="E501" s="35"/>
      <c r="F501" s="35"/>
      <c r="G501" s="35"/>
      <c r="H501" s="7" t="s">
        <v>1990</v>
      </c>
      <c r="I501" s="7" t="s">
        <v>1991</v>
      </c>
      <c r="J501" s="112" t="str">
        <f ca="1">IFERROR(__xludf.DUMMYFUNCTION("JOIN("": "",H501,I501)"),"3E-44-04-14-00-00-00: Emissário de estação de tratamento de esgoto")</f>
        <v>3E-44-04-14-00-00-00: Emissário de estação de tratamento de esgoto</v>
      </c>
      <c r="K501" s="4">
        <v>4</v>
      </c>
      <c r="L501" s="7"/>
      <c r="M501" s="7"/>
      <c r="N501" s="7"/>
      <c r="O501" s="7"/>
      <c r="P501" s="177"/>
      <c r="Q501" s="177"/>
      <c r="R501" s="177"/>
      <c r="S501" s="177"/>
    </row>
    <row r="502" spans="1:31">
      <c r="A502" s="111"/>
      <c r="B502" s="111"/>
      <c r="C502" s="111"/>
      <c r="D502" s="111"/>
      <c r="E502" s="111"/>
      <c r="F502" s="111"/>
      <c r="G502" s="111"/>
      <c r="H502" s="3" t="s">
        <v>4694</v>
      </c>
      <c r="I502" s="3" t="s">
        <v>5202</v>
      </c>
      <c r="J502" s="112" t="s">
        <v>5682</v>
      </c>
      <c r="K502" s="4">
        <v>2</v>
      </c>
      <c r="L502" s="7"/>
      <c r="M502" s="7"/>
      <c r="N502" s="7"/>
      <c r="O502" s="7"/>
      <c r="P502" s="177"/>
      <c r="Q502" s="177"/>
      <c r="R502" s="177"/>
      <c r="S502" s="177"/>
      <c r="AD502" s="7"/>
      <c r="AE502" s="35"/>
    </row>
    <row r="503" spans="1:31">
      <c r="A503" s="111" t="s">
        <v>1993</v>
      </c>
      <c r="B503" s="111"/>
      <c r="C503" s="111"/>
      <c r="D503" s="111"/>
      <c r="E503" s="111"/>
      <c r="F503" s="111"/>
      <c r="G503" s="111"/>
      <c r="H503" s="3" t="s">
        <v>1994</v>
      </c>
      <c r="I503" s="3" t="s">
        <v>1995</v>
      </c>
      <c r="J503" s="112" t="str">
        <f ca="1">IFERROR(__xludf.DUMMYFUNCTION("JOIN("": "",H503,I503)"),"3E-48-00-00-00-00-00: Elementos de tratamento de resíduos sólidos")</f>
        <v>3E-48-00-00-00-00-00: Elementos de tratamento de resíduos sólidos</v>
      </c>
      <c r="K503" s="4">
        <v>2</v>
      </c>
      <c r="L503" s="7"/>
      <c r="M503" s="7"/>
      <c r="N503" s="7"/>
      <c r="O503" s="7"/>
      <c r="P503" s="177"/>
      <c r="Q503" s="177"/>
      <c r="R503" s="177"/>
      <c r="S503" s="177"/>
      <c r="AD503" s="7"/>
      <c r="AE503" s="35"/>
    </row>
    <row r="504" spans="1:31">
      <c r="A504" s="111" t="s">
        <v>1997</v>
      </c>
      <c r="B504" s="111"/>
      <c r="C504" s="111"/>
      <c r="D504" s="111"/>
      <c r="E504" s="111"/>
      <c r="F504" s="111"/>
      <c r="G504" s="111"/>
      <c r="H504" s="3" t="s">
        <v>1998</v>
      </c>
      <c r="I504" s="3" t="s">
        <v>1999</v>
      </c>
      <c r="J504" s="112" t="str">
        <f ca="1">IFERROR(__xludf.DUMMYFUNCTION("JOIN("": "",H504,I504)"),"3E-48-02-00-00-00-00: Elementos para sistemas de coleta de resíduos sólidos")</f>
        <v>3E-48-02-00-00-00-00: Elementos para sistemas de coleta de resíduos sólidos</v>
      </c>
      <c r="K504" s="4">
        <v>3</v>
      </c>
      <c r="L504" s="7"/>
      <c r="M504" s="7"/>
      <c r="N504" s="7"/>
      <c r="O504" s="7"/>
      <c r="P504" s="177"/>
      <c r="Q504" s="177"/>
      <c r="R504" s="177"/>
      <c r="S504" s="177"/>
    </row>
    <row r="505" spans="1:31">
      <c r="A505" s="111" t="s">
        <v>2001</v>
      </c>
      <c r="B505" s="111"/>
      <c r="C505" s="111"/>
      <c r="D505" s="111"/>
      <c r="E505" s="111"/>
      <c r="F505" s="111"/>
      <c r="G505" s="111"/>
      <c r="H505" s="3" t="s">
        <v>2002</v>
      </c>
      <c r="I505" s="3" t="s">
        <v>2003</v>
      </c>
      <c r="J505" s="112" t="str">
        <f ca="1">IFERROR(__xludf.DUMMYFUNCTION("JOIN("": "",H505,I505)"),"3E-48-04-00-00-00-00: Elementos para tratamento mecânico de resíduos sólidos")</f>
        <v>3E-48-04-00-00-00-00: Elementos para tratamento mecânico de resíduos sólidos</v>
      </c>
      <c r="K505" s="4">
        <v>3</v>
      </c>
      <c r="L505" s="7"/>
      <c r="M505" s="7"/>
      <c r="N505" s="7"/>
      <c r="O505" s="7"/>
      <c r="P505" s="177"/>
      <c r="Q505" s="177"/>
      <c r="R505" s="177"/>
      <c r="S505" s="177"/>
    </row>
    <row r="506" spans="1:31">
      <c r="A506" s="35" t="s">
        <v>2005</v>
      </c>
      <c r="B506" s="35"/>
      <c r="C506" s="35"/>
      <c r="D506" s="35"/>
      <c r="E506" s="35"/>
      <c r="F506" s="35"/>
      <c r="G506" s="35"/>
      <c r="H506" s="7" t="s">
        <v>2006</v>
      </c>
      <c r="I506" s="7" t="s">
        <v>2007</v>
      </c>
      <c r="J506" s="112" t="str">
        <f ca="1">IFERROR(__xludf.DUMMYFUNCTION("JOIN("": "",H506,I506)"),"3E-48-04-02-00-00-00: Compactador de resíduos sólidos")</f>
        <v>3E-48-04-02-00-00-00: Compactador de resíduos sólidos</v>
      </c>
      <c r="K506" s="4">
        <v>4</v>
      </c>
      <c r="L506" s="7"/>
      <c r="M506" s="7"/>
      <c r="N506" s="7"/>
      <c r="O506" s="7"/>
      <c r="P506" s="177"/>
      <c r="Q506" s="177"/>
      <c r="R506" s="177"/>
      <c r="S506" s="177"/>
    </row>
    <row r="507" spans="1:31">
      <c r="A507" s="111" t="s">
        <v>2009</v>
      </c>
      <c r="B507" s="111"/>
      <c r="C507" s="111"/>
      <c r="D507" s="111"/>
      <c r="E507" s="111"/>
      <c r="F507" s="111"/>
      <c r="G507" s="111"/>
      <c r="H507" s="3" t="s">
        <v>2010</v>
      </c>
      <c r="I507" s="3" t="s">
        <v>2011</v>
      </c>
      <c r="J507" s="112" t="str">
        <f ca="1">IFERROR(__xludf.DUMMYFUNCTION("JOIN("": "",H507,I507)"),"3E-48-06-00-00-00-00: Elementos para tratamento bioquímico de resíduos sólidos")</f>
        <v>3E-48-06-00-00-00-00: Elementos para tratamento bioquímico de resíduos sólidos</v>
      </c>
      <c r="K507" s="4">
        <v>3</v>
      </c>
      <c r="L507" s="7"/>
      <c r="M507" s="7"/>
      <c r="N507" s="7"/>
      <c r="O507" s="7"/>
      <c r="P507" s="177"/>
      <c r="Q507" s="177"/>
      <c r="R507" s="177"/>
      <c r="S507" s="177"/>
    </row>
    <row r="508" spans="1:31">
      <c r="A508" s="35" t="s">
        <v>2013</v>
      </c>
      <c r="B508" s="35"/>
      <c r="C508" s="35"/>
      <c r="D508" s="35"/>
      <c r="E508" s="35"/>
      <c r="F508" s="35"/>
      <c r="G508" s="35"/>
      <c r="H508" s="7" t="s">
        <v>2014</v>
      </c>
      <c r="I508" s="7" t="s">
        <v>2015</v>
      </c>
      <c r="J508" s="112" t="str">
        <f ca="1">IFERROR(__xludf.DUMMYFUNCTION("JOIN("": "",H508,I508)"),"3E-48-06-02-00-00-00: Composteira de resíduos sólidos")</f>
        <v>3E-48-06-02-00-00-00: Composteira de resíduos sólidos</v>
      </c>
      <c r="K508" s="4">
        <v>4</v>
      </c>
      <c r="L508" s="7"/>
      <c r="M508" s="7"/>
      <c r="N508" s="7"/>
      <c r="O508" s="7"/>
      <c r="P508" s="177"/>
      <c r="Q508" s="177"/>
      <c r="R508" s="177"/>
      <c r="S508" s="177"/>
    </row>
    <row r="509" spans="1:31">
      <c r="A509" s="111" t="s">
        <v>2017</v>
      </c>
      <c r="B509" s="111"/>
      <c r="C509" s="111"/>
      <c r="D509" s="111"/>
      <c r="E509" s="111"/>
      <c r="F509" s="111"/>
      <c r="G509" s="111"/>
      <c r="H509" s="3" t="s">
        <v>2018</v>
      </c>
      <c r="I509" s="3" t="s">
        <v>2019</v>
      </c>
      <c r="J509" s="112" t="str">
        <f ca="1">IFERROR(__xludf.DUMMYFUNCTION("JOIN("": "",H509,I509)"),"3E-48-08-00-00-00-00: Elementos para tratamento térmico de resíduos sólidos")</f>
        <v>3E-48-08-00-00-00-00: Elementos para tratamento térmico de resíduos sólidos</v>
      </c>
      <c r="K509" s="4">
        <v>3</v>
      </c>
      <c r="L509" s="7"/>
      <c r="M509" s="7"/>
      <c r="N509" s="7"/>
      <c r="O509" s="7"/>
      <c r="P509" s="177"/>
      <c r="Q509" s="177"/>
      <c r="R509" s="177"/>
      <c r="S509" s="177"/>
    </row>
    <row r="510" spans="1:31">
      <c r="A510" s="35" t="s">
        <v>2021</v>
      </c>
      <c r="B510" s="35"/>
      <c r="C510" s="35"/>
      <c r="D510" s="35"/>
      <c r="E510" s="35"/>
      <c r="F510" s="35"/>
      <c r="G510" s="35"/>
      <c r="H510" s="7" t="s">
        <v>2022</v>
      </c>
      <c r="I510" s="7" t="s">
        <v>2023</v>
      </c>
      <c r="J510" s="112" t="str">
        <f ca="1">IFERROR(__xludf.DUMMYFUNCTION("JOIN("": "",H510,I510)"),"3E-48-08-02-00-00-00: Fomo de incineração de resíduos sólidos")</f>
        <v>3E-48-08-02-00-00-00: Fomo de incineração de resíduos sólidos</v>
      </c>
      <c r="K510" s="4">
        <v>4</v>
      </c>
      <c r="L510" s="7"/>
      <c r="M510" s="7"/>
      <c r="N510" s="7"/>
      <c r="O510" s="7"/>
      <c r="P510" s="177"/>
      <c r="Q510" s="177"/>
      <c r="R510" s="177"/>
      <c r="S510" s="177"/>
    </row>
    <row r="511" spans="1:31">
      <c r="A511" s="111" t="s">
        <v>2025</v>
      </c>
      <c r="B511" s="111"/>
      <c r="C511" s="111"/>
      <c r="D511" s="111"/>
      <c r="E511" s="111"/>
      <c r="F511" s="111"/>
      <c r="G511" s="111"/>
      <c r="H511" s="3" t="s">
        <v>2026</v>
      </c>
      <c r="I511" s="3" t="s">
        <v>2027</v>
      </c>
      <c r="J511" s="112" t="str">
        <f ca="1">IFERROR(__xludf.DUMMYFUNCTION("JOIN("": "",H511,I511)"),"3E-48-10-00-00-00-00: Elementos para a destinação de resíduos sólidos")</f>
        <v>3E-48-10-00-00-00-00: Elementos para a destinação de resíduos sólidos</v>
      </c>
      <c r="K511" s="4">
        <v>3</v>
      </c>
      <c r="L511" s="7"/>
      <c r="M511" s="7"/>
      <c r="N511" s="7"/>
      <c r="O511" s="7"/>
      <c r="P511" s="177"/>
      <c r="Q511" s="177"/>
      <c r="R511" s="177"/>
      <c r="S511" s="177"/>
    </row>
    <row r="512" spans="1:31">
      <c r="A512" s="111" t="s">
        <v>2029</v>
      </c>
      <c r="B512" s="111"/>
      <c r="C512" s="111"/>
      <c r="D512" s="111"/>
      <c r="E512" s="111"/>
      <c r="F512" s="111"/>
      <c r="G512" s="111"/>
      <c r="H512" s="3" t="s">
        <v>2030</v>
      </c>
      <c r="I512" s="3" t="s">
        <v>2031</v>
      </c>
      <c r="J512" s="112" t="str">
        <f ca="1">IFERROR(__xludf.DUMMYFUNCTION("JOIN("": "",H512,I512)"),"3E-50-00-00-00-00-00: Elementos de sistemas de refrigeração")</f>
        <v>3E-50-00-00-00-00-00: Elementos de sistemas de refrigeração</v>
      </c>
      <c r="K512" s="4">
        <v>2</v>
      </c>
      <c r="L512" s="7"/>
      <c r="M512" s="7"/>
      <c r="N512" s="7"/>
      <c r="O512" s="7"/>
      <c r="P512" s="177"/>
      <c r="Q512" s="177"/>
      <c r="R512" s="177"/>
      <c r="S512" s="177"/>
      <c r="AD512" s="7"/>
      <c r="AE512" s="35"/>
    </row>
    <row r="513" spans="1:19">
      <c r="A513" s="111" t="s">
        <v>2033</v>
      </c>
      <c r="B513" s="111"/>
      <c r="C513" s="111"/>
      <c r="D513" s="111"/>
      <c r="E513" s="111"/>
      <c r="F513" s="111"/>
      <c r="G513" s="111"/>
      <c r="H513" s="3" t="s">
        <v>2034</v>
      </c>
      <c r="I513" s="3" t="s">
        <v>2035</v>
      </c>
      <c r="J513" s="112" t="str">
        <f ca="1">IFERROR(__xludf.DUMMYFUNCTION("JOIN("": "",H513,I513)"),"3E-50-02-00-00-00-00: Elementos de distribuição em sistemas de refrigeração")</f>
        <v>3E-50-02-00-00-00-00: Elementos de distribuição em sistemas de refrigeração</v>
      </c>
      <c r="K513" s="4">
        <v>3</v>
      </c>
      <c r="L513" s="7"/>
      <c r="M513" s="7"/>
      <c r="N513" s="7"/>
      <c r="O513" s="7"/>
      <c r="P513" s="177"/>
      <c r="Q513" s="177"/>
      <c r="R513" s="177"/>
      <c r="S513" s="177"/>
    </row>
    <row r="514" spans="1:19">
      <c r="A514" s="35" t="s">
        <v>2037</v>
      </c>
      <c r="B514" s="35"/>
      <c r="C514" s="35"/>
      <c r="D514" s="35"/>
      <c r="E514" s="35"/>
      <c r="F514" s="35"/>
      <c r="G514" s="35"/>
      <c r="H514" s="7" t="s">
        <v>2038</v>
      </c>
      <c r="I514" s="7" t="s">
        <v>2039</v>
      </c>
      <c r="J514" s="112" t="str">
        <f ca="1">IFERROR(__xludf.DUMMYFUNCTION("JOIN("": "",H514,I514)"),"3E-50-02-02-00-00-00: Isolamento térmico de rede de dutos")</f>
        <v>3E-50-02-02-00-00-00: Isolamento térmico de rede de dutos</v>
      </c>
      <c r="K514" s="4">
        <v>4</v>
      </c>
      <c r="L514" s="7"/>
      <c r="M514" s="7"/>
      <c r="N514" s="7"/>
      <c r="O514" s="7"/>
      <c r="P514" s="177"/>
      <c r="Q514" s="177"/>
      <c r="R514" s="177"/>
      <c r="S514" s="177"/>
    </row>
    <row r="515" spans="1:19">
      <c r="A515" s="35" t="s">
        <v>2041</v>
      </c>
      <c r="B515" s="35"/>
      <c r="C515" s="35"/>
      <c r="D515" s="35"/>
      <c r="E515" s="35"/>
      <c r="F515" s="35"/>
      <c r="G515" s="35"/>
      <c r="H515" s="7" t="s">
        <v>2042</v>
      </c>
      <c r="I515" s="7" t="s">
        <v>2043</v>
      </c>
      <c r="J515" s="112" t="str">
        <f ca="1">IFERROR(__xludf.DUMMYFUNCTION("JOIN("": "",H515,I515)"),"3E-50-02-04-00-00-00: Duto flexível para distribuição de ar refrigerado")</f>
        <v>3E-50-02-04-00-00-00: Duto flexível para distribuição de ar refrigerado</v>
      </c>
      <c r="K515" s="4">
        <v>4</v>
      </c>
      <c r="L515" s="7"/>
      <c r="M515" s="7"/>
      <c r="N515" s="7"/>
      <c r="O515" s="7"/>
      <c r="P515" s="177"/>
      <c r="Q515" s="177"/>
      <c r="R515" s="177"/>
      <c r="S515" s="177"/>
    </row>
    <row r="516" spans="1:19">
      <c r="A516" s="35" t="s">
        <v>2045</v>
      </c>
      <c r="B516" s="35"/>
      <c r="C516" s="35"/>
      <c r="D516" s="35"/>
      <c r="E516" s="35"/>
      <c r="F516" s="35"/>
      <c r="G516" s="35"/>
      <c r="H516" s="7" t="s">
        <v>2046</v>
      </c>
      <c r="I516" s="7" t="s">
        <v>2047</v>
      </c>
      <c r="J516" s="112" t="str">
        <f ca="1">IFERROR(__xludf.DUMMYFUNCTION("JOIN("": "",H516,I516)"),"3E-50-02-06-00-00-00: Duto rígido para distribuição de ar refrigerado")</f>
        <v>3E-50-02-06-00-00-00: Duto rígido para distribuição de ar refrigerado</v>
      </c>
      <c r="K516" s="4">
        <v>4</v>
      </c>
      <c r="L516" s="7"/>
      <c r="M516" s="7"/>
      <c r="N516" s="7"/>
      <c r="O516" s="7"/>
      <c r="P516" s="177"/>
      <c r="Q516" s="177"/>
      <c r="R516" s="177"/>
      <c r="S516" s="177"/>
    </row>
    <row r="517" spans="1:19">
      <c r="A517" s="35" t="s">
        <v>2049</v>
      </c>
      <c r="B517" s="35"/>
      <c r="C517" s="35"/>
      <c r="D517" s="35"/>
      <c r="E517" s="35"/>
      <c r="F517" s="35"/>
      <c r="G517" s="35"/>
      <c r="H517" s="7" t="s">
        <v>2050</v>
      </c>
      <c r="I517" s="7" t="s">
        <v>2051</v>
      </c>
      <c r="J517" s="112" t="str">
        <f ca="1">IFERROR(__xludf.DUMMYFUNCTION("JOIN("": "",H517,I517)"),"3E-50-02-08-00-00-00: Duto convencional retangular aparente")</f>
        <v>3E-50-02-08-00-00-00: Duto convencional retangular aparente</v>
      </c>
      <c r="K517" s="4">
        <v>4</v>
      </c>
      <c r="L517" s="7"/>
      <c r="M517" s="7"/>
      <c r="N517" s="7"/>
      <c r="O517" s="7"/>
      <c r="P517" s="177"/>
      <c r="Q517" s="177"/>
      <c r="R517" s="177"/>
      <c r="S517" s="177"/>
    </row>
    <row r="518" spans="1:19">
      <c r="A518" s="111" t="s">
        <v>2053</v>
      </c>
      <c r="B518" s="111"/>
      <c r="C518" s="111"/>
      <c r="D518" s="111"/>
      <c r="E518" s="111"/>
      <c r="F518" s="111"/>
      <c r="G518" s="111"/>
      <c r="H518" s="3" t="s">
        <v>2054</v>
      </c>
      <c r="I518" s="3" t="s">
        <v>2055</v>
      </c>
      <c r="J518" s="112" t="str">
        <f ca="1">IFERROR(__xludf.DUMMYFUNCTION("JOIN("": "",H518,I518)"),"3E-50-04-00-00-00-00: Elementos para difusão de ar")</f>
        <v>3E-50-04-00-00-00-00: Elementos para difusão de ar</v>
      </c>
      <c r="K518" s="4">
        <v>3</v>
      </c>
      <c r="L518" s="7"/>
      <c r="M518" s="7"/>
      <c r="N518" s="7"/>
      <c r="O518" s="7"/>
      <c r="P518" s="177"/>
      <c r="Q518" s="177"/>
      <c r="R518" s="177"/>
      <c r="S518" s="177"/>
    </row>
    <row r="519" spans="1:19">
      <c r="A519" s="35" t="s">
        <v>2057</v>
      </c>
      <c r="B519" s="35"/>
      <c r="C519" s="35"/>
      <c r="D519" s="35"/>
      <c r="E519" s="35"/>
      <c r="F519" s="35"/>
      <c r="G519" s="35"/>
      <c r="H519" s="7" t="s">
        <v>2058</v>
      </c>
      <c r="I519" s="7" t="s">
        <v>2059</v>
      </c>
      <c r="J519" s="112" t="str">
        <f ca="1">IFERROR(__xludf.DUMMYFUNCTION("JOIN("": "",H519,I519)"),"3E-50-04-02-00-00-00: Boca de ar")</f>
        <v>3E-50-04-02-00-00-00: Boca de ar</v>
      </c>
      <c r="K519" s="4">
        <v>4</v>
      </c>
      <c r="L519" s="7"/>
      <c r="M519" s="7"/>
      <c r="N519" s="7"/>
      <c r="O519" s="7"/>
      <c r="P519" s="177"/>
      <c r="Q519" s="177"/>
      <c r="R519" s="177"/>
      <c r="S519" s="177"/>
    </row>
    <row r="520" spans="1:19">
      <c r="A520" s="35" t="s">
        <v>2061</v>
      </c>
      <c r="B520" s="35"/>
      <c r="C520" s="35"/>
      <c r="D520" s="35"/>
      <c r="E520" s="35"/>
      <c r="F520" s="35"/>
      <c r="G520" s="35"/>
      <c r="H520" s="7" t="s">
        <v>2062</v>
      </c>
      <c r="I520" s="7" t="s">
        <v>2063</v>
      </c>
      <c r="J520" s="112" t="str">
        <f ca="1">IFERROR(__xludf.DUMMYFUNCTION("JOIN("": "",H520,I520)"),"3E-50-04-04-00-00-00: Difusor de insuflamento")</f>
        <v>3E-50-04-04-00-00-00: Difusor de insuflamento</v>
      </c>
      <c r="K520" s="4">
        <v>4</v>
      </c>
      <c r="L520" s="7"/>
      <c r="M520" s="7"/>
      <c r="N520" s="7"/>
      <c r="O520" s="7"/>
      <c r="P520" s="177"/>
      <c r="Q520" s="177"/>
      <c r="R520" s="177"/>
      <c r="S520" s="177"/>
    </row>
    <row r="521" spans="1:19">
      <c r="A521" s="35" t="s">
        <v>2065</v>
      </c>
      <c r="B521" s="35"/>
      <c r="C521" s="35"/>
      <c r="D521" s="35"/>
      <c r="E521" s="35"/>
      <c r="F521" s="35"/>
      <c r="G521" s="35"/>
      <c r="H521" s="7" t="s">
        <v>2066</v>
      </c>
      <c r="I521" s="7" t="s">
        <v>2067</v>
      </c>
      <c r="J521" s="112" t="str">
        <f ca="1">IFERROR(__xludf.DUMMYFUNCTION("JOIN("": "",H521,I521)"),"3E-50-04-06-00-00-00: Difusor de retomo")</f>
        <v>3E-50-04-06-00-00-00: Difusor de retomo</v>
      </c>
      <c r="K521" s="4">
        <v>4</v>
      </c>
      <c r="L521" s="7"/>
      <c r="M521" s="7"/>
      <c r="N521" s="7"/>
      <c r="O521" s="7"/>
      <c r="P521" s="177"/>
      <c r="Q521" s="177"/>
      <c r="R521" s="177"/>
      <c r="S521" s="177"/>
    </row>
    <row r="522" spans="1:19">
      <c r="A522" s="35" t="s">
        <v>2069</v>
      </c>
      <c r="B522" s="35"/>
      <c r="C522" s="35"/>
      <c r="D522" s="35"/>
      <c r="E522" s="35"/>
      <c r="F522" s="35"/>
      <c r="G522" s="35"/>
      <c r="H522" s="7" t="s">
        <v>2070</v>
      </c>
      <c r="I522" s="7" t="s">
        <v>2071</v>
      </c>
      <c r="J522" s="112" t="str">
        <f ca="1">IFERROR(__xludf.DUMMYFUNCTION("JOIN("": "",H522,I522)"),"3E-50-04-08-00-00-00: Grelha de insuflamento")</f>
        <v>3E-50-04-08-00-00-00: Grelha de insuflamento</v>
      </c>
      <c r="K522" s="4">
        <v>4</v>
      </c>
      <c r="L522" s="7"/>
      <c r="M522" s="7"/>
      <c r="N522" s="7"/>
      <c r="O522" s="7"/>
      <c r="P522" s="177"/>
      <c r="Q522" s="177"/>
      <c r="R522" s="177"/>
      <c r="S522" s="177"/>
    </row>
    <row r="523" spans="1:19">
      <c r="A523" s="35" t="s">
        <v>2073</v>
      </c>
      <c r="B523" s="35"/>
      <c r="C523" s="35"/>
      <c r="D523" s="35"/>
      <c r="E523" s="35"/>
      <c r="F523" s="35"/>
      <c r="G523" s="35"/>
      <c r="H523" s="7" t="s">
        <v>2074</v>
      </c>
      <c r="I523" s="7" t="s">
        <v>2075</v>
      </c>
      <c r="J523" s="112" t="str">
        <f ca="1">IFERROR(__xludf.DUMMYFUNCTION("JOIN("": "",H523,I523)"),"3E-50-04-10-00-00-00: Grelha de retomo")</f>
        <v>3E-50-04-10-00-00-00: Grelha de retomo</v>
      </c>
      <c r="K523" s="4">
        <v>4</v>
      </c>
      <c r="L523" s="7"/>
      <c r="M523" s="7"/>
      <c r="N523" s="7"/>
      <c r="O523" s="7"/>
      <c r="P523" s="177"/>
      <c r="Q523" s="177"/>
      <c r="R523" s="177"/>
      <c r="S523" s="177"/>
    </row>
    <row r="524" spans="1:19">
      <c r="A524" s="35" t="s">
        <v>2077</v>
      </c>
      <c r="B524" s="35"/>
      <c r="C524" s="35"/>
      <c r="D524" s="35"/>
      <c r="E524" s="35"/>
      <c r="F524" s="35"/>
      <c r="G524" s="35"/>
      <c r="H524" s="7" t="s">
        <v>2078</v>
      </c>
      <c r="I524" s="7" t="s">
        <v>2079</v>
      </c>
      <c r="J524" s="112" t="str">
        <f ca="1">IFERROR(__xludf.DUMMYFUNCTION("JOIN("": "",H524,I524)"),"3E-50-04-12-00-00-00: Tomada de ar extemo")</f>
        <v>3E-50-04-12-00-00-00: Tomada de ar extemo</v>
      </c>
      <c r="K524" s="4">
        <v>4</v>
      </c>
      <c r="L524" s="7"/>
      <c r="M524" s="7"/>
      <c r="N524" s="7"/>
      <c r="O524" s="7"/>
      <c r="P524" s="177"/>
      <c r="Q524" s="177"/>
      <c r="R524" s="177"/>
      <c r="S524" s="177"/>
    </row>
    <row r="525" spans="1:19">
      <c r="A525" s="35" t="s">
        <v>2081</v>
      </c>
      <c r="B525" s="35"/>
      <c r="C525" s="35"/>
      <c r="D525" s="35"/>
      <c r="E525" s="35"/>
      <c r="F525" s="35"/>
      <c r="G525" s="35"/>
      <c r="H525" s="7" t="s">
        <v>2082</v>
      </c>
      <c r="I525" s="7" t="s">
        <v>2083</v>
      </c>
      <c r="J525" s="112" t="str">
        <f ca="1">IFERROR(__xludf.DUMMYFUNCTION("JOIN("": "",H525,I525)"),"3E-50-04-14-00-00-00: Ventilador para distribuição de ar")</f>
        <v>3E-50-04-14-00-00-00: Ventilador para distribuição de ar</v>
      </c>
      <c r="K525" s="4">
        <v>4</v>
      </c>
      <c r="L525" s="7"/>
      <c r="M525" s="7"/>
      <c r="N525" s="7"/>
      <c r="O525" s="7"/>
      <c r="P525" s="177"/>
      <c r="Q525" s="177"/>
      <c r="R525" s="177"/>
      <c r="S525" s="177"/>
    </row>
    <row r="526" spans="1:19">
      <c r="A526" s="111" t="s">
        <v>2085</v>
      </c>
      <c r="B526" s="111"/>
      <c r="C526" s="111"/>
      <c r="D526" s="111"/>
      <c r="E526" s="111"/>
      <c r="F526" s="111"/>
      <c r="G526" s="111"/>
      <c r="H526" s="3" t="s">
        <v>2086</v>
      </c>
      <c r="I526" s="3" t="s">
        <v>2087</v>
      </c>
      <c r="J526" s="112" t="str">
        <f ca="1">IFERROR(__xludf.DUMMYFUNCTION("JOIN("": "",H526,I526)"),"3E-50-06-00-00-00-00: Elementos para troca de calor de sistemas de refrigeração")</f>
        <v>3E-50-06-00-00-00-00: Elementos para troca de calor de sistemas de refrigeração</v>
      </c>
      <c r="K526" s="4">
        <v>3</v>
      </c>
      <c r="L526" s="7"/>
      <c r="M526" s="7"/>
      <c r="N526" s="7"/>
      <c r="O526" s="7"/>
      <c r="P526" s="177"/>
      <c r="Q526" s="177"/>
      <c r="R526" s="177"/>
      <c r="S526" s="177"/>
    </row>
    <row r="527" spans="1:19">
      <c r="A527" s="35" t="s">
        <v>2089</v>
      </c>
      <c r="B527" s="35"/>
      <c r="C527" s="35"/>
      <c r="D527" s="35"/>
      <c r="E527" s="35"/>
      <c r="F527" s="35"/>
      <c r="G527" s="35"/>
      <c r="H527" s="7" t="s">
        <v>2090</v>
      </c>
      <c r="I527" s="7" t="s">
        <v>2091</v>
      </c>
      <c r="J527" s="112" t="str">
        <f ca="1">IFERROR(__xludf.DUMMYFUNCTION("JOIN("": "",H527,I527)"),"3E-50-06-02-00-00-00: Evaporador para troca de calor de sistemas de refrigeração")</f>
        <v>3E-50-06-02-00-00-00: Evaporador para troca de calor de sistemas de refrigeração</v>
      </c>
      <c r="K527" s="4">
        <v>4</v>
      </c>
      <c r="L527" s="7"/>
      <c r="M527" s="7"/>
      <c r="N527" s="7"/>
      <c r="O527" s="7"/>
      <c r="P527" s="177"/>
      <c r="Q527" s="177"/>
      <c r="R527" s="177"/>
      <c r="S527" s="177"/>
    </row>
    <row r="528" spans="1:19">
      <c r="A528" s="35" t="s">
        <v>2093</v>
      </c>
      <c r="B528" s="35"/>
      <c r="C528" s="35"/>
      <c r="D528" s="35"/>
      <c r="E528" s="35"/>
      <c r="F528" s="35"/>
      <c r="G528" s="35"/>
      <c r="H528" s="7" t="s">
        <v>2094</v>
      </c>
      <c r="I528" s="7" t="s">
        <v>2095</v>
      </c>
      <c r="J528" s="112" t="str">
        <f ca="1">IFERROR(__xludf.DUMMYFUNCTION("JOIN("": "",H528,I528)"),"3E-50-06-04-00-00-00: Condensador para troca de calor de sistemas de refrigeração")</f>
        <v>3E-50-06-04-00-00-00: Condensador para troca de calor de sistemas de refrigeração</v>
      </c>
      <c r="K528" s="4">
        <v>4</v>
      </c>
      <c r="L528" s="7"/>
      <c r="M528" s="7"/>
      <c r="N528" s="7"/>
      <c r="O528" s="7"/>
      <c r="P528" s="177"/>
      <c r="Q528" s="177"/>
      <c r="R528" s="177"/>
      <c r="S528" s="177"/>
    </row>
    <row r="529" spans="1:19">
      <c r="A529" s="111" t="s">
        <v>2097</v>
      </c>
      <c r="B529" s="111"/>
      <c r="C529" s="111"/>
      <c r="D529" s="111"/>
      <c r="E529" s="111"/>
      <c r="F529" s="111"/>
      <c r="G529" s="111"/>
      <c r="H529" s="3" t="s">
        <v>2098</v>
      </c>
      <c r="I529" s="3" t="s">
        <v>2099</v>
      </c>
      <c r="J529" s="112" t="str">
        <f ca="1">IFERROR(__xludf.DUMMYFUNCTION("JOIN("": "",H529,I529)"),"3E-50-08-00-00-00-00: Elementos de compressão de sistemas de refrigeração")</f>
        <v>3E-50-08-00-00-00-00: Elementos de compressão de sistemas de refrigeração</v>
      </c>
      <c r="K529" s="4">
        <v>3</v>
      </c>
      <c r="L529" s="7"/>
      <c r="M529" s="7"/>
      <c r="N529" s="7"/>
      <c r="O529" s="7"/>
      <c r="P529" s="177"/>
      <c r="Q529" s="177"/>
      <c r="R529" s="177"/>
      <c r="S529" s="177"/>
    </row>
    <row r="530" spans="1:19">
      <c r="A530" s="35" t="s">
        <v>2101</v>
      </c>
      <c r="B530" s="35"/>
      <c r="C530" s="35"/>
      <c r="D530" s="35"/>
      <c r="E530" s="35"/>
      <c r="F530" s="35"/>
      <c r="G530" s="35"/>
      <c r="H530" s="7" t="s">
        <v>2102</v>
      </c>
      <c r="I530" s="7" t="s">
        <v>2103</v>
      </c>
      <c r="J530" s="112" t="str">
        <f ca="1">IFERROR(__xludf.DUMMYFUNCTION("JOIN("": "",H530,I530)"),"3E-50-08-02-00-00-00: Compressor de êmbolo")</f>
        <v>3E-50-08-02-00-00-00: Compressor de êmbolo</v>
      </c>
      <c r="K530" s="4">
        <v>4</v>
      </c>
      <c r="L530" s="7"/>
      <c r="M530" s="7"/>
      <c r="N530" s="7"/>
      <c r="O530" s="7"/>
      <c r="P530" s="177"/>
      <c r="Q530" s="177"/>
      <c r="R530" s="177"/>
      <c r="S530" s="177"/>
    </row>
    <row r="531" spans="1:19">
      <c r="A531" s="35" t="s">
        <v>2105</v>
      </c>
      <c r="B531" s="35"/>
      <c r="C531" s="35"/>
      <c r="D531" s="35"/>
      <c r="E531" s="35"/>
      <c r="F531" s="35"/>
      <c r="G531" s="35"/>
      <c r="H531" s="7" t="s">
        <v>2106</v>
      </c>
      <c r="I531" s="7" t="s">
        <v>2107</v>
      </c>
      <c r="J531" s="112" t="str">
        <f ca="1">IFERROR(__xludf.DUMMYFUNCTION("JOIN("": "",H531,I531)"),"3E-50-08-04-00-00-00: Compressor de parafuso")</f>
        <v>3E-50-08-04-00-00-00: Compressor de parafuso</v>
      </c>
      <c r="K531" s="4">
        <v>4</v>
      </c>
      <c r="L531" s="7"/>
      <c r="M531" s="7"/>
      <c r="N531" s="7"/>
      <c r="O531" s="7"/>
      <c r="P531" s="177"/>
      <c r="Q531" s="177"/>
      <c r="R531" s="177"/>
      <c r="S531" s="177"/>
    </row>
    <row r="532" spans="1:19">
      <c r="A532" s="35" t="s">
        <v>2109</v>
      </c>
      <c r="B532" s="35"/>
      <c r="C532" s="35"/>
      <c r="D532" s="35"/>
      <c r="E532" s="35"/>
      <c r="F532" s="35"/>
      <c r="G532" s="35"/>
      <c r="H532" s="7" t="s">
        <v>2110</v>
      </c>
      <c r="I532" s="7" t="s">
        <v>2111</v>
      </c>
      <c r="J532" s="112" t="str">
        <f ca="1">IFERROR(__xludf.DUMMYFUNCTION("JOIN("": "",H532,I532)"),"3E-50-08-06-00-00-00: Compressor de palheta")</f>
        <v>3E-50-08-06-00-00-00: Compressor de palheta</v>
      </c>
      <c r="K532" s="4">
        <v>4</v>
      </c>
      <c r="L532" s="7"/>
      <c r="M532" s="7"/>
      <c r="N532" s="7"/>
      <c r="O532" s="7"/>
      <c r="P532" s="177"/>
      <c r="Q532" s="177"/>
      <c r="R532" s="177"/>
      <c r="S532" s="177"/>
    </row>
    <row r="533" spans="1:19">
      <c r="A533" s="35" t="s">
        <v>2113</v>
      </c>
      <c r="B533" s="35"/>
      <c r="C533" s="35"/>
      <c r="D533" s="35"/>
      <c r="E533" s="35"/>
      <c r="F533" s="35"/>
      <c r="G533" s="35"/>
      <c r="H533" s="7" t="s">
        <v>2114</v>
      </c>
      <c r="I533" s="7" t="s">
        <v>2115</v>
      </c>
      <c r="J533" s="112" t="str">
        <f ca="1">IFERROR(__xludf.DUMMYFUNCTION("JOIN("": "",H533,I533)"),"3E-50-08-08-00-00-00: Compressor centrífugo")</f>
        <v>3E-50-08-08-00-00-00: Compressor centrífugo</v>
      </c>
      <c r="K533" s="4">
        <v>4</v>
      </c>
      <c r="L533" s="7"/>
      <c r="M533" s="7"/>
      <c r="N533" s="7"/>
      <c r="O533" s="7"/>
      <c r="P533" s="177"/>
      <c r="Q533" s="177"/>
      <c r="R533" s="177"/>
      <c r="S533" s="177"/>
    </row>
    <row r="534" spans="1:19">
      <c r="A534" s="35" t="s">
        <v>2117</v>
      </c>
      <c r="B534" s="35"/>
      <c r="C534" s="35"/>
      <c r="D534" s="35"/>
      <c r="E534" s="35"/>
      <c r="F534" s="35"/>
      <c r="G534" s="35"/>
      <c r="H534" s="7" t="s">
        <v>2118</v>
      </c>
      <c r="I534" s="7" t="s">
        <v>2119</v>
      </c>
      <c r="J534" s="112" t="str">
        <f ca="1">IFERROR(__xludf.DUMMYFUNCTION("JOIN("": "",H534,I534)"),"3E-50-08-10-00-00-00: Compressor scroll")</f>
        <v>3E-50-08-10-00-00-00: Compressor scroll</v>
      </c>
      <c r="K534" s="4">
        <v>4</v>
      </c>
      <c r="L534" s="7"/>
      <c r="M534" s="7"/>
      <c r="N534" s="7"/>
      <c r="O534" s="7"/>
      <c r="P534" s="177"/>
      <c r="Q534" s="177"/>
      <c r="R534" s="177"/>
      <c r="S534" s="177"/>
    </row>
    <row r="535" spans="1:19">
      <c r="A535" s="111" t="s">
        <v>2121</v>
      </c>
      <c r="B535" s="111"/>
      <c r="C535" s="111"/>
      <c r="D535" s="111"/>
      <c r="E535" s="111"/>
      <c r="F535" s="111"/>
      <c r="G535" s="111"/>
      <c r="H535" s="3" t="s">
        <v>2122</v>
      </c>
      <c r="I535" s="3" t="s">
        <v>2123</v>
      </c>
      <c r="J535" s="112" t="str">
        <f ca="1">IFERROR(__xludf.DUMMYFUNCTION("JOIN("": "",H535,I535)"),"3E-50-10-00-00-00-00: Elementos de expansão de sistemas de refrigeração")</f>
        <v>3E-50-10-00-00-00-00: Elementos de expansão de sistemas de refrigeração</v>
      </c>
      <c r="K535" s="4">
        <v>3</v>
      </c>
      <c r="L535" s="7"/>
      <c r="M535" s="7"/>
      <c r="N535" s="7"/>
      <c r="O535" s="7"/>
      <c r="P535" s="177"/>
      <c r="Q535" s="177"/>
      <c r="R535" s="177"/>
      <c r="S535" s="177"/>
    </row>
    <row r="536" spans="1:19">
      <c r="A536" s="35" t="s">
        <v>2125</v>
      </c>
      <c r="B536" s="35"/>
      <c r="C536" s="35"/>
      <c r="D536" s="35"/>
      <c r="E536" s="35"/>
      <c r="F536" s="35"/>
      <c r="G536" s="35"/>
      <c r="H536" s="7" t="s">
        <v>2126</v>
      </c>
      <c r="I536" s="7" t="s">
        <v>2127</v>
      </c>
      <c r="J536" s="112" t="str">
        <f ca="1">IFERROR(__xludf.DUMMYFUNCTION("JOIN("": "",H536,I536)"),"3E-50-10-02-00-00-00: Ramal de expansão de sistemas de refrigeração")</f>
        <v>3E-50-10-02-00-00-00: Ramal de expansão de sistemas de refrigeração</v>
      </c>
      <c r="K536" s="4">
        <v>4</v>
      </c>
      <c r="L536" s="7"/>
      <c r="M536" s="7"/>
      <c r="N536" s="7"/>
      <c r="O536" s="7"/>
      <c r="P536" s="177"/>
      <c r="Q536" s="177"/>
      <c r="R536" s="177"/>
      <c r="S536" s="177"/>
    </row>
    <row r="537" spans="1:19">
      <c r="A537" s="35" t="s">
        <v>2129</v>
      </c>
      <c r="B537" s="35"/>
      <c r="C537" s="35"/>
      <c r="D537" s="35"/>
      <c r="E537" s="35"/>
      <c r="F537" s="35"/>
      <c r="G537" s="35"/>
      <c r="H537" s="7" t="s">
        <v>2130</v>
      </c>
      <c r="I537" s="7" t="s">
        <v>2131</v>
      </c>
      <c r="J537" s="112" t="str">
        <f ca="1">IFERROR(__xludf.DUMMYFUNCTION("JOIN("": "",H537,I537)"),"3E-50-10-04-00-00-00: Válvula de expansão de sistemas de refrigeração")</f>
        <v>3E-50-10-04-00-00-00: Válvula de expansão de sistemas de refrigeração</v>
      </c>
      <c r="K537" s="4">
        <v>4</v>
      </c>
      <c r="L537" s="7"/>
      <c r="M537" s="7"/>
      <c r="N537" s="7"/>
      <c r="O537" s="7"/>
      <c r="P537" s="177"/>
      <c r="Q537" s="177"/>
      <c r="R537" s="177"/>
      <c r="S537" s="177"/>
    </row>
    <row r="538" spans="1:19">
      <c r="A538" s="35" t="s">
        <v>2133</v>
      </c>
      <c r="B538" s="35"/>
      <c r="C538" s="35"/>
      <c r="D538" s="35"/>
      <c r="E538" s="35"/>
      <c r="F538" s="35"/>
      <c r="G538" s="35"/>
      <c r="H538" s="7" t="s">
        <v>2134</v>
      </c>
      <c r="I538" s="7" t="s">
        <v>2135</v>
      </c>
      <c r="J538" s="112" t="str">
        <f ca="1">IFERROR(__xludf.DUMMYFUNCTION("JOIN("": "",H538,I538)"),"3E-50-10-06-00-00-00: Depósito de água de expansão de sistemas de refrigeração")</f>
        <v>3E-50-10-06-00-00-00: Depósito de água de expansão de sistemas de refrigeração</v>
      </c>
      <c r="K538" s="4">
        <v>4</v>
      </c>
      <c r="L538" s="7"/>
      <c r="M538" s="7"/>
      <c r="N538" s="7"/>
      <c r="O538" s="7"/>
      <c r="P538" s="177"/>
      <c r="Q538" s="177"/>
      <c r="R538" s="177"/>
      <c r="S538" s="177"/>
    </row>
    <row r="539" spans="1:19">
      <c r="A539" s="35" t="s">
        <v>2137</v>
      </c>
      <c r="B539" s="35"/>
      <c r="C539" s="35"/>
      <c r="D539" s="35"/>
      <c r="E539" s="35"/>
      <c r="F539" s="35"/>
      <c r="G539" s="35"/>
      <c r="H539" s="7" t="s">
        <v>2138</v>
      </c>
      <c r="I539" s="7" t="s">
        <v>2139</v>
      </c>
      <c r="J539" s="112" t="str">
        <f ca="1">IFERROR(__xludf.DUMMYFUNCTION("JOIN("": "",H539,I539)"),"3E-50-10-08-00-00-00: Secador de expansão de sistemas de refrigeração")</f>
        <v>3E-50-10-08-00-00-00: Secador de expansão de sistemas de refrigeração</v>
      </c>
      <c r="K539" s="4">
        <v>4</v>
      </c>
      <c r="L539" s="7"/>
      <c r="M539" s="7"/>
      <c r="N539" s="7"/>
      <c r="O539" s="7"/>
      <c r="P539" s="177"/>
      <c r="Q539" s="177"/>
      <c r="R539" s="177"/>
      <c r="S539" s="177"/>
    </row>
    <row r="540" spans="1:19">
      <c r="A540" s="35" t="s">
        <v>2141</v>
      </c>
      <c r="B540" s="35"/>
      <c r="C540" s="35"/>
      <c r="D540" s="35"/>
      <c r="E540" s="35"/>
      <c r="F540" s="35"/>
      <c r="G540" s="35"/>
      <c r="H540" s="7" t="s">
        <v>2142</v>
      </c>
      <c r="I540" s="7" t="s">
        <v>2143</v>
      </c>
      <c r="J540" s="112" t="str">
        <f ca="1">IFERROR(__xludf.DUMMYFUNCTION("JOIN("": "",H540,I540)"),"3E-50-10-10-00-00-00: Filtro de expansão de sistemas de refrigeração")</f>
        <v>3E-50-10-10-00-00-00: Filtro de expansão de sistemas de refrigeração</v>
      </c>
      <c r="K540" s="4">
        <v>4</v>
      </c>
      <c r="L540" s="7"/>
      <c r="M540" s="7"/>
      <c r="N540" s="7"/>
      <c r="O540" s="7"/>
      <c r="P540" s="177"/>
      <c r="Q540" s="177"/>
      <c r="R540" s="177"/>
      <c r="S540" s="177"/>
    </row>
    <row r="541" spans="1:19">
      <c r="A541" s="35" t="s">
        <v>2145</v>
      </c>
      <c r="B541" s="35"/>
      <c r="C541" s="35"/>
      <c r="D541" s="35"/>
      <c r="E541" s="35"/>
      <c r="F541" s="35"/>
      <c r="G541" s="35"/>
      <c r="H541" s="7" t="s">
        <v>2146</v>
      </c>
      <c r="I541" s="7" t="s">
        <v>2147</v>
      </c>
      <c r="J541" s="112" t="str">
        <f ca="1">IFERROR(__xludf.DUMMYFUNCTION("JOIN("": "",H541,I541)"),"3E-50-10-12-00-00-00: Termostato de expansão de sistemas de refrigeração")</f>
        <v>3E-50-10-12-00-00-00: Termostato de expansão de sistemas de refrigeração</v>
      </c>
      <c r="K541" s="4">
        <v>4</v>
      </c>
      <c r="L541" s="7"/>
      <c r="M541" s="7"/>
      <c r="N541" s="7"/>
      <c r="O541" s="7"/>
      <c r="P541" s="177"/>
      <c r="Q541" s="177"/>
      <c r="R541" s="177"/>
      <c r="S541" s="177"/>
    </row>
    <row r="542" spans="1:19">
      <c r="A542" s="35" t="s">
        <v>2149</v>
      </c>
      <c r="B542" s="35"/>
      <c r="C542" s="35"/>
      <c r="D542" s="35"/>
      <c r="E542" s="35"/>
      <c r="F542" s="35"/>
      <c r="G542" s="35"/>
      <c r="H542" s="7" t="s">
        <v>2150</v>
      </c>
      <c r="I542" s="7" t="s">
        <v>2151</v>
      </c>
      <c r="J542" s="112" t="str">
        <f ca="1">IFERROR(__xludf.DUMMYFUNCTION("JOIN("": "",H542,I542)"),"3E-50-10-14-00-00-00: Fréon de expansão de sistemas de refrigeração")</f>
        <v>3E-50-10-14-00-00-00: Fréon de expansão de sistemas de refrigeração</v>
      </c>
      <c r="K542" s="4">
        <v>4</v>
      </c>
      <c r="L542" s="7"/>
      <c r="M542" s="7"/>
      <c r="N542" s="7"/>
      <c r="O542" s="7"/>
      <c r="P542" s="177"/>
      <c r="Q542" s="177"/>
      <c r="R542" s="177"/>
      <c r="S542" s="177"/>
    </row>
    <row r="543" spans="1:19">
      <c r="A543" s="35" t="s">
        <v>2153</v>
      </c>
      <c r="B543" s="35"/>
      <c r="C543" s="35"/>
      <c r="D543" s="35"/>
      <c r="E543" s="35"/>
      <c r="F543" s="35"/>
      <c r="G543" s="35"/>
      <c r="H543" s="7" t="s">
        <v>2154</v>
      </c>
      <c r="I543" s="7" t="s">
        <v>2155</v>
      </c>
      <c r="J543" s="112" t="str">
        <f ca="1">IFERROR(__xludf.DUMMYFUNCTION("JOIN("": "",H543,I543)"),"3E-50-10-14-02-00-00: Fréon gasoso")</f>
        <v>3E-50-10-14-02-00-00: Fréon gasoso</v>
      </c>
      <c r="K543" s="4">
        <v>5</v>
      </c>
      <c r="L543" s="7"/>
      <c r="M543" s="7"/>
      <c r="N543" s="7"/>
      <c r="O543" s="7"/>
      <c r="P543" s="177"/>
      <c r="Q543" s="177"/>
      <c r="R543" s="177"/>
      <c r="S543" s="177"/>
    </row>
    <row r="544" spans="1:19">
      <c r="A544" s="35" t="s">
        <v>2157</v>
      </c>
      <c r="B544" s="35"/>
      <c r="C544" s="35"/>
      <c r="D544" s="35"/>
      <c r="E544" s="35"/>
      <c r="F544" s="35"/>
      <c r="G544" s="35"/>
      <c r="H544" s="7" t="s">
        <v>2158</v>
      </c>
      <c r="I544" s="7" t="s">
        <v>2159</v>
      </c>
      <c r="J544" s="112" t="str">
        <f ca="1">IFERROR(__xludf.DUMMYFUNCTION("JOIN("": "",H544,I544)"),"3E-50-10-14-04-00-00: Fréon líquido")</f>
        <v>3E-50-10-14-04-00-00: Fréon líquido</v>
      </c>
      <c r="K544" s="4">
        <v>5</v>
      </c>
      <c r="L544" s="7"/>
      <c r="M544" s="7"/>
      <c r="N544" s="7"/>
      <c r="O544" s="7"/>
      <c r="P544" s="177"/>
      <c r="Q544" s="177"/>
      <c r="R544" s="177"/>
      <c r="S544" s="177"/>
    </row>
    <row r="545" spans="1:19">
      <c r="A545" s="35" t="s">
        <v>2161</v>
      </c>
      <c r="B545" s="35"/>
      <c r="C545" s="35"/>
      <c r="D545" s="35"/>
      <c r="E545" s="35"/>
      <c r="F545" s="35"/>
      <c r="G545" s="35"/>
      <c r="H545" s="7" t="s">
        <v>2162</v>
      </c>
      <c r="I545" s="7" t="s">
        <v>2163</v>
      </c>
      <c r="J545" s="112" t="str">
        <f ca="1">IFERROR(__xludf.DUMMYFUNCTION("JOIN("": "",H545,I545)"),"3E-50-10-16-00-00-00: Dreno de expansão de sistemas de refrigeração")</f>
        <v>3E-50-10-16-00-00-00: Dreno de expansão de sistemas de refrigeração</v>
      </c>
      <c r="K545" s="4">
        <v>4</v>
      </c>
      <c r="L545" s="7"/>
      <c r="M545" s="7"/>
      <c r="N545" s="7"/>
      <c r="O545" s="7"/>
      <c r="P545" s="177"/>
      <c r="Q545" s="177"/>
      <c r="R545" s="177"/>
      <c r="S545" s="177"/>
    </row>
    <row r="546" spans="1:19">
      <c r="A546" s="111" t="s">
        <v>2165</v>
      </c>
      <c r="B546" s="111"/>
      <c r="C546" s="111"/>
      <c r="D546" s="111"/>
      <c r="E546" s="111"/>
      <c r="F546" s="111"/>
      <c r="G546" s="111"/>
      <c r="H546" s="3" t="s">
        <v>2166</v>
      </c>
      <c r="I546" s="3" t="s">
        <v>2167</v>
      </c>
      <c r="J546" s="112" t="str">
        <f ca="1">IFERROR(__xludf.DUMMYFUNCTION("JOIN("": "",H546,I546)"),"3E-50-12-00-00-00-00: Elementos de sistemas de água gelada em sistemas de refrigeração")</f>
        <v>3E-50-12-00-00-00-00: Elementos de sistemas de água gelada em sistemas de refrigeração</v>
      </c>
      <c r="K546" s="4">
        <v>3</v>
      </c>
      <c r="L546" s="7"/>
      <c r="M546" s="7"/>
      <c r="N546" s="7"/>
      <c r="O546" s="7"/>
      <c r="P546" s="177"/>
      <c r="Q546" s="177"/>
      <c r="R546" s="177"/>
      <c r="S546" s="177"/>
    </row>
    <row r="547" spans="1:19">
      <c r="A547" s="35" t="s">
        <v>2169</v>
      </c>
      <c r="B547" s="35"/>
      <c r="C547" s="35"/>
      <c r="D547" s="35"/>
      <c r="E547" s="35"/>
      <c r="F547" s="35"/>
      <c r="G547" s="35"/>
      <c r="H547" s="7" t="s">
        <v>2170</v>
      </c>
      <c r="I547" s="7" t="s">
        <v>2171</v>
      </c>
      <c r="J547" s="112" t="str">
        <f ca="1">IFERROR(__xludf.DUMMYFUNCTION("JOIN("": "",H547,I547)"),"3E-50-12-02-00-00-00: Resfriador a água")</f>
        <v>3E-50-12-02-00-00-00: Resfriador a água</v>
      </c>
      <c r="K547" s="4">
        <v>4</v>
      </c>
      <c r="L547" s="7"/>
      <c r="M547" s="7"/>
      <c r="N547" s="7"/>
      <c r="O547" s="7"/>
      <c r="P547" s="177"/>
      <c r="Q547" s="177"/>
      <c r="R547" s="177"/>
      <c r="S547" s="177"/>
    </row>
    <row r="548" spans="1:19">
      <c r="A548" s="35" t="s">
        <v>2173</v>
      </c>
      <c r="B548" s="35"/>
      <c r="C548" s="35"/>
      <c r="D548" s="35"/>
      <c r="E548" s="35"/>
      <c r="F548" s="35"/>
      <c r="G548" s="35"/>
      <c r="H548" s="7" t="s">
        <v>2174</v>
      </c>
      <c r="I548" s="7" t="s">
        <v>2175</v>
      </c>
      <c r="J548" s="112" t="str">
        <f ca="1">IFERROR(__xludf.DUMMYFUNCTION("JOIN("": "",H548,I548)"),"3E-50-12-04-00-00-00: Resfriador a ar")</f>
        <v>3E-50-12-04-00-00-00: Resfriador a ar</v>
      </c>
      <c r="K548" s="4">
        <v>4</v>
      </c>
      <c r="L548" s="7"/>
      <c r="M548" s="7"/>
      <c r="N548" s="7"/>
      <c r="O548" s="7"/>
      <c r="P548" s="177"/>
      <c r="Q548" s="177"/>
      <c r="R548" s="177"/>
      <c r="S548" s="177"/>
    </row>
    <row r="549" spans="1:19">
      <c r="A549" s="35" t="s">
        <v>2177</v>
      </c>
      <c r="B549" s="35"/>
      <c r="C549" s="35"/>
      <c r="D549" s="35"/>
      <c r="E549" s="35"/>
      <c r="F549" s="35"/>
      <c r="G549" s="35"/>
      <c r="H549" s="7" t="s">
        <v>2178</v>
      </c>
      <c r="I549" s="7" t="s">
        <v>2179</v>
      </c>
      <c r="J549" s="112" t="str">
        <f ca="1">IFERROR(__xludf.DUMMYFUNCTION("JOIN("": "",H549,I549)"),"3E-50-12-06-00-00-00: Fan coil")</f>
        <v>3E-50-12-06-00-00-00: Fan coil</v>
      </c>
      <c r="K549" s="4">
        <v>4</v>
      </c>
      <c r="L549" s="7"/>
      <c r="M549" s="7"/>
      <c r="N549" s="7"/>
      <c r="O549" s="7"/>
      <c r="P549" s="177"/>
      <c r="Q549" s="177"/>
      <c r="R549" s="177"/>
      <c r="S549" s="177"/>
    </row>
    <row r="550" spans="1:19">
      <c r="A550" s="35" t="s">
        <v>2181</v>
      </c>
      <c r="B550" s="35"/>
      <c r="C550" s="35"/>
      <c r="D550" s="35"/>
      <c r="E550" s="35"/>
      <c r="F550" s="35"/>
      <c r="G550" s="35"/>
      <c r="H550" s="7" t="s">
        <v>2182</v>
      </c>
      <c r="I550" s="7" t="s">
        <v>2183</v>
      </c>
      <c r="J550" s="112" t="str">
        <f ca="1">IFERROR(__xludf.DUMMYFUNCTION("JOIN("": "",H550,I550)"),"3E-50-12-08-00-00-00: Torre de resfriamento")</f>
        <v>3E-50-12-08-00-00-00: Torre de resfriamento</v>
      </c>
      <c r="K550" s="4">
        <v>4</v>
      </c>
      <c r="L550" s="7"/>
      <c r="M550" s="7"/>
      <c r="N550" s="7"/>
      <c r="O550" s="7"/>
      <c r="P550" s="177"/>
      <c r="Q550" s="177"/>
      <c r="R550" s="177"/>
      <c r="S550" s="177"/>
    </row>
    <row r="551" spans="1:19">
      <c r="A551" s="35" t="s">
        <v>2185</v>
      </c>
      <c r="B551" s="35"/>
      <c r="C551" s="35"/>
      <c r="D551" s="35"/>
      <c r="E551" s="35"/>
      <c r="F551" s="35"/>
      <c r="G551" s="35"/>
      <c r="H551" s="7" t="s">
        <v>2186</v>
      </c>
      <c r="I551" s="7" t="s">
        <v>2187</v>
      </c>
      <c r="J551" s="112" t="str">
        <f ca="1">IFERROR(__xludf.DUMMYFUNCTION("JOIN("": "",H551,I551)"),"3E-50-12-10-02-00-00: Torre atmosférica")</f>
        <v>3E-50-12-10-02-00-00: Torre atmosférica</v>
      </c>
      <c r="K551" s="4">
        <v>5</v>
      </c>
      <c r="L551" s="7"/>
      <c r="M551" s="7"/>
      <c r="N551" s="7"/>
      <c r="O551" s="7"/>
      <c r="P551" s="177"/>
      <c r="Q551" s="177"/>
      <c r="R551" s="177"/>
      <c r="S551" s="177"/>
    </row>
    <row r="552" spans="1:19">
      <c r="A552" s="35" t="s">
        <v>2189</v>
      </c>
      <c r="B552" s="35"/>
      <c r="C552" s="35"/>
      <c r="D552" s="35"/>
      <c r="E552" s="35"/>
      <c r="F552" s="35"/>
      <c r="G552" s="35"/>
      <c r="H552" s="7" t="s">
        <v>2190</v>
      </c>
      <c r="I552" s="7" t="s">
        <v>2191</v>
      </c>
      <c r="J552" s="112" t="str">
        <f ca="1">IFERROR(__xludf.DUMMYFUNCTION("JOIN("": "",H552,I552)"),"3E-50-12-10-04-00-00: Torre de corrente de ar forçado")</f>
        <v>3E-50-12-10-04-00-00: Torre de corrente de ar forçado</v>
      </c>
      <c r="K552" s="4">
        <v>5</v>
      </c>
      <c r="L552" s="7"/>
      <c r="M552" s="7"/>
      <c r="N552" s="7"/>
      <c r="O552" s="7"/>
      <c r="P552" s="177"/>
      <c r="Q552" s="177"/>
      <c r="R552" s="177"/>
      <c r="S552" s="177"/>
    </row>
    <row r="553" spans="1:19">
      <c r="A553" s="35" t="s">
        <v>2193</v>
      </c>
      <c r="B553" s="35"/>
      <c r="C553" s="35"/>
      <c r="D553" s="35"/>
      <c r="E553" s="35"/>
      <c r="F553" s="35"/>
      <c r="G553" s="35"/>
      <c r="H553" s="7" t="s">
        <v>2194</v>
      </c>
      <c r="I553" s="7" t="s">
        <v>2195</v>
      </c>
      <c r="J553" s="112" t="str">
        <f ca="1">IFERROR(__xludf.DUMMYFUNCTION("JOIN("": "",H553,I553)"),"3E-50-12-10-06-00-00: Torre de corrente de ar induzido")</f>
        <v>3E-50-12-10-06-00-00: Torre de corrente de ar induzido</v>
      </c>
      <c r="K553" s="4">
        <v>5</v>
      </c>
      <c r="L553" s="7"/>
      <c r="M553" s="7"/>
      <c r="N553" s="7"/>
      <c r="O553" s="7"/>
      <c r="P553" s="177"/>
      <c r="Q553" s="177"/>
      <c r="R553" s="177"/>
      <c r="S553" s="177"/>
    </row>
    <row r="554" spans="1:19">
      <c r="A554" s="35" t="s">
        <v>2197</v>
      </c>
      <c r="B554" s="35"/>
      <c r="C554" s="35"/>
      <c r="D554" s="35"/>
      <c r="E554" s="35"/>
      <c r="F554" s="35"/>
      <c r="G554" s="35"/>
      <c r="H554" s="7" t="s">
        <v>2198</v>
      </c>
      <c r="I554" s="7" t="s">
        <v>2199</v>
      </c>
      <c r="J554" s="112" t="str">
        <f ca="1">IFERROR(__xludf.DUMMYFUNCTION("JOIN("": "",H554,I554)"),"3E-50-12-12-00-00-00: Bomba de água gelada")</f>
        <v>3E-50-12-12-00-00-00: Bomba de água gelada</v>
      </c>
      <c r="K554" s="4">
        <v>4</v>
      </c>
      <c r="L554" s="7"/>
      <c r="M554" s="7"/>
      <c r="N554" s="7"/>
      <c r="O554" s="7"/>
      <c r="P554" s="177"/>
      <c r="Q554" s="177"/>
      <c r="R554" s="177"/>
      <c r="S554" s="177"/>
    </row>
    <row r="555" spans="1:19">
      <c r="A555" s="35" t="s">
        <v>2201</v>
      </c>
      <c r="B555" s="35"/>
      <c r="C555" s="35"/>
      <c r="D555" s="35"/>
      <c r="E555" s="35"/>
      <c r="F555" s="35"/>
      <c r="G555" s="35"/>
      <c r="H555" s="7" t="s">
        <v>2202</v>
      </c>
      <c r="I555" s="7" t="s">
        <v>2203</v>
      </c>
      <c r="J555" s="112" t="str">
        <f ca="1">IFERROR(__xludf.DUMMYFUNCTION("JOIN("": "",H555,I555)"),"3E-50-12-14-00-00-00: Tanque de expansão")</f>
        <v>3E-50-12-14-00-00-00: Tanque de expansão</v>
      </c>
      <c r="K555" s="4">
        <v>4</v>
      </c>
      <c r="L555" s="7"/>
      <c r="M555" s="7"/>
      <c r="N555" s="7"/>
      <c r="O555" s="7"/>
      <c r="P555" s="177"/>
      <c r="Q555" s="177"/>
      <c r="R555" s="177"/>
      <c r="S555" s="177"/>
    </row>
    <row r="556" spans="1:19">
      <c r="A556" s="35" t="s">
        <v>2205</v>
      </c>
      <c r="B556" s="35"/>
      <c r="C556" s="35"/>
      <c r="D556" s="35"/>
      <c r="E556" s="35"/>
      <c r="F556" s="35"/>
      <c r="G556" s="35"/>
      <c r="H556" s="7" t="s">
        <v>2206</v>
      </c>
      <c r="I556" s="7" t="s">
        <v>2207</v>
      </c>
      <c r="J556" s="112" t="str">
        <f ca="1">IFERROR(__xludf.DUMMYFUNCTION("JOIN("": "",H556,I556)"),"3E-50-12-16-00-00-00: Termoacumulação de gelo")</f>
        <v>3E-50-12-16-00-00-00: Termoacumulação de gelo</v>
      </c>
      <c r="K556" s="4">
        <v>4</v>
      </c>
      <c r="L556" s="7"/>
      <c r="M556" s="7"/>
      <c r="N556" s="7"/>
      <c r="O556" s="7"/>
      <c r="P556" s="177"/>
      <c r="Q556" s="177"/>
      <c r="R556" s="177"/>
      <c r="S556" s="177"/>
    </row>
    <row r="557" spans="1:19">
      <c r="A557" s="111" t="s">
        <v>2209</v>
      </c>
      <c r="B557" s="111"/>
      <c r="C557" s="111"/>
      <c r="D557" s="111"/>
      <c r="E557" s="111"/>
      <c r="F557" s="111"/>
      <c r="G557" s="111"/>
      <c r="H557" s="3" t="s">
        <v>2210</v>
      </c>
      <c r="I557" s="3" t="s">
        <v>2211</v>
      </c>
      <c r="J557" s="112" t="str">
        <f ca="1">IFERROR(__xludf.DUMMYFUNCTION("JOIN("": "",H557,I557)"),"3E-50-14-00-00-00-00: Elementos de expansão direta - condensação a água")</f>
        <v>3E-50-14-00-00-00-00: Elementos de expansão direta - condensação a água</v>
      </c>
      <c r="K557" s="4">
        <v>3</v>
      </c>
      <c r="L557" s="7"/>
      <c r="M557" s="7"/>
      <c r="N557" s="7"/>
      <c r="O557" s="7"/>
      <c r="P557" s="177"/>
      <c r="Q557" s="177"/>
      <c r="R557" s="177"/>
      <c r="S557" s="177"/>
    </row>
    <row r="558" spans="1:19">
      <c r="A558" s="35" t="s">
        <v>2213</v>
      </c>
      <c r="B558" s="35"/>
      <c r="C558" s="35"/>
      <c r="D558" s="35"/>
      <c r="E558" s="35"/>
      <c r="F558" s="35"/>
      <c r="G558" s="35"/>
      <c r="H558" s="7" t="s">
        <v>2214</v>
      </c>
      <c r="I558" s="7" t="s">
        <v>2215</v>
      </c>
      <c r="J558" s="112" t="str">
        <f ca="1">IFERROR(__xludf.DUMMYFUNCTION("JOIN("": "",H558,I558)"),"3E-50-14-02-00-00-00: Bomba de água de condensação")</f>
        <v>3E-50-14-02-00-00-00: Bomba de água de condensação</v>
      </c>
      <c r="K558" s="4">
        <v>4</v>
      </c>
      <c r="L558" s="7"/>
      <c r="M558" s="7"/>
      <c r="N558" s="7"/>
      <c r="O558" s="7"/>
      <c r="P558" s="177"/>
      <c r="Q558" s="177"/>
      <c r="R558" s="177"/>
      <c r="S558" s="177"/>
    </row>
    <row r="559" spans="1:19">
      <c r="A559" s="35" t="s">
        <v>2217</v>
      </c>
      <c r="B559" s="35"/>
      <c r="C559" s="35"/>
      <c r="D559" s="35"/>
      <c r="E559" s="35"/>
      <c r="F559" s="35"/>
      <c r="G559" s="35"/>
      <c r="H559" s="7" t="s">
        <v>2218</v>
      </c>
      <c r="I559" s="7" t="s">
        <v>2219</v>
      </c>
      <c r="J559" s="112" t="str">
        <f ca="1">IFERROR(__xludf.DUMMYFUNCTION("JOIN("": "",H559,I559)"),"3E-50-14-04-00-00-00: Caixa d'água de condensação a água")</f>
        <v>3E-50-14-04-00-00-00: Caixa d'água de condensação a água</v>
      </c>
      <c r="K559" s="4">
        <v>4</v>
      </c>
      <c r="L559" s="7"/>
      <c r="M559" s="7"/>
      <c r="N559" s="7"/>
      <c r="O559" s="7"/>
      <c r="P559" s="177"/>
      <c r="Q559" s="177"/>
      <c r="R559" s="177"/>
      <c r="S559" s="177"/>
    </row>
    <row r="560" spans="1:19">
      <c r="A560" s="111" t="s">
        <v>2221</v>
      </c>
      <c r="B560" s="111"/>
      <c r="C560" s="111"/>
      <c r="D560" s="111"/>
      <c r="E560" s="111"/>
      <c r="F560" s="111"/>
      <c r="G560" s="111"/>
      <c r="H560" s="3" t="s">
        <v>2222</v>
      </c>
      <c r="I560" s="3" t="s">
        <v>2223</v>
      </c>
      <c r="J560" s="112" t="str">
        <f ca="1">IFERROR(__xludf.DUMMYFUNCTION("JOIN("": "",H560,I560)"),"3E-50-16-00-00-00-00: Elementos de expansão direta - unidades compactas")</f>
        <v>3E-50-16-00-00-00-00: Elementos de expansão direta - unidades compactas</v>
      </c>
      <c r="K560" s="4">
        <v>3</v>
      </c>
      <c r="L560" s="7"/>
      <c r="M560" s="7"/>
      <c r="N560" s="7"/>
      <c r="O560" s="7"/>
      <c r="P560" s="177"/>
      <c r="Q560" s="177"/>
      <c r="R560" s="177"/>
      <c r="S560" s="177"/>
    </row>
    <row r="561" spans="1:19">
      <c r="A561" s="35" t="s">
        <v>2225</v>
      </c>
      <c r="B561" s="35"/>
      <c r="C561" s="35"/>
      <c r="D561" s="35"/>
      <c r="E561" s="35"/>
      <c r="F561" s="35"/>
      <c r="G561" s="35"/>
      <c r="H561" s="7" t="s">
        <v>2226</v>
      </c>
      <c r="I561" s="7" t="s">
        <v>2227</v>
      </c>
      <c r="J561" s="112" t="str">
        <f ca="1">IFERROR(__xludf.DUMMYFUNCTION("JOIN("": "",H561,I561)"),"3E-50-16-02-00-00-00: Unidade compacta de condensação a água")</f>
        <v>3E-50-16-02-00-00-00: Unidade compacta de condensação a água</v>
      </c>
      <c r="K561" s="4">
        <v>4</v>
      </c>
      <c r="L561" s="7"/>
      <c r="M561" s="7"/>
      <c r="N561" s="7"/>
      <c r="O561" s="7"/>
      <c r="P561" s="177"/>
      <c r="Q561" s="177"/>
      <c r="R561" s="177"/>
      <c r="S561" s="177"/>
    </row>
    <row r="562" spans="1:19">
      <c r="A562" s="35" t="s">
        <v>2229</v>
      </c>
      <c r="B562" s="35"/>
      <c r="C562" s="35"/>
      <c r="D562" s="35"/>
      <c r="E562" s="35"/>
      <c r="F562" s="35"/>
      <c r="G562" s="35"/>
      <c r="H562" s="7" t="s">
        <v>2230</v>
      </c>
      <c r="I562" s="7" t="s">
        <v>2231</v>
      </c>
      <c r="J562" s="112" t="str">
        <f ca="1">IFERROR(__xludf.DUMMYFUNCTION("JOIN("": "",H562,I562)"),"3E-50-16-04-00-00-00: Torre de resfriamento para unidades compactas")</f>
        <v>3E-50-16-04-00-00-00: Torre de resfriamento para unidades compactas</v>
      </c>
      <c r="K562" s="4">
        <v>4</v>
      </c>
      <c r="L562" s="7"/>
      <c r="M562" s="7"/>
      <c r="N562" s="7"/>
      <c r="O562" s="7"/>
      <c r="P562" s="177"/>
      <c r="Q562" s="177"/>
      <c r="R562" s="177"/>
      <c r="S562" s="177"/>
    </row>
    <row r="563" spans="1:19">
      <c r="A563" s="35" t="s">
        <v>2233</v>
      </c>
      <c r="B563" s="35"/>
      <c r="C563" s="35"/>
      <c r="D563" s="35"/>
      <c r="E563" s="35"/>
      <c r="F563" s="35"/>
      <c r="G563" s="35"/>
      <c r="H563" s="7" t="s">
        <v>2234</v>
      </c>
      <c r="I563" s="7" t="s">
        <v>2235</v>
      </c>
      <c r="J563" s="112" t="str">
        <f ca="1">IFERROR(__xludf.DUMMYFUNCTION("JOIN("": "",H563,I563)"),"3E-50-16-06-00-00-00: Bomba para unidades compactas")</f>
        <v>3E-50-16-06-00-00-00: Bomba para unidades compactas</v>
      </c>
      <c r="K563" s="4">
        <v>4</v>
      </c>
      <c r="L563" s="7"/>
      <c r="M563" s="7"/>
      <c r="N563" s="7"/>
      <c r="O563" s="7"/>
      <c r="P563" s="177"/>
      <c r="Q563" s="177"/>
      <c r="R563" s="177"/>
      <c r="S563" s="177"/>
    </row>
    <row r="564" spans="1:19">
      <c r="A564" s="35" t="s">
        <v>2237</v>
      </c>
      <c r="B564" s="35"/>
      <c r="C564" s="35"/>
      <c r="D564" s="35"/>
      <c r="E564" s="35"/>
      <c r="F564" s="35"/>
      <c r="G564" s="35"/>
      <c r="H564" s="7" t="s">
        <v>2238</v>
      </c>
      <c r="I564" s="7" t="s">
        <v>2239</v>
      </c>
      <c r="J564" s="112" t="str">
        <f ca="1">IFERROR(__xludf.DUMMYFUNCTION("JOIN("": "",H564,I564)"),"3E-50-16-08-00-00-00: Ramal de recalque para unidades compactas")</f>
        <v>3E-50-16-08-00-00-00: Ramal de recalque para unidades compactas</v>
      </c>
      <c r="K564" s="4">
        <v>4</v>
      </c>
      <c r="L564" s="7"/>
      <c r="M564" s="7"/>
      <c r="N564" s="7"/>
      <c r="O564" s="7"/>
      <c r="P564" s="177"/>
      <c r="Q564" s="177"/>
      <c r="R564" s="177"/>
      <c r="S564" s="177"/>
    </row>
    <row r="565" spans="1:19">
      <c r="A565" s="35" t="s">
        <v>2241</v>
      </c>
      <c r="B565" s="35"/>
      <c r="C565" s="35"/>
      <c r="D565" s="35"/>
      <c r="E565" s="35"/>
      <c r="F565" s="35"/>
      <c r="G565" s="35"/>
      <c r="H565" s="7" t="s">
        <v>2242</v>
      </c>
      <c r="I565" s="7" t="s">
        <v>2243</v>
      </c>
      <c r="J565" s="112" t="str">
        <f ca="1">IFERROR(__xludf.DUMMYFUNCTION("JOIN("": "",H565,I565)"),"3E-50-16-10-00-00-00: Ramal de retomo para unidades compactas")</f>
        <v>3E-50-16-10-00-00-00: Ramal de retomo para unidades compactas</v>
      </c>
      <c r="K565" s="4">
        <v>4</v>
      </c>
      <c r="L565" s="7"/>
      <c r="M565" s="7"/>
      <c r="N565" s="7"/>
      <c r="O565" s="7"/>
      <c r="P565" s="177"/>
      <c r="Q565" s="177"/>
      <c r="R565" s="177"/>
      <c r="S565" s="177"/>
    </row>
    <row r="566" spans="1:19">
      <c r="A566" s="35" t="s">
        <v>2245</v>
      </c>
      <c r="B566" s="35"/>
      <c r="C566" s="35"/>
      <c r="D566" s="35"/>
      <c r="E566" s="35"/>
      <c r="F566" s="35"/>
      <c r="G566" s="35"/>
      <c r="H566" s="7" t="s">
        <v>2246</v>
      </c>
      <c r="I566" s="7" t="s">
        <v>2247</v>
      </c>
      <c r="J566" s="112" t="str">
        <f ca="1">IFERROR(__xludf.DUMMYFUNCTION("JOIN("": "",H566,I566)"),"3E-50-16-12-00-00-00: Registro de gaveta para unidades compactas")</f>
        <v>3E-50-16-12-00-00-00: Registro de gaveta para unidades compactas</v>
      </c>
      <c r="K566" s="4">
        <v>4</v>
      </c>
      <c r="L566" s="7"/>
      <c r="M566" s="7"/>
      <c r="N566" s="7"/>
      <c r="O566" s="7"/>
      <c r="P566" s="177"/>
      <c r="Q566" s="177"/>
      <c r="R566" s="177"/>
      <c r="S566" s="177"/>
    </row>
    <row r="567" spans="1:19">
      <c r="A567" s="35" t="s">
        <v>2249</v>
      </c>
      <c r="B567" s="35"/>
      <c r="C567" s="35"/>
      <c r="D567" s="35"/>
      <c r="E567" s="35"/>
      <c r="F567" s="35"/>
      <c r="G567" s="35"/>
      <c r="H567" s="7" t="s">
        <v>2250</v>
      </c>
      <c r="I567" s="7" t="s">
        <v>2251</v>
      </c>
      <c r="J567" s="112" t="str">
        <f ca="1">IFERROR(__xludf.DUMMYFUNCTION("JOIN("": "",H567,I567)"),"3E-50-16-14-00-00-00: Registro de globo para unidades compactas")</f>
        <v>3E-50-16-14-00-00-00: Registro de globo para unidades compactas</v>
      </c>
      <c r="K567" s="4">
        <v>4</v>
      </c>
      <c r="L567" s="7"/>
      <c r="M567" s="7"/>
      <c r="N567" s="7"/>
      <c r="O567" s="7"/>
      <c r="P567" s="177"/>
      <c r="Q567" s="177"/>
      <c r="R567" s="177"/>
      <c r="S567" s="177"/>
    </row>
    <row r="568" spans="1:19">
      <c r="A568" s="35" t="s">
        <v>2253</v>
      </c>
      <c r="B568" s="35"/>
      <c r="C568" s="35"/>
      <c r="D568" s="35"/>
      <c r="E568" s="35"/>
      <c r="F568" s="35"/>
      <c r="G568" s="35"/>
      <c r="H568" s="7" t="s">
        <v>2254</v>
      </c>
      <c r="I568" s="7" t="s">
        <v>2255</v>
      </c>
      <c r="J568" s="112" t="str">
        <f ca="1">IFERROR(__xludf.DUMMYFUNCTION("JOIN("": "",H568,I568)"),"3E-50-16-16-00-00-00: Válvula de retenção para unidades compactas")</f>
        <v>3E-50-16-16-00-00-00: Válvula de retenção para unidades compactas</v>
      </c>
      <c r="K568" s="4">
        <v>4</v>
      </c>
      <c r="L568" s="7"/>
      <c r="M568" s="7"/>
      <c r="N568" s="7"/>
      <c r="O568" s="7"/>
      <c r="P568" s="177"/>
      <c r="Q568" s="177"/>
      <c r="R568" s="177"/>
      <c r="S568" s="177"/>
    </row>
    <row r="569" spans="1:19">
      <c r="A569" s="111" t="s">
        <v>2257</v>
      </c>
      <c r="B569" s="111"/>
      <c r="C569" s="111"/>
      <c r="D569" s="111"/>
      <c r="E569" s="111"/>
      <c r="F569" s="111"/>
      <c r="G569" s="111"/>
      <c r="H569" s="3" t="s">
        <v>2258</v>
      </c>
      <c r="I569" s="3" t="s">
        <v>2259</v>
      </c>
      <c r="J569" s="112" t="str">
        <f ca="1">IFERROR(__xludf.DUMMYFUNCTION("JOIN("": "",H569,I569)"),"3E-50-18-00-00-00-00: Elementos para sistemas de expansão indireta de água gelada")</f>
        <v>3E-50-18-00-00-00-00: Elementos para sistemas de expansão indireta de água gelada</v>
      </c>
      <c r="K569" s="4">
        <v>3</v>
      </c>
      <c r="L569" s="7"/>
      <c r="M569" s="7"/>
      <c r="N569" s="7"/>
      <c r="O569" s="7"/>
      <c r="P569" s="177"/>
      <c r="Q569" s="177"/>
      <c r="R569" s="177"/>
      <c r="S569" s="177"/>
    </row>
    <row r="570" spans="1:19">
      <c r="A570" s="35" t="s">
        <v>2261</v>
      </c>
      <c r="B570" s="35"/>
      <c r="C570" s="35"/>
      <c r="D570" s="35"/>
      <c r="E570" s="35"/>
      <c r="F570" s="35"/>
      <c r="G570" s="35"/>
      <c r="H570" s="7" t="s">
        <v>2262</v>
      </c>
      <c r="I570" s="7" t="s">
        <v>2263</v>
      </c>
      <c r="J570" s="112" t="str">
        <f ca="1">IFERROR(__xludf.DUMMYFUNCTION("JOIN("": "",H570,I570)"),"3E-50-18-02-00-00-00: Entrada de água para sistemas de expansão indireta de água gelada")</f>
        <v>3E-50-18-02-00-00-00: Entrada de água para sistemas de expansão indireta de água gelada</v>
      </c>
      <c r="K570" s="4">
        <v>4</v>
      </c>
      <c r="L570" s="7"/>
      <c r="M570" s="7"/>
      <c r="N570" s="7"/>
      <c r="O570" s="7"/>
      <c r="P570" s="177"/>
      <c r="Q570" s="177"/>
      <c r="R570" s="177"/>
      <c r="S570" s="177"/>
    </row>
    <row r="571" spans="1:19">
      <c r="A571" s="35" t="s">
        <v>2265</v>
      </c>
      <c r="B571" s="35"/>
      <c r="C571" s="35"/>
      <c r="D571" s="35"/>
      <c r="E571" s="35"/>
      <c r="F571" s="35"/>
      <c r="G571" s="35"/>
      <c r="H571" s="7" t="s">
        <v>2266</v>
      </c>
      <c r="I571" s="7" t="s">
        <v>2267</v>
      </c>
      <c r="J571" s="112" t="str">
        <f ca="1">IFERROR(__xludf.DUMMYFUNCTION("JOIN("": "",H571,I571)"),"3E-50-18-04-00-00-00: Ladrão para sistemas de expansão indireta de água gelada")</f>
        <v>3E-50-18-04-00-00-00: Ladrão para sistemas de expansão indireta de água gelada</v>
      </c>
      <c r="K571" s="4">
        <v>4</v>
      </c>
      <c r="L571" s="7"/>
      <c r="M571" s="7"/>
      <c r="N571" s="7"/>
      <c r="O571" s="7"/>
      <c r="P571" s="177"/>
      <c r="Q571" s="177"/>
      <c r="R571" s="177"/>
      <c r="S571" s="177"/>
    </row>
    <row r="572" spans="1:19">
      <c r="A572" s="35" t="s">
        <v>2269</v>
      </c>
      <c r="B572" s="35"/>
      <c r="C572" s="35"/>
      <c r="D572" s="35"/>
      <c r="E572" s="35"/>
      <c r="F572" s="35"/>
      <c r="G572" s="35"/>
      <c r="H572" s="7" t="s">
        <v>2270</v>
      </c>
      <c r="I572" s="7" t="s">
        <v>2271</v>
      </c>
      <c r="J572" s="112" t="str">
        <f ca="1">IFERROR(__xludf.DUMMYFUNCTION("JOIN("": "",H572,I572)"),"3E-50-18-06-00-00-00: Caixa de expansão para sistemas de expansão indireta de água gelada")</f>
        <v>3E-50-18-06-00-00-00: Caixa de expansão para sistemas de expansão indireta de água gelada</v>
      </c>
      <c r="K572" s="4">
        <v>4</v>
      </c>
      <c r="L572" s="7"/>
      <c r="M572" s="7"/>
      <c r="N572" s="7"/>
      <c r="O572" s="7"/>
      <c r="P572" s="177"/>
      <c r="Q572" s="177"/>
      <c r="R572" s="177"/>
      <c r="S572" s="177"/>
    </row>
    <row r="573" spans="1:19">
      <c r="A573" s="35" t="s">
        <v>2273</v>
      </c>
      <c r="B573" s="35"/>
      <c r="C573" s="35"/>
      <c r="D573" s="35"/>
      <c r="E573" s="35"/>
      <c r="F573" s="35"/>
      <c r="G573" s="35"/>
      <c r="H573" s="7" t="s">
        <v>2274</v>
      </c>
      <c r="I573" s="7" t="s">
        <v>2275</v>
      </c>
      <c r="J573" s="112" t="str">
        <f ca="1">IFERROR(__xludf.DUMMYFUNCTION("JOIN("": "",H573,I573)"),"3E-50-18-08-00-00-00: Bomba para sistemas de expansão indireta de água gelada")</f>
        <v>3E-50-18-08-00-00-00: Bomba para sistemas de expansão indireta de água gelada</v>
      </c>
      <c r="K573" s="4">
        <v>4</v>
      </c>
      <c r="L573" s="7"/>
      <c r="M573" s="7"/>
      <c r="N573" s="7"/>
      <c r="O573" s="7"/>
      <c r="P573" s="177"/>
      <c r="Q573" s="177"/>
      <c r="R573" s="177"/>
      <c r="S573" s="177"/>
    </row>
    <row r="574" spans="1:19">
      <c r="A574" s="35" t="s">
        <v>2277</v>
      </c>
      <c r="B574" s="35"/>
      <c r="C574" s="35"/>
      <c r="D574" s="35"/>
      <c r="E574" s="35"/>
      <c r="F574" s="35"/>
      <c r="G574" s="35"/>
      <c r="H574" s="7" t="s">
        <v>2278</v>
      </c>
      <c r="I574" s="7" t="s">
        <v>2279</v>
      </c>
      <c r="J574" s="112" t="str">
        <f ca="1">IFERROR(__xludf.DUMMYFUNCTION("JOIN("": "",H574,I574)"),"3E-50-18-10-00-00-00: Bomba de circulação para sistemas de expansão indireta de água gelada")</f>
        <v>3E-50-18-10-00-00-00: Bomba de circulação para sistemas de expansão indireta de água gelada</v>
      </c>
      <c r="K574" s="4">
        <v>4</v>
      </c>
      <c r="L574" s="7"/>
      <c r="M574" s="7"/>
      <c r="N574" s="7"/>
      <c r="O574" s="7"/>
      <c r="P574" s="177"/>
      <c r="Q574" s="177"/>
      <c r="R574" s="177"/>
      <c r="S574" s="177"/>
    </row>
    <row r="575" spans="1:19">
      <c r="A575" s="35" t="s">
        <v>4784</v>
      </c>
      <c r="B575" s="35"/>
      <c r="C575" s="35"/>
      <c r="D575" s="35"/>
      <c r="E575" s="35"/>
      <c r="F575" s="35"/>
      <c r="G575" s="35"/>
      <c r="H575" s="7" t="s">
        <v>4785</v>
      </c>
      <c r="I575" s="7" t="s">
        <v>2282</v>
      </c>
      <c r="J575" s="112" t="str">
        <f ca="1">IFERROR(__xludf.DUMMYFUNCTION("JOIN("": "",H575,I575)"),"3E-50-18-12-00-00-00: Bomba de condensação para sistemas de expansão indireta de água gelada")</f>
        <v>3E-50-18-12-00-00-00: Bomba de condensação para sistemas de expansão indireta de água gelada</v>
      </c>
      <c r="K575" s="4">
        <v>4</v>
      </c>
      <c r="L575" s="7"/>
      <c r="M575" s="7"/>
      <c r="N575" s="7"/>
      <c r="O575" s="7"/>
      <c r="P575" s="177"/>
      <c r="Q575" s="177"/>
      <c r="R575" s="177"/>
      <c r="S575" s="177"/>
    </row>
    <row r="576" spans="1:19">
      <c r="A576" s="35" t="s">
        <v>2284</v>
      </c>
      <c r="B576" s="35"/>
      <c r="C576" s="35"/>
      <c r="D576" s="35"/>
      <c r="E576" s="35"/>
      <c r="F576" s="35"/>
      <c r="G576" s="35"/>
      <c r="H576" s="7" t="s">
        <v>2285</v>
      </c>
      <c r="I576" s="7" t="s">
        <v>2286</v>
      </c>
      <c r="J576" s="112" t="str">
        <f ca="1">IFERROR(__xludf.DUMMYFUNCTION("JOIN("": "",H576,I576)"),"3E-50-18-14-00-00-00: Resfriador para sistemas de expansão indireta de água gelada")</f>
        <v>3E-50-18-14-00-00-00: Resfriador para sistemas de expansão indireta de água gelada</v>
      </c>
      <c r="K576" s="4">
        <v>4</v>
      </c>
      <c r="L576" s="7"/>
      <c r="M576" s="7"/>
      <c r="N576" s="7"/>
      <c r="O576" s="7"/>
      <c r="P576" s="177"/>
      <c r="Q576" s="177"/>
      <c r="R576" s="177"/>
      <c r="S576" s="177"/>
    </row>
    <row r="577" spans="1:19">
      <c r="A577" s="35" t="s">
        <v>2288</v>
      </c>
      <c r="B577" s="35"/>
      <c r="C577" s="35"/>
      <c r="D577" s="35"/>
      <c r="E577" s="35"/>
      <c r="F577" s="35"/>
      <c r="G577" s="35"/>
      <c r="H577" s="7" t="s">
        <v>2289</v>
      </c>
      <c r="I577" s="7" t="s">
        <v>2290</v>
      </c>
      <c r="J577" s="112" t="str">
        <f ca="1">IFERROR(__xludf.DUMMYFUNCTION("JOIN("": "",H577,I577)"),"3E-50-18-16-00-00-00: Depósito para sistemas de expansão indireta de água gelada")</f>
        <v>3E-50-18-16-00-00-00: Depósito para sistemas de expansão indireta de água gelada</v>
      </c>
      <c r="K577" s="4">
        <v>4</v>
      </c>
      <c r="L577" s="7"/>
      <c r="M577" s="7"/>
      <c r="N577" s="7"/>
      <c r="O577" s="7"/>
      <c r="P577" s="177"/>
      <c r="Q577" s="177"/>
      <c r="R577" s="177"/>
      <c r="S577" s="177"/>
    </row>
    <row r="578" spans="1:19">
      <c r="A578" s="35" t="s">
        <v>2292</v>
      </c>
      <c r="B578" s="35"/>
      <c r="C578" s="35"/>
      <c r="D578" s="35"/>
      <c r="E578" s="35"/>
      <c r="F578" s="35"/>
      <c r="G578" s="35"/>
      <c r="H578" s="7" t="s">
        <v>2293</v>
      </c>
      <c r="I578" s="7" t="s">
        <v>2294</v>
      </c>
      <c r="J578" s="112" t="str">
        <f ca="1">IFERROR(__xludf.DUMMYFUNCTION("JOIN("": "",H578,I578)"),"3E-50-18-18-00-00-00: Alimentador principal para sistemas de expansão indireta de água gelada")</f>
        <v>3E-50-18-18-00-00-00: Alimentador principal para sistemas de expansão indireta de água gelada</v>
      </c>
      <c r="K578" s="4">
        <v>4</v>
      </c>
      <c r="L578" s="7"/>
      <c r="M578" s="7"/>
      <c r="N578" s="7"/>
      <c r="O578" s="7"/>
      <c r="P578" s="177"/>
      <c r="Q578" s="177"/>
      <c r="R578" s="177"/>
      <c r="S578" s="177"/>
    </row>
    <row r="579" spans="1:19">
      <c r="A579" s="35" t="s">
        <v>2296</v>
      </c>
      <c r="B579" s="35"/>
      <c r="C579" s="35"/>
      <c r="D579" s="35"/>
      <c r="E579" s="35"/>
      <c r="F579" s="35"/>
      <c r="G579" s="35"/>
      <c r="H579" s="7" t="s">
        <v>2297</v>
      </c>
      <c r="I579" s="7" t="s">
        <v>2298</v>
      </c>
      <c r="J579" s="112" t="str">
        <f ca="1">IFERROR(__xludf.DUMMYFUNCTION("JOIN("": "",H579,I579)"),"3E-50-18-20-00-00-00: Válvula de alívio de pressão para sistemas de expansão indireta de água gelada")</f>
        <v>3E-50-18-20-00-00-00: Válvula de alívio de pressão para sistemas de expansão indireta de água gelada</v>
      </c>
      <c r="K579" s="4">
        <v>4</v>
      </c>
      <c r="L579" s="7"/>
      <c r="M579" s="7"/>
      <c r="N579" s="7"/>
      <c r="O579" s="7"/>
      <c r="P579" s="177"/>
      <c r="Q579" s="177"/>
      <c r="R579" s="177"/>
      <c r="S579" s="177"/>
    </row>
    <row r="580" spans="1:19">
      <c r="A580" s="35" t="s">
        <v>2300</v>
      </c>
      <c r="B580" s="35"/>
      <c r="C580" s="35"/>
      <c r="D580" s="35"/>
      <c r="E580" s="35"/>
      <c r="F580" s="35"/>
      <c r="G580" s="35"/>
      <c r="H580" s="7" t="s">
        <v>2301</v>
      </c>
      <c r="I580" s="7" t="s">
        <v>2302</v>
      </c>
      <c r="J580" s="112" t="str">
        <f ca="1">IFERROR(__xludf.DUMMYFUNCTION("JOIN("": "",H580,I580)"),"3E-50-18-22-00-00-00: Válvula de três vias para sistemas de expansão indireta de água gelada")</f>
        <v>3E-50-18-22-00-00-00: Válvula de três vias para sistemas de expansão indireta de água gelada</v>
      </c>
      <c r="K580" s="4">
        <v>4</v>
      </c>
      <c r="L580" s="7"/>
      <c r="M580" s="7"/>
      <c r="N580" s="7"/>
      <c r="O580" s="7"/>
      <c r="P580" s="177"/>
      <c r="Q580" s="177"/>
      <c r="R580" s="177"/>
      <c r="S580" s="177"/>
    </row>
    <row r="581" spans="1:19">
      <c r="A581" s="111" t="s">
        <v>2304</v>
      </c>
      <c r="B581" s="111"/>
      <c r="C581" s="111"/>
      <c r="D581" s="111"/>
      <c r="E581" s="111"/>
      <c r="F581" s="111"/>
      <c r="G581" s="111"/>
      <c r="H581" s="3" t="s">
        <v>2305</v>
      </c>
      <c r="I581" s="3" t="s">
        <v>2306</v>
      </c>
      <c r="J581" s="112" t="str">
        <f ca="1">IFERROR(__xludf.DUMMYFUNCTION("JOIN("": "",H581,I581)"),"3E-50-20-00-00-00-00: Elementos para instalação central de água gelada")</f>
        <v>3E-50-20-00-00-00-00: Elementos para instalação central de água gelada</v>
      </c>
      <c r="K581" s="4">
        <v>3</v>
      </c>
      <c r="L581" s="7"/>
      <c r="M581" s="7"/>
      <c r="N581" s="7"/>
      <c r="O581" s="7"/>
      <c r="P581" s="177"/>
      <c r="Q581" s="177"/>
      <c r="R581" s="177"/>
      <c r="S581" s="177"/>
    </row>
    <row r="582" spans="1:19">
      <c r="A582" s="35" t="s">
        <v>2308</v>
      </c>
      <c r="B582" s="35"/>
      <c r="C582" s="35"/>
      <c r="D582" s="35"/>
      <c r="E582" s="35"/>
      <c r="F582" s="35"/>
      <c r="G582" s="35"/>
      <c r="H582" s="7" t="s">
        <v>2309</v>
      </c>
      <c r="I582" s="7" t="s">
        <v>2310</v>
      </c>
      <c r="J582" s="112" t="str">
        <f ca="1">IFERROR(__xludf.DUMMYFUNCTION("JOIN("": "",H582,I582)"),"3E-50-20-02-00-00-00: Alimentação de água gelada")</f>
        <v>3E-50-20-02-00-00-00: Alimentação de água gelada</v>
      </c>
      <c r="K582" s="4">
        <v>4</v>
      </c>
      <c r="L582" s="7"/>
      <c r="M582" s="7"/>
      <c r="N582" s="7"/>
      <c r="O582" s="7"/>
      <c r="P582" s="177"/>
      <c r="Q582" s="177"/>
      <c r="R582" s="177"/>
      <c r="S582" s="177"/>
    </row>
    <row r="583" spans="1:19">
      <c r="A583" s="35" t="s">
        <v>2312</v>
      </c>
      <c r="B583" s="35"/>
      <c r="C583" s="35"/>
      <c r="D583" s="35"/>
      <c r="E583" s="35"/>
      <c r="F583" s="35"/>
      <c r="G583" s="35"/>
      <c r="H583" s="7" t="s">
        <v>2313</v>
      </c>
      <c r="I583" s="7" t="s">
        <v>2314</v>
      </c>
      <c r="J583" s="112" t="str">
        <f ca="1">IFERROR(__xludf.DUMMYFUNCTION("JOIN("": "",H583,I583)"),"3E-50-20-04-00-00-00: Retorno de água gelada")</f>
        <v>3E-50-20-04-00-00-00: Retorno de água gelada</v>
      </c>
      <c r="K583" s="4">
        <v>4</v>
      </c>
      <c r="L583" s="7"/>
      <c r="M583" s="7"/>
      <c r="N583" s="7"/>
      <c r="O583" s="7"/>
      <c r="P583" s="177"/>
      <c r="Q583" s="177"/>
      <c r="R583" s="177"/>
      <c r="S583" s="177"/>
    </row>
    <row r="584" spans="1:19">
      <c r="A584" s="35" t="s">
        <v>2316</v>
      </c>
      <c r="B584" s="35"/>
      <c r="C584" s="35"/>
      <c r="D584" s="35"/>
      <c r="E584" s="35"/>
      <c r="F584" s="35"/>
      <c r="G584" s="35"/>
      <c r="H584" s="7" t="s">
        <v>2317</v>
      </c>
      <c r="I584" s="7" t="s">
        <v>2318</v>
      </c>
      <c r="J584" s="112" t="str">
        <f ca="1">IFERROR(__xludf.DUMMYFUNCTION("JOIN("": "",H584,I584)"),"3E-50-20-06-00-00-00: Alimentação de água de condensação")</f>
        <v>3E-50-20-06-00-00-00: Alimentação de água de condensação</v>
      </c>
      <c r="K584" s="4">
        <v>4</v>
      </c>
      <c r="L584" s="7"/>
      <c r="M584" s="7"/>
      <c r="N584" s="7"/>
      <c r="O584" s="7"/>
      <c r="P584" s="177"/>
      <c r="Q584" s="177"/>
      <c r="R584" s="177"/>
      <c r="S584" s="177"/>
    </row>
    <row r="585" spans="1:19">
      <c r="A585" s="35" t="s">
        <v>2320</v>
      </c>
      <c r="B585" s="35"/>
      <c r="C585" s="35"/>
      <c r="D585" s="35"/>
      <c r="E585" s="35"/>
      <c r="F585" s="35"/>
      <c r="G585" s="35"/>
      <c r="H585" s="7" t="s">
        <v>2321</v>
      </c>
      <c r="I585" s="7" t="s">
        <v>2322</v>
      </c>
      <c r="J585" s="112" t="str">
        <f ca="1">IFERROR(__xludf.DUMMYFUNCTION("JOIN("": "",H585,I585)"),"3E-50-20-08-00-00-00: Retorno de água de condensação")</f>
        <v>3E-50-20-08-00-00-00: Retorno de água de condensação</v>
      </c>
      <c r="K585" s="4">
        <v>4</v>
      </c>
      <c r="L585" s="7"/>
      <c r="M585" s="7"/>
      <c r="N585" s="7"/>
      <c r="O585" s="7"/>
      <c r="P585" s="177"/>
      <c r="Q585" s="177"/>
      <c r="R585" s="177"/>
      <c r="S585" s="177"/>
    </row>
    <row r="586" spans="1:19">
      <c r="A586" s="35" t="s">
        <v>2324</v>
      </c>
      <c r="B586" s="35"/>
      <c r="C586" s="35"/>
      <c r="D586" s="35"/>
      <c r="E586" s="35"/>
      <c r="F586" s="35"/>
      <c r="G586" s="35"/>
      <c r="H586" s="7" t="s">
        <v>2325</v>
      </c>
      <c r="I586" s="7" t="s">
        <v>2326</v>
      </c>
      <c r="J586" s="112" t="str">
        <f ca="1">IFERROR(__xludf.DUMMYFUNCTION("JOIN("": "",H586,I586)"),"3E-50-20-10-00-00-00: Bomba para o sistema de condensação")</f>
        <v>3E-50-20-10-00-00-00: Bomba para o sistema de condensação</v>
      </c>
      <c r="K586" s="4">
        <v>4</v>
      </c>
      <c r="L586" s="7"/>
      <c r="M586" s="7"/>
      <c r="N586" s="7"/>
      <c r="O586" s="7"/>
      <c r="P586" s="177"/>
      <c r="Q586" s="177"/>
      <c r="R586" s="177"/>
      <c r="S586" s="177"/>
    </row>
    <row r="587" spans="1:19">
      <c r="A587" s="35" t="s">
        <v>2328</v>
      </c>
      <c r="B587" s="35"/>
      <c r="C587" s="35"/>
      <c r="D587" s="35"/>
      <c r="E587" s="35"/>
      <c r="F587" s="35"/>
      <c r="G587" s="35"/>
      <c r="H587" s="7" t="s">
        <v>2329</v>
      </c>
      <c r="I587" s="7" t="s">
        <v>2330</v>
      </c>
      <c r="J587" s="112" t="str">
        <f ca="1">IFERROR(__xludf.DUMMYFUNCTION("JOIN("": "",H587,I587)"),"3E-50-20-12-00-00-00: Bomba para o sistema de água gelada")</f>
        <v>3E-50-20-12-00-00-00: Bomba para o sistema de água gelada</v>
      </c>
      <c r="K587" s="4">
        <v>4</v>
      </c>
      <c r="L587" s="7"/>
      <c r="M587" s="7"/>
      <c r="N587" s="7"/>
      <c r="O587" s="7"/>
      <c r="P587" s="177"/>
      <c r="Q587" s="177"/>
      <c r="R587" s="177"/>
      <c r="S587" s="177"/>
    </row>
    <row r="588" spans="1:19">
      <c r="A588" s="35" t="s">
        <v>2332</v>
      </c>
      <c r="B588" s="35"/>
      <c r="C588" s="35"/>
      <c r="D588" s="35"/>
      <c r="E588" s="35"/>
      <c r="F588" s="35"/>
      <c r="G588" s="35"/>
      <c r="H588" s="7" t="s">
        <v>2333</v>
      </c>
      <c r="I588" s="7" t="s">
        <v>2334</v>
      </c>
      <c r="J588" s="112" t="str">
        <f ca="1">IFERROR(__xludf.DUMMYFUNCTION("JOIN("": "",H588,I588)"),"3E-50-20-14-00-00-00: Resfriador para instalação central de água gelada")</f>
        <v>3E-50-20-14-00-00-00: Resfriador para instalação central de água gelada</v>
      </c>
      <c r="K588" s="4">
        <v>4</v>
      </c>
      <c r="L588" s="7"/>
      <c r="M588" s="7"/>
      <c r="N588" s="7"/>
      <c r="O588" s="7"/>
      <c r="P588" s="177"/>
      <c r="Q588" s="177"/>
      <c r="R588" s="177"/>
      <c r="S588" s="177"/>
    </row>
    <row r="589" spans="1:19">
      <c r="A589" s="35" t="s">
        <v>2336</v>
      </c>
      <c r="B589" s="35"/>
      <c r="C589" s="35"/>
      <c r="D589" s="35"/>
      <c r="E589" s="35"/>
      <c r="F589" s="35"/>
      <c r="G589" s="35"/>
      <c r="H589" s="7" t="s">
        <v>2337</v>
      </c>
      <c r="I589" s="7" t="s">
        <v>2338</v>
      </c>
      <c r="J589" s="112" t="str">
        <f ca="1">IFERROR(__xludf.DUMMYFUNCTION("JOIN("": "",H589,I589)"),"3E-50-20-16-00-00-00: Manômetro para instalação central de água gelada")</f>
        <v>3E-50-20-16-00-00-00: Manômetro para instalação central de água gelada</v>
      </c>
      <c r="K589" s="4">
        <v>4</v>
      </c>
      <c r="L589" s="7"/>
      <c r="M589" s="7"/>
      <c r="N589" s="7"/>
      <c r="O589" s="7"/>
      <c r="P589" s="177"/>
      <c r="Q589" s="177"/>
      <c r="R589" s="177"/>
      <c r="S589" s="177"/>
    </row>
    <row r="590" spans="1:19">
      <c r="A590" s="35" t="s">
        <v>2340</v>
      </c>
      <c r="B590" s="35"/>
      <c r="C590" s="35"/>
      <c r="D590" s="35"/>
      <c r="E590" s="35"/>
      <c r="F590" s="35"/>
      <c r="G590" s="35"/>
      <c r="H590" s="7" t="s">
        <v>2341</v>
      </c>
      <c r="I590" s="7" t="s">
        <v>2342</v>
      </c>
      <c r="J590" s="112" t="str">
        <f ca="1">IFERROR(__xludf.DUMMYFUNCTION("JOIN("": "",H590,I590)"),"3E-50-20-18-00-00-00: Termômetro para instalação central de água gelada")</f>
        <v>3E-50-20-18-00-00-00: Termômetro para instalação central de água gelada</v>
      </c>
      <c r="K590" s="4">
        <v>4</v>
      </c>
      <c r="L590" s="7"/>
      <c r="M590" s="7"/>
      <c r="N590" s="7"/>
      <c r="O590" s="7"/>
      <c r="P590" s="177"/>
      <c r="Q590" s="177"/>
      <c r="R590" s="177"/>
      <c r="S590" s="177"/>
    </row>
    <row r="591" spans="1:19">
      <c r="A591" s="35" t="s">
        <v>2344</v>
      </c>
      <c r="B591" s="35"/>
      <c r="C591" s="35"/>
      <c r="D591" s="35"/>
      <c r="E591" s="35"/>
      <c r="F591" s="35"/>
      <c r="G591" s="35"/>
      <c r="H591" s="7" t="s">
        <v>2345</v>
      </c>
      <c r="I591" s="7" t="s">
        <v>2346</v>
      </c>
      <c r="J591" s="112" t="str">
        <f ca="1">IFERROR(__xludf.DUMMYFUNCTION("JOIN("": "",H591,I591)"),"3E-50-20-20-00-00-00: Flow switch")</f>
        <v>3E-50-20-20-00-00-00: Flow switch</v>
      </c>
      <c r="K591" s="4">
        <v>4</v>
      </c>
      <c r="L591" s="7"/>
      <c r="M591" s="7"/>
      <c r="N591" s="7"/>
      <c r="O591" s="7"/>
      <c r="P591" s="177"/>
      <c r="Q591" s="177"/>
      <c r="R591" s="177"/>
      <c r="S591" s="177"/>
    </row>
    <row r="592" spans="1:19">
      <c r="A592" s="35" t="s">
        <v>2348</v>
      </c>
      <c r="B592" s="35"/>
      <c r="C592" s="35"/>
      <c r="D592" s="35"/>
      <c r="E592" s="35"/>
      <c r="F592" s="35"/>
      <c r="G592" s="35"/>
      <c r="H592" s="7" t="s">
        <v>2349</v>
      </c>
      <c r="I592" s="7" t="s">
        <v>2350</v>
      </c>
      <c r="J592" s="112" t="str">
        <f ca="1">IFERROR(__xludf.DUMMYFUNCTION("JOIN("": "",H592,I592)"),"3E-50-20-22-00-00-00: Flow meter")</f>
        <v>3E-50-20-22-00-00-00: Flow meter</v>
      </c>
      <c r="K592" s="4">
        <v>4</v>
      </c>
      <c r="L592" s="7"/>
      <c r="M592" s="7"/>
      <c r="N592" s="7"/>
      <c r="O592" s="7"/>
      <c r="P592" s="177"/>
      <c r="Q592" s="177"/>
      <c r="R592" s="177"/>
      <c r="S592" s="177"/>
    </row>
    <row r="593" spans="1:31">
      <c r="A593" s="35" t="s">
        <v>2352</v>
      </c>
      <c r="B593" s="35"/>
      <c r="C593" s="35"/>
      <c r="D593" s="35"/>
      <c r="E593" s="35"/>
      <c r="F593" s="35"/>
      <c r="G593" s="35"/>
      <c r="H593" s="7" t="s">
        <v>2353</v>
      </c>
      <c r="I593" s="7" t="s">
        <v>2354</v>
      </c>
      <c r="J593" s="112" t="str">
        <f ca="1">IFERROR(__xludf.DUMMYFUNCTION("JOIN("": "",H593,I593)"),"3E-50-20-24-00-00-00: Redução concêntrica para instalação central de água gelada")</f>
        <v>3E-50-20-24-00-00-00: Redução concêntrica para instalação central de água gelada</v>
      </c>
      <c r="K593" s="4">
        <v>4</v>
      </c>
      <c r="L593" s="7"/>
      <c r="M593" s="7"/>
      <c r="N593" s="7"/>
      <c r="O593" s="7"/>
      <c r="P593" s="177"/>
      <c r="Q593" s="177"/>
      <c r="R593" s="177"/>
      <c r="S593" s="177"/>
    </row>
    <row r="594" spans="1:31">
      <c r="A594" s="35" t="s">
        <v>2356</v>
      </c>
      <c r="B594" s="35"/>
      <c r="C594" s="35"/>
      <c r="D594" s="35"/>
      <c r="E594" s="35"/>
      <c r="F594" s="35"/>
      <c r="G594" s="35"/>
      <c r="H594" s="7" t="s">
        <v>2357</v>
      </c>
      <c r="I594" s="7" t="s">
        <v>2358</v>
      </c>
      <c r="J594" s="112" t="str">
        <f ca="1">IFERROR(__xludf.DUMMYFUNCTION("JOIN("": "",H594,I594)"),"3E-50-20-26-00-00-00: Redução excêntrica para instalação central de água gelada")</f>
        <v>3E-50-20-26-00-00-00: Redução excêntrica para instalação central de água gelada</v>
      </c>
      <c r="K594" s="4">
        <v>4</v>
      </c>
      <c r="L594" s="7"/>
      <c r="M594" s="7"/>
      <c r="N594" s="7"/>
      <c r="O594" s="7"/>
      <c r="P594" s="177"/>
      <c r="Q594" s="177"/>
      <c r="R594" s="177"/>
      <c r="S594" s="177"/>
    </row>
    <row r="595" spans="1:31">
      <c r="A595" s="35" t="s">
        <v>2360</v>
      </c>
      <c r="B595" s="35"/>
      <c r="C595" s="35"/>
      <c r="D595" s="35"/>
      <c r="E595" s="35"/>
      <c r="F595" s="35"/>
      <c r="G595" s="35"/>
      <c r="H595" s="7" t="s">
        <v>2361</v>
      </c>
      <c r="I595" s="7" t="s">
        <v>2362</v>
      </c>
      <c r="J595" s="112" t="str">
        <f ca="1">IFERROR(__xludf.DUMMYFUNCTION("JOIN("": "",H595,I595)"),"3E-50-20-28-00-00-00: Filtro de linha para instalação central de água gelada")</f>
        <v>3E-50-20-28-00-00-00: Filtro de linha para instalação central de água gelada</v>
      </c>
      <c r="K595" s="4">
        <v>4</v>
      </c>
      <c r="L595" s="7"/>
      <c r="M595" s="7"/>
      <c r="N595" s="7"/>
      <c r="O595" s="7"/>
      <c r="P595" s="177"/>
      <c r="Q595" s="177"/>
      <c r="R595" s="177"/>
      <c r="S595" s="177"/>
    </row>
    <row r="596" spans="1:31">
      <c r="A596" s="35" t="s">
        <v>2364</v>
      </c>
      <c r="B596" s="35"/>
      <c r="C596" s="35"/>
      <c r="D596" s="35"/>
      <c r="E596" s="35"/>
      <c r="F596" s="35"/>
      <c r="G596" s="35"/>
      <c r="H596" s="7" t="s">
        <v>2365</v>
      </c>
      <c r="I596" s="7" t="s">
        <v>4807</v>
      </c>
      <c r="J596" s="112" t="str">
        <f ca="1">IFERROR(__xludf.DUMMYFUNCTION("JOIN("": "",H596,I596)"),"3E-50-20-30-00-00-00: Amortecedor de vibração para instalação central de água gelada")</f>
        <v>3E-50-20-30-00-00-00: Amortecedor de vibração para instalação central de água gelada</v>
      </c>
      <c r="K596" s="4">
        <v>4</v>
      </c>
      <c r="L596" s="7"/>
      <c r="M596" s="7"/>
      <c r="N596" s="7"/>
      <c r="O596" s="7"/>
      <c r="P596" s="177"/>
      <c r="Q596" s="177"/>
      <c r="R596" s="177"/>
      <c r="S596" s="177"/>
    </row>
    <row r="597" spans="1:31">
      <c r="A597" s="111" t="s">
        <v>2368</v>
      </c>
      <c r="B597" s="111"/>
      <c r="C597" s="111"/>
      <c r="D597" s="111"/>
      <c r="E597" s="111"/>
      <c r="F597" s="111"/>
      <c r="G597" s="111"/>
      <c r="H597" s="3" t="s">
        <v>2369</v>
      </c>
      <c r="I597" s="3" t="s">
        <v>2370</v>
      </c>
      <c r="J597" s="112" t="str">
        <f ca="1">IFERROR(__xludf.DUMMYFUNCTION("JOIN("": "",H597,I597)"),"3E-52-00-00-00-00-00: Elementos de sistemas de aquecimento")</f>
        <v>3E-52-00-00-00-00-00: Elementos de sistemas de aquecimento</v>
      </c>
      <c r="K597" s="4">
        <v>2</v>
      </c>
      <c r="L597" s="7"/>
      <c r="M597" s="7"/>
      <c r="N597" s="7"/>
      <c r="O597" s="7"/>
      <c r="P597" s="177"/>
      <c r="Q597" s="177"/>
      <c r="R597" s="177"/>
      <c r="S597" s="177"/>
      <c r="AD597" s="7"/>
      <c r="AE597" s="35"/>
    </row>
    <row r="598" spans="1:31">
      <c r="A598" s="111" t="s">
        <v>2372</v>
      </c>
      <c r="B598" s="111"/>
      <c r="C598" s="111"/>
      <c r="D598" s="111"/>
      <c r="E598" s="111"/>
      <c r="F598" s="111"/>
      <c r="G598" s="111"/>
      <c r="H598" s="3" t="s">
        <v>2373</v>
      </c>
      <c r="I598" s="3" t="s">
        <v>2374</v>
      </c>
      <c r="J598" s="112" t="str">
        <f ca="1">IFERROR(__xludf.DUMMYFUNCTION("JOIN("": "",H598,I598)"),"3E-52-02-00-00-00-00: Elementos para sistemas de aquecimento solar ativo")</f>
        <v>3E-52-02-00-00-00-00: Elementos para sistemas de aquecimento solar ativo</v>
      </c>
      <c r="K598" s="4">
        <v>3</v>
      </c>
      <c r="L598" s="7"/>
      <c r="M598" s="7"/>
      <c r="N598" s="7"/>
      <c r="O598" s="7"/>
      <c r="P598" s="177"/>
      <c r="Q598" s="177"/>
      <c r="R598" s="177"/>
      <c r="S598" s="177"/>
    </row>
    <row r="599" spans="1:31">
      <c r="A599" s="35" t="s">
        <v>2376</v>
      </c>
      <c r="B599" s="35"/>
      <c r="C599" s="35"/>
      <c r="D599" s="35"/>
      <c r="E599" s="35"/>
      <c r="F599" s="35"/>
      <c r="G599" s="35"/>
      <c r="H599" s="7" t="s">
        <v>2377</v>
      </c>
      <c r="I599" s="7" t="s">
        <v>2378</v>
      </c>
      <c r="J599" s="112" t="str">
        <f ca="1">IFERROR(__xludf.DUMMYFUNCTION("JOIN("": "",H599,I599)"),"3E-52-02-02-00-00-00: Coletor de placa plana")</f>
        <v>3E-52-02-02-00-00-00: Coletor de placa plana</v>
      </c>
      <c r="K599" s="4">
        <v>4</v>
      </c>
      <c r="L599" s="7"/>
      <c r="M599" s="7"/>
      <c r="N599" s="7"/>
      <c r="O599" s="7"/>
      <c r="P599" s="177"/>
      <c r="Q599" s="177"/>
      <c r="R599" s="177"/>
      <c r="S599" s="177"/>
    </row>
    <row r="600" spans="1:31">
      <c r="A600" s="35" t="s">
        <v>2380</v>
      </c>
      <c r="B600" s="35"/>
      <c r="C600" s="35"/>
      <c r="D600" s="35"/>
      <c r="E600" s="35"/>
      <c r="F600" s="35"/>
      <c r="G600" s="35"/>
      <c r="H600" s="7" t="s">
        <v>2381</v>
      </c>
      <c r="I600" s="7" t="s">
        <v>2382</v>
      </c>
      <c r="J600" s="112" t="str">
        <f ca="1">IFERROR(__xludf.DUMMYFUNCTION("JOIN("": "",H600,I600)"),"3E-52-02-04-00-00-00: Tanque de armazenamento para líquido quente")</f>
        <v>3E-52-02-04-00-00-00: Tanque de armazenamento para líquido quente</v>
      </c>
      <c r="K600" s="4">
        <v>4</v>
      </c>
      <c r="L600" s="7"/>
      <c r="M600" s="7"/>
      <c r="N600" s="7"/>
      <c r="O600" s="7"/>
      <c r="P600" s="177"/>
      <c r="Q600" s="177"/>
      <c r="R600" s="177"/>
      <c r="S600" s="177"/>
    </row>
    <row r="601" spans="1:31">
      <c r="A601" s="35" t="s">
        <v>2384</v>
      </c>
      <c r="B601" s="35"/>
      <c r="C601" s="35"/>
      <c r="D601" s="35"/>
      <c r="E601" s="35"/>
      <c r="F601" s="35"/>
      <c r="G601" s="35"/>
      <c r="H601" s="7" t="s">
        <v>2385</v>
      </c>
      <c r="I601" s="7" t="s">
        <v>2386</v>
      </c>
      <c r="J601" s="112" t="str">
        <f ca="1">IFERROR(__xludf.DUMMYFUNCTION("JOIN("": "",H601,I601)"),"3E-52-02-06-00-00-00: Bomba para sistemas de aquecimento solar ativo")</f>
        <v>3E-52-02-06-00-00-00: Bomba para sistemas de aquecimento solar ativo</v>
      </c>
      <c r="K601" s="4">
        <v>4</v>
      </c>
      <c r="L601" s="7"/>
      <c r="M601" s="7"/>
      <c r="N601" s="7"/>
      <c r="O601" s="7"/>
      <c r="P601" s="177"/>
      <c r="Q601" s="177"/>
      <c r="R601" s="177"/>
      <c r="S601" s="177"/>
    </row>
    <row r="602" spans="1:31">
      <c r="A602" s="35" t="s">
        <v>2388</v>
      </c>
      <c r="B602" s="35"/>
      <c r="C602" s="35"/>
      <c r="D602" s="35"/>
      <c r="E602" s="35"/>
      <c r="F602" s="35"/>
      <c r="G602" s="35"/>
      <c r="H602" s="7" t="s">
        <v>2389</v>
      </c>
      <c r="I602" s="7" t="s">
        <v>2390</v>
      </c>
      <c r="J602" s="112" t="str">
        <f ca="1">IFERROR(__xludf.DUMMYFUNCTION("JOIN("": "",H602,I602)"),"3E-52-02-08-00-00-00: Ventilador para sistemas de aquecimento solar ativo")</f>
        <v>3E-52-02-08-00-00-00: Ventilador para sistemas de aquecimento solar ativo</v>
      </c>
      <c r="K602" s="4">
        <v>4</v>
      </c>
      <c r="L602" s="7"/>
      <c r="M602" s="7"/>
      <c r="N602" s="7"/>
      <c r="O602" s="7"/>
      <c r="P602" s="177"/>
      <c r="Q602" s="177"/>
      <c r="R602" s="177"/>
      <c r="S602" s="177"/>
    </row>
    <row r="603" spans="1:31">
      <c r="A603" s="35" t="s">
        <v>2392</v>
      </c>
      <c r="B603" s="35"/>
      <c r="C603" s="35"/>
      <c r="D603" s="35"/>
      <c r="E603" s="35"/>
      <c r="F603" s="35"/>
      <c r="G603" s="35"/>
      <c r="H603" s="7" t="s">
        <v>2393</v>
      </c>
      <c r="I603" s="7" t="s">
        <v>2394</v>
      </c>
      <c r="J603" s="112" t="str">
        <f ca="1">IFERROR(__xludf.DUMMYFUNCTION("JOIN("": "",H603,I603)"),"3E-52-02-10-00-00-00: Serpentina para sistemas de aquecimento solar ativo")</f>
        <v>3E-52-02-10-00-00-00: Serpentina para sistemas de aquecimento solar ativo</v>
      </c>
      <c r="K603" s="4">
        <v>4</v>
      </c>
      <c r="L603" s="7"/>
      <c r="M603" s="7"/>
      <c r="N603" s="7"/>
      <c r="O603" s="7"/>
      <c r="P603" s="177"/>
      <c r="Q603" s="177"/>
      <c r="R603" s="177"/>
      <c r="S603" s="177"/>
    </row>
    <row r="604" spans="1:31">
      <c r="A604" s="35" t="s">
        <v>2396</v>
      </c>
      <c r="B604" s="35"/>
      <c r="C604" s="35"/>
      <c r="D604" s="35"/>
      <c r="E604" s="35"/>
      <c r="F604" s="35"/>
      <c r="G604" s="35"/>
      <c r="H604" s="7" t="s">
        <v>2397</v>
      </c>
      <c r="I604" s="7" t="s">
        <v>2398</v>
      </c>
      <c r="J604" s="112" t="str">
        <f ca="1">IFERROR(__xludf.DUMMYFUNCTION("JOIN("": "",H604,I604)"),"3E-52-02-12-00-00-00: Duto para sistemas de aquecimento solar ativo")</f>
        <v>3E-52-02-12-00-00-00: Duto para sistemas de aquecimento solar ativo</v>
      </c>
      <c r="K604" s="4">
        <v>4</v>
      </c>
      <c r="L604" s="7"/>
      <c r="M604" s="7"/>
      <c r="N604" s="7"/>
      <c r="O604" s="7"/>
      <c r="P604" s="177"/>
      <c r="Q604" s="177"/>
      <c r="R604" s="177"/>
      <c r="S604" s="177"/>
    </row>
    <row r="605" spans="1:31">
      <c r="A605" s="35" t="s">
        <v>2400</v>
      </c>
      <c r="B605" s="35"/>
      <c r="C605" s="35"/>
      <c r="D605" s="35"/>
      <c r="E605" s="35"/>
      <c r="F605" s="35"/>
      <c r="G605" s="35"/>
      <c r="H605" s="7" t="s">
        <v>2401</v>
      </c>
      <c r="I605" s="7" t="s">
        <v>2402</v>
      </c>
      <c r="J605" s="112" t="str">
        <f ca="1">IFERROR(__xludf.DUMMYFUNCTION("JOIN("": "",H605,I605)"),"3E-52-02-14-00-00-00: Difusor para sistemas de aquecimento solar ativo")</f>
        <v>3E-52-02-14-00-00-00: Difusor para sistemas de aquecimento solar ativo</v>
      </c>
      <c r="K605" s="4">
        <v>4</v>
      </c>
      <c r="L605" s="7"/>
      <c r="M605" s="7"/>
      <c r="N605" s="7"/>
      <c r="O605" s="7"/>
      <c r="P605" s="177"/>
      <c r="Q605" s="177"/>
      <c r="R605" s="177"/>
      <c r="S605" s="177"/>
    </row>
    <row r="606" spans="1:31">
      <c r="A606" s="111" t="s">
        <v>2404</v>
      </c>
      <c r="B606" s="111"/>
      <c r="C606" s="111"/>
      <c r="D606" s="111"/>
      <c r="E606" s="111"/>
      <c r="F606" s="111"/>
      <c r="G606" s="111"/>
      <c r="H606" s="3" t="s">
        <v>2405</v>
      </c>
      <c r="I606" s="3" t="s">
        <v>2406</v>
      </c>
      <c r="J606" s="112" t="str">
        <f ca="1">IFERROR(__xludf.DUMMYFUNCTION("JOIN("": "",H606,I606)"),"3E-52-04-00-00-00-00: Elementos para sistemas de aquecimento hidrônico por água quente")</f>
        <v>3E-52-04-00-00-00-00: Elementos para sistemas de aquecimento hidrônico por água quente</v>
      </c>
      <c r="K606" s="4">
        <v>3</v>
      </c>
      <c r="L606" s="7"/>
      <c r="M606" s="7"/>
      <c r="N606" s="7"/>
      <c r="O606" s="7"/>
      <c r="P606" s="177"/>
      <c r="Q606" s="177"/>
      <c r="R606" s="177"/>
      <c r="S606" s="177"/>
    </row>
    <row r="607" spans="1:31">
      <c r="A607" s="35" t="s">
        <v>2408</v>
      </c>
      <c r="B607" s="35"/>
      <c r="C607" s="35"/>
      <c r="D607" s="35"/>
      <c r="E607" s="35"/>
      <c r="F607" s="35"/>
      <c r="G607" s="35"/>
      <c r="H607" s="7" t="s">
        <v>2409</v>
      </c>
      <c r="I607" s="7" t="s">
        <v>2410</v>
      </c>
      <c r="J607" s="112" t="str">
        <f ca="1">IFERROR(__xludf.DUMMYFUNCTION("JOIN("": "",H607,I607)"),"3E-52-04-02-00-00-00: Caldeira para sistemas de aquecimento hidrônico por água quente")</f>
        <v>3E-52-04-02-00-00-00: Caldeira para sistemas de aquecimento hidrônico por água quente</v>
      </c>
      <c r="K607" s="4">
        <v>4</v>
      </c>
      <c r="L607" s="7"/>
      <c r="M607" s="7"/>
      <c r="N607" s="7"/>
      <c r="O607" s="7"/>
      <c r="P607" s="177"/>
      <c r="Q607" s="177"/>
      <c r="R607" s="177"/>
      <c r="S607" s="177"/>
    </row>
    <row r="608" spans="1:31">
      <c r="A608" s="35" t="s">
        <v>2412</v>
      </c>
      <c r="B608" s="35"/>
      <c r="C608" s="35"/>
      <c r="D608" s="35"/>
      <c r="E608" s="35"/>
      <c r="F608" s="35"/>
      <c r="G608" s="35"/>
      <c r="H608" s="7" t="s">
        <v>2413</v>
      </c>
      <c r="I608" s="7" t="s">
        <v>2414</v>
      </c>
      <c r="J608" s="112" t="str">
        <f ca="1">IFERROR(__xludf.DUMMYFUNCTION("JOIN("": "",H608,I608)"),"3E-52-04-04-00-00-00: Tanque de compressão para sistemas de aquecimento hidrônico por água quente")</f>
        <v>3E-52-04-04-00-00-00: Tanque de compressão para sistemas de aquecimento hidrônico por água quente</v>
      </c>
      <c r="K608" s="4">
        <v>4</v>
      </c>
      <c r="L608" s="7"/>
      <c r="M608" s="7"/>
      <c r="N608" s="7"/>
      <c r="O608" s="7"/>
      <c r="P608" s="177"/>
      <c r="Q608" s="177"/>
      <c r="R608" s="177"/>
      <c r="S608" s="177"/>
    </row>
    <row r="609" spans="1:19">
      <c r="A609" s="35" t="s">
        <v>2416</v>
      </c>
      <c r="B609" s="35"/>
      <c r="C609" s="35"/>
      <c r="D609" s="35"/>
      <c r="E609" s="35"/>
      <c r="F609" s="35"/>
      <c r="G609" s="35"/>
      <c r="H609" s="7" t="s">
        <v>2417</v>
      </c>
      <c r="I609" s="7" t="s">
        <v>2418</v>
      </c>
      <c r="J609" s="112" t="str">
        <f ca="1">IFERROR(__xludf.DUMMYFUNCTION("JOIN("": "",H609,I609)"),"3E-52-04-06-00-00-00: Bomba para sistemas de aquecimento hidrônico por água quente")</f>
        <v>3E-52-04-06-00-00-00: Bomba para sistemas de aquecimento hidrônico por água quente</v>
      </c>
      <c r="K609" s="4">
        <v>4</v>
      </c>
      <c r="L609" s="7"/>
      <c r="M609" s="7"/>
      <c r="N609" s="7"/>
      <c r="O609" s="7"/>
      <c r="P609" s="177"/>
      <c r="Q609" s="177"/>
      <c r="R609" s="177"/>
      <c r="S609" s="177"/>
    </row>
    <row r="610" spans="1:19">
      <c r="A610" s="35" t="s">
        <v>2420</v>
      </c>
      <c r="B610" s="35"/>
      <c r="C610" s="35"/>
      <c r="D610" s="35"/>
      <c r="E610" s="35"/>
      <c r="F610" s="35"/>
      <c r="G610" s="35"/>
      <c r="H610" s="7" t="s">
        <v>2421</v>
      </c>
      <c r="I610" s="7" t="s">
        <v>2422</v>
      </c>
      <c r="J610" s="112" t="str">
        <f ca="1">IFERROR(__xludf.DUMMYFUNCTION("JOIN("": "",H610,I610)"),"3E-52-04-08-00-00-00: Ramal de distribuição para sistemas de aquecimento hidrônico por água quente")</f>
        <v>3E-52-04-08-00-00-00: Ramal de distribuição para sistemas de aquecimento hidrônico por água quente</v>
      </c>
      <c r="K610" s="4">
        <v>4</v>
      </c>
      <c r="L610" s="7"/>
      <c r="M610" s="7"/>
      <c r="N610" s="7"/>
      <c r="O610" s="7"/>
      <c r="P610" s="177"/>
      <c r="Q610" s="177"/>
      <c r="R610" s="177"/>
      <c r="S610" s="177"/>
    </row>
    <row r="611" spans="1:19">
      <c r="A611" s="35" t="s">
        <v>2424</v>
      </c>
      <c r="B611" s="35"/>
      <c r="C611" s="35"/>
      <c r="D611" s="35"/>
      <c r="E611" s="35"/>
      <c r="F611" s="35"/>
      <c r="G611" s="35"/>
      <c r="H611" s="7" t="s">
        <v>2425</v>
      </c>
      <c r="I611" s="7" t="s">
        <v>2426</v>
      </c>
      <c r="J611" s="112" t="str">
        <f ca="1">IFERROR(__xludf.DUMMYFUNCTION("JOIN("": "",H611,I611)"),"3E-52-04-10-00-00-00: Válvula de pressão para sistemas de aquecimento hidrônico por água quente")</f>
        <v>3E-52-04-10-00-00-00: Válvula de pressão para sistemas de aquecimento hidrônico por água quente</v>
      </c>
      <c r="K611" s="4">
        <v>4</v>
      </c>
      <c r="L611" s="7"/>
      <c r="M611" s="7"/>
      <c r="N611" s="7"/>
      <c r="O611" s="7"/>
      <c r="P611" s="177"/>
      <c r="Q611" s="177"/>
      <c r="R611" s="177"/>
      <c r="S611" s="177"/>
    </row>
    <row r="612" spans="1:19">
      <c r="A612" s="35" t="s">
        <v>2428</v>
      </c>
      <c r="B612" s="35"/>
      <c r="C612" s="35"/>
      <c r="D612" s="35"/>
      <c r="E612" s="35"/>
      <c r="F612" s="35"/>
      <c r="G612" s="35"/>
      <c r="H612" s="7" t="s">
        <v>2429</v>
      </c>
      <c r="I612" s="7" t="s">
        <v>2430</v>
      </c>
      <c r="J612" s="112" t="str">
        <f ca="1">IFERROR(__xludf.DUMMYFUNCTION("JOIN("": "",H612,I612)"),"3E-52-04-12-00-00-00: Válvula de controle para sistemas de aquecimento hidrônico por água quente")</f>
        <v>3E-52-04-12-00-00-00: Válvula de controle para sistemas de aquecimento hidrônico por água quente</v>
      </c>
      <c r="K612" s="4">
        <v>4</v>
      </c>
      <c r="L612" s="7"/>
      <c r="M612" s="7"/>
      <c r="N612" s="7"/>
      <c r="O612" s="7"/>
      <c r="P612" s="177"/>
      <c r="Q612" s="177"/>
      <c r="R612" s="177"/>
      <c r="S612" s="177"/>
    </row>
    <row r="613" spans="1:19">
      <c r="A613" s="35" t="s">
        <v>2432</v>
      </c>
      <c r="B613" s="35"/>
      <c r="C613" s="35"/>
      <c r="D613" s="35"/>
      <c r="E613" s="35"/>
      <c r="F613" s="35"/>
      <c r="G613" s="35"/>
      <c r="H613" s="7" t="s">
        <v>2433</v>
      </c>
      <c r="I613" s="7" t="s">
        <v>2434</v>
      </c>
      <c r="J613" s="112" t="str">
        <f ca="1">IFERROR(__xludf.DUMMYFUNCTION("JOIN("": "",H613,I613)"),"3E-52-04-14-00-00-00: Radiador de calor para sistemas de aquecimento hidrônico por água quente")</f>
        <v>3E-52-04-14-00-00-00: Radiador de calor para sistemas de aquecimento hidrônico por água quente</v>
      </c>
      <c r="K613" s="4">
        <v>4</v>
      </c>
      <c r="L613" s="7"/>
      <c r="M613" s="7"/>
      <c r="N613" s="7"/>
      <c r="O613" s="7"/>
      <c r="P613" s="177"/>
      <c r="Q613" s="177"/>
      <c r="R613" s="177"/>
      <c r="S613" s="177"/>
    </row>
    <row r="614" spans="1:19">
      <c r="A614" s="111" t="s">
        <v>2436</v>
      </c>
      <c r="B614" s="111"/>
      <c r="C614" s="111"/>
      <c r="D614" s="111"/>
      <c r="E614" s="111"/>
      <c r="F614" s="111"/>
      <c r="G614" s="111"/>
      <c r="H614" s="3" t="s">
        <v>2437</v>
      </c>
      <c r="I614" s="3" t="s">
        <v>2438</v>
      </c>
      <c r="J614" s="112" t="str">
        <f ca="1">IFERROR(__xludf.DUMMYFUNCTION("JOIN("": "",H614,I614)"),"3E-52-06-00-00-00-00: Elementos para sistemas de aquecimento a vapor")</f>
        <v>3E-52-06-00-00-00-00: Elementos para sistemas de aquecimento a vapor</v>
      </c>
      <c r="K614" s="4">
        <v>3</v>
      </c>
      <c r="L614" s="7"/>
      <c r="M614" s="7"/>
      <c r="N614" s="7"/>
      <c r="O614" s="7"/>
      <c r="P614" s="177"/>
      <c r="Q614" s="177"/>
      <c r="R614" s="177"/>
      <c r="S614" s="177"/>
    </row>
    <row r="615" spans="1:19">
      <c r="A615" s="35" t="s">
        <v>2440</v>
      </c>
      <c r="B615" s="35"/>
      <c r="C615" s="35"/>
      <c r="D615" s="35"/>
      <c r="E615" s="35"/>
      <c r="F615" s="35"/>
      <c r="G615" s="35"/>
      <c r="H615" s="7" t="s">
        <v>2441</v>
      </c>
      <c r="I615" s="7" t="s">
        <v>2442</v>
      </c>
      <c r="J615" s="112" t="str">
        <f ca="1">IFERROR(__xludf.DUMMYFUNCTION("JOIN("": "",H615,I615)"),"3E-52-06-02-00-00-00: Caldeira para sistemas de aquecimento a vapor")</f>
        <v>3E-52-06-02-00-00-00: Caldeira para sistemas de aquecimento a vapor</v>
      </c>
      <c r="K615" s="4">
        <v>4</v>
      </c>
      <c r="L615" s="7"/>
      <c r="M615" s="7"/>
      <c r="N615" s="7"/>
      <c r="O615" s="7"/>
      <c r="P615" s="177"/>
      <c r="Q615" s="177"/>
      <c r="R615" s="177"/>
      <c r="S615" s="177"/>
    </row>
    <row r="616" spans="1:19">
      <c r="A616" s="35" t="s">
        <v>2444</v>
      </c>
      <c r="B616" s="35"/>
      <c r="C616" s="35"/>
      <c r="D616" s="35"/>
      <c r="E616" s="35"/>
      <c r="F616" s="35"/>
      <c r="G616" s="35"/>
      <c r="H616" s="7" t="s">
        <v>2445</v>
      </c>
      <c r="I616" s="7" t="s">
        <v>2446</v>
      </c>
      <c r="J616" s="112" t="str">
        <f ca="1">IFERROR(__xludf.DUMMYFUNCTION("JOIN("": "",H616,I616)"),"3E-52-06-04-00-00-00: Bomba de Vácuo para sistemas de aquecimento a vapor")</f>
        <v>3E-52-06-04-00-00-00: Bomba de Vácuo para sistemas de aquecimento a vapor</v>
      </c>
      <c r="K616" s="4">
        <v>4</v>
      </c>
      <c r="L616" s="7"/>
      <c r="M616" s="7"/>
      <c r="N616" s="7"/>
      <c r="O616" s="7"/>
      <c r="P616" s="177"/>
      <c r="Q616" s="177"/>
      <c r="R616" s="177"/>
      <c r="S616" s="177"/>
    </row>
    <row r="617" spans="1:19">
      <c r="A617" s="35" t="s">
        <v>2448</v>
      </c>
      <c r="B617" s="35"/>
      <c r="C617" s="35"/>
      <c r="D617" s="35"/>
      <c r="E617" s="35"/>
      <c r="F617" s="35"/>
      <c r="G617" s="35"/>
      <c r="H617" s="7" t="s">
        <v>2449</v>
      </c>
      <c r="I617" s="7" t="s">
        <v>2450</v>
      </c>
      <c r="J617" s="112" t="str">
        <f ca="1">IFERROR(__xludf.DUMMYFUNCTION("JOIN("": "",H617,I617)"),"3E-52-06-06-00-00-00: Ramal de alimentação para sistemas de aquecimento a vapor")</f>
        <v>3E-52-06-06-00-00-00: Ramal de alimentação para sistemas de aquecimento a vapor</v>
      </c>
      <c r="K617" s="4">
        <v>4</v>
      </c>
      <c r="L617" s="7"/>
      <c r="M617" s="7"/>
      <c r="N617" s="7"/>
      <c r="O617" s="7"/>
      <c r="P617" s="177"/>
      <c r="Q617" s="177"/>
      <c r="R617" s="177"/>
      <c r="S617" s="177"/>
    </row>
    <row r="618" spans="1:19">
      <c r="A618" s="35" t="s">
        <v>2452</v>
      </c>
      <c r="B618" s="35"/>
      <c r="C618" s="35"/>
      <c r="D618" s="35"/>
      <c r="E618" s="35"/>
      <c r="F618" s="35"/>
      <c r="G618" s="35"/>
      <c r="H618" s="7" t="s">
        <v>2453</v>
      </c>
      <c r="I618" s="7" t="s">
        <v>2454</v>
      </c>
      <c r="J618" s="112" t="str">
        <f ca="1">IFERROR(__xludf.DUMMYFUNCTION("JOIN("": "",H618,I618)"),"3E-52-06-08-00-00-00: Ramal de retorno da água para sistemas de aquecimento a vapor")</f>
        <v>3E-52-06-08-00-00-00: Ramal de retorno da água para sistemas de aquecimento a vapor</v>
      </c>
      <c r="K618" s="4">
        <v>4</v>
      </c>
      <c r="L618" s="7"/>
      <c r="M618" s="7"/>
      <c r="N618" s="7"/>
      <c r="O618" s="7"/>
      <c r="P618" s="177"/>
      <c r="Q618" s="177"/>
      <c r="R618" s="177"/>
      <c r="S618" s="177"/>
    </row>
    <row r="619" spans="1:19">
      <c r="A619" s="35" t="s">
        <v>2456</v>
      </c>
      <c r="B619" s="35"/>
      <c r="C619" s="35"/>
      <c r="D619" s="35"/>
      <c r="E619" s="35"/>
      <c r="F619" s="35"/>
      <c r="G619" s="35"/>
      <c r="H619" s="7" t="s">
        <v>2457</v>
      </c>
      <c r="I619" s="7" t="s">
        <v>2458</v>
      </c>
      <c r="J619" s="112" t="str">
        <f ca="1">IFERROR(__xludf.DUMMYFUNCTION("JOIN("": "",H619,I619)"),"3E-52-06-10-00-00-00: Válvula de controle para sistemas de aquecimento a vapor")</f>
        <v>3E-52-06-10-00-00-00: Válvula de controle para sistemas de aquecimento a vapor</v>
      </c>
      <c r="K619" s="4">
        <v>4</v>
      </c>
      <c r="L619" s="7"/>
      <c r="M619" s="7"/>
      <c r="N619" s="7"/>
      <c r="O619" s="7"/>
      <c r="P619" s="177"/>
      <c r="Q619" s="177"/>
      <c r="R619" s="177"/>
      <c r="S619" s="177"/>
    </row>
    <row r="620" spans="1:19">
      <c r="A620" s="35" t="s">
        <v>2460</v>
      </c>
      <c r="B620" s="35"/>
      <c r="C620" s="35"/>
      <c r="D620" s="35"/>
      <c r="E620" s="35"/>
      <c r="F620" s="35"/>
      <c r="G620" s="35"/>
      <c r="H620" s="7" t="s">
        <v>2461</v>
      </c>
      <c r="I620" s="7" t="s">
        <v>2462</v>
      </c>
      <c r="J620" s="112" t="str">
        <f ca="1">IFERROR(__xludf.DUMMYFUNCTION("JOIN("": "",H620,I620)"),"3E-52-06-12-00-00-00: Radiador para sistemas de aquecimento a vapor")</f>
        <v>3E-52-06-12-00-00-00: Radiador para sistemas de aquecimento a vapor</v>
      </c>
      <c r="K620" s="4">
        <v>4</v>
      </c>
      <c r="L620" s="7"/>
      <c r="M620" s="7"/>
      <c r="N620" s="7"/>
      <c r="O620" s="7"/>
      <c r="P620" s="177"/>
      <c r="Q620" s="177"/>
      <c r="R620" s="177"/>
      <c r="S620" s="177"/>
    </row>
    <row r="621" spans="1:19">
      <c r="A621" s="111" t="s">
        <v>2464</v>
      </c>
      <c r="B621" s="111"/>
      <c r="C621" s="111"/>
      <c r="D621" s="111"/>
      <c r="E621" s="111"/>
      <c r="F621" s="111"/>
      <c r="G621" s="111"/>
      <c r="H621" s="3" t="s">
        <v>2465</v>
      </c>
      <c r="I621" s="3" t="s">
        <v>2466</v>
      </c>
      <c r="J621" s="112" t="str">
        <f ca="1">IFERROR(__xludf.DUMMYFUNCTION("JOIN("": "",H621,I621)"),"3E-52-08-00-00-00-00: Elementos para sistemas de aquecimento por ar quente")</f>
        <v>3E-52-08-00-00-00-00: Elementos para sistemas de aquecimento por ar quente</v>
      </c>
      <c r="K621" s="4">
        <v>3</v>
      </c>
      <c r="L621" s="7"/>
      <c r="M621" s="7"/>
      <c r="N621" s="7"/>
      <c r="O621" s="7"/>
      <c r="P621" s="177"/>
      <c r="Q621" s="177"/>
      <c r="R621" s="177"/>
      <c r="S621" s="177"/>
    </row>
    <row r="622" spans="1:19">
      <c r="A622" s="35" t="s">
        <v>2468</v>
      </c>
      <c r="B622" s="35"/>
      <c r="C622" s="35"/>
      <c r="D622" s="35"/>
      <c r="E622" s="35"/>
      <c r="F622" s="35"/>
      <c r="G622" s="35"/>
      <c r="H622" s="7" t="s">
        <v>2469</v>
      </c>
      <c r="I622" s="7" t="s">
        <v>2470</v>
      </c>
      <c r="J622" s="112" t="str">
        <f ca="1">IFERROR(__xludf.DUMMYFUNCTION("JOIN("": "",H622,I622)"),"3E-52-08-02-00-00-00: Combustor para sistemas de aquecimento por ar quente")</f>
        <v>3E-52-08-02-00-00-00: Combustor para sistemas de aquecimento por ar quente</v>
      </c>
      <c r="K622" s="4">
        <v>4</v>
      </c>
      <c r="L622" s="7"/>
      <c r="M622" s="7"/>
      <c r="N622" s="7"/>
      <c r="O622" s="7"/>
      <c r="P622" s="177"/>
      <c r="Q622" s="177"/>
      <c r="R622" s="177"/>
      <c r="S622" s="177"/>
    </row>
    <row r="623" spans="1:19">
      <c r="A623" s="35" t="s">
        <v>2472</v>
      </c>
      <c r="B623" s="35"/>
      <c r="C623" s="35"/>
      <c r="D623" s="35"/>
      <c r="E623" s="35"/>
      <c r="F623" s="35"/>
      <c r="G623" s="35"/>
      <c r="H623" s="7" t="s">
        <v>2473</v>
      </c>
      <c r="I623" s="7" t="s">
        <v>2474</v>
      </c>
      <c r="J623" s="112" t="str">
        <f ca="1">IFERROR(__xludf.DUMMYFUNCTION("JOIN("": "",H623,I623)"),"3E-52-08-04-00-00-00: Ventilador para sistemas de aquecimento por ar quente")</f>
        <v>3E-52-08-04-00-00-00: Ventilador para sistemas de aquecimento por ar quente</v>
      </c>
      <c r="K623" s="4">
        <v>4</v>
      </c>
      <c r="L623" s="7"/>
      <c r="M623" s="7"/>
      <c r="N623" s="7"/>
      <c r="O623" s="7"/>
      <c r="P623" s="177"/>
      <c r="Q623" s="177"/>
      <c r="R623" s="177"/>
      <c r="S623" s="177"/>
    </row>
    <row r="624" spans="1:19">
      <c r="A624" s="35" t="s">
        <v>2476</v>
      </c>
      <c r="B624" s="35"/>
      <c r="C624" s="35"/>
      <c r="D624" s="35"/>
      <c r="E624" s="35"/>
      <c r="F624" s="35"/>
      <c r="G624" s="35"/>
      <c r="H624" s="7" t="s">
        <v>2477</v>
      </c>
      <c r="I624" s="7" t="s">
        <v>2478</v>
      </c>
      <c r="J624" s="112" t="str">
        <f ca="1">IFERROR(__xludf.DUMMYFUNCTION("JOIN("": "",H624,I624)"),"3E-52-08-06-00-00-00: Filtro de poeira para sistemas de aquecimento por ar quente")</f>
        <v>3E-52-08-06-00-00-00: Filtro de poeira para sistemas de aquecimento por ar quente</v>
      </c>
      <c r="K624" s="4">
        <v>4</v>
      </c>
      <c r="L624" s="7"/>
      <c r="M624" s="7"/>
      <c r="N624" s="7"/>
      <c r="O624" s="7"/>
      <c r="P624" s="177"/>
      <c r="Q624" s="177"/>
      <c r="R624" s="177"/>
      <c r="S624" s="177"/>
    </row>
    <row r="625" spans="1:31">
      <c r="A625" s="35" t="s">
        <v>2480</v>
      </c>
      <c r="B625" s="35"/>
      <c r="C625" s="35"/>
      <c r="D625" s="35"/>
      <c r="E625" s="35"/>
      <c r="F625" s="35"/>
      <c r="G625" s="35"/>
      <c r="H625" s="7" t="s">
        <v>2481</v>
      </c>
      <c r="I625" s="7" t="s">
        <v>2482</v>
      </c>
      <c r="J625" s="112" t="str">
        <f ca="1">IFERROR(__xludf.DUMMYFUNCTION("JOIN("": "",H625,I625)"),"3E-52-08-08-00-00-00: Tanque de óleo para sistemas de aquecimento por ar quente")</f>
        <v>3E-52-08-08-00-00-00: Tanque de óleo para sistemas de aquecimento por ar quente</v>
      </c>
      <c r="K625" s="4">
        <v>4</v>
      </c>
      <c r="L625" s="7"/>
      <c r="M625" s="7"/>
      <c r="N625" s="7"/>
      <c r="O625" s="7"/>
      <c r="P625" s="177"/>
      <c r="Q625" s="177"/>
      <c r="R625" s="177"/>
      <c r="S625" s="177"/>
    </row>
    <row r="626" spans="1:31">
      <c r="A626" s="35" t="s">
        <v>2484</v>
      </c>
      <c r="B626" s="35"/>
      <c r="C626" s="35"/>
      <c r="D626" s="35"/>
      <c r="E626" s="35"/>
      <c r="F626" s="35"/>
      <c r="G626" s="35"/>
      <c r="H626" s="7" t="s">
        <v>2485</v>
      </c>
      <c r="I626" s="7" t="s">
        <v>2486</v>
      </c>
      <c r="J626" s="112" t="str">
        <f ca="1">IFERROR(__xludf.DUMMYFUNCTION("JOIN("": "",H626,I626)"),"3E-52-08-10-00-00-00: Duto de insuflamento para sistemas de aquecimento por ar quente")</f>
        <v>3E-52-08-10-00-00-00: Duto de insuflamento para sistemas de aquecimento por ar quente</v>
      </c>
      <c r="K626" s="4">
        <v>4</v>
      </c>
      <c r="L626" s="7"/>
      <c r="M626" s="7"/>
      <c r="N626" s="7"/>
      <c r="O626" s="7"/>
      <c r="P626" s="177"/>
      <c r="Q626" s="177"/>
      <c r="R626" s="177"/>
      <c r="S626" s="177"/>
    </row>
    <row r="627" spans="1:31">
      <c r="A627" s="35" t="s">
        <v>2488</v>
      </c>
      <c r="B627" s="35"/>
      <c r="C627" s="35"/>
      <c r="D627" s="35"/>
      <c r="E627" s="35"/>
      <c r="F627" s="35"/>
      <c r="G627" s="35"/>
      <c r="H627" s="7" t="s">
        <v>2489</v>
      </c>
      <c r="I627" s="7" t="s">
        <v>2490</v>
      </c>
      <c r="J627" s="112" t="str">
        <f ca="1">IFERROR(__xludf.DUMMYFUNCTION("JOIN("": "",H627,I627)"),"3E-52-08-12-00-00-00: Duto de retorno para sistemas de aquecimento por ar quente")</f>
        <v>3E-52-08-12-00-00-00: Duto de retorno para sistemas de aquecimento por ar quente</v>
      </c>
      <c r="K627" s="4">
        <v>4</v>
      </c>
      <c r="L627" s="7"/>
      <c r="M627" s="7"/>
      <c r="N627" s="7"/>
      <c r="O627" s="7"/>
      <c r="P627" s="177"/>
      <c r="Q627" s="177"/>
      <c r="R627" s="177"/>
      <c r="S627" s="177"/>
    </row>
    <row r="628" spans="1:31">
      <c r="A628" s="111" t="s">
        <v>2492</v>
      </c>
      <c r="B628" s="111"/>
      <c r="C628" s="111"/>
      <c r="D628" s="111"/>
      <c r="E628" s="111"/>
      <c r="F628" s="111"/>
      <c r="G628" s="111"/>
      <c r="H628" s="3" t="s">
        <v>2493</v>
      </c>
      <c r="I628" s="3" t="s">
        <v>2494</v>
      </c>
      <c r="J628" s="112" t="str">
        <f ca="1">IFERROR(__xludf.DUMMYFUNCTION("JOIN("": "",H628,I628)"),"3E-54-00-00-00-00-00: Elementos de instalações de gases")</f>
        <v>3E-54-00-00-00-00-00: Elementos de instalações de gases</v>
      </c>
      <c r="K628" s="4">
        <v>2</v>
      </c>
      <c r="L628" s="7"/>
      <c r="M628" s="7"/>
      <c r="N628" s="7"/>
      <c r="O628" s="7"/>
      <c r="P628" s="177"/>
      <c r="Q628" s="177"/>
      <c r="R628" s="177"/>
      <c r="S628" s="177"/>
      <c r="AD628" s="7"/>
      <c r="AE628" s="35"/>
    </row>
    <row r="629" spans="1:31">
      <c r="A629" s="111" t="s">
        <v>2496</v>
      </c>
      <c r="B629" s="111"/>
      <c r="C629" s="111"/>
      <c r="D629" s="111"/>
      <c r="E629" s="111"/>
      <c r="F629" s="111"/>
      <c r="G629" s="111"/>
      <c r="H629" s="3" t="s">
        <v>2497</v>
      </c>
      <c r="I629" s="3" t="s">
        <v>2498</v>
      </c>
      <c r="J629" s="112" t="str">
        <f ca="1">IFERROR(__xludf.DUMMYFUNCTION("JOIN("": "",H629,I629)"),"3E-54-02-00-00-00-00: Elementos para instalações de gases combustíveis")</f>
        <v>3E-54-02-00-00-00-00: Elementos para instalações de gases combustíveis</v>
      </c>
      <c r="K629" s="4">
        <v>3</v>
      </c>
      <c r="L629" s="7"/>
      <c r="M629" s="7"/>
      <c r="N629" s="7"/>
      <c r="O629" s="7"/>
      <c r="P629" s="177"/>
      <c r="Q629" s="177"/>
      <c r="R629" s="177"/>
      <c r="S629" s="177"/>
    </row>
    <row r="630" spans="1:31">
      <c r="A630" s="35" t="s">
        <v>2500</v>
      </c>
      <c r="B630" s="35"/>
      <c r="C630" s="35"/>
      <c r="D630" s="35"/>
      <c r="E630" s="35"/>
      <c r="F630" s="35"/>
      <c r="G630" s="35"/>
      <c r="H630" s="7" t="s">
        <v>2501</v>
      </c>
      <c r="I630" s="7" t="s">
        <v>2502</v>
      </c>
      <c r="J630" s="112" t="str">
        <f ca="1">IFERROR(__xludf.DUMMYFUNCTION("JOIN("": "",H630,I630)"),"3E-54-02-02-00-00-00: Elementos alimentadores em instalações de gases oombustíveis")</f>
        <v>3E-54-02-02-00-00-00: Elementos alimentadores em instalações de gases oombustíveis</v>
      </c>
      <c r="K630" s="4">
        <v>4</v>
      </c>
      <c r="L630" s="7"/>
      <c r="M630" s="7"/>
      <c r="N630" s="7"/>
      <c r="O630" s="7"/>
      <c r="P630" s="177"/>
      <c r="Q630" s="177"/>
      <c r="R630" s="177"/>
      <c r="S630" s="177"/>
    </row>
    <row r="631" spans="1:31">
      <c r="A631" s="35" t="s">
        <v>2504</v>
      </c>
      <c r="B631" s="35"/>
      <c r="C631" s="35"/>
      <c r="D631" s="35"/>
      <c r="E631" s="35"/>
      <c r="F631" s="35"/>
      <c r="G631" s="35"/>
      <c r="H631" s="7" t="s">
        <v>2505</v>
      </c>
      <c r="I631" s="7" t="s">
        <v>2506</v>
      </c>
      <c r="J631" s="112" t="str">
        <f ca="1">IFERROR(__xludf.DUMMYFUNCTION("JOIN("": "",H631,I631)"),"3E-54-02-04-00-00-00: Elementos distribuidores em instalações de gases combustíveis")</f>
        <v>3E-54-02-04-00-00-00: Elementos distribuidores em instalações de gases combustíveis</v>
      </c>
      <c r="K631" s="4">
        <v>4</v>
      </c>
      <c r="L631" s="7"/>
      <c r="M631" s="7"/>
      <c r="N631" s="7"/>
      <c r="O631" s="7"/>
      <c r="P631" s="177"/>
      <c r="Q631" s="177"/>
      <c r="R631" s="177"/>
      <c r="S631" s="177"/>
    </row>
    <row r="632" spans="1:31">
      <c r="A632" s="35" t="s">
        <v>2508</v>
      </c>
      <c r="B632" s="35"/>
      <c r="C632" s="35"/>
      <c r="D632" s="35"/>
      <c r="E632" s="35"/>
      <c r="F632" s="35"/>
      <c r="G632" s="35"/>
      <c r="H632" s="7" t="s">
        <v>2509</v>
      </c>
      <c r="I632" s="7" t="s">
        <v>2510</v>
      </c>
      <c r="J632" s="112" t="str">
        <f ca="1">IFERROR(__xludf.DUMMYFUNCTION("JOIN("": "",H632,I632)"),"3E-54-02-04-02-00-00: Prumada de gases combustíveis")</f>
        <v>3E-54-02-04-02-00-00: Prumada de gases combustíveis</v>
      </c>
      <c r="K632" s="4">
        <v>5</v>
      </c>
      <c r="L632" s="7"/>
      <c r="M632" s="7"/>
      <c r="N632" s="7"/>
      <c r="O632" s="7"/>
      <c r="P632" s="177"/>
      <c r="Q632" s="177"/>
      <c r="R632" s="177"/>
      <c r="S632" s="177"/>
    </row>
    <row r="633" spans="1:31">
      <c r="A633" s="35" t="s">
        <v>2512</v>
      </c>
      <c r="B633" s="35"/>
      <c r="C633" s="35"/>
      <c r="D633" s="35"/>
      <c r="E633" s="35"/>
      <c r="F633" s="35"/>
      <c r="G633" s="35"/>
      <c r="H633" s="7" t="s">
        <v>2513</v>
      </c>
      <c r="I633" s="7" t="s">
        <v>2514</v>
      </c>
      <c r="J633" s="112" t="str">
        <f ca="1">IFERROR(__xludf.DUMMYFUNCTION("JOIN("": "",H633,I633)"),"3E-54-02-04-04-00-00: Ramal de distribuição de gases combustíveis")</f>
        <v>3E-54-02-04-04-00-00: Ramal de distribuição de gases combustíveis</v>
      </c>
      <c r="K633" s="4">
        <v>5</v>
      </c>
      <c r="L633" s="7"/>
      <c r="M633" s="7"/>
      <c r="N633" s="7"/>
      <c r="O633" s="7"/>
      <c r="P633" s="177"/>
      <c r="Q633" s="177"/>
      <c r="R633" s="177"/>
      <c r="S633" s="177"/>
    </row>
    <row r="634" spans="1:31">
      <c r="A634" s="35" t="s">
        <v>2516</v>
      </c>
      <c r="B634" s="35"/>
      <c r="C634" s="35"/>
      <c r="D634" s="35"/>
      <c r="E634" s="35"/>
      <c r="F634" s="35"/>
      <c r="G634" s="35"/>
      <c r="H634" s="7" t="s">
        <v>2517</v>
      </c>
      <c r="I634" s="7" t="s">
        <v>2518</v>
      </c>
      <c r="J634" s="112" t="str">
        <f ca="1">IFERROR(__xludf.DUMMYFUNCTION("JOIN("": "",H634,I634)"),"3E-54-02-04-06-00-00: Sub-ramal de distribuição de gases combustíveis")</f>
        <v>3E-54-02-04-06-00-00: Sub-ramal de distribuição de gases combustíveis</v>
      </c>
      <c r="K634" s="4">
        <v>5</v>
      </c>
      <c r="L634" s="7"/>
      <c r="M634" s="7"/>
      <c r="N634" s="7"/>
      <c r="O634" s="7"/>
      <c r="P634" s="177"/>
      <c r="Q634" s="177"/>
      <c r="R634" s="177"/>
      <c r="S634" s="177"/>
    </row>
    <row r="635" spans="1:31">
      <c r="A635" s="35" t="s">
        <v>2520</v>
      </c>
      <c r="B635" s="35"/>
      <c r="C635" s="35"/>
      <c r="D635" s="35"/>
      <c r="E635" s="35"/>
      <c r="F635" s="35"/>
      <c r="G635" s="35"/>
      <c r="H635" s="7" t="s">
        <v>2521</v>
      </c>
      <c r="I635" s="7" t="s">
        <v>2522</v>
      </c>
      <c r="J635" s="112" t="str">
        <f ca="1">IFERROR(__xludf.DUMMYFUNCTION("JOIN("": "",H635,I635)"),"3E-54-02-06-00-00-00: Elementos conectores em instalações de gases combustíveis")</f>
        <v>3E-54-02-06-00-00-00: Elementos conectores em instalações de gases combustíveis</v>
      </c>
      <c r="K635" s="4">
        <v>4</v>
      </c>
      <c r="L635" s="7"/>
      <c r="M635" s="7"/>
      <c r="N635" s="7"/>
      <c r="O635" s="7"/>
      <c r="P635" s="177"/>
      <c r="Q635" s="177"/>
      <c r="R635" s="177"/>
      <c r="S635" s="177"/>
    </row>
    <row r="636" spans="1:31">
      <c r="A636" s="35" t="s">
        <v>2524</v>
      </c>
      <c r="B636" s="35"/>
      <c r="C636" s="35"/>
      <c r="D636" s="35"/>
      <c r="E636" s="35"/>
      <c r="F636" s="35"/>
      <c r="G636" s="35"/>
      <c r="H636" s="7" t="s">
        <v>2525</v>
      </c>
      <c r="I636" s="7" t="s">
        <v>2526</v>
      </c>
      <c r="J636" s="112" t="str">
        <f ca="1">IFERROR(__xludf.DUMMYFUNCTION("JOIN("": "",H636,I636)"),"3E-54-02-08-00-00-00: Elementos controladores de fuxo em instalações de gases combustíveis")</f>
        <v>3E-54-02-08-00-00-00: Elementos controladores de fuxo em instalações de gases combustíveis</v>
      </c>
      <c r="K636" s="4">
        <v>4</v>
      </c>
      <c r="L636" s="7"/>
      <c r="M636" s="7"/>
      <c r="N636" s="7"/>
      <c r="O636" s="7"/>
      <c r="P636" s="177"/>
      <c r="Q636" s="177"/>
      <c r="R636" s="177"/>
      <c r="S636" s="177"/>
    </row>
    <row r="637" spans="1:31">
      <c r="A637" s="35" t="s">
        <v>2528</v>
      </c>
      <c r="B637" s="35"/>
      <c r="C637" s="35"/>
      <c r="D637" s="35"/>
      <c r="E637" s="35"/>
      <c r="F637" s="35"/>
      <c r="G637" s="35"/>
      <c r="H637" s="7" t="s">
        <v>2529</v>
      </c>
      <c r="I637" s="7" t="s">
        <v>2530</v>
      </c>
      <c r="J637" s="112" t="str">
        <f ca="1">IFERROR(__xludf.DUMMYFUNCTION("JOIN("": "",H637,I637)"),"3E-54-02-08-02-00-00: Regulador individual para instalação de gases combustíveis")</f>
        <v>3E-54-02-08-02-00-00: Regulador individual para instalação de gases combustíveis</v>
      </c>
      <c r="K637" s="4">
        <v>5</v>
      </c>
      <c r="L637" s="7"/>
      <c r="M637" s="7"/>
      <c r="N637" s="7"/>
      <c r="O637" s="7"/>
      <c r="P637" s="177"/>
      <c r="Q637" s="177"/>
      <c r="R637" s="177"/>
      <c r="S637" s="177"/>
    </row>
    <row r="638" spans="1:31">
      <c r="A638" s="35" t="s">
        <v>2532</v>
      </c>
      <c r="B638" s="35"/>
      <c r="C638" s="35"/>
      <c r="D638" s="35"/>
      <c r="E638" s="35"/>
      <c r="F638" s="35"/>
      <c r="G638" s="35"/>
      <c r="H638" s="7" t="s">
        <v>2533</v>
      </c>
      <c r="I638" s="7" t="s">
        <v>2534</v>
      </c>
      <c r="J638" s="112" t="str">
        <f ca="1">IFERROR(__xludf.DUMMYFUNCTION("JOIN("": "",H638,I638)"),"3E-54-02-08-04-00-00: Regulador coletivo para instalação de gases combustíveis")</f>
        <v>3E-54-02-08-04-00-00: Regulador coletivo para instalação de gases combustíveis</v>
      </c>
      <c r="K638" s="4">
        <v>5</v>
      </c>
      <c r="L638" s="7"/>
      <c r="M638" s="7"/>
      <c r="N638" s="7"/>
      <c r="O638" s="7"/>
      <c r="P638" s="177"/>
      <c r="Q638" s="177"/>
      <c r="R638" s="177"/>
      <c r="S638" s="177"/>
    </row>
    <row r="639" spans="1:31">
      <c r="A639" s="35" t="s">
        <v>2536</v>
      </c>
      <c r="B639" s="35"/>
      <c r="C639" s="35"/>
      <c r="D639" s="35"/>
      <c r="E639" s="35"/>
      <c r="F639" s="35"/>
      <c r="G639" s="35"/>
      <c r="H639" s="7" t="s">
        <v>2537</v>
      </c>
      <c r="I639" s="7" t="s">
        <v>2538</v>
      </c>
      <c r="J639" s="112" t="str">
        <f ca="1">IFERROR(__xludf.DUMMYFUNCTION("JOIN("": "",H639,I639)"),"3E-54-02-10-00-00-00: Elementos medidores de consumo em instalações de gases combustíveis")</f>
        <v>3E-54-02-10-00-00-00: Elementos medidores de consumo em instalações de gases combustíveis</v>
      </c>
      <c r="K639" s="4">
        <v>4</v>
      </c>
      <c r="L639" s="7"/>
      <c r="M639" s="7"/>
      <c r="N639" s="7"/>
      <c r="O639" s="7"/>
      <c r="P639" s="177"/>
      <c r="Q639" s="177"/>
      <c r="R639" s="177"/>
      <c r="S639" s="177"/>
    </row>
    <row r="640" spans="1:31">
      <c r="A640" s="35" t="s">
        <v>2540</v>
      </c>
      <c r="B640" s="35"/>
      <c r="C640" s="35"/>
      <c r="D640" s="35"/>
      <c r="E640" s="35"/>
      <c r="F640" s="35"/>
      <c r="G640" s="35"/>
      <c r="H640" s="7" t="s">
        <v>2541</v>
      </c>
      <c r="I640" s="7" t="s">
        <v>2542</v>
      </c>
      <c r="J640" s="112" t="str">
        <f ca="1">IFERROR(__xludf.DUMMYFUNCTION("JOIN("": "",H640,I640)"),"3E-54-02-10-02-00-00: Medidor individual para instalação de gases combustíveis")</f>
        <v>3E-54-02-10-02-00-00: Medidor individual para instalação de gases combustíveis</v>
      </c>
      <c r="K640" s="4">
        <v>5</v>
      </c>
      <c r="L640" s="7"/>
      <c r="M640" s="7"/>
      <c r="N640" s="7"/>
      <c r="O640" s="7"/>
      <c r="P640" s="177"/>
      <c r="Q640" s="177"/>
      <c r="R640" s="177"/>
      <c r="S640" s="177"/>
    </row>
    <row r="641" spans="1:19">
      <c r="A641" s="35" t="s">
        <v>2544</v>
      </c>
      <c r="B641" s="35"/>
      <c r="C641" s="35"/>
      <c r="D641" s="35"/>
      <c r="E641" s="35"/>
      <c r="F641" s="35"/>
      <c r="G641" s="35"/>
      <c r="H641" s="7" t="s">
        <v>2545</v>
      </c>
      <c r="I641" s="7" t="s">
        <v>2546</v>
      </c>
      <c r="J641" s="112" t="str">
        <f ca="1">IFERROR(__xludf.DUMMYFUNCTION("JOIN("": "",H641,I641)"),"3E-54-02-10-04-00-00: Medidor coletivo para instalação de gases combustíveis")</f>
        <v>3E-54-02-10-04-00-00: Medidor coletivo para instalação de gases combustíveis</v>
      </c>
      <c r="K641" s="4">
        <v>5</v>
      </c>
      <c r="L641" s="7"/>
      <c r="M641" s="7"/>
      <c r="N641" s="7"/>
      <c r="O641" s="7"/>
      <c r="P641" s="177"/>
      <c r="Q641" s="177"/>
      <c r="R641" s="177"/>
      <c r="S641" s="177"/>
    </row>
    <row r="642" spans="1:19">
      <c r="A642" s="35" t="s">
        <v>2548</v>
      </c>
      <c r="B642" s="35"/>
      <c r="C642" s="35"/>
      <c r="D642" s="35"/>
      <c r="E642" s="35"/>
      <c r="F642" s="35"/>
      <c r="G642" s="35"/>
      <c r="H642" s="7" t="s">
        <v>2549</v>
      </c>
      <c r="I642" s="7" t="s">
        <v>2550</v>
      </c>
      <c r="J642" s="112" t="str">
        <f ca="1">IFERROR(__xludf.DUMMYFUNCTION("JOIN("": "",H642,I642)"),"3E-54-02-12-00-00-00: Elementos terminais em instalações de gases combustíveis")</f>
        <v>3E-54-02-12-00-00-00: Elementos terminais em instalações de gases combustíveis</v>
      </c>
      <c r="K642" s="4">
        <v>4</v>
      </c>
      <c r="L642" s="7"/>
      <c r="M642" s="7"/>
      <c r="N642" s="7"/>
      <c r="O642" s="7"/>
      <c r="P642" s="177"/>
      <c r="Q642" s="177"/>
      <c r="R642" s="177"/>
      <c r="S642" s="177"/>
    </row>
    <row r="643" spans="1:19">
      <c r="A643" s="111" t="s">
        <v>2552</v>
      </c>
      <c r="B643" s="111"/>
      <c r="C643" s="111"/>
      <c r="D643" s="111"/>
      <c r="E643" s="111"/>
      <c r="F643" s="111"/>
      <c r="G643" s="111"/>
      <c r="H643" s="3" t="s">
        <v>2553</v>
      </c>
      <c r="I643" s="3" t="s">
        <v>2554</v>
      </c>
      <c r="J643" s="112" t="str">
        <f ca="1">IFERROR(__xludf.DUMMYFUNCTION("JOIN("": "",H643,I643)"),"3E-54-04-00-00-00-00: Elementos para instalações de gases medicinais")</f>
        <v>3E-54-04-00-00-00-00: Elementos para instalações de gases medicinais</v>
      </c>
      <c r="K643" s="4">
        <v>3</v>
      </c>
      <c r="L643" s="7"/>
      <c r="M643" s="7"/>
      <c r="N643" s="7"/>
      <c r="O643" s="7"/>
      <c r="P643" s="177"/>
      <c r="Q643" s="177"/>
      <c r="R643" s="177"/>
      <c r="S643" s="177"/>
    </row>
    <row r="644" spans="1:19">
      <c r="A644" s="35" t="s">
        <v>2556</v>
      </c>
      <c r="B644" s="35"/>
      <c r="C644" s="35"/>
      <c r="D644" s="35"/>
      <c r="E644" s="35"/>
      <c r="F644" s="35"/>
      <c r="G644" s="35"/>
      <c r="H644" s="7" t="s">
        <v>2557</v>
      </c>
      <c r="I644" s="7" t="s">
        <v>2558</v>
      </c>
      <c r="J644" s="112" t="str">
        <f ca="1">IFERROR(__xludf.DUMMYFUNCTION("JOIN("": "",H644,I644)"),"3E-54-04-02-00-00-00: Elementos alimentadores em instalações de gases medicinais")</f>
        <v>3E-54-04-02-00-00-00: Elementos alimentadores em instalações de gases medicinais</v>
      </c>
      <c r="K644" s="4">
        <v>4</v>
      </c>
      <c r="L644" s="7"/>
      <c r="M644" s="7"/>
      <c r="N644" s="7"/>
      <c r="O644" s="7"/>
      <c r="P644" s="177"/>
      <c r="Q644" s="177"/>
      <c r="R644" s="177"/>
      <c r="S644" s="177"/>
    </row>
    <row r="645" spans="1:19">
      <c r="A645" s="35" t="s">
        <v>2560</v>
      </c>
      <c r="B645" s="35"/>
      <c r="C645" s="35"/>
      <c r="D645" s="35"/>
      <c r="E645" s="35"/>
      <c r="F645" s="35"/>
      <c r="G645" s="35"/>
      <c r="H645" s="7" t="s">
        <v>2561</v>
      </c>
      <c r="I645" s="7" t="s">
        <v>2562</v>
      </c>
      <c r="J645" s="112" t="str">
        <f ca="1">IFERROR(__xludf.DUMMYFUNCTION("JOIN("": "",H645,I645)"),"3E-54-04-04-00-00-00: Elementos para tratamento em instalações de gases medicinais")</f>
        <v>3E-54-04-04-00-00-00: Elementos para tratamento em instalações de gases medicinais</v>
      </c>
      <c r="K645" s="4">
        <v>4</v>
      </c>
      <c r="L645" s="7"/>
      <c r="M645" s="7"/>
      <c r="N645" s="7"/>
      <c r="O645" s="7"/>
      <c r="P645" s="177"/>
      <c r="Q645" s="177"/>
      <c r="R645" s="177"/>
      <c r="S645" s="177"/>
    </row>
    <row r="646" spans="1:19">
      <c r="A646" s="35" t="s">
        <v>2564</v>
      </c>
      <c r="B646" s="35"/>
      <c r="C646" s="35"/>
      <c r="D646" s="35"/>
      <c r="E646" s="35"/>
      <c r="F646" s="35"/>
      <c r="G646" s="35"/>
      <c r="H646" s="7" t="s">
        <v>2565</v>
      </c>
      <c r="I646" s="7" t="s">
        <v>2566</v>
      </c>
      <c r="J646" s="112" t="str">
        <f ca="1">IFERROR(__xludf.DUMMYFUNCTION("JOIN("": "",H646,I646)"),"3E-54-04-06-00-00-00: Elementos distribuidores em instalações de gases medicinais")</f>
        <v>3E-54-04-06-00-00-00: Elementos distribuidores em instalações de gases medicinais</v>
      </c>
      <c r="K646" s="4">
        <v>4</v>
      </c>
      <c r="L646" s="7"/>
      <c r="M646" s="7"/>
      <c r="N646" s="7"/>
      <c r="O646" s="7"/>
      <c r="P646" s="177"/>
      <c r="Q646" s="177"/>
      <c r="R646" s="177"/>
      <c r="S646" s="177"/>
    </row>
    <row r="647" spans="1:19">
      <c r="A647" s="35" t="s">
        <v>2568</v>
      </c>
      <c r="B647" s="35"/>
      <c r="C647" s="35"/>
      <c r="D647" s="35"/>
      <c r="E647" s="35"/>
      <c r="F647" s="35"/>
      <c r="G647" s="35"/>
      <c r="H647" s="7" t="s">
        <v>2569</v>
      </c>
      <c r="I647" s="7" t="s">
        <v>2570</v>
      </c>
      <c r="J647" s="112" t="str">
        <f ca="1">IFERROR(__xludf.DUMMYFUNCTION("JOIN("": "",H647,I647)"),"3E-54-04-08-00-00-00: Elementos conectores em instalações de gases medicinais")</f>
        <v>3E-54-04-08-00-00-00: Elementos conectores em instalações de gases medicinais</v>
      </c>
      <c r="K647" s="4">
        <v>4</v>
      </c>
      <c r="L647" s="7"/>
      <c r="M647" s="7"/>
      <c r="N647" s="7"/>
      <c r="O647" s="7"/>
      <c r="P647" s="177"/>
      <c r="Q647" s="177"/>
      <c r="R647" s="177"/>
      <c r="S647" s="177"/>
    </row>
    <row r="648" spans="1:19">
      <c r="A648" s="35" t="s">
        <v>2572</v>
      </c>
      <c r="B648" s="35"/>
      <c r="C648" s="35"/>
      <c r="D648" s="35"/>
      <c r="E648" s="35"/>
      <c r="F648" s="35"/>
      <c r="G648" s="35"/>
      <c r="H648" s="7" t="s">
        <v>2573</v>
      </c>
      <c r="I648" s="7" t="s">
        <v>2574</v>
      </c>
      <c r="J648" s="112" t="str">
        <f ca="1">IFERROR(__xludf.DUMMYFUNCTION("JOIN("": "",H648,I648)"),"3E-54-04-10-00-00-00: Elementos controladores de fluxo em instalações de gases medicinais")</f>
        <v>3E-54-04-10-00-00-00: Elementos controladores de fluxo em instalações de gases medicinais</v>
      </c>
      <c r="K648" s="4">
        <v>4</v>
      </c>
      <c r="L648" s="7"/>
      <c r="M648" s="7"/>
      <c r="N648" s="7"/>
      <c r="O648" s="7"/>
      <c r="P648" s="177"/>
      <c r="Q648" s="177"/>
      <c r="R648" s="177"/>
      <c r="S648" s="177"/>
    </row>
    <row r="649" spans="1:19">
      <c r="A649" s="35" t="s">
        <v>2576</v>
      </c>
      <c r="B649" s="35"/>
      <c r="C649" s="35"/>
      <c r="D649" s="35"/>
      <c r="E649" s="35"/>
      <c r="F649" s="35"/>
      <c r="G649" s="35"/>
      <c r="H649" s="7" t="s">
        <v>2577</v>
      </c>
      <c r="I649" s="7" t="s">
        <v>2578</v>
      </c>
      <c r="J649" s="112" t="str">
        <f ca="1">IFERROR(__xludf.DUMMYFUNCTION("JOIN("": "",H649,I649)"),"3E-54-04-12-00-00-00: Elementos para monitoramento de instalações de gases medicinais")</f>
        <v>3E-54-04-12-00-00-00: Elementos para monitoramento de instalações de gases medicinais</v>
      </c>
      <c r="K649" s="4">
        <v>4</v>
      </c>
      <c r="L649" s="7"/>
      <c r="M649" s="7"/>
      <c r="N649" s="7"/>
      <c r="O649" s="7"/>
      <c r="P649" s="177"/>
      <c r="Q649" s="177"/>
      <c r="R649" s="177"/>
      <c r="S649" s="177"/>
    </row>
    <row r="650" spans="1:19">
      <c r="A650" s="35" t="s">
        <v>2580</v>
      </c>
      <c r="B650" s="35"/>
      <c r="C650" s="35"/>
      <c r="D650" s="35"/>
      <c r="E650" s="35"/>
      <c r="F650" s="35"/>
      <c r="G650" s="35"/>
      <c r="H650" s="7" t="s">
        <v>2581</v>
      </c>
      <c r="I650" s="7" t="s">
        <v>2582</v>
      </c>
      <c r="J650" s="112" t="str">
        <f ca="1">IFERROR(__xludf.DUMMYFUNCTION("JOIN("": "",H650,I650)"),"3E-54-04-12-02-00-00: Painel de alarme de gases medicinais")</f>
        <v>3E-54-04-12-02-00-00: Painel de alarme de gases medicinais</v>
      </c>
      <c r="K650" s="4">
        <v>5</v>
      </c>
      <c r="L650" s="7"/>
      <c r="M650" s="7"/>
      <c r="N650" s="7"/>
      <c r="O650" s="7"/>
      <c r="P650" s="177"/>
      <c r="Q650" s="177"/>
      <c r="R650" s="177"/>
      <c r="S650" s="177"/>
    </row>
    <row r="651" spans="1:19">
      <c r="A651" s="35" t="s">
        <v>2584</v>
      </c>
      <c r="B651" s="35"/>
      <c r="C651" s="35"/>
      <c r="D651" s="35"/>
      <c r="E651" s="35"/>
      <c r="F651" s="35"/>
      <c r="G651" s="35"/>
      <c r="H651" s="7" t="s">
        <v>2585</v>
      </c>
      <c r="I651" s="7" t="s">
        <v>2586</v>
      </c>
      <c r="J651" s="112" t="str">
        <f ca="1">IFERROR(__xludf.DUMMYFUNCTION("JOIN("": "",H651,I651)"),"3E-54-04-12-04-00-00: Painel repetidor de alarme para instalações prediais de gases medicinais")</f>
        <v>3E-54-04-12-04-00-00: Painel repetidor de alarme para instalações prediais de gases medicinais</v>
      </c>
      <c r="K651" s="4">
        <v>5</v>
      </c>
      <c r="L651" s="7"/>
      <c r="M651" s="7"/>
      <c r="N651" s="7"/>
      <c r="O651" s="7"/>
      <c r="P651" s="177"/>
      <c r="Q651" s="177"/>
      <c r="R651" s="177"/>
      <c r="S651" s="177"/>
    </row>
    <row r="652" spans="1:19">
      <c r="A652" s="111" t="s">
        <v>2592</v>
      </c>
      <c r="B652" s="111"/>
      <c r="C652" s="111"/>
      <c r="D652" s="111"/>
      <c r="E652" s="111"/>
      <c r="F652" s="111"/>
      <c r="G652" s="111"/>
      <c r="H652" s="3" t="s">
        <v>2593</v>
      </c>
      <c r="I652" s="3" t="s">
        <v>2594</v>
      </c>
      <c r="J652" s="112" t="str">
        <f ca="1">IFERROR(__xludf.DUMMYFUNCTION("JOIN("": "",H652,I652)"),"3E-54-06-00-00-00-00: Elementos para instalações de gases industriais")</f>
        <v>3E-54-06-00-00-00-00: Elementos para instalações de gases industriais</v>
      </c>
      <c r="K652" s="4">
        <v>3</v>
      </c>
      <c r="L652" s="7"/>
      <c r="M652" s="7"/>
      <c r="N652" s="7"/>
      <c r="O652" s="7"/>
      <c r="P652" s="177"/>
      <c r="Q652" s="177"/>
      <c r="R652" s="177"/>
      <c r="S652" s="177"/>
    </row>
    <row r="653" spans="1:19">
      <c r="A653" s="35" t="s">
        <v>2596</v>
      </c>
      <c r="B653" s="35"/>
      <c r="C653" s="35"/>
      <c r="D653" s="35"/>
      <c r="E653" s="35"/>
      <c r="F653" s="35"/>
      <c r="G653" s="35"/>
      <c r="H653" s="7" t="s">
        <v>2597</v>
      </c>
      <c r="I653" s="7" t="s">
        <v>2598</v>
      </c>
      <c r="J653" s="112" t="str">
        <f ca="1">IFERROR(__xludf.DUMMYFUNCTION("JOIN("": "",H653,I653)"),"3E-54-06-02-00-00-00: Elementos alimentadores em instalações de gases industriais")</f>
        <v>3E-54-06-02-00-00-00: Elementos alimentadores em instalações de gases industriais</v>
      </c>
      <c r="K653" s="4">
        <v>4</v>
      </c>
      <c r="L653" s="7"/>
      <c r="M653" s="7"/>
      <c r="N653" s="7"/>
      <c r="O653" s="7"/>
      <c r="P653" s="177"/>
      <c r="Q653" s="177"/>
      <c r="R653" s="177"/>
      <c r="S653" s="177"/>
    </row>
    <row r="654" spans="1:19">
      <c r="A654" s="35" t="s">
        <v>2600</v>
      </c>
      <c r="B654" s="35"/>
      <c r="C654" s="35"/>
      <c r="D654" s="35"/>
      <c r="E654" s="35"/>
      <c r="F654" s="35"/>
      <c r="G654" s="35"/>
      <c r="H654" s="7" t="s">
        <v>2601</v>
      </c>
      <c r="I654" s="7" t="s">
        <v>2602</v>
      </c>
      <c r="J654" s="112" t="str">
        <f ca="1">IFERROR(__xludf.DUMMYFUNCTION("JOIN("": "",H654,I654)"),"3E-54-06-04-00-00-00: Elementos para tratamento em instalações de gases industriais")</f>
        <v>3E-54-06-04-00-00-00: Elementos para tratamento em instalações de gases industriais</v>
      </c>
      <c r="K654" s="4">
        <v>4</v>
      </c>
      <c r="L654" s="7"/>
      <c r="M654" s="7"/>
      <c r="N654" s="7"/>
      <c r="O654" s="7"/>
      <c r="P654" s="177"/>
      <c r="Q654" s="177"/>
      <c r="R654" s="177"/>
      <c r="S654" s="177"/>
    </row>
    <row r="655" spans="1:19">
      <c r="A655" s="35" t="s">
        <v>2604</v>
      </c>
      <c r="B655" s="35"/>
      <c r="C655" s="35"/>
      <c r="D655" s="35"/>
      <c r="E655" s="35"/>
      <c r="F655" s="35"/>
      <c r="G655" s="35"/>
      <c r="H655" s="7" t="s">
        <v>2605</v>
      </c>
      <c r="I655" s="7" t="s">
        <v>2606</v>
      </c>
      <c r="J655" s="112" t="str">
        <f ca="1">IFERROR(__xludf.DUMMYFUNCTION("JOIN("": "",H655,I655)"),"3E-54-06-06-00-00-00: Elementos distribuidores em instalações de gases industriais")</f>
        <v>3E-54-06-06-00-00-00: Elementos distribuidores em instalações de gases industriais</v>
      </c>
      <c r="K655" s="4">
        <v>4</v>
      </c>
      <c r="L655" s="7"/>
      <c r="M655" s="7"/>
      <c r="N655" s="7"/>
      <c r="O655" s="7"/>
      <c r="P655" s="177"/>
      <c r="Q655" s="177"/>
      <c r="R655" s="177"/>
      <c r="S655" s="177"/>
    </row>
    <row r="656" spans="1:19">
      <c r="A656" s="35" t="s">
        <v>2608</v>
      </c>
      <c r="B656" s="35"/>
      <c r="C656" s="35"/>
      <c r="D656" s="35"/>
      <c r="E656" s="35"/>
      <c r="F656" s="35"/>
      <c r="G656" s="35"/>
      <c r="H656" s="7" t="s">
        <v>2609</v>
      </c>
      <c r="I656" s="7" t="s">
        <v>2610</v>
      </c>
      <c r="J656" s="112" t="str">
        <f ca="1">IFERROR(__xludf.DUMMYFUNCTION("JOIN("": "",H656,I656)"),"3E-54-06-08-00-00-00: Elementos conectores em instalações de gases industriais")</f>
        <v>3E-54-06-08-00-00-00: Elementos conectores em instalações de gases industriais</v>
      </c>
      <c r="K656" s="4">
        <v>4</v>
      </c>
      <c r="L656" s="7"/>
      <c r="M656" s="7"/>
      <c r="N656" s="7"/>
      <c r="O656" s="7"/>
      <c r="P656" s="177"/>
      <c r="Q656" s="177"/>
      <c r="R656" s="177"/>
      <c r="S656" s="177"/>
    </row>
    <row r="657" spans="1:19">
      <c r="A657" s="35" t="s">
        <v>2612</v>
      </c>
      <c r="B657" s="35"/>
      <c r="C657" s="35"/>
      <c r="D657" s="35"/>
      <c r="E657" s="35"/>
      <c r="F657" s="35"/>
      <c r="G657" s="35"/>
      <c r="H657" s="7" t="s">
        <v>2613</v>
      </c>
      <c r="I657" s="7" t="s">
        <v>2614</v>
      </c>
      <c r="J657" s="112" t="str">
        <f ca="1">IFERROR(__xludf.DUMMYFUNCTION("JOIN("": "",H657,I657)"),"3E-54-06-10-00-00-00: Elementos controladores de fluxo em instalações de gases industriais")</f>
        <v>3E-54-06-10-00-00-00: Elementos controladores de fluxo em instalações de gases industriais</v>
      </c>
      <c r="K657" s="4">
        <v>4</v>
      </c>
      <c r="L657" s="7"/>
      <c r="M657" s="7"/>
      <c r="N657" s="7"/>
      <c r="O657" s="7"/>
      <c r="P657" s="177"/>
      <c r="Q657" s="177"/>
      <c r="R657" s="177"/>
      <c r="S657" s="177"/>
    </row>
    <row r="658" spans="1:19">
      <c r="A658" s="35" t="s">
        <v>2616</v>
      </c>
      <c r="B658" s="35"/>
      <c r="C658" s="35"/>
      <c r="D658" s="35"/>
      <c r="E658" s="35"/>
      <c r="F658" s="35"/>
      <c r="G658" s="35"/>
      <c r="H658" s="7" t="s">
        <v>2617</v>
      </c>
      <c r="I658" s="7" t="s">
        <v>2618</v>
      </c>
      <c r="J658" s="112" t="str">
        <f ca="1">IFERROR(__xludf.DUMMYFUNCTION("JOIN("": "",H658,I658)"),"3E-54-06-12-00-00-00: Elementos para monitoramento de instalações de gases industriais")</f>
        <v>3E-54-06-12-00-00-00: Elementos para monitoramento de instalações de gases industriais</v>
      </c>
      <c r="K658" s="4">
        <v>4</v>
      </c>
      <c r="L658" s="7"/>
      <c r="M658" s="7"/>
      <c r="N658" s="7"/>
      <c r="O658" s="7"/>
      <c r="P658" s="177"/>
      <c r="Q658" s="177"/>
      <c r="R658" s="177"/>
      <c r="S658" s="177"/>
    </row>
    <row r="659" spans="1:19">
      <c r="A659" s="35" t="s">
        <v>2620</v>
      </c>
      <c r="B659" s="35"/>
      <c r="C659" s="35"/>
      <c r="D659" s="35"/>
      <c r="E659" s="35"/>
      <c r="F659" s="35"/>
      <c r="G659" s="35"/>
      <c r="H659" s="7" t="s">
        <v>2621</v>
      </c>
      <c r="I659" s="7" t="s">
        <v>2622</v>
      </c>
      <c r="J659" s="112" t="str">
        <f ca="1">IFERROR(__xludf.DUMMYFUNCTION("JOIN("": "",H659,I659)"),"3E-54-06-12-02-00-00: Painel de alarme de gases industriais")</f>
        <v>3E-54-06-12-02-00-00: Painel de alarme de gases industriais</v>
      </c>
      <c r="K659" s="4">
        <v>5</v>
      </c>
      <c r="L659" s="7"/>
      <c r="M659" s="7"/>
      <c r="N659" s="7"/>
      <c r="O659" s="7"/>
      <c r="P659" s="177"/>
      <c r="Q659" s="177"/>
      <c r="R659" s="177"/>
      <c r="S659" s="177"/>
    </row>
    <row r="660" spans="1:19">
      <c r="A660" s="35" t="s">
        <v>2624</v>
      </c>
      <c r="B660" s="35"/>
      <c r="C660" s="35"/>
      <c r="D660" s="35"/>
      <c r="E660" s="35"/>
      <c r="F660" s="35"/>
      <c r="G660" s="35"/>
      <c r="H660" s="7" t="s">
        <v>2625</v>
      </c>
      <c r="I660" s="7" t="s">
        <v>2626</v>
      </c>
      <c r="J660" s="112" t="str">
        <f ca="1">IFERROR(__xludf.DUMMYFUNCTION("JOIN("": "",H660,I660)"),"3E-54-06-12-04-00-00: Painel repetidor de alarme para instalações prediais de gases industriais")</f>
        <v>3E-54-06-12-04-00-00: Painel repetidor de alarme para instalações prediais de gases industriais</v>
      </c>
      <c r="K660" s="4">
        <v>5</v>
      </c>
      <c r="L660" s="7"/>
      <c r="M660" s="7"/>
      <c r="N660" s="7"/>
      <c r="O660" s="7"/>
      <c r="P660" s="177"/>
      <c r="Q660" s="177"/>
      <c r="R660" s="177"/>
      <c r="S660" s="177"/>
    </row>
    <row r="661" spans="1:19">
      <c r="A661" s="35" t="s">
        <v>2628</v>
      </c>
      <c r="B661" s="35"/>
      <c r="C661" s="35"/>
      <c r="D661" s="35"/>
      <c r="E661" s="35"/>
      <c r="F661" s="35"/>
      <c r="G661" s="35"/>
      <c r="H661" s="7" t="s">
        <v>2629</v>
      </c>
      <c r="I661" s="7" t="s">
        <v>2630</v>
      </c>
      <c r="J661" s="112" t="str">
        <f ca="1">IFERROR(__xludf.DUMMYFUNCTION("JOIN("": "",H661,I661)"),"3E-54-06-14-00-00-00: Elementos terminais em instalações de gases industriais")</f>
        <v>3E-54-06-14-00-00-00: Elementos terminais em instalações de gases industriais</v>
      </c>
      <c r="K661" s="4">
        <v>4</v>
      </c>
      <c r="L661" s="7"/>
      <c r="M661" s="7"/>
      <c r="N661" s="7"/>
      <c r="O661" s="7"/>
      <c r="P661" s="177"/>
      <c r="Q661" s="177"/>
      <c r="R661" s="177"/>
      <c r="S661" s="177"/>
    </row>
    <row r="662" spans="1:19">
      <c r="A662" s="111" t="s">
        <v>2632</v>
      </c>
      <c r="B662" s="111"/>
      <c r="C662" s="111"/>
      <c r="D662" s="111"/>
      <c r="E662" s="111"/>
      <c r="F662" s="111"/>
      <c r="G662" s="111"/>
      <c r="H662" s="3" t="s">
        <v>2633</v>
      </c>
      <c r="I662" s="3" t="s">
        <v>2634</v>
      </c>
      <c r="J662" s="112" t="str">
        <f ca="1">IFERROR(__xludf.DUMMYFUNCTION("JOIN("": "",H662,I662)"),"3E-54-08-00-00-00-00: Elementos para instalações de gases especiais")</f>
        <v>3E-54-08-00-00-00-00: Elementos para instalações de gases especiais</v>
      </c>
      <c r="K662" s="4">
        <v>3</v>
      </c>
      <c r="L662" s="7"/>
      <c r="M662" s="7"/>
      <c r="N662" s="7"/>
      <c r="O662" s="7"/>
      <c r="P662" s="177"/>
      <c r="Q662" s="177"/>
      <c r="R662" s="177"/>
      <c r="S662" s="177"/>
    </row>
    <row r="663" spans="1:19">
      <c r="A663" s="35" t="s">
        <v>2636</v>
      </c>
      <c r="B663" s="35"/>
      <c r="C663" s="35"/>
      <c r="D663" s="35"/>
      <c r="E663" s="35"/>
      <c r="F663" s="35"/>
      <c r="G663" s="35"/>
      <c r="H663" s="7" t="s">
        <v>2637</v>
      </c>
      <c r="I663" s="7" t="s">
        <v>2638</v>
      </c>
      <c r="J663" s="112" t="str">
        <f ca="1">IFERROR(__xludf.DUMMYFUNCTION("JOIN("": "",H663,I663)"),"3E-54-08-02-00-00-00: Elementos alimentadores em instalações de gases especiais")</f>
        <v>3E-54-08-02-00-00-00: Elementos alimentadores em instalações de gases especiais</v>
      </c>
      <c r="K663" s="4">
        <v>4</v>
      </c>
      <c r="L663" s="7"/>
      <c r="M663" s="7"/>
      <c r="N663" s="7"/>
      <c r="O663" s="7"/>
      <c r="P663" s="177"/>
      <c r="Q663" s="177"/>
      <c r="R663" s="177"/>
      <c r="S663" s="177"/>
    </row>
    <row r="664" spans="1:19">
      <c r="A664" s="35" t="s">
        <v>2640</v>
      </c>
      <c r="B664" s="35"/>
      <c r="C664" s="35"/>
      <c r="D664" s="35"/>
      <c r="E664" s="35"/>
      <c r="F664" s="35"/>
      <c r="G664" s="35"/>
      <c r="H664" s="7" t="s">
        <v>2641</v>
      </c>
      <c r="I664" s="7" t="s">
        <v>2642</v>
      </c>
      <c r="J664" s="112" t="str">
        <f ca="1">IFERROR(__xludf.DUMMYFUNCTION("JOIN("": "",H664,I664)"),"3E-54-08-04-00-00-00: Elementos para tratamento em instalações de gases especiais")</f>
        <v>3E-54-08-04-00-00-00: Elementos para tratamento em instalações de gases especiais</v>
      </c>
      <c r="K664" s="4">
        <v>4</v>
      </c>
      <c r="L664" s="7"/>
      <c r="M664" s="7"/>
      <c r="N664" s="7"/>
      <c r="O664" s="7"/>
      <c r="P664" s="177"/>
      <c r="Q664" s="177"/>
      <c r="R664" s="177"/>
      <c r="S664" s="177"/>
    </row>
    <row r="665" spans="1:19">
      <c r="A665" s="35" t="s">
        <v>2644</v>
      </c>
      <c r="B665" s="35"/>
      <c r="C665" s="35"/>
      <c r="D665" s="35"/>
      <c r="E665" s="35"/>
      <c r="F665" s="35"/>
      <c r="G665" s="35"/>
      <c r="H665" s="7" t="s">
        <v>2645</v>
      </c>
      <c r="I665" s="7" t="s">
        <v>2646</v>
      </c>
      <c r="J665" s="112" t="str">
        <f ca="1">IFERROR(__xludf.DUMMYFUNCTION("JOIN("": "",H665,I665)"),"3E-54-08-06-00-00-00: Elementos distribuidores em instalações de gases especiais")</f>
        <v>3E-54-08-06-00-00-00: Elementos distribuidores em instalações de gases especiais</v>
      </c>
      <c r="K665" s="4">
        <v>4</v>
      </c>
      <c r="L665" s="7"/>
      <c r="M665" s="7"/>
      <c r="N665" s="7"/>
      <c r="O665" s="7"/>
      <c r="P665" s="177"/>
      <c r="Q665" s="177"/>
      <c r="R665" s="177"/>
      <c r="S665" s="177"/>
    </row>
    <row r="666" spans="1:19">
      <c r="A666" s="35" t="s">
        <v>2648</v>
      </c>
      <c r="B666" s="35"/>
      <c r="C666" s="35"/>
      <c r="D666" s="35"/>
      <c r="E666" s="35"/>
      <c r="F666" s="35"/>
      <c r="G666" s="35"/>
      <c r="H666" s="7" t="s">
        <v>2649</v>
      </c>
      <c r="I666" s="7" t="s">
        <v>2650</v>
      </c>
      <c r="J666" s="112" t="str">
        <f ca="1">IFERROR(__xludf.DUMMYFUNCTION("JOIN("": "",H666,I666)"),"3E-54-08-08-00-00-00: Elementos conectores em instalações de gases especiais")</f>
        <v>3E-54-08-08-00-00-00: Elementos conectores em instalações de gases especiais</v>
      </c>
      <c r="K666" s="4">
        <v>4</v>
      </c>
      <c r="L666" s="7"/>
      <c r="M666" s="7"/>
      <c r="N666" s="7"/>
      <c r="O666" s="7"/>
      <c r="P666" s="177"/>
      <c r="Q666" s="177"/>
      <c r="R666" s="177"/>
      <c r="S666" s="177"/>
    </row>
    <row r="667" spans="1:19">
      <c r="A667" s="35" t="s">
        <v>2652</v>
      </c>
      <c r="B667" s="35"/>
      <c r="C667" s="35"/>
      <c r="D667" s="35"/>
      <c r="E667" s="35"/>
      <c r="F667" s="35"/>
      <c r="G667" s="35"/>
      <c r="H667" s="7" t="s">
        <v>2653</v>
      </c>
      <c r="I667" s="7" t="s">
        <v>2654</v>
      </c>
      <c r="J667" s="112" t="str">
        <f ca="1">IFERROR(__xludf.DUMMYFUNCTION("JOIN("": "",H667,I667)"),"3E-54-08-10-00-00-00: Elementos controladores de fluxo em instalações de gases especiais")</f>
        <v>3E-54-08-10-00-00-00: Elementos controladores de fluxo em instalações de gases especiais</v>
      </c>
      <c r="K667" s="4">
        <v>4</v>
      </c>
      <c r="L667" s="7"/>
      <c r="M667" s="7"/>
      <c r="N667" s="7"/>
      <c r="O667" s="7"/>
      <c r="P667" s="177"/>
      <c r="Q667" s="177"/>
      <c r="R667" s="177"/>
      <c r="S667" s="177"/>
    </row>
    <row r="668" spans="1:19">
      <c r="A668" s="35" t="s">
        <v>2656</v>
      </c>
      <c r="B668" s="35"/>
      <c r="C668" s="35"/>
      <c r="D668" s="35"/>
      <c r="E668" s="35"/>
      <c r="F668" s="35"/>
      <c r="G668" s="35"/>
      <c r="H668" s="7" t="s">
        <v>2657</v>
      </c>
      <c r="I668" s="7" t="s">
        <v>2658</v>
      </c>
      <c r="J668" s="112" t="str">
        <f ca="1">IFERROR(__xludf.DUMMYFUNCTION("JOIN("": "",H668,I668)"),"3E-54-08-12-00-00-00: Elementos para monitoramento de instalações de gases especiais")</f>
        <v>3E-54-08-12-00-00-00: Elementos para monitoramento de instalações de gases especiais</v>
      </c>
      <c r="K668" s="4">
        <v>4</v>
      </c>
      <c r="L668" s="7"/>
      <c r="M668" s="7"/>
      <c r="N668" s="7"/>
      <c r="O668" s="7"/>
      <c r="P668" s="177"/>
      <c r="Q668" s="177"/>
      <c r="R668" s="177"/>
      <c r="S668" s="177"/>
    </row>
    <row r="669" spans="1:19">
      <c r="A669" s="35" t="s">
        <v>2660</v>
      </c>
      <c r="B669" s="35"/>
      <c r="C669" s="35"/>
      <c r="D669" s="35"/>
      <c r="E669" s="35"/>
      <c r="F669" s="35"/>
      <c r="G669" s="35"/>
      <c r="H669" s="7" t="s">
        <v>2661</v>
      </c>
      <c r="I669" s="7" t="s">
        <v>2662</v>
      </c>
      <c r="J669" s="112" t="str">
        <f ca="1">IFERROR(__xludf.DUMMYFUNCTION("JOIN("": "",H669,I669)"),"3E-54-08-12-02-00-00: Painel de alarme de gases especiais")</f>
        <v>3E-54-08-12-02-00-00: Painel de alarme de gases especiais</v>
      </c>
      <c r="K669" s="4">
        <v>5</v>
      </c>
      <c r="L669" s="7"/>
      <c r="M669" s="7"/>
      <c r="N669" s="7"/>
      <c r="O669" s="7"/>
      <c r="P669" s="177"/>
      <c r="Q669" s="177"/>
      <c r="R669" s="177"/>
      <c r="S669" s="177"/>
    </row>
    <row r="670" spans="1:19">
      <c r="A670" s="35" t="s">
        <v>2664</v>
      </c>
      <c r="B670" s="35"/>
      <c r="C670" s="35"/>
      <c r="D670" s="35"/>
      <c r="E670" s="35"/>
      <c r="F670" s="35"/>
      <c r="G670" s="35"/>
      <c r="H670" s="7" t="s">
        <v>2665</v>
      </c>
      <c r="I670" s="7" t="s">
        <v>2666</v>
      </c>
      <c r="J670" s="112" t="str">
        <f ca="1">IFERROR(__xludf.DUMMYFUNCTION("JOIN("": "",H670,I670)"),"3E-54-08-12-04-00-00: Painel repetidor de alarme para instalações prediais de gases especiais")</f>
        <v>3E-54-08-12-04-00-00: Painel repetidor de alarme para instalações prediais de gases especiais</v>
      </c>
      <c r="K670" s="4">
        <v>5</v>
      </c>
      <c r="L670" s="7"/>
      <c r="M670" s="7"/>
      <c r="N670" s="7"/>
      <c r="O670" s="7"/>
      <c r="P670" s="177"/>
      <c r="Q670" s="177"/>
      <c r="R670" s="177"/>
      <c r="S670" s="177"/>
    </row>
    <row r="671" spans="1:19">
      <c r="A671" s="35" t="s">
        <v>2668</v>
      </c>
      <c r="B671" s="35"/>
      <c r="C671" s="35"/>
      <c r="D671" s="35"/>
      <c r="E671" s="35"/>
      <c r="F671" s="35"/>
      <c r="G671" s="35"/>
      <c r="H671" s="7" t="s">
        <v>2669</v>
      </c>
      <c r="I671" s="7" t="s">
        <v>2670</v>
      </c>
      <c r="J671" s="112" t="str">
        <f ca="1">IFERROR(__xludf.DUMMYFUNCTION("JOIN("": "",H671,I671)"),"3E-54-08-14-00-00-00: Elementos terminais em instalações de gases especiais")</f>
        <v>3E-54-08-14-00-00-00: Elementos terminais em instalações de gases especiais</v>
      </c>
      <c r="K671" s="4">
        <v>4</v>
      </c>
      <c r="L671" s="7"/>
      <c r="M671" s="7"/>
      <c r="N671" s="7"/>
      <c r="O671" s="7"/>
      <c r="P671" s="177"/>
      <c r="Q671" s="177"/>
      <c r="R671" s="177"/>
      <c r="S671" s="177"/>
    </row>
    <row r="672" spans="1:19">
      <c r="A672" s="35" t="s">
        <v>2588</v>
      </c>
      <c r="B672" s="35"/>
      <c r="C672" s="35"/>
      <c r="D672" s="35"/>
      <c r="E672" s="35"/>
      <c r="F672" s="35"/>
      <c r="G672" s="35"/>
      <c r="H672" s="7" t="s">
        <v>2589</v>
      </c>
      <c r="I672" s="7" t="s">
        <v>2590</v>
      </c>
      <c r="J672" s="112" t="str">
        <f ca="1">IFERROR(__xludf.DUMMYFUNCTION("JOIN("": "",H672,I672)"),"3E-540-4-14-00-00-00: Elementos terminais em instalações de gases medicinais")</f>
        <v>3E-540-4-14-00-00-00: Elementos terminais em instalações de gases medicinais</v>
      </c>
      <c r="K672" s="4">
        <v>4</v>
      </c>
      <c r="L672" s="7"/>
      <c r="M672" s="7"/>
      <c r="N672" s="7"/>
      <c r="O672" s="7"/>
      <c r="P672" s="177"/>
      <c r="Q672" s="177"/>
      <c r="R672" s="177"/>
      <c r="S672" s="177"/>
    </row>
    <row r="673" spans="1:31">
      <c r="A673" s="111" t="s">
        <v>2672</v>
      </c>
      <c r="B673" s="111"/>
      <c r="C673" s="111"/>
      <c r="D673" s="111"/>
      <c r="E673" s="111"/>
      <c r="F673" s="111"/>
      <c r="G673" s="111"/>
      <c r="H673" s="3" t="s">
        <v>2673</v>
      </c>
      <c r="I673" s="3" t="s">
        <v>2674</v>
      </c>
      <c r="J673" s="112" t="str">
        <f ca="1">IFERROR(__xludf.DUMMYFUNCTION("JOIN("": "",H673,I673)"),"3E-56-00-00-00-00-00: Elementos móveis")</f>
        <v>3E-56-00-00-00-00-00: Elementos móveis</v>
      </c>
      <c r="K673" s="4">
        <v>2</v>
      </c>
      <c r="L673" s="7"/>
      <c r="M673" s="7"/>
      <c r="N673" s="7"/>
      <c r="O673" s="7"/>
      <c r="P673" s="177"/>
      <c r="Q673" s="177"/>
      <c r="R673" s="177"/>
      <c r="S673" s="177"/>
      <c r="AD673" s="7"/>
      <c r="AE673" s="35"/>
    </row>
    <row r="674" spans="1:31">
      <c r="A674" s="111" t="s">
        <v>2676</v>
      </c>
      <c r="B674" s="111"/>
      <c r="C674" s="111"/>
      <c r="D674" s="111"/>
      <c r="E674" s="111"/>
      <c r="F674" s="111"/>
      <c r="G674" s="111"/>
      <c r="H674" s="3" t="s">
        <v>2677</v>
      </c>
      <c r="I674" s="3" t="s">
        <v>2678</v>
      </c>
      <c r="J674" s="112" t="str">
        <f ca="1">IFERROR(__xludf.DUMMYFUNCTION("JOIN("": "",H674,I674)"),"3E-56-02-00-00-00-00: Elementos para comunicação visual")</f>
        <v>3E-56-02-00-00-00-00: Elementos para comunicação visual</v>
      </c>
      <c r="K674" s="4">
        <v>3</v>
      </c>
      <c r="L674" s="7"/>
      <c r="M674" s="7"/>
      <c r="N674" s="7"/>
      <c r="O674" s="7"/>
      <c r="P674" s="177"/>
      <c r="Q674" s="177"/>
      <c r="R674" s="177"/>
      <c r="S674" s="177"/>
    </row>
    <row r="675" spans="1:31">
      <c r="A675" s="111" t="s">
        <v>2680</v>
      </c>
      <c r="B675" s="111"/>
      <c r="C675" s="111"/>
      <c r="D675" s="111"/>
      <c r="E675" s="111"/>
      <c r="F675" s="111"/>
      <c r="G675" s="111"/>
      <c r="H675" s="3" t="s">
        <v>2681</v>
      </c>
      <c r="I675" s="3" t="s">
        <v>2682</v>
      </c>
      <c r="J675" s="112" t="str">
        <f ca="1">IFERROR(__xludf.DUMMYFUNCTION("JOIN("": "",H675,I675)"),"3E-56-04-00-00-00-00: Elementos de mobiliário")</f>
        <v>3E-56-04-00-00-00-00: Elementos de mobiliário</v>
      </c>
      <c r="K675" s="4">
        <v>3</v>
      </c>
      <c r="L675" s="7"/>
      <c r="M675" s="7"/>
      <c r="N675" s="7"/>
      <c r="O675" s="7"/>
      <c r="P675" s="177"/>
      <c r="Q675" s="177"/>
      <c r="R675" s="177"/>
      <c r="S675" s="177"/>
    </row>
    <row r="676" spans="1:31">
      <c r="A676" s="111" t="s">
        <v>2684</v>
      </c>
      <c r="B676" s="111"/>
      <c r="C676" s="111"/>
      <c r="D676" s="111"/>
      <c r="E676" s="111"/>
      <c r="F676" s="111"/>
      <c r="G676" s="111"/>
      <c r="H676" s="3" t="s">
        <v>2685</v>
      </c>
      <c r="I676" s="3" t="s">
        <v>2686</v>
      </c>
      <c r="J676" s="112" t="str">
        <f ca="1">IFERROR(__xludf.DUMMYFUNCTION("JOIN("": "",H676,I676)"),"3E-56-06-00-00-00-00: Equipamentos móveis conectados às instalações elétricas")</f>
        <v>3E-56-06-00-00-00-00: Equipamentos móveis conectados às instalações elétricas</v>
      </c>
      <c r="K676" s="4">
        <v>3</v>
      </c>
      <c r="L676" s="7"/>
      <c r="M676" s="7"/>
      <c r="N676" s="7"/>
      <c r="O676" s="7"/>
      <c r="P676" s="177"/>
      <c r="Q676" s="177"/>
      <c r="R676" s="177"/>
      <c r="S676" s="177"/>
    </row>
    <row r="677" spans="1:31">
      <c r="A677" s="111" t="s">
        <v>2688</v>
      </c>
      <c r="B677" s="111"/>
      <c r="C677" s="111"/>
      <c r="D677" s="111"/>
      <c r="E677" s="111"/>
      <c r="F677" s="111"/>
      <c r="G677" s="111"/>
      <c r="H677" s="3" t="s">
        <v>2689</v>
      </c>
      <c r="I677" s="3" t="s">
        <v>2690</v>
      </c>
      <c r="J677" s="112" t="str">
        <f ca="1">IFERROR(__xludf.DUMMYFUNCTION("JOIN("": "",H677,I677)"),"3E-56-08-00-00-00-00: Equipamentos móveis conectados às instalações hidráulicas")</f>
        <v>3E-56-08-00-00-00-00: Equipamentos móveis conectados às instalações hidráulicas</v>
      </c>
      <c r="K677" s="4">
        <v>3</v>
      </c>
      <c r="L677" s="7"/>
      <c r="M677" s="7"/>
      <c r="N677" s="7"/>
      <c r="O677" s="7"/>
      <c r="P677" s="177"/>
      <c r="Q677" s="177"/>
      <c r="R677" s="177"/>
      <c r="S677" s="177"/>
    </row>
    <row r="678" spans="1:31">
      <c r="A678" s="111" t="s">
        <v>2692</v>
      </c>
      <c r="B678" s="111"/>
      <c r="C678" s="111"/>
      <c r="D678" s="111"/>
      <c r="E678" s="111"/>
      <c r="F678" s="111"/>
      <c r="G678" s="111"/>
      <c r="H678" s="3" t="s">
        <v>2693</v>
      </c>
      <c r="I678" s="3" t="s">
        <v>2694</v>
      </c>
      <c r="J678" s="112" t="str">
        <f ca="1">IFERROR(__xludf.DUMMYFUNCTION("JOIN("": "",H678,I678)"),"3E-58-00-00-00-00-00: Elementos de automação")</f>
        <v>3E-58-00-00-00-00-00: Elementos de automação</v>
      </c>
      <c r="K678" s="4">
        <v>2</v>
      </c>
      <c r="L678" s="7"/>
      <c r="M678" s="7"/>
      <c r="N678" s="7"/>
      <c r="O678" s="7"/>
      <c r="P678" s="177"/>
      <c r="Q678" s="177"/>
      <c r="R678" s="177"/>
      <c r="S678" s="177"/>
      <c r="AD678" s="7"/>
      <c r="AE678" s="35"/>
    </row>
    <row r="679" spans="1:31">
      <c r="A679" s="111" t="s">
        <v>2696</v>
      </c>
      <c r="B679" s="111"/>
      <c r="C679" s="111"/>
      <c r="D679" s="111"/>
      <c r="E679" s="111"/>
      <c r="F679" s="111"/>
      <c r="G679" s="111"/>
      <c r="H679" s="3" t="s">
        <v>2697</v>
      </c>
      <c r="I679" s="3" t="s">
        <v>2698</v>
      </c>
      <c r="J679" s="112" t="str">
        <f ca="1">IFERROR(__xludf.DUMMYFUNCTION("JOIN("": "",H679,I679)"),"3E-58-02-00-00-00-00: Elementos de automação predial")</f>
        <v>3E-58-02-00-00-00-00: Elementos de automação predial</v>
      </c>
      <c r="K679" s="4">
        <v>3</v>
      </c>
      <c r="L679" s="7"/>
      <c r="M679" s="7"/>
      <c r="N679" s="7"/>
      <c r="O679" s="7"/>
      <c r="P679" s="177"/>
      <c r="Q679" s="177"/>
      <c r="R679" s="177"/>
      <c r="S679" s="177"/>
    </row>
    <row r="680" spans="1:31">
      <c r="A680" s="111" t="s">
        <v>2700</v>
      </c>
      <c r="B680" s="111"/>
      <c r="C680" s="111"/>
      <c r="D680" s="111"/>
      <c r="E680" s="111"/>
      <c r="F680" s="111"/>
      <c r="G680" s="111"/>
      <c r="H680" s="3" t="s">
        <v>2701</v>
      </c>
      <c r="I680" s="3" t="s">
        <v>2702</v>
      </c>
      <c r="J680" s="112" t="str">
        <f ca="1">IFERROR(__xludf.DUMMYFUNCTION("JOIN("": "",H680,I680)"),"3E-58-04-00-00-00-00: Elementos de automação industrial")</f>
        <v>3E-58-04-00-00-00-00: Elementos de automação industrial</v>
      </c>
      <c r="K680" s="4">
        <v>3</v>
      </c>
      <c r="L680" s="7"/>
      <c r="M680" s="7"/>
      <c r="N680" s="7"/>
      <c r="O680" s="7"/>
      <c r="P680" s="177"/>
      <c r="Q680" s="177"/>
      <c r="R680" s="177"/>
      <c r="S680" s="177"/>
    </row>
    <row r="681" spans="1:31">
      <c r="A681" s="111" t="s">
        <v>2704</v>
      </c>
      <c r="B681" s="111"/>
      <c r="C681" s="111"/>
      <c r="D681" s="111"/>
      <c r="E681" s="111"/>
      <c r="F681" s="111"/>
      <c r="G681" s="111"/>
      <c r="H681" s="3" t="s">
        <v>2705</v>
      </c>
      <c r="I681" s="3" t="s">
        <v>2706</v>
      </c>
      <c r="J681" s="112" t="str">
        <f ca="1">IFERROR(__xludf.DUMMYFUNCTION("JOIN("": "",H681,I681)"),"3E-60-00-00-00-00-00: Elementos de sistemas de proteção a descargas atmosféricas")</f>
        <v>3E-60-00-00-00-00-00: Elementos de sistemas de proteção a descargas atmosféricas</v>
      </c>
      <c r="K681" s="4">
        <v>2</v>
      </c>
      <c r="L681" s="7"/>
      <c r="M681" s="7"/>
      <c r="N681" s="7"/>
      <c r="O681" s="7"/>
      <c r="P681" s="177"/>
      <c r="Q681" s="177"/>
      <c r="R681" s="177"/>
      <c r="S681" s="177"/>
      <c r="AD681" s="7"/>
      <c r="AE681" s="35"/>
    </row>
    <row r="682" spans="1:31">
      <c r="A682" s="111" t="s">
        <v>2708</v>
      </c>
      <c r="B682" s="111"/>
      <c r="C682" s="111"/>
      <c r="D682" s="111"/>
      <c r="E682" s="111"/>
      <c r="F682" s="111"/>
      <c r="G682" s="111"/>
      <c r="H682" s="3" t="s">
        <v>2709</v>
      </c>
      <c r="I682" s="3" t="s">
        <v>2710</v>
      </c>
      <c r="J682" s="112" t="str">
        <f ca="1">IFERROR(__xludf.DUMMYFUNCTION("JOIN("": "",H682,I682)"),"3E-60-02-00-00-00-00: Elementos para a captação de descargas atmosféricas")</f>
        <v>3E-60-02-00-00-00-00: Elementos para a captação de descargas atmosféricas</v>
      </c>
      <c r="K682" s="4">
        <v>3</v>
      </c>
      <c r="L682" s="7"/>
      <c r="M682" s="7"/>
      <c r="N682" s="7"/>
      <c r="O682" s="7"/>
      <c r="P682" s="177"/>
      <c r="Q682" s="177"/>
      <c r="R682" s="177"/>
      <c r="S682" s="177"/>
    </row>
    <row r="683" spans="1:31">
      <c r="A683" s="35" t="s">
        <v>2712</v>
      </c>
      <c r="B683" s="35"/>
      <c r="C683" s="35"/>
      <c r="D683" s="35"/>
      <c r="E683" s="35"/>
      <c r="F683" s="35"/>
      <c r="G683" s="35"/>
      <c r="H683" s="7" t="s">
        <v>2713</v>
      </c>
      <c r="I683" s="7" t="s">
        <v>2714</v>
      </c>
      <c r="J683" s="112" t="str">
        <f ca="1">IFERROR(__xludf.DUMMYFUNCTION("JOIN("": "",H683,I683)"),"3E-60-02-02-00-00-00: Para-raios")</f>
        <v>3E-60-02-02-00-00-00: Para-raios</v>
      </c>
      <c r="K683" s="4">
        <v>4</v>
      </c>
      <c r="L683" s="7"/>
      <c r="M683" s="7"/>
      <c r="N683" s="7"/>
      <c r="O683" s="7"/>
      <c r="P683" s="177"/>
      <c r="Q683" s="177"/>
      <c r="R683" s="177"/>
      <c r="S683" s="177"/>
    </row>
    <row r="684" spans="1:31">
      <c r="A684" s="35" t="s">
        <v>2716</v>
      </c>
      <c r="B684" s="35"/>
      <c r="C684" s="35"/>
      <c r="D684" s="35"/>
      <c r="E684" s="35"/>
      <c r="F684" s="35"/>
      <c r="G684" s="35"/>
      <c r="H684" s="7" t="s">
        <v>2717</v>
      </c>
      <c r="I684" s="7" t="s">
        <v>2718</v>
      </c>
      <c r="J684" s="112" t="str">
        <f ca="1">IFERROR(__xludf.DUMMYFUNCTION("JOIN("": "",H684,I684)"),"3E-60-02-04-00-00-00: Haste Franklin")</f>
        <v>3E-60-02-04-00-00-00: Haste Franklin</v>
      </c>
      <c r="K684" s="4">
        <v>4</v>
      </c>
      <c r="L684" s="7"/>
      <c r="M684" s="7"/>
      <c r="N684" s="7"/>
      <c r="O684" s="7"/>
      <c r="P684" s="177"/>
      <c r="Q684" s="177"/>
      <c r="R684" s="177"/>
      <c r="S684" s="177"/>
    </row>
    <row r="685" spans="1:31">
      <c r="A685" s="35" t="s">
        <v>2720</v>
      </c>
      <c r="B685" s="35"/>
      <c r="C685" s="35"/>
      <c r="D685" s="35"/>
      <c r="E685" s="35"/>
      <c r="F685" s="35"/>
      <c r="G685" s="35"/>
      <c r="H685" s="7" t="s">
        <v>2721</v>
      </c>
      <c r="I685" s="7" t="s">
        <v>2722</v>
      </c>
      <c r="J685" s="112" t="str">
        <f ca="1">IFERROR(__xludf.DUMMYFUNCTION("JOIN("": "",H685,I685)"),"3E-60-02-06-00-00-00: Haste ionizante")</f>
        <v>3E-60-02-06-00-00-00: Haste ionizante</v>
      </c>
      <c r="K685" s="4">
        <v>4</v>
      </c>
      <c r="L685" s="7"/>
      <c r="M685" s="7"/>
      <c r="N685" s="7"/>
      <c r="O685" s="7"/>
      <c r="P685" s="177"/>
      <c r="Q685" s="177"/>
      <c r="R685" s="177"/>
      <c r="S685" s="177"/>
    </row>
    <row r="686" spans="1:31">
      <c r="A686" s="35" t="s">
        <v>2724</v>
      </c>
      <c r="B686" s="35"/>
      <c r="C686" s="35"/>
      <c r="D686" s="35"/>
      <c r="E686" s="35"/>
      <c r="F686" s="35"/>
      <c r="G686" s="35"/>
      <c r="H686" s="7" t="s">
        <v>2725</v>
      </c>
      <c r="I686" s="7" t="s">
        <v>2726</v>
      </c>
      <c r="J686" s="112" t="str">
        <f ca="1">IFERROR(__xludf.DUMMYFUNCTION("JOIN("": "",H686,I686)"),"3E-60-02-08-00-00-00: Gaiola de Faraday")</f>
        <v>3E-60-02-08-00-00-00: Gaiola de Faraday</v>
      </c>
      <c r="K686" s="4">
        <v>4</v>
      </c>
      <c r="L686" s="7"/>
      <c r="M686" s="7"/>
      <c r="N686" s="7"/>
      <c r="O686" s="7"/>
      <c r="P686" s="177"/>
      <c r="Q686" s="177"/>
      <c r="R686" s="177"/>
      <c r="S686" s="177"/>
    </row>
    <row r="687" spans="1:31">
      <c r="A687" s="111" t="s">
        <v>2728</v>
      </c>
      <c r="B687" s="111"/>
      <c r="C687" s="111"/>
      <c r="D687" s="111"/>
      <c r="E687" s="111"/>
      <c r="F687" s="111"/>
      <c r="G687" s="111"/>
      <c r="H687" s="3" t="s">
        <v>2729</v>
      </c>
      <c r="I687" s="3" t="s">
        <v>2730</v>
      </c>
      <c r="J687" s="112" t="str">
        <f ca="1">IFERROR(__xludf.DUMMYFUNCTION("JOIN("": "",H687,I687)"),"3E-60-04-00-00-00-00: Elementos para descida de descargas atmosféricas")</f>
        <v>3E-60-04-00-00-00-00: Elementos para descida de descargas atmosféricas</v>
      </c>
      <c r="K687" s="4">
        <v>3</v>
      </c>
      <c r="L687" s="7"/>
      <c r="M687" s="7"/>
      <c r="N687" s="7"/>
      <c r="O687" s="7"/>
      <c r="P687" s="177"/>
      <c r="Q687" s="177"/>
      <c r="R687" s="177"/>
      <c r="S687" s="177"/>
    </row>
    <row r="688" spans="1:31">
      <c r="A688" s="35" t="s">
        <v>2732</v>
      </c>
      <c r="B688" s="35"/>
      <c r="C688" s="35"/>
      <c r="D688" s="35"/>
      <c r="E688" s="35"/>
      <c r="F688" s="35"/>
      <c r="G688" s="35"/>
      <c r="H688" s="7" t="s">
        <v>2733</v>
      </c>
      <c r="I688" s="7" t="s">
        <v>2734</v>
      </c>
      <c r="J688" s="112" t="str">
        <f ca="1">IFERROR(__xludf.DUMMYFUNCTION("JOIN("": "",H688,I688)"),"3E-60-04-02-00-00-00: Condutor de interligação")</f>
        <v>3E-60-04-02-00-00-00: Condutor de interligação</v>
      </c>
      <c r="K688" s="4">
        <v>4</v>
      </c>
      <c r="L688" s="7"/>
      <c r="M688" s="7"/>
      <c r="N688" s="7"/>
      <c r="O688" s="7"/>
      <c r="P688" s="177"/>
      <c r="Q688" s="177"/>
      <c r="R688" s="177"/>
      <c r="S688" s="177"/>
    </row>
    <row r="689" spans="1:31">
      <c r="A689" s="111" t="s">
        <v>2736</v>
      </c>
      <c r="B689" s="111"/>
      <c r="C689" s="111"/>
      <c r="D689" s="111"/>
      <c r="E689" s="111"/>
      <c r="F689" s="111"/>
      <c r="G689" s="111"/>
      <c r="H689" s="3" t="s">
        <v>2737</v>
      </c>
      <c r="I689" s="3" t="s">
        <v>2738</v>
      </c>
      <c r="J689" s="112" t="str">
        <f ca="1">IFERROR(__xludf.DUMMYFUNCTION("JOIN("": "",H689,I689)"),"3E-60-06-00-00-00-00: Elementos para a conexão de aterramento da descarga atmosférica")</f>
        <v>3E-60-06-00-00-00-00: Elementos para a conexão de aterramento da descarga atmosférica</v>
      </c>
      <c r="K689" s="4">
        <v>3</v>
      </c>
      <c r="L689" s="7"/>
      <c r="M689" s="7"/>
      <c r="N689" s="7"/>
      <c r="O689" s="7"/>
      <c r="P689" s="177"/>
      <c r="Q689" s="177"/>
      <c r="R689" s="177"/>
      <c r="S689" s="177"/>
    </row>
    <row r="690" spans="1:31">
      <c r="A690" s="35" t="s">
        <v>2740</v>
      </c>
      <c r="B690" s="35"/>
      <c r="C690" s="35"/>
      <c r="D690" s="35"/>
      <c r="E690" s="35"/>
      <c r="F690" s="35"/>
      <c r="G690" s="35"/>
      <c r="H690" s="7" t="s">
        <v>2741</v>
      </c>
      <c r="I690" s="7" t="s">
        <v>2748</v>
      </c>
      <c r="J690" s="112" t="str">
        <f ca="1">IFERROR(__xludf.DUMMYFUNCTION("JOIN("": "",H690,I690)"),"3E-60-06-02-00-00-00: Dispositivo de proteção contra surtos atmosféricos (dps-a)")</f>
        <v>3E-60-06-02-00-00-00: Dispositivo de proteção contra surtos atmosféricos (dps-a)</v>
      </c>
      <c r="K690" s="4">
        <v>4</v>
      </c>
      <c r="L690" s="7"/>
      <c r="M690" s="7"/>
      <c r="N690" s="7"/>
      <c r="O690" s="7"/>
      <c r="P690" s="177"/>
      <c r="Q690" s="177"/>
      <c r="R690" s="177"/>
      <c r="S690" s="177"/>
    </row>
    <row r="691" spans="1:31">
      <c r="A691" s="35" t="s">
        <v>2740</v>
      </c>
      <c r="B691" s="35"/>
      <c r="C691" s="35"/>
      <c r="D691" s="35"/>
      <c r="E691" s="35"/>
      <c r="F691" s="35"/>
      <c r="G691" s="35"/>
      <c r="H691" s="7" t="s">
        <v>2741</v>
      </c>
      <c r="I691" s="7" t="s">
        <v>2742</v>
      </c>
      <c r="J691" s="112" t="str">
        <f ca="1">IFERROR(__xludf.DUMMYFUNCTION("JOIN("": "",H691,I691)"),"3E-60-06-02-00-00-00: Eletrodo para a conexão de aterramento da descarga atmosférica")</f>
        <v>3E-60-06-02-00-00-00: Eletrodo para a conexão de aterramento da descarga atmosférica</v>
      </c>
      <c r="K691" s="4">
        <v>4</v>
      </c>
      <c r="L691" s="7"/>
      <c r="M691" s="7"/>
      <c r="N691" s="7"/>
      <c r="O691" s="7"/>
      <c r="P691" s="177"/>
      <c r="Q691" s="177"/>
      <c r="R691" s="177"/>
      <c r="S691" s="177"/>
    </row>
    <row r="692" spans="1:31">
      <c r="A692" s="111" t="s">
        <v>2744</v>
      </c>
      <c r="B692" s="111"/>
      <c r="C692" s="111"/>
      <c r="D692" s="111"/>
      <c r="E692" s="111"/>
      <c r="F692" s="111"/>
      <c r="G692" s="111"/>
      <c r="H692" s="3" t="s">
        <v>2745</v>
      </c>
      <c r="I692" s="3" t="s">
        <v>2746</v>
      </c>
      <c r="J692" s="112" t="str">
        <f ca="1">IFERROR(__xludf.DUMMYFUNCTION("JOIN("": "",H692,I692)"),"3E-60-08-00-00-00-00: Dispositivos para sistemas de proteção a descargas atmosféricas")</f>
        <v>3E-60-08-00-00-00-00: Dispositivos para sistemas de proteção a descargas atmosféricas</v>
      </c>
      <c r="K692" s="4">
        <v>3</v>
      </c>
      <c r="L692" s="7"/>
      <c r="M692" s="7"/>
      <c r="N692" s="7"/>
      <c r="O692" s="7"/>
      <c r="P692" s="177"/>
      <c r="Q692" s="177"/>
      <c r="R692" s="177"/>
      <c r="S692" s="177"/>
    </row>
    <row r="693" spans="1:31">
      <c r="A693" s="111" t="s">
        <v>2750</v>
      </c>
      <c r="B693" s="111"/>
      <c r="C693" s="111"/>
      <c r="D693" s="111"/>
      <c r="E693" s="111"/>
      <c r="F693" s="111"/>
      <c r="G693" s="111"/>
      <c r="H693" s="3" t="s">
        <v>2751</v>
      </c>
      <c r="I693" s="3" t="s">
        <v>2752</v>
      </c>
      <c r="J693" s="112" t="str">
        <f ca="1">IFERROR(__xludf.DUMMYFUNCTION("JOIN("": "",H693,I693)"),"3E-62-00-00-00-00-00: Elementos de proteção a incêndio")</f>
        <v>3E-62-00-00-00-00-00: Elementos de proteção a incêndio</v>
      </c>
      <c r="K693" s="4">
        <v>2</v>
      </c>
      <c r="L693" s="7"/>
      <c r="M693" s="7"/>
      <c r="N693" s="7"/>
      <c r="O693" s="7"/>
      <c r="P693" s="177"/>
      <c r="Q693" s="177"/>
      <c r="R693" s="177"/>
      <c r="S693" s="177"/>
      <c r="AD693" s="7"/>
      <c r="AE693" s="35"/>
    </row>
    <row r="694" spans="1:31">
      <c r="A694" s="111" t="s">
        <v>2754</v>
      </c>
      <c r="B694" s="111"/>
      <c r="C694" s="111"/>
      <c r="D694" s="111"/>
      <c r="E694" s="111"/>
      <c r="F694" s="111"/>
      <c r="G694" s="111"/>
      <c r="H694" s="3" t="s">
        <v>2755</v>
      </c>
      <c r="I694" s="3" t="s">
        <v>2756</v>
      </c>
      <c r="J694" s="112" t="str">
        <f ca="1">IFERROR(__xludf.DUMMYFUNCTION("JOIN("": "",H694,I694)"),"3E-62-02-00-00-00-00: Elementos para restrição ao surgimento e à propagação de incêndio")</f>
        <v>3E-62-02-00-00-00-00: Elementos para restrição ao surgimento e à propagação de incêndio</v>
      </c>
      <c r="K694" s="4">
        <v>3</v>
      </c>
      <c r="L694" s="7"/>
      <c r="M694" s="7"/>
      <c r="N694" s="7"/>
      <c r="O694" s="7"/>
      <c r="P694" s="177"/>
      <c r="Q694" s="177"/>
      <c r="R694" s="177"/>
      <c r="S694" s="177"/>
    </row>
    <row r="695" spans="1:31">
      <c r="A695" s="35" t="s">
        <v>2758</v>
      </c>
      <c r="B695" s="35"/>
      <c r="C695" s="35"/>
      <c r="D695" s="35"/>
      <c r="E695" s="35"/>
      <c r="F695" s="35"/>
      <c r="G695" s="35"/>
      <c r="H695" s="7" t="s">
        <v>2759</v>
      </c>
      <c r="I695" s="7" t="s">
        <v>2760</v>
      </c>
      <c r="J695" s="112" t="str">
        <f ca="1">IFERROR(__xludf.DUMMYFUNCTION("JOIN("": "",H695,I695)"),"3E-62-02-02-00-00-00: Compartimentação horizontal")</f>
        <v>3E-62-02-02-00-00-00: Compartimentação horizontal</v>
      </c>
      <c r="K695" s="4">
        <v>4</v>
      </c>
      <c r="L695" s="7"/>
      <c r="M695" s="7"/>
      <c r="N695" s="7"/>
      <c r="O695" s="7"/>
      <c r="P695" s="177"/>
      <c r="Q695" s="177"/>
      <c r="R695" s="177"/>
      <c r="S695" s="177"/>
    </row>
    <row r="696" spans="1:31">
      <c r="A696" s="35" t="s">
        <v>2762</v>
      </c>
      <c r="B696" s="35"/>
      <c r="C696" s="35"/>
      <c r="D696" s="35"/>
      <c r="E696" s="35"/>
      <c r="F696" s="35"/>
      <c r="G696" s="35"/>
      <c r="H696" s="7" t="s">
        <v>2763</v>
      </c>
      <c r="I696" s="7" t="s">
        <v>2764</v>
      </c>
      <c r="J696" s="112" t="str">
        <f ca="1">IFERROR(__xludf.DUMMYFUNCTION("JOIN("": "",H696,I696)"),"3E-62-02-04-00-00-00: Compartimentação vertical")</f>
        <v>3E-62-02-04-00-00-00: Compartimentação vertical</v>
      </c>
      <c r="K696" s="4">
        <v>4</v>
      </c>
      <c r="L696" s="7"/>
      <c r="M696" s="7"/>
      <c r="N696" s="7"/>
      <c r="O696" s="7"/>
      <c r="P696" s="177"/>
      <c r="Q696" s="177"/>
      <c r="R696" s="177"/>
      <c r="S696" s="177"/>
    </row>
    <row r="697" spans="1:31">
      <c r="A697" s="111" t="s">
        <v>2766</v>
      </c>
      <c r="B697" s="111"/>
      <c r="C697" s="111"/>
      <c r="D697" s="111"/>
      <c r="E697" s="111"/>
      <c r="F697" s="111"/>
      <c r="G697" s="111"/>
      <c r="H697" s="3" t="s">
        <v>2767</v>
      </c>
      <c r="I697" s="3" t="s">
        <v>2768</v>
      </c>
      <c r="J697" s="112" t="str">
        <f ca="1">IFERROR(__xludf.DUMMYFUNCTION("JOIN("": "",H697,I697)"),"3E-62-04-00-00-00-00: Elementos para controle de crescimento e supressão de incêndio")</f>
        <v>3E-62-04-00-00-00-00: Elementos para controle de crescimento e supressão de incêndio</v>
      </c>
      <c r="K697" s="4">
        <v>3</v>
      </c>
      <c r="L697" s="7"/>
      <c r="M697" s="7"/>
      <c r="N697" s="7"/>
      <c r="O697" s="7"/>
      <c r="P697" s="177"/>
      <c r="Q697" s="177"/>
      <c r="R697" s="177"/>
      <c r="S697" s="177"/>
    </row>
    <row r="698" spans="1:31">
      <c r="A698" s="111" t="s">
        <v>2770</v>
      </c>
      <c r="B698" s="111"/>
      <c r="C698" s="111"/>
      <c r="D698" s="111"/>
      <c r="E698" s="111"/>
      <c r="F698" s="111"/>
      <c r="G698" s="111"/>
      <c r="H698" s="3" t="s">
        <v>2771</v>
      </c>
      <c r="I698" s="3" t="s">
        <v>2772</v>
      </c>
      <c r="J698" s="112" t="str">
        <f ca="1">IFERROR(__xludf.DUMMYFUNCTION("JOIN("": "",H698,I698)"),"3E-62-06-00-00-00-00: Elementos de rede de gás para combate a incêndio")</f>
        <v>3E-62-06-00-00-00-00: Elementos de rede de gás para combate a incêndio</v>
      </c>
      <c r="K698" s="4">
        <v>3</v>
      </c>
      <c r="L698" s="7"/>
      <c r="M698" s="7"/>
      <c r="N698" s="7"/>
      <c r="O698" s="7"/>
      <c r="P698" s="177"/>
      <c r="Q698" s="177"/>
      <c r="R698" s="177"/>
      <c r="S698" s="177"/>
    </row>
    <row r="699" spans="1:31">
      <c r="A699" s="111" t="s">
        <v>2774</v>
      </c>
      <c r="B699" s="111"/>
      <c r="C699" s="111"/>
      <c r="D699" s="111"/>
      <c r="E699" s="111"/>
      <c r="F699" s="111"/>
      <c r="G699" s="111"/>
      <c r="H699" s="3" t="s">
        <v>2775</v>
      </c>
      <c r="I699" s="3" t="s">
        <v>2776</v>
      </c>
      <c r="J699" s="112" t="str">
        <f ca="1">IFERROR(__xludf.DUMMYFUNCTION("JOIN("": "",H699,I699)"),"3E-62-08-00-00-00-00: Elementos de rede de proteção por espuma")</f>
        <v>3E-62-08-00-00-00-00: Elementos de rede de proteção por espuma</v>
      </c>
      <c r="K699" s="4">
        <v>3</v>
      </c>
      <c r="L699" s="7"/>
      <c r="M699" s="7"/>
      <c r="N699" s="7"/>
      <c r="O699" s="7"/>
      <c r="P699" s="177"/>
      <c r="Q699" s="177"/>
      <c r="R699" s="177"/>
      <c r="S699" s="177"/>
    </row>
    <row r="700" spans="1:31">
      <c r="A700" s="111" t="s">
        <v>2778</v>
      </c>
      <c r="B700" s="111"/>
      <c r="C700" s="111"/>
      <c r="D700" s="111"/>
      <c r="E700" s="111"/>
      <c r="F700" s="111"/>
      <c r="G700" s="111"/>
      <c r="H700" s="3" t="s">
        <v>2779</v>
      </c>
      <c r="I700" s="3" t="s">
        <v>2780</v>
      </c>
      <c r="J700" s="112" t="str">
        <f ca="1">IFERROR(__xludf.DUMMYFUNCTION("JOIN("": "",H700,I700)"),"3E-62-10-00-00-00-00: Elementos de rede de proteção por chuveiros")</f>
        <v>3E-62-10-00-00-00-00: Elementos de rede de proteção por chuveiros</v>
      </c>
      <c r="K700" s="4">
        <v>3</v>
      </c>
      <c r="L700" s="7"/>
      <c r="M700" s="7"/>
      <c r="N700" s="7"/>
      <c r="O700" s="7"/>
      <c r="P700" s="177"/>
      <c r="Q700" s="177"/>
      <c r="R700" s="177"/>
      <c r="S700" s="177"/>
    </row>
    <row r="701" spans="1:31">
      <c r="A701" s="35" t="s">
        <v>2782</v>
      </c>
      <c r="B701" s="35"/>
      <c r="C701" s="35"/>
      <c r="D701" s="35"/>
      <c r="E701" s="35"/>
      <c r="F701" s="35"/>
      <c r="G701" s="35"/>
      <c r="H701" s="7" t="s">
        <v>2783</v>
      </c>
      <c r="I701" s="7" t="s">
        <v>2784</v>
      </c>
      <c r="J701" s="112" t="str">
        <f ca="1">IFERROR(__xludf.DUMMYFUNCTION("JOIN("": "",H701,I701)"),"3E-62-10-02-00-00-00: Válvula de governo e alarme (vga)")</f>
        <v>3E-62-10-02-00-00-00: Válvula de governo e alarme (vga)</v>
      </c>
      <c r="K701" s="4">
        <v>4</v>
      </c>
      <c r="L701" s="7"/>
      <c r="M701" s="7"/>
      <c r="N701" s="7"/>
      <c r="O701" s="7"/>
      <c r="P701" s="177"/>
      <c r="Q701" s="177"/>
      <c r="R701" s="177"/>
      <c r="S701" s="177"/>
    </row>
    <row r="702" spans="1:31">
      <c r="A702" s="35" t="s">
        <v>2786</v>
      </c>
      <c r="B702" s="35"/>
      <c r="C702" s="35"/>
      <c r="D702" s="35"/>
      <c r="E702" s="35"/>
      <c r="F702" s="35"/>
      <c r="G702" s="35"/>
      <c r="H702" s="7" t="s">
        <v>2787</v>
      </c>
      <c r="I702" s="7" t="s">
        <v>2788</v>
      </c>
      <c r="J702" s="112" t="str">
        <f ca="1">IFERROR(__xludf.DUMMYFUNCTION("JOIN("": "",H702,I702)"),"3E-62-10-04-00-00-00: Câmara de retardo")</f>
        <v>3E-62-10-04-00-00-00: Câmara de retardo</v>
      </c>
      <c r="K702" s="4">
        <v>4</v>
      </c>
      <c r="L702" s="7"/>
      <c r="M702" s="7"/>
      <c r="N702" s="7"/>
      <c r="O702" s="7"/>
      <c r="P702" s="177"/>
      <c r="Q702" s="177"/>
      <c r="R702" s="177"/>
      <c r="S702" s="177"/>
    </row>
    <row r="703" spans="1:31">
      <c r="A703" s="35" t="s">
        <v>2790</v>
      </c>
      <c r="B703" s="35"/>
      <c r="C703" s="35"/>
      <c r="D703" s="35"/>
      <c r="E703" s="35"/>
      <c r="F703" s="35"/>
      <c r="G703" s="35"/>
      <c r="H703" s="7" t="s">
        <v>2791</v>
      </c>
      <c r="I703" s="7" t="s">
        <v>2792</v>
      </c>
      <c r="J703" s="112" t="str">
        <f ca="1">IFERROR(__xludf.DUMMYFUNCTION("JOIN("": "",H703,I703)"),"3E-62-10-06-00-00-00: Registro de recalque")</f>
        <v>3E-62-10-06-00-00-00: Registro de recalque</v>
      </c>
      <c r="K703" s="4">
        <v>4</v>
      </c>
      <c r="L703" s="7"/>
      <c r="M703" s="7"/>
      <c r="N703" s="7"/>
      <c r="O703" s="7"/>
      <c r="P703" s="177"/>
      <c r="Q703" s="177"/>
      <c r="R703" s="177"/>
      <c r="S703" s="177"/>
    </row>
    <row r="704" spans="1:31">
      <c r="A704" s="35" t="s">
        <v>2794</v>
      </c>
      <c r="B704" s="35"/>
      <c r="C704" s="35"/>
      <c r="D704" s="35"/>
      <c r="E704" s="35"/>
      <c r="F704" s="35"/>
      <c r="G704" s="35"/>
      <c r="H704" s="7" t="s">
        <v>2795</v>
      </c>
      <c r="I704" s="7" t="s">
        <v>2796</v>
      </c>
      <c r="J704" s="112" t="str">
        <f ca="1">IFERROR(__xludf.DUMMYFUNCTION("JOIN("": "",H704,I704)"),"3E-62-10-08-00-00-00: Conexão de recalque")</f>
        <v>3E-62-10-08-00-00-00: Conexão de recalque</v>
      </c>
      <c r="K704" s="4">
        <v>4</v>
      </c>
      <c r="L704" s="7"/>
      <c r="M704" s="7"/>
      <c r="N704" s="7"/>
      <c r="O704" s="7"/>
      <c r="P704" s="177"/>
      <c r="Q704" s="177"/>
      <c r="R704" s="177"/>
      <c r="S704" s="177"/>
    </row>
    <row r="705" spans="1:31">
      <c r="A705" s="35" t="s">
        <v>2798</v>
      </c>
      <c r="B705" s="35"/>
      <c r="C705" s="35"/>
      <c r="D705" s="35"/>
      <c r="E705" s="35"/>
      <c r="F705" s="35"/>
      <c r="G705" s="35"/>
      <c r="H705" s="7" t="s">
        <v>2799</v>
      </c>
      <c r="I705" s="7" t="s">
        <v>2800</v>
      </c>
      <c r="J705" s="112" t="str">
        <f ca="1">IFERROR(__xludf.DUMMYFUNCTION("JOIN("": "",H705,I705)"),"3E-62-10-10-00-00-00: Dispositivo de recalque")</f>
        <v>3E-62-10-10-00-00-00: Dispositivo de recalque</v>
      </c>
      <c r="K705" s="4">
        <v>4</v>
      </c>
      <c r="L705" s="7"/>
      <c r="M705" s="7"/>
      <c r="N705" s="7"/>
      <c r="O705" s="7"/>
      <c r="P705" s="177"/>
      <c r="Q705" s="177"/>
      <c r="R705" s="177"/>
      <c r="S705" s="177"/>
    </row>
    <row r="706" spans="1:31">
      <c r="A706" s="35" t="s">
        <v>2802</v>
      </c>
      <c r="B706" s="35"/>
      <c r="C706" s="35"/>
      <c r="D706" s="35"/>
      <c r="E706" s="35"/>
      <c r="F706" s="35"/>
      <c r="G706" s="35"/>
      <c r="H706" s="7" t="s">
        <v>2803</v>
      </c>
      <c r="I706" s="7" t="s">
        <v>2804</v>
      </c>
      <c r="J706" s="112" t="str">
        <f ca="1">IFERROR(__xludf.DUMMYFUNCTION("JOIN("": "",H706,I706)"),"3E-62-10-12-00-00-00: Válvula redutora de pressão")</f>
        <v>3E-62-10-12-00-00-00: Válvula redutora de pressão</v>
      </c>
      <c r="K706" s="4">
        <v>4</v>
      </c>
      <c r="L706" s="7"/>
      <c r="M706" s="7"/>
      <c r="N706" s="7"/>
      <c r="O706" s="7"/>
      <c r="P706" s="177"/>
      <c r="Q706" s="177"/>
      <c r="R706" s="177"/>
      <c r="S706" s="177"/>
    </row>
    <row r="707" spans="1:31">
      <c r="A707" s="35" t="s">
        <v>2806</v>
      </c>
      <c r="B707" s="35"/>
      <c r="C707" s="35"/>
      <c r="D707" s="35"/>
      <c r="E707" s="35"/>
      <c r="F707" s="35"/>
      <c r="G707" s="35"/>
      <c r="H707" s="7" t="s">
        <v>2807</v>
      </c>
      <c r="I707" s="7" t="s">
        <v>2808</v>
      </c>
      <c r="J707" s="112" t="str">
        <f ca="1">IFERROR(__xludf.DUMMYFUNCTION("JOIN("": "",H707,I707)"),"3E-62-10-14-00-00-00: Barrilete de chuveiro automático para incêndio")</f>
        <v>3E-62-10-14-00-00-00: Barrilete de chuveiro automático para incêndio</v>
      </c>
      <c r="K707" s="4">
        <v>4</v>
      </c>
      <c r="L707" s="7"/>
      <c r="M707" s="7"/>
      <c r="N707" s="7"/>
      <c r="O707" s="7"/>
      <c r="P707" s="177"/>
      <c r="Q707" s="177"/>
      <c r="R707" s="177"/>
      <c r="S707" s="177"/>
    </row>
    <row r="708" spans="1:31">
      <c r="A708" s="35" t="s">
        <v>2810</v>
      </c>
      <c r="B708" s="35"/>
      <c r="C708" s="35"/>
      <c r="D708" s="35"/>
      <c r="E708" s="35"/>
      <c r="F708" s="35"/>
      <c r="G708" s="35"/>
      <c r="H708" s="7" t="s">
        <v>2811</v>
      </c>
      <c r="I708" s="7" t="s">
        <v>2812</v>
      </c>
      <c r="J708" s="112" t="str">
        <f ca="1">IFERROR(__xludf.DUMMYFUNCTION("JOIN("": "",H708,I708)"),"3E-62-10-16-00-00-00: Prumada de chuveiro automático para incêndio")</f>
        <v>3E-62-10-16-00-00-00: Prumada de chuveiro automático para incêndio</v>
      </c>
      <c r="K708" s="4">
        <v>4</v>
      </c>
      <c r="L708" s="7"/>
      <c r="M708" s="7"/>
      <c r="N708" s="7"/>
      <c r="O708" s="7"/>
      <c r="P708" s="177"/>
      <c r="Q708" s="177"/>
      <c r="R708" s="177"/>
      <c r="S708" s="177"/>
    </row>
    <row r="709" spans="1:31">
      <c r="A709" s="35" t="s">
        <v>2814</v>
      </c>
      <c r="B709" s="35"/>
      <c r="C709" s="35"/>
      <c r="D709" s="35"/>
      <c r="E709" s="35"/>
      <c r="F709" s="35"/>
      <c r="G709" s="35"/>
      <c r="H709" s="7" t="s">
        <v>2815</v>
      </c>
      <c r="I709" s="7" t="s">
        <v>2816</v>
      </c>
      <c r="J709" s="112" t="str">
        <f ca="1">IFERROR(__xludf.DUMMYFUNCTION("JOIN("": "",H709,I709)"),"3E-62-10-18-00-00-00: Ramal de chuveiro automático para incêndio")</f>
        <v>3E-62-10-18-00-00-00: Ramal de chuveiro automático para incêndio</v>
      </c>
      <c r="K709" s="4">
        <v>4</v>
      </c>
      <c r="L709" s="7"/>
      <c r="M709" s="7"/>
      <c r="N709" s="7"/>
      <c r="O709" s="7"/>
      <c r="P709" s="177"/>
      <c r="Q709" s="177"/>
      <c r="R709" s="177"/>
      <c r="S709" s="177"/>
    </row>
    <row r="710" spans="1:31">
      <c r="A710" s="35" t="s">
        <v>2818</v>
      </c>
      <c r="B710" s="35"/>
      <c r="C710" s="35"/>
      <c r="D710" s="35"/>
      <c r="E710" s="35"/>
      <c r="F710" s="35"/>
      <c r="G710" s="35"/>
      <c r="H710" s="7" t="s">
        <v>2819</v>
      </c>
      <c r="I710" s="7" t="s">
        <v>2820</v>
      </c>
      <c r="J710" s="112" t="str">
        <f ca="1">IFERROR(__xludf.DUMMYFUNCTION("JOIN("": "",H710,I710)"),"3E-62-10-20-00-00-00: Terminal de chuveiro automático para incêndio")</f>
        <v>3E-62-10-20-00-00-00: Terminal de chuveiro automático para incêndio</v>
      </c>
      <c r="K710" s="4">
        <v>4</v>
      </c>
      <c r="L710" s="7"/>
      <c r="M710" s="7"/>
      <c r="N710" s="7"/>
      <c r="O710" s="7"/>
      <c r="P710" s="177"/>
      <c r="Q710" s="177"/>
      <c r="R710" s="177"/>
      <c r="S710" s="177"/>
    </row>
    <row r="711" spans="1:31">
      <c r="A711" s="111" t="s">
        <v>2822</v>
      </c>
      <c r="B711" s="111"/>
      <c r="C711" s="111"/>
      <c r="D711" s="111"/>
      <c r="E711" s="111"/>
      <c r="F711" s="111"/>
      <c r="G711" s="111"/>
      <c r="H711" s="3" t="s">
        <v>2823</v>
      </c>
      <c r="I711" s="3" t="s">
        <v>2824</v>
      </c>
      <c r="J711" s="112" t="str">
        <f ca="1">IFERROR(__xludf.DUMMYFUNCTION("JOIN("": "",H711,I711)"),"3E-62-12-00-00-00-00: Elementos de detecção de incêndio")</f>
        <v>3E-62-12-00-00-00-00: Elementos de detecção de incêndio</v>
      </c>
      <c r="K711" s="4">
        <v>3</v>
      </c>
      <c r="L711" s="7"/>
      <c r="M711" s="7"/>
      <c r="N711" s="7"/>
      <c r="O711" s="7"/>
      <c r="P711" s="177"/>
      <c r="Q711" s="177"/>
      <c r="R711" s="177"/>
      <c r="S711" s="177"/>
    </row>
    <row r="712" spans="1:31">
      <c r="A712" s="111" t="s">
        <v>2826</v>
      </c>
      <c r="B712" s="111"/>
      <c r="C712" s="111"/>
      <c r="D712" s="111"/>
      <c r="E712" s="111"/>
      <c r="F712" s="111"/>
      <c r="G712" s="111"/>
      <c r="H712" s="3" t="s">
        <v>2827</v>
      </c>
      <c r="I712" s="3" t="s">
        <v>2828</v>
      </c>
      <c r="J712" s="112" t="str">
        <f ca="1">IFERROR(__xludf.DUMMYFUNCTION("JOIN("": "",H712,I712)"),"3E-62-14-00-00-00-00: Elementos de alerta de incêndio")</f>
        <v>3E-62-14-00-00-00-00: Elementos de alerta de incêndio</v>
      </c>
      <c r="K712" s="4">
        <v>3</v>
      </c>
      <c r="L712" s="7"/>
      <c r="M712" s="7"/>
      <c r="N712" s="7"/>
      <c r="O712" s="7"/>
      <c r="P712" s="177"/>
      <c r="Q712" s="177"/>
      <c r="R712" s="177"/>
      <c r="S712" s="177"/>
    </row>
    <row r="713" spans="1:31">
      <c r="A713" s="111" t="s">
        <v>2830</v>
      </c>
      <c r="B713" s="111"/>
      <c r="C713" s="111"/>
      <c r="D713" s="111"/>
      <c r="E713" s="111"/>
      <c r="F713" s="111"/>
      <c r="G713" s="111"/>
      <c r="H713" s="3" t="s">
        <v>2831</v>
      </c>
      <c r="I713" s="3" t="s">
        <v>2832</v>
      </c>
      <c r="J713" s="112" t="str">
        <f ca="1">IFERROR(__xludf.DUMMYFUNCTION("JOIN("": "",H713,I713)"),"3E-62-16-00-00-00-00: Elementos de acesso e facilidade para operações de socorro")</f>
        <v>3E-62-16-00-00-00-00: Elementos de acesso e facilidade para operações de socorro</v>
      </c>
      <c r="K713" s="4">
        <v>3</v>
      </c>
      <c r="L713" s="7"/>
      <c r="M713" s="7"/>
      <c r="N713" s="7"/>
      <c r="O713" s="7"/>
      <c r="P713" s="177"/>
      <c r="Q713" s="177"/>
      <c r="R713" s="177"/>
      <c r="S713" s="177"/>
    </row>
    <row r="714" spans="1:31">
      <c r="A714" s="111" t="s">
        <v>2834</v>
      </c>
      <c r="B714" s="111"/>
      <c r="C714" s="111"/>
      <c r="D714" s="111"/>
      <c r="E714" s="111"/>
      <c r="F714" s="111"/>
      <c r="G714" s="111"/>
      <c r="H714" s="3" t="s">
        <v>2835</v>
      </c>
      <c r="I714" s="3" t="s">
        <v>2836</v>
      </c>
      <c r="J714" s="112" t="str">
        <f ca="1">IFERROR(__xludf.DUMMYFUNCTION("JOIN("": "",H714,I714)"),"3E-62-18-00-00-00-00: Elementos de proteção estrutural em situações de incêndio")</f>
        <v>3E-62-18-00-00-00-00: Elementos de proteção estrutural em situações de incêndio</v>
      </c>
      <c r="K714" s="4">
        <v>3</v>
      </c>
      <c r="L714" s="7"/>
      <c r="M714" s="7"/>
      <c r="N714" s="7"/>
      <c r="O714" s="7"/>
      <c r="P714" s="177"/>
      <c r="Q714" s="177"/>
      <c r="R714" s="177"/>
      <c r="S714" s="177"/>
    </row>
    <row r="715" spans="1:31">
      <c r="A715" s="111" t="s">
        <v>2838</v>
      </c>
      <c r="B715" s="111"/>
      <c r="C715" s="111"/>
      <c r="D715" s="111"/>
      <c r="E715" s="111"/>
      <c r="F715" s="111"/>
      <c r="G715" s="111"/>
      <c r="H715" s="3" t="s">
        <v>2839</v>
      </c>
      <c r="I715" s="3" t="s">
        <v>2840</v>
      </c>
      <c r="J715" s="112" t="str">
        <f ca="1">IFERROR(__xludf.DUMMYFUNCTION("JOIN("": "",H715,I715)"),"3E-62-20-00-00-00-00: Elementos de controle de fumaça e gases")</f>
        <v>3E-62-20-00-00-00-00: Elementos de controle de fumaça e gases</v>
      </c>
      <c r="K715" s="4">
        <v>3</v>
      </c>
      <c r="L715" s="7"/>
      <c r="M715" s="7"/>
      <c r="N715" s="7"/>
      <c r="O715" s="7"/>
      <c r="P715" s="177"/>
      <c r="Q715" s="177"/>
      <c r="R715" s="177"/>
      <c r="S715" s="177"/>
    </row>
    <row r="716" spans="1:31">
      <c r="A716" s="111" t="s">
        <v>2842</v>
      </c>
      <c r="B716" s="111"/>
      <c r="C716" s="111"/>
      <c r="D716" s="111"/>
      <c r="E716" s="111"/>
      <c r="F716" s="111"/>
      <c r="G716" s="111"/>
      <c r="H716" s="3" t="s">
        <v>2843</v>
      </c>
      <c r="I716" s="3" t="s">
        <v>2844</v>
      </c>
      <c r="J716" s="112" t="str">
        <f ca="1">IFERROR(__xludf.DUMMYFUNCTION("JOIN("": "",H716,I716)"),"3E-64-00-00-00-00-00: Elementos de segurança patrimonial")</f>
        <v>3E-64-00-00-00-00-00: Elementos de segurança patrimonial</v>
      </c>
      <c r="K716" s="4">
        <v>2</v>
      </c>
      <c r="L716" s="7"/>
      <c r="M716" s="7"/>
      <c r="N716" s="7"/>
      <c r="O716" s="7"/>
      <c r="P716" s="177"/>
      <c r="Q716" s="177"/>
      <c r="R716" s="177"/>
      <c r="S716" s="177"/>
      <c r="AD716" s="7"/>
      <c r="AE716" s="35"/>
    </row>
    <row r="717" spans="1:31">
      <c r="A717" s="111" t="s">
        <v>2846</v>
      </c>
      <c r="B717" s="111"/>
      <c r="C717" s="111"/>
      <c r="D717" s="111"/>
      <c r="E717" s="111"/>
      <c r="F717" s="111"/>
      <c r="G717" s="111"/>
      <c r="H717" s="3" t="s">
        <v>2847</v>
      </c>
      <c r="I717" s="3" t="s">
        <v>2848</v>
      </c>
      <c r="J717" s="112" t="str">
        <f ca="1">IFERROR(__xludf.DUMMYFUNCTION("JOIN("": "",H717,I717)"),"3E-64-02-00-00-00-00: Elementos para monitoramento por câmeras")</f>
        <v>3E-64-02-00-00-00-00: Elementos para monitoramento por câmeras</v>
      </c>
      <c r="K717" s="4">
        <v>3</v>
      </c>
      <c r="L717" s="7"/>
      <c r="M717" s="7"/>
      <c r="N717" s="7"/>
      <c r="O717" s="7"/>
      <c r="P717" s="177"/>
      <c r="Q717" s="177"/>
      <c r="R717" s="177"/>
      <c r="S717" s="177"/>
    </row>
    <row r="718" spans="1:31">
      <c r="A718" s="111" t="s">
        <v>2850</v>
      </c>
      <c r="B718" s="111"/>
      <c r="C718" s="111"/>
      <c r="D718" s="111"/>
      <c r="E718" s="111"/>
      <c r="F718" s="111"/>
      <c r="G718" s="111"/>
      <c r="H718" s="3" t="s">
        <v>2851</v>
      </c>
      <c r="I718" s="3" t="s">
        <v>2852</v>
      </c>
      <c r="J718" s="112" t="str">
        <f ca="1">IFERROR(__xludf.DUMMYFUNCTION("JOIN("": "",H718,I718)"),"3E-64-04-00-00-00-00: Elementos para monitoramento de presença")</f>
        <v>3E-64-04-00-00-00-00: Elementos para monitoramento de presença</v>
      </c>
      <c r="K718" s="4">
        <v>3</v>
      </c>
      <c r="L718" s="7"/>
      <c r="M718" s="7"/>
      <c r="N718" s="7"/>
      <c r="O718" s="7"/>
      <c r="P718" s="177"/>
      <c r="Q718" s="177"/>
      <c r="R718" s="177"/>
      <c r="S718" s="177"/>
    </row>
    <row r="719" spans="1:31">
      <c r="A719" s="111" t="s">
        <v>2854</v>
      </c>
      <c r="B719" s="111"/>
      <c r="C719" s="111"/>
      <c r="D719" s="111"/>
      <c r="E719" s="111"/>
      <c r="F719" s="111"/>
      <c r="G719" s="111"/>
      <c r="H719" s="3" t="s">
        <v>2855</v>
      </c>
      <c r="I719" s="3" t="s">
        <v>2856</v>
      </c>
      <c r="J719" s="112" t="str">
        <f ca="1">IFERROR(__xludf.DUMMYFUNCTION("JOIN("": "",H719,I719)"),"3E-64-06-00-00-00-00: Elementos para alertas sonoros")</f>
        <v>3E-64-06-00-00-00-00: Elementos para alertas sonoros</v>
      </c>
      <c r="K719" s="4">
        <v>3</v>
      </c>
      <c r="L719" s="7"/>
      <c r="M719" s="7"/>
      <c r="N719" s="7"/>
      <c r="O719" s="7"/>
      <c r="P719" s="177"/>
      <c r="Q719" s="177"/>
      <c r="R719" s="177"/>
      <c r="S719" s="177"/>
    </row>
    <row r="720" spans="1:31">
      <c r="A720" s="111" t="s">
        <v>2858</v>
      </c>
      <c r="B720" s="111"/>
      <c r="C720" s="111"/>
      <c r="D720" s="111"/>
      <c r="E720" s="111"/>
      <c r="F720" s="111"/>
      <c r="G720" s="111"/>
      <c r="H720" s="3" t="s">
        <v>2859</v>
      </c>
      <c r="I720" s="3" t="s">
        <v>2860</v>
      </c>
      <c r="J720" s="112" t="str">
        <f ca="1">IFERROR(__xludf.DUMMYFUNCTION("JOIN("": "",H720,I720)"),"3E-64-08-00-00-00-00: Elementos para comunicação de ocorrência")</f>
        <v>3E-64-08-00-00-00-00: Elementos para comunicação de ocorrência</v>
      </c>
      <c r="K720" s="4">
        <v>3</v>
      </c>
      <c r="L720" s="7"/>
      <c r="M720" s="7"/>
      <c r="N720" s="7"/>
      <c r="O720" s="7"/>
      <c r="P720" s="177"/>
      <c r="Q720" s="177"/>
      <c r="R720" s="177"/>
      <c r="S720" s="177"/>
    </row>
    <row r="721" spans="1:19">
      <c r="A721" s="111" t="s">
        <v>2862</v>
      </c>
      <c r="B721" s="111"/>
      <c r="C721" s="111"/>
      <c r="D721" s="111"/>
      <c r="E721" s="111"/>
      <c r="F721" s="111"/>
      <c r="G721" s="111"/>
      <c r="H721" s="3" t="s">
        <v>2863</v>
      </c>
      <c r="I721" s="3" t="s">
        <v>2864</v>
      </c>
      <c r="J721" s="112" t="str">
        <f ca="1">IFERROR(__xludf.DUMMYFUNCTION("JOIN("": "",H721,I721)"),"3E-64-10-00-00-00-00: Elementos para controle de acesso")</f>
        <v>3E-64-10-00-00-00-00: Elementos para controle de acesso</v>
      </c>
      <c r="K721" s="4">
        <v>3</v>
      </c>
      <c r="L721" s="7"/>
      <c r="M721" s="7"/>
      <c r="N721" s="7"/>
      <c r="O721" s="7"/>
      <c r="P721" s="177"/>
      <c r="Q721" s="177"/>
      <c r="R721" s="177"/>
      <c r="S721" s="177"/>
    </row>
  </sheetData>
  <autoFilter ref="A1:K726" xr:uid="{00000000-0009-0000-0000-00000A000000}"/>
  <conditionalFormatting sqref="A2:S721">
    <cfRule type="expression" dxfId="9" priority="1">
      <formula>$K2=2</formula>
    </cfRule>
    <cfRule type="expression" dxfId="8" priority="2">
      <formula>$K2=3</formula>
    </cfRule>
    <cfRule type="expression" dxfId="7" priority="3">
      <formula>$K2=4</formula>
    </cfRule>
    <cfRule type="expression" dxfId="6" priority="4">
      <formula>$K2=5</formula>
    </cfRule>
    <cfRule type="expression" dxfId="5" priority="5">
      <formula>$K2=6</formula>
    </cfRule>
  </conditionalFormatting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F12:H21"/>
  <sheetViews>
    <sheetView workbookViewId="0"/>
  </sheetViews>
  <sheetFormatPr defaultColWidth="12.5703125" defaultRowHeight="15.75" customHeight="1"/>
  <sheetData>
    <row r="12" spans="6:8">
      <c r="F12" s="182"/>
      <c r="G12" s="7" t="s">
        <v>5683</v>
      </c>
      <c r="H12" s="7" t="s">
        <v>5684</v>
      </c>
    </row>
    <row r="13" spans="6:8">
      <c r="F13" s="183"/>
      <c r="G13" s="7" t="s">
        <v>5685</v>
      </c>
      <c r="H13" s="7" t="s">
        <v>4093</v>
      </c>
    </row>
    <row r="14" spans="6:8">
      <c r="F14" s="184"/>
      <c r="G14" s="7" t="s">
        <v>5048</v>
      </c>
      <c r="H14" s="7" t="s">
        <v>4120</v>
      </c>
    </row>
    <row r="15" spans="6:8">
      <c r="F15" s="185"/>
      <c r="G15" s="7" t="s">
        <v>5686</v>
      </c>
      <c r="H15" s="7" t="s">
        <v>5687</v>
      </c>
    </row>
    <row r="16" spans="6:8">
      <c r="F16" s="186"/>
      <c r="G16" s="7" t="s">
        <v>5688</v>
      </c>
      <c r="H16" s="7" t="s">
        <v>5689</v>
      </c>
    </row>
    <row r="17" spans="6:8">
      <c r="F17" s="187"/>
      <c r="G17" s="7" t="s">
        <v>5690</v>
      </c>
      <c r="H17" s="7" t="s">
        <v>5691</v>
      </c>
    </row>
    <row r="18" spans="6:8">
      <c r="F18" s="188"/>
      <c r="G18" s="7" t="s">
        <v>5692</v>
      </c>
      <c r="H18" s="7" t="s">
        <v>5454</v>
      </c>
    </row>
    <row r="19" spans="6:8">
      <c r="F19" s="189"/>
      <c r="G19" s="7" t="s">
        <v>5693</v>
      </c>
      <c r="H19" s="7" t="s">
        <v>5694</v>
      </c>
    </row>
    <row r="20" spans="6:8">
      <c r="F20" s="190"/>
      <c r="G20" s="7" t="s">
        <v>5695</v>
      </c>
      <c r="H20" s="7" t="s">
        <v>5696</v>
      </c>
    </row>
    <row r="21" spans="6:8">
      <c r="F21" s="191"/>
      <c r="G21" s="7" t="s">
        <v>5697</v>
      </c>
      <c r="H21" s="7" t="s">
        <v>5698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43"/>
  <sheetViews>
    <sheetView workbookViewId="0"/>
  </sheetViews>
  <sheetFormatPr defaultColWidth="12.5703125" defaultRowHeight="15.75" customHeight="1"/>
  <cols>
    <col min="1" max="1" width="37.28515625" customWidth="1"/>
  </cols>
  <sheetData>
    <row r="1" spans="1:1">
      <c r="A1" s="7" t="s">
        <v>5699</v>
      </c>
    </row>
    <row r="2" spans="1:1">
      <c r="A2" s="7" t="s">
        <v>394</v>
      </c>
    </row>
    <row r="3" spans="1:1">
      <c r="A3" s="7" t="s">
        <v>402</v>
      </c>
    </row>
    <row r="4" spans="1:1">
      <c r="A4" s="7" t="s">
        <v>450</v>
      </c>
    </row>
    <row r="5" spans="1:1">
      <c r="A5" s="7" t="s">
        <v>462</v>
      </c>
    </row>
    <row r="6" spans="1:1">
      <c r="A6" s="7" t="s">
        <v>498</v>
      </c>
    </row>
    <row r="7" spans="1:1">
      <c r="A7" s="7" t="s">
        <v>526</v>
      </c>
    </row>
    <row r="8" spans="1:1">
      <c r="A8" s="7" t="s">
        <v>546</v>
      </c>
    </row>
    <row r="9" spans="1:1">
      <c r="A9" s="7" t="s">
        <v>602</v>
      </c>
    </row>
    <row r="10" spans="1:1">
      <c r="A10" s="7" t="s">
        <v>622</v>
      </c>
    </row>
    <row r="11" spans="1:1">
      <c r="A11" s="7" t="s">
        <v>726</v>
      </c>
    </row>
    <row r="12" spans="1:1">
      <c r="A12" s="7" t="s">
        <v>754</v>
      </c>
    </row>
    <row r="13" spans="1:1">
      <c r="A13" s="7" t="s">
        <v>782</v>
      </c>
    </row>
    <row r="14" spans="1:1">
      <c r="A14" s="7" t="s">
        <v>786</v>
      </c>
    </row>
    <row r="15" spans="1:1">
      <c r="A15" s="7" t="s">
        <v>826</v>
      </c>
    </row>
    <row r="16" spans="1:1">
      <c r="A16" s="7" t="s">
        <v>834</v>
      </c>
    </row>
    <row r="17" spans="1:1">
      <c r="A17" s="7" t="s">
        <v>874</v>
      </c>
    </row>
    <row r="18" spans="1:1">
      <c r="A18" s="7" t="s">
        <v>878</v>
      </c>
    </row>
    <row r="19" spans="1:1">
      <c r="A19" s="7" t="s">
        <v>882</v>
      </c>
    </row>
    <row r="20" spans="1:1">
      <c r="A20" s="7" t="s">
        <v>886</v>
      </c>
    </row>
    <row r="21" spans="1:1">
      <c r="A21" s="7" t="s">
        <v>906</v>
      </c>
    </row>
    <row r="22" spans="1:1">
      <c r="A22" s="7" t="s">
        <v>930</v>
      </c>
    </row>
    <row r="23" spans="1:1">
      <c r="A23" s="7" t="s">
        <v>962</v>
      </c>
    </row>
    <row r="24" spans="1:1">
      <c r="A24" s="7" t="s">
        <v>998</v>
      </c>
    </row>
    <row r="25" spans="1:1">
      <c r="A25" s="7" t="s">
        <v>1266</v>
      </c>
    </row>
    <row r="26" spans="1:1">
      <c r="A26" s="7" t="s">
        <v>1294</v>
      </c>
    </row>
    <row r="27" spans="1:1">
      <c r="A27" s="7" t="s">
        <v>1346</v>
      </c>
    </row>
    <row r="28" spans="1:1">
      <c r="A28" s="7" t="s">
        <v>1382</v>
      </c>
    </row>
    <row r="29" spans="1:1">
      <c r="A29" s="7" t="s">
        <v>1454</v>
      </c>
    </row>
    <row r="30" spans="1:1">
      <c r="A30" s="7" t="s">
        <v>1594</v>
      </c>
    </row>
    <row r="31" spans="1:1">
      <c r="A31" s="7" t="s">
        <v>1658</v>
      </c>
    </row>
    <row r="32" spans="1:1">
      <c r="A32" s="7" t="s">
        <v>1818</v>
      </c>
    </row>
    <row r="33" spans="1:1">
      <c r="A33" s="7" t="s">
        <v>1934</v>
      </c>
    </row>
    <row r="34" spans="1:1">
      <c r="A34" s="7" t="s">
        <v>2050</v>
      </c>
    </row>
    <row r="35" spans="1:1">
      <c r="A35" s="7" t="s">
        <v>2090</v>
      </c>
    </row>
    <row r="36" spans="1:1">
      <c r="A36" s="7" t="s">
        <v>2094</v>
      </c>
    </row>
    <row r="37" spans="1:1">
      <c r="A37" s="7" t="s">
        <v>2537</v>
      </c>
    </row>
    <row r="38" spans="1:1">
      <c r="A38" s="7" t="s">
        <v>2681</v>
      </c>
    </row>
    <row r="39" spans="1:1">
      <c r="A39" s="7" t="s">
        <v>2751</v>
      </c>
    </row>
    <row r="40" spans="1:1">
      <c r="A40" s="7" t="s">
        <v>2791</v>
      </c>
    </row>
    <row r="41" spans="1:1">
      <c r="A41" s="7" t="s">
        <v>2819</v>
      </c>
    </row>
    <row r="42" spans="1:1">
      <c r="A42" s="7" t="s">
        <v>2847</v>
      </c>
    </row>
    <row r="43" spans="1:1">
      <c r="A43" s="7" t="s">
        <v>2859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C4:J11"/>
  <sheetViews>
    <sheetView workbookViewId="0"/>
  </sheetViews>
  <sheetFormatPr defaultColWidth="12.5703125" defaultRowHeight="15.75" customHeight="1"/>
  <cols>
    <col min="4" max="4" width="21.140625" customWidth="1"/>
  </cols>
  <sheetData>
    <row r="4" spans="3:10">
      <c r="C4" s="7" t="s">
        <v>5700</v>
      </c>
    </row>
    <row r="5" spans="3:10">
      <c r="D5" s="7" t="s">
        <v>5701</v>
      </c>
      <c r="E5" s="192">
        <v>0.5</v>
      </c>
    </row>
    <row r="6" spans="3:10">
      <c r="D6" s="7" t="s">
        <v>5702</v>
      </c>
      <c r="E6" s="192">
        <v>0.2</v>
      </c>
    </row>
    <row r="7" spans="3:10">
      <c r="D7" s="7" t="s">
        <v>5703</v>
      </c>
      <c r="E7" s="192">
        <v>0.3</v>
      </c>
    </row>
    <row r="10" spans="3:10">
      <c r="C10" s="7" t="s">
        <v>5704</v>
      </c>
    </row>
    <row r="11" spans="3:10">
      <c r="G11" s="7" t="s">
        <v>5705</v>
      </c>
      <c r="H11" s="7" t="s">
        <v>5706</v>
      </c>
      <c r="I11" s="7" t="s">
        <v>5707</v>
      </c>
      <c r="J11" s="7" t="s">
        <v>5708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AK72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17.85546875" customWidth="1"/>
    <col min="2" max="2" width="18.140625" customWidth="1"/>
    <col min="3" max="3" width="51.42578125" customWidth="1"/>
    <col min="4" max="4" width="22.85546875" customWidth="1"/>
    <col min="5" max="5" width="48.7109375" customWidth="1"/>
    <col min="6" max="14" width="17.42578125" customWidth="1"/>
    <col min="17" max="17" width="42.42578125" customWidth="1"/>
    <col min="18" max="18" width="68.140625" customWidth="1"/>
    <col min="19" max="19" width="50.28515625" customWidth="1"/>
  </cols>
  <sheetData>
    <row r="1" spans="1:37">
      <c r="A1" s="1" t="s">
        <v>0</v>
      </c>
      <c r="B1" s="2" t="s">
        <v>0</v>
      </c>
      <c r="C1" s="2" t="s">
        <v>1</v>
      </c>
      <c r="D1" s="176" t="s">
        <v>4182</v>
      </c>
      <c r="E1" s="19" t="s">
        <v>2</v>
      </c>
      <c r="F1" s="193" t="s">
        <v>5709</v>
      </c>
      <c r="G1" s="7" t="s">
        <v>5710</v>
      </c>
      <c r="H1" s="7" t="s">
        <v>5711</v>
      </c>
      <c r="I1" s="7" t="s">
        <v>5712</v>
      </c>
      <c r="J1" s="7" t="s">
        <v>5713</v>
      </c>
      <c r="K1" s="7" t="s">
        <v>5714</v>
      </c>
      <c r="L1" s="7" t="s">
        <v>5715</v>
      </c>
      <c r="M1" s="7" t="s">
        <v>5716</v>
      </c>
      <c r="N1" s="7" t="s">
        <v>5717</v>
      </c>
      <c r="O1" s="7" t="s">
        <v>5718</v>
      </c>
      <c r="P1" s="7" t="s">
        <v>5719</v>
      </c>
      <c r="Q1" s="7" t="s">
        <v>5720</v>
      </c>
      <c r="S1" s="7" t="s">
        <v>5721</v>
      </c>
      <c r="T1" s="35" t="s">
        <v>5365</v>
      </c>
      <c r="U1" s="7" t="str">
        <f>T1&amp;"-"&amp;S1</f>
        <v>3E-00-entorno</v>
      </c>
    </row>
    <row r="2" spans="1:37">
      <c r="A2" s="3" t="s">
        <v>4193</v>
      </c>
      <c r="B2" s="3" t="s">
        <v>4194</v>
      </c>
      <c r="C2" s="3" t="s">
        <v>4195</v>
      </c>
      <c r="D2" s="4">
        <v>2</v>
      </c>
      <c r="E2" s="8" t="s">
        <v>5722</v>
      </c>
      <c r="F2" s="7">
        <f ca="1">IFERROR(__xludf.DUMMYFUNCTION("ARRAYFORMULA(SUM(ARRAYFORMULA(IFERROR(VALUE(SPLIT(SUBSTITUTE(E2,""-"","" ""),"" "")),0))))
"),0)</f>
        <v>0</v>
      </c>
      <c r="G2" s="7" t="s">
        <v>5706</v>
      </c>
      <c r="H2" s="7" t="s">
        <v>5723</v>
      </c>
      <c r="I2" s="7" t="s">
        <v>5724</v>
      </c>
      <c r="J2" s="7" t="s">
        <v>5725</v>
      </c>
      <c r="K2" s="7" t="s">
        <v>5726</v>
      </c>
      <c r="L2" s="7" t="s">
        <v>5726</v>
      </c>
      <c r="M2" s="7" t="s">
        <v>5726</v>
      </c>
      <c r="N2" s="7"/>
      <c r="O2" s="7"/>
      <c r="P2" s="7"/>
      <c r="Q2" s="7"/>
      <c r="R2" s="8"/>
      <c r="S2" s="3"/>
      <c r="T2" s="111"/>
      <c r="U2" s="7"/>
      <c r="V2" s="7"/>
      <c r="W2" s="8" t="s">
        <v>5727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</row>
    <row r="3" spans="1:37">
      <c r="A3" s="3" t="s">
        <v>3</v>
      </c>
      <c r="B3" s="3" t="s">
        <v>4197</v>
      </c>
      <c r="C3" s="3" t="s">
        <v>4</v>
      </c>
      <c r="D3" s="4">
        <v>2</v>
      </c>
      <c r="E3" s="8" t="s">
        <v>5728</v>
      </c>
      <c r="F3" s="7">
        <f ca="1">IFERROR(__xludf.DUMMYFUNCTION("ARRAYFORMULA(SUM(ARRAYFORMULA(IFERROR(VALUE(SPLIT(SUBSTITUTE(E3,""-"","" ""),"" "")),0))))
"),2)</f>
        <v>2</v>
      </c>
      <c r="G3" s="7" t="s">
        <v>5706</v>
      </c>
      <c r="H3" s="7" t="s">
        <v>5723</v>
      </c>
      <c r="I3" s="7" t="s">
        <v>5724</v>
      </c>
      <c r="J3" s="7" t="s">
        <v>5725</v>
      </c>
      <c r="K3" s="7" t="s">
        <v>5726</v>
      </c>
      <c r="L3" s="7" t="s">
        <v>5726</v>
      </c>
      <c r="M3" s="7" t="s">
        <v>5726</v>
      </c>
      <c r="N3" s="7"/>
      <c r="O3" s="7" t="s">
        <v>5729</v>
      </c>
      <c r="P3" s="7" t="s">
        <v>5730</v>
      </c>
      <c r="Q3" s="7"/>
      <c r="R3" s="8" t="s">
        <v>5728</v>
      </c>
      <c r="S3" s="3" t="s">
        <v>5731</v>
      </c>
      <c r="T3" s="111" t="s">
        <v>5368</v>
      </c>
      <c r="U3" s="7" t="str">
        <f>T3&amp;"-"&amp;S3</f>
        <v>3E-02-manejo do terreno</v>
      </c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</row>
    <row r="4" spans="1:37">
      <c r="A4" s="3" t="s">
        <v>5</v>
      </c>
      <c r="B4" s="3" t="s">
        <v>6</v>
      </c>
      <c r="C4" s="3" t="s">
        <v>7</v>
      </c>
      <c r="D4" s="4">
        <v>3</v>
      </c>
      <c r="E4" s="5" t="s">
        <v>8</v>
      </c>
      <c r="F4" s="7">
        <f ca="1">IFERROR(__xludf.DUMMYFUNCTION("ARRAYFORMULA(SUM(ARRAYFORMULA(IFERROR(VALUE(SPLIT(SUBSTITUTE(E4,""-"","" ""),"" "")),0))))
"),4)</f>
        <v>4</v>
      </c>
      <c r="G4" s="7" t="s">
        <v>5708</v>
      </c>
      <c r="H4" s="7" t="s">
        <v>5732</v>
      </c>
      <c r="I4" s="7" t="s">
        <v>5733</v>
      </c>
      <c r="J4" s="7" t="s">
        <v>5725</v>
      </c>
      <c r="K4" s="7" t="s">
        <v>5725</v>
      </c>
      <c r="L4" s="7" t="s">
        <v>5726</v>
      </c>
      <c r="M4" s="7" t="s">
        <v>5726</v>
      </c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</row>
    <row r="5" spans="1:37">
      <c r="A5" s="7" t="s">
        <v>9</v>
      </c>
      <c r="B5" s="7" t="s">
        <v>10</v>
      </c>
      <c r="C5" s="7" t="s">
        <v>11</v>
      </c>
      <c r="D5" s="4">
        <v>4</v>
      </c>
      <c r="E5" s="5" t="s">
        <v>12</v>
      </c>
      <c r="F5" s="7">
        <f ca="1">IFERROR(__xludf.DUMMYFUNCTION("ARRAYFORMULA(SUM(ARRAYFORMULA(IFERROR(VALUE(SPLIT(SUBSTITUTE(E5,""-"","" ""),"" "")),0))))
"),6)</f>
        <v>6</v>
      </c>
      <c r="G5" s="7" t="s">
        <v>5734</v>
      </c>
      <c r="H5" s="7" t="s">
        <v>5735</v>
      </c>
      <c r="I5" s="7" t="s">
        <v>5736</v>
      </c>
      <c r="J5" s="7" t="s">
        <v>5726</v>
      </c>
      <c r="K5" s="7" t="s">
        <v>5725</v>
      </c>
      <c r="L5" s="7" t="s">
        <v>5725</v>
      </c>
      <c r="M5" s="7" t="s">
        <v>5725</v>
      </c>
      <c r="N5" s="7"/>
      <c r="O5" s="7"/>
      <c r="P5" s="7"/>
      <c r="Q5" s="7">
        <v>1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</row>
    <row r="6" spans="1:37">
      <c r="A6" s="7" t="s">
        <v>13</v>
      </c>
      <c r="B6" s="7" t="s">
        <v>14</v>
      </c>
      <c r="C6" s="7" t="s">
        <v>15</v>
      </c>
      <c r="D6" s="4">
        <v>4</v>
      </c>
      <c r="E6" s="5" t="s">
        <v>16</v>
      </c>
      <c r="F6" s="7">
        <f ca="1">IFERROR(__xludf.DUMMYFUNCTION("ARRAYFORMULA(SUM(ARRAYFORMULA(IFERROR(VALUE(SPLIT(SUBSTITUTE(E6,""-"","" ""),"" "")),0))))
"),8)</f>
        <v>8</v>
      </c>
      <c r="G6" s="7" t="s">
        <v>5734</v>
      </c>
      <c r="H6" s="7" t="s">
        <v>5735</v>
      </c>
      <c r="I6" s="7" t="s">
        <v>5736</v>
      </c>
      <c r="J6" s="7" t="s">
        <v>5726</v>
      </c>
      <c r="K6" s="7" t="s">
        <v>5725</v>
      </c>
      <c r="L6" s="7" t="s">
        <v>5725</v>
      </c>
      <c r="M6" s="7" t="s">
        <v>5725</v>
      </c>
      <c r="N6" s="7"/>
      <c r="O6" s="7"/>
      <c r="P6" s="7"/>
      <c r="Q6" s="7">
        <v>1</v>
      </c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</row>
    <row r="7" spans="1:37">
      <c r="A7" s="7" t="s">
        <v>17</v>
      </c>
      <c r="B7" s="7" t="s">
        <v>18</v>
      </c>
      <c r="C7" s="7" t="s">
        <v>19</v>
      </c>
      <c r="D7" s="4">
        <v>4</v>
      </c>
      <c r="E7" s="5" t="s">
        <v>20</v>
      </c>
      <c r="F7" s="7">
        <f ca="1">IFERROR(__xludf.DUMMYFUNCTION("ARRAYFORMULA(SUM(ARRAYFORMULA(IFERROR(VALUE(SPLIT(SUBSTITUTE(E7,""-"","" ""),"" "")),0))))
"),10)</f>
        <v>10</v>
      </c>
      <c r="G7" s="7" t="s">
        <v>5734</v>
      </c>
      <c r="H7" s="7" t="s">
        <v>5735</v>
      </c>
      <c r="I7" s="7" t="s">
        <v>5736</v>
      </c>
      <c r="J7" s="7" t="s">
        <v>5726</v>
      </c>
      <c r="K7" s="7" t="s">
        <v>5725</v>
      </c>
      <c r="L7" s="7" t="s">
        <v>5725</v>
      </c>
      <c r="M7" s="7" t="s">
        <v>5725</v>
      </c>
      <c r="N7" s="7"/>
      <c r="O7" s="7"/>
      <c r="P7" s="7"/>
      <c r="Q7" s="7">
        <v>1</v>
      </c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 spans="1:37">
      <c r="A8" s="7" t="s">
        <v>21</v>
      </c>
      <c r="B8" s="7" t="s">
        <v>22</v>
      </c>
      <c r="C8" s="7" t="s">
        <v>23</v>
      </c>
      <c r="D8" s="4">
        <v>4</v>
      </c>
      <c r="E8" s="5" t="s">
        <v>24</v>
      </c>
      <c r="F8" s="7">
        <f ca="1">IFERROR(__xludf.DUMMYFUNCTION("ARRAYFORMULA(SUM(ARRAYFORMULA(IFERROR(VALUE(SPLIT(SUBSTITUTE(E8,""-"","" ""),"" "")),0))))
"),12)</f>
        <v>12</v>
      </c>
      <c r="G8" s="7" t="s">
        <v>5734</v>
      </c>
      <c r="H8" s="7" t="s">
        <v>5735</v>
      </c>
      <c r="I8" s="7" t="s">
        <v>5736</v>
      </c>
      <c r="J8" s="7" t="s">
        <v>5726</v>
      </c>
      <c r="K8" s="7" t="s">
        <v>5725</v>
      </c>
      <c r="L8" s="7" t="s">
        <v>5725</v>
      </c>
      <c r="M8" s="7" t="s">
        <v>5725</v>
      </c>
      <c r="N8" s="7"/>
      <c r="O8" s="7"/>
      <c r="P8" s="7"/>
      <c r="Q8" s="7">
        <v>1</v>
      </c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>
      <c r="A9" s="3" t="s">
        <v>25</v>
      </c>
      <c r="B9" s="3" t="s">
        <v>26</v>
      </c>
      <c r="C9" s="3" t="s">
        <v>27</v>
      </c>
      <c r="D9" s="4">
        <v>3</v>
      </c>
      <c r="E9" s="5" t="s">
        <v>28</v>
      </c>
      <c r="F9" s="7">
        <f ca="1">IFERROR(__xludf.DUMMYFUNCTION("ARRAYFORMULA(SUM(ARRAYFORMULA(IFERROR(VALUE(SPLIT(SUBSTITUTE(E9,""-"","" ""),"" "")),0))))
"),6)</f>
        <v>6</v>
      </c>
      <c r="G9" s="7" t="s">
        <v>5708</v>
      </c>
      <c r="H9" s="7" t="s">
        <v>5732</v>
      </c>
      <c r="I9" s="7" t="s">
        <v>5733</v>
      </c>
      <c r="J9" s="7" t="s">
        <v>5725</v>
      </c>
      <c r="K9" s="7" t="s">
        <v>5725</v>
      </c>
      <c r="L9" s="7" t="s">
        <v>5726</v>
      </c>
      <c r="M9" s="7" t="s">
        <v>5726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 spans="1:37">
      <c r="A10" s="7" t="s">
        <v>29</v>
      </c>
      <c r="B10" s="7" t="s">
        <v>30</v>
      </c>
      <c r="C10" s="7" t="s">
        <v>31</v>
      </c>
      <c r="D10" s="4">
        <v>4</v>
      </c>
      <c r="E10" s="5" t="s">
        <v>32</v>
      </c>
      <c r="F10" s="7">
        <f ca="1">IFERROR(__xludf.DUMMYFUNCTION("ARRAYFORMULA(SUM(ARRAYFORMULA(IFERROR(VALUE(SPLIT(SUBSTITUTE(E10,""-"","" ""),"" "")),0))))
"),8)</f>
        <v>8</v>
      </c>
      <c r="G10" s="7" t="s">
        <v>5734</v>
      </c>
      <c r="H10" s="7" t="s">
        <v>5735</v>
      </c>
      <c r="I10" s="7" t="s">
        <v>5736</v>
      </c>
      <c r="J10" s="7" t="s">
        <v>5726</v>
      </c>
      <c r="K10" s="7" t="s">
        <v>5725</v>
      </c>
      <c r="L10" s="7" t="s">
        <v>5725</v>
      </c>
      <c r="M10" s="7" t="s">
        <v>5725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37">
      <c r="A11" s="7" t="s">
        <v>33</v>
      </c>
      <c r="B11" s="7" t="s">
        <v>34</v>
      </c>
      <c r="C11" s="7" t="s">
        <v>35</v>
      </c>
      <c r="D11" s="4">
        <v>5</v>
      </c>
      <c r="E11" s="5" t="s">
        <v>36</v>
      </c>
      <c r="F11" s="7">
        <f ca="1">IFERROR(__xludf.DUMMYFUNCTION("ARRAYFORMULA(SUM(ARRAYFORMULA(IFERROR(VALUE(SPLIT(SUBSTITUTE(E11,""-"","" ""),"" "")),0))))
"),10)</f>
        <v>10</v>
      </c>
      <c r="G11" s="7" t="s">
        <v>5734</v>
      </c>
      <c r="H11" s="7" t="s">
        <v>5735</v>
      </c>
      <c r="I11" s="7" t="s">
        <v>5736</v>
      </c>
      <c r="J11" s="7" t="s">
        <v>5726</v>
      </c>
      <c r="K11" s="7" t="s">
        <v>5725</v>
      </c>
      <c r="L11" s="7" t="s">
        <v>5725</v>
      </c>
      <c r="M11" s="7" t="s">
        <v>5725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7">
      <c r="A12" s="7" t="s">
        <v>37</v>
      </c>
      <c r="B12" s="7" t="s">
        <v>38</v>
      </c>
      <c r="C12" s="7" t="s">
        <v>39</v>
      </c>
      <c r="D12" s="4">
        <v>5</v>
      </c>
      <c r="E12" s="5" t="s">
        <v>40</v>
      </c>
      <c r="F12" s="7">
        <f ca="1">IFERROR(__xludf.DUMMYFUNCTION("ARRAYFORMULA(SUM(ARRAYFORMULA(IFERROR(VALUE(SPLIT(SUBSTITUTE(E12,""-"","" ""),"" "")),0))))
"),12)</f>
        <v>12</v>
      </c>
      <c r="G12" s="7" t="s">
        <v>5734</v>
      </c>
      <c r="H12" s="7" t="s">
        <v>5735</v>
      </c>
      <c r="I12" s="7" t="s">
        <v>5736</v>
      </c>
      <c r="J12" s="7" t="s">
        <v>5726</v>
      </c>
      <c r="K12" s="7" t="s">
        <v>5725</v>
      </c>
      <c r="L12" s="7" t="s">
        <v>5725</v>
      </c>
      <c r="M12" s="7" t="s">
        <v>5725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 spans="1:37">
      <c r="A13" s="7" t="s">
        <v>41</v>
      </c>
      <c r="B13" s="7" t="s">
        <v>42</v>
      </c>
      <c r="C13" s="7" t="s">
        <v>43</v>
      </c>
      <c r="D13" s="4">
        <v>5</v>
      </c>
      <c r="E13" s="5" t="s">
        <v>44</v>
      </c>
      <c r="F13" s="7">
        <f ca="1">IFERROR(__xludf.DUMMYFUNCTION("ARRAYFORMULA(SUM(ARRAYFORMULA(IFERROR(VALUE(SPLIT(SUBSTITUTE(E13,""-"","" ""),"" "")),0))))
"),14)</f>
        <v>14</v>
      </c>
      <c r="G13" s="7" t="s">
        <v>5734</v>
      </c>
      <c r="H13" s="7" t="s">
        <v>5735</v>
      </c>
      <c r="I13" s="7" t="s">
        <v>5736</v>
      </c>
      <c r="J13" s="7" t="s">
        <v>5726</v>
      </c>
      <c r="K13" s="7" t="s">
        <v>5725</v>
      </c>
      <c r="L13" s="7" t="s">
        <v>5725</v>
      </c>
      <c r="M13" s="7" t="s">
        <v>5725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1:37">
      <c r="A14" s="7" t="s">
        <v>45</v>
      </c>
      <c r="B14" s="7" t="s">
        <v>46</v>
      </c>
      <c r="C14" s="7" t="s">
        <v>47</v>
      </c>
      <c r="D14" s="4">
        <v>5</v>
      </c>
      <c r="E14" s="5" t="s">
        <v>48</v>
      </c>
      <c r="F14" s="7">
        <f ca="1">IFERROR(__xludf.DUMMYFUNCTION("ARRAYFORMULA(SUM(ARRAYFORMULA(IFERROR(VALUE(SPLIT(SUBSTITUTE(E14,""-"","" ""),"" "")),0))))
"),16)</f>
        <v>16</v>
      </c>
      <c r="G14" s="7" t="s">
        <v>5734</v>
      </c>
      <c r="H14" s="7" t="s">
        <v>5735</v>
      </c>
      <c r="I14" s="7" t="s">
        <v>5736</v>
      </c>
      <c r="J14" s="7" t="s">
        <v>5726</v>
      </c>
      <c r="K14" s="7" t="s">
        <v>5725</v>
      </c>
      <c r="L14" s="7" t="s">
        <v>5725</v>
      </c>
      <c r="M14" s="7" t="s">
        <v>5725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5" spans="1:37">
      <c r="A15" s="7" t="s">
        <v>49</v>
      </c>
      <c r="B15" s="7" t="s">
        <v>50</v>
      </c>
      <c r="C15" s="7" t="s">
        <v>51</v>
      </c>
      <c r="D15" s="4">
        <v>4</v>
      </c>
      <c r="E15" s="5" t="s">
        <v>52</v>
      </c>
      <c r="F15" s="7">
        <f ca="1">IFERROR(__xludf.DUMMYFUNCTION("ARRAYFORMULA(SUM(ARRAYFORMULA(IFERROR(VALUE(SPLIT(SUBSTITUTE(E15,""-"","" ""),"" "")),0))))
"),10)</f>
        <v>10</v>
      </c>
      <c r="G15" s="7" t="s">
        <v>5734</v>
      </c>
      <c r="H15" s="7" t="s">
        <v>5735</v>
      </c>
      <c r="I15" s="7" t="s">
        <v>5736</v>
      </c>
      <c r="J15" s="7" t="s">
        <v>5726</v>
      </c>
      <c r="K15" s="7" t="s">
        <v>5725</v>
      </c>
      <c r="L15" s="7" t="s">
        <v>5725</v>
      </c>
      <c r="M15" s="7" t="s">
        <v>5725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 spans="1:37">
      <c r="A16" s="7" t="s">
        <v>53</v>
      </c>
      <c r="B16" s="7" t="s">
        <v>54</v>
      </c>
      <c r="C16" s="7" t="s">
        <v>55</v>
      </c>
      <c r="D16" s="4">
        <v>4</v>
      </c>
      <c r="E16" s="5" t="s">
        <v>56</v>
      </c>
      <c r="F16" s="7">
        <f ca="1">IFERROR(__xludf.DUMMYFUNCTION("ARRAYFORMULA(SUM(ARRAYFORMULA(IFERROR(VALUE(SPLIT(SUBSTITUTE(E16,""-"","" ""),"" "")),0))))
"),12)</f>
        <v>12</v>
      </c>
      <c r="G16" s="7" t="s">
        <v>5734</v>
      </c>
      <c r="H16" s="7" t="s">
        <v>5735</v>
      </c>
      <c r="I16" s="7" t="s">
        <v>5736</v>
      </c>
      <c r="J16" s="7" t="s">
        <v>5726</v>
      </c>
      <c r="K16" s="7" t="s">
        <v>5725</v>
      </c>
      <c r="L16" s="7" t="s">
        <v>5725</v>
      </c>
      <c r="M16" s="7" t="s">
        <v>5725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</row>
    <row r="17" spans="1:37">
      <c r="A17" s="7" t="s">
        <v>57</v>
      </c>
      <c r="B17" s="7" t="s">
        <v>58</v>
      </c>
      <c r="C17" s="7" t="s">
        <v>59</v>
      </c>
      <c r="D17" s="4">
        <v>5</v>
      </c>
      <c r="E17" s="5" t="s">
        <v>60</v>
      </c>
      <c r="F17" s="7">
        <f ca="1">IFERROR(__xludf.DUMMYFUNCTION("ARRAYFORMULA(SUM(ARRAYFORMULA(IFERROR(VALUE(SPLIT(SUBSTITUTE(E17,""-"","" ""),"" "")),0))))
"),14)</f>
        <v>14</v>
      </c>
      <c r="G17" s="7" t="s">
        <v>5734</v>
      </c>
      <c r="H17" s="7" t="s">
        <v>5735</v>
      </c>
      <c r="I17" s="7" t="s">
        <v>5736</v>
      </c>
      <c r="J17" s="7" t="s">
        <v>5726</v>
      </c>
      <c r="K17" s="7" t="s">
        <v>5725</v>
      </c>
      <c r="L17" s="7" t="s">
        <v>5725</v>
      </c>
      <c r="M17" s="7" t="s">
        <v>5725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 spans="1:37">
      <c r="A18" s="7" t="s">
        <v>61</v>
      </c>
      <c r="B18" s="7" t="s">
        <v>62</v>
      </c>
      <c r="C18" s="7" t="s">
        <v>63</v>
      </c>
      <c r="D18" s="4">
        <v>5</v>
      </c>
      <c r="E18" s="5" t="s">
        <v>64</v>
      </c>
      <c r="F18" s="7">
        <f ca="1">IFERROR(__xludf.DUMMYFUNCTION("ARRAYFORMULA(SUM(ARRAYFORMULA(IFERROR(VALUE(SPLIT(SUBSTITUTE(E18,""-"","" ""),"" "")),0))))
"),16)</f>
        <v>16</v>
      </c>
      <c r="G18" s="7" t="s">
        <v>5734</v>
      </c>
      <c r="H18" s="7" t="s">
        <v>5735</v>
      </c>
      <c r="I18" s="7" t="s">
        <v>5736</v>
      </c>
      <c r="J18" s="7" t="s">
        <v>5726</v>
      </c>
      <c r="K18" s="7" t="s">
        <v>5725</v>
      </c>
      <c r="L18" s="7" t="s">
        <v>5725</v>
      </c>
      <c r="M18" s="7" t="s">
        <v>5725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</row>
    <row r="19" spans="1:37">
      <c r="A19" s="7" t="s">
        <v>65</v>
      </c>
      <c r="B19" s="7" t="s">
        <v>66</v>
      </c>
      <c r="C19" s="7" t="s">
        <v>67</v>
      </c>
      <c r="D19" s="4">
        <v>5</v>
      </c>
      <c r="E19" s="5" t="s">
        <v>68</v>
      </c>
      <c r="F19" s="7">
        <f ca="1">IFERROR(__xludf.DUMMYFUNCTION("ARRAYFORMULA(SUM(ARRAYFORMULA(IFERROR(VALUE(SPLIT(SUBSTITUTE(E19,""-"","" ""),"" "")),0))))
"),18)</f>
        <v>18</v>
      </c>
      <c r="G19" s="7" t="s">
        <v>5734</v>
      </c>
      <c r="H19" s="7" t="s">
        <v>5735</v>
      </c>
      <c r="I19" s="7" t="s">
        <v>5736</v>
      </c>
      <c r="J19" s="7" t="s">
        <v>5726</v>
      </c>
      <c r="K19" s="7" t="s">
        <v>5725</v>
      </c>
      <c r="L19" s="7" t="s">
        <v>5725</v>
      </c>
      <c r="M19" s="7" t="s">
        <v>5725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</row>
    <row r="20" spans="1:37">
      <c r="A20" s="7" t="s">
        <v>69</v>
      </c>
      <c r="B20" s="7" t="s">
        <v>70</v>
      </c>
      <c r="C20" s="7" t="s">
        <v>71</v>
      </c>
      <c r="D20" s="4">
        <v>5</v>
      </c>
      <c r="E20" s="5" t="s">
        <v>72</v>
      </c>
      <c r="F20" s="7">
        <f ca="1">IFERROR(__xludf.DUMMYFUNCTION("ARRAYFORMULA(SUM(ARRAYFORMULA(IFERROR(VALUE(SPLIT(SUBSTITUTE(E20,""-"","" ""),"" "")),0))))
"),20)</f>
        <v>20</v>
      </c>
      <c r="G20" s="7" t="s">
        <v>5734</v>
      </c>
      <c r="H20" s="7" t="s">
        <v>5735</v>
      </c>
      <c r="I20" s="7" t="s">
        <v>5736</v>
      </c>
      <c r="J20" s="7" t="s">
        <v>5726</v>
      </c>
      <c r="K20" s="7" t="s">
        <v>5725</v>
      </c>
      <c r="L20" s="7" t="s">
        <v>5725</v>
      </c>
      <c r="M20" s="7" t="s">
        <v>5725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 spans="1:37">
      <c r="A21" s="7" t="s">
        <v>73</v>
      </c>
      <c r="B21" s="7" t="s">
        <v>74</v>
      </c>
      <c r="C21" s="7" t="s">
        <v>75</v>
      </c>
      <c r="D21" s="4">
        <v>5</v>
      </c>
      <c r="E21" s="5" t="s">
        <v>76</v>
      </c>
      <c r="F21" s="7">
        <f ca="1">IFERROR(__xludf.DUMMYFUNCTION("ARRAYFORMULA(SUM(ARRAYFORMULA(IFERROR(VALUE(SPLIT(SUBSTITUTE(E21,""-"","" ""),"" "")),0))))
"),22)</f>
        <v>22</v>
      </c>
      <c r="G21" s="7" t="s">
        <v>5734</v>
      </c>
      <c r="H21" s="7" t="s">
        <v>5735</v>
      </c>
      <c r="I21" s="7" t="s">
        <v>5736</v>
      </c>
      <c r="J21" s="7" t="s">
        <v>5726</v>
      </c>
      <c r="K21" s="7" t="s">
        <v>5725</v>
      </c>
      <c r="L21" s="7" t="s">
        <v>5725</v>
      </c>
      <c r="M21" s="7" t="s">
        <v>5725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 spans="1:37">
      <c r="A22" s="7" t="s">
        <v>77</v>
      </c>
      <c r="B22" s="7" t="s">
        <v>78</v>
      </c>
      <c r="C22" s="7" t="s">
        <v>79</v>
      </c>
      <c r="D22" s="4">
        <v>5</v>
      </c>
      <c r="E22" s="5" t="s">
        <v>80</v>
      </c>
      <c r="F22" s="7">
        <f ca="1">IFERROR(__xludf.DUMMYFUNCTION("ARRAYFORMULA(SUM(ARRAYFORMULA(IFERROR(VALUE(SPLIT(SUBSTITUTE(E22,""-"","" ""),"" "")),0))))
"),24)</f>
        <v>24</v>
      </c>
      <c r="G22" s="7" t="s">
        <v>5734</v>
      </c>
      <c r="H22" s="7" t="s">
        <v>5735</v>
      </c>
      <c r="I22" s="7" t="s">
        <v>5736</v>
      </c>
      <c r="J22" s="7" t="s">
        <v>5726</v>
      </c>
      <c r="K22" s="7" t="s">
        <v>5725</v>
      </c>
      <c r="L22" s="7" t="s">
        <v>5725</v>
      </c>
      <c r="M22" s="7" t="s">
        <v>5725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 spans="1:37">
      <c r="A23" s="3" t="s">
        <v>81</v>
      </c>
      <c r="B23" s="3" t="s">
        <v>82</v>
      </c>
      <c r="C23" s="3" t="s">
        <v>83</v>
      </c>
      <c r="D23" s="4">
        <v>3</v>
      </c>
      <c r="E23" s="5" t="s">
        <v>84</v>
      </c>
      <c r="F23" s="7">
        <f ca="1">IFERROR(__xludf.DUMMYFUNCTION("ARRAYFORMULA(SUM(ARRAYFORMULA(IFERROR(VALUE(SPLIT(SUBSTITUTE(E23,""-"","" ""),"" "")),0))))
"),8)</f>
        <v>8</v>
      </c>
      <c r="G23" s="7" t="s">
        <v>5708</v>
      </c>
      <c r="H23" s="7" t="s">
        <v>5732</v>
      </c>
      <c r="I23" s="7" t="s">
        <v>5733</v>
      </c>
      <c r="J23" s="7" t="s">
        <v>5725</v>
      </c>
      <c r="K23" s="7" t="s">
        <v>5725</v>
      </c>
      <c r="L23" s="7" t="s">
        <v>5726</v>
      </c>
      <c r="M23" s="7" t="s">
        <v>5726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 spans="1:37">
      <c r="A24" s="7" t="s">
        <v>85</v>
      </c>
      <c r="B24" s="7" t="s">
        <v>86</v>
      </c>
      <c r="C24" s="7" t="s">
        <v>87</v>
      </c>
      <c r="D24" s="4">
        <v>4</v>
      </c>
      <c r="E24" s="5" t="s">
        <v>88</v>
      </c>
      <c r="F24" s="7">
        <f ca="1">IFERROR(__xludf.DUMMYFUNCTION("ARRAYFORMULA(SUM(ARRAYFORMULA(IFERROR(VALUE(SPLIT(SUBSTITUTE(E24,""-"","" ""),"" "")),0))))
"),10)</f>
        <v>10</v>
      </c>
      <c r="G24" s="7" t="s">
        <v>5734</v>
      </c>
      <c r="H24" s="7" t="s">
        <v>5735</v>
      </c>
      <c r="I24" s="7" t="s">
        <v>5736</v>
      </c>
      <c r="J24" s="7" t="s">
        <v>5726</v>
      </c>
      <c r="K24" s="7" t="s">
        <v>5725</v>
      </c>
      <c r="L24" s="7" t="s">
        <v>5725</v>
      </c>
      <c r="M24" s="7" t="s">
        <v>5725</v>
      </c>
      <c r="N24" s="7"/>
      <c r="O24" s="7"/>
      <c r="P24" s="7"/>
      <c r="Q24" s="7">
        <v>1</v>
      </c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 spans="1:37">
      <c r="A25" s="7" t="s">
        <v>89</v>
      </c>
      <c r="B25" s="7" t="s">
        <v>90</v>
      </c>
      <c r="C25" s="7" t="s">
        <v>91</v>
      </c>
      <c r="D25" s="4">
        <v>4</v>
      </c>
      <c r="E25" s="5" t="s">
        <v>92</v>
      </c>
      <c r="F25" s="7">
        <f ca="1">IFERROR(__xludf.DUMMYFUNCTION("ARRAYFORMULA(SUM(ARRAYFORMULA(IFERROR(VALUE(SPLIT(SUBSTITUTE(E25,""-"","" ""),"" "")),0))))
"),12)</f>
        <v>12</v>
      </c>
      <c r="G25" s="7" t="s">
        <v>5734</v>
      </c>
      <c r="H25" s="7" t="s">
        <v>5735</v>
      </c>
      <c r="I25" s="7" t="s">
        <v>5736</v>
      </c>
      <c r="J25" s="7" t="s">
        <v>5726</v>
      </c>
      <c r="K25" s="7" t="s">
        <v>5725</v>
      </c>
      <c r="L25" s="7" t="s">
        <v>5725</v>
      </c>
      <c r="M25" s="7" t="s">
        <v>5725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</row>
    <row r="26" spans="1:37">
      <c r="A26" s="7" t="s">
        <v>93</v>
      </c>
      <c r="B26" s="7" t="s">
        <v>94</v>
      </c>
      <c r="C26" s="7" t="s">
        <v>95</v>
      </c>
      <c r="D26" s="4">
        <v>4</v>
      </c>
      <c r="E26" s="5" t="s">
        <v>96</v>
      </c>
      <c r="F26" s="7">
        <f ca="1">IFERROR(__xludf.DUMMYFUNCTION("ARRAYFORMULA(SUM(ARRAYFORMULA(IFERROR(VALUE(SPLIT(SUBSTITUTE(E26,""-"","" ""),"" "")),0))))
"),14)</f>
        <v>14</v>
      </c>
      <c r="G26" s="7" t="s">
        <v>5734</v>
      </c>
      <c r="H26" s="7" t="s">
        <v>5735</v>
      </c>
      <c r="I26" s="7" t="s">
        <v>5736</v>
      </c>
      <c r="J26" s="7" t="s">
        <v>5726</v>
      </c>
      <c r="K26" s="7" t="s">
        <v>5725</v>
      </c>
      <c r="L26" s="7" t="s">
        <v>5725</v>
      </c>
      <c r="M26" s="7" t="s">
        <v>5725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</row>
    <row r="27" spans="1:37">
      <c r="A27" s="3" t="s">
        <v>97</v>
      </c>
      <c r="B27" s="3" t="s">
        <v>98</v>
      </c>
      <c r="C27" s="3" t="s">
        <v>99</v>
      </c>
      <c r="D27" s="4">
        <v>3</v>
      </c>
      <c r="E27" s="5" t="s">
        <v>100</v>
      </c>
      <c r="F27" s="7">
        <f ca="1">IFERROR(__xludf.DUMMYFUNCTION("ARRAYFORMULA(SUM(ARRAYFORMULA(IFERROR(VALUE(SPLIT(SUBSTITUTE(E27,""-"","" ""),"" "")),0))))
"),10)</f>
        <v>10</v>
      </c>
      <c r="G27" s="7" t="s">
        <v>5708</v>
      </c>
      <c r="H27" s="7" t="s">
        <v>5732</v>
      </c>
      <c r="I27" s="7" t="s">
        <v>5733</v>
      </c>
      <c r="J27" s="7" t="s">
        <v>5725</v>
      </c>
      <c r="K27" s="7" t="s">
        <v>5725</v>
      </c>
      <c r="L27" s="7" t="s">
        <v>5726</v>
      </c>
      <c r="M27" s="7" t="s">
        <v>5726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</row>
    <row r="28" spans="1:37">
      <c r="A28" s="7" t="s">
        <v>101</v>
      </c>
      <c r="B28" s="7" t="s">
        <v>102</v>
      </c>
      <c r="C28" s="7" t="s">
        <v>103</v>
      </c>
      <c r="D28" s="4">
        <v>4</v>
      </c>
      <c r="E28" s="5" t="s">
        <v>104</v>
      </c>
      <c r="F28" s="7">
        <f ca="1">IFERROR(__xludf.DUMMYFUNCTION("ARRAYFORMULA(SUM(ARRAYFORMULA(IFERROR(VALUE(SPLIT(SUBSTITUTE(E28,""-"","" ""),"" "")),0))))
"),12)</f>
        <v>12</v>
      </c>
      <c r="G28" s="7" t="s">
        <v>5734</v>
      </c>
      <c r="H28" s="7" t="s">
        <v>5735</v>
      </c>
      <c r="I28" s="7" t="s">
        <v>5736</v>
      </c>
      <c r="J28" s="7" t="s">
        <v>5726</v>
      </c>
      <c r="K28" s="7" t="s">
        <v>5725</v>
      </c>
      <c r="L28" s="7" t="s">
        <v>5725</v>
      </c>
      <c r="M28" s="7" t="s">
        <v>5725</v>
      </c>
      <c r="N28" s="7"/>
      <c r="O28" s="7"/>
      <c r="P28" s="7"/>
      <c r="Q28" s="7">
        <v>1</v>
      </c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</row>
    <row r="29" spans="1:37">
      <c r="A29" s="7" t="s">
        <v>105</v>
      </c>
      <c r="B29" s="7" t="s">
        <v>106</v>
      </c>
      <c r="C29" s="7" t="s">
        <v>107</v>
      </c>
      <c r="D29" s="4">
        <v>5</v>
      </c>
      <c r="E29" s="5" t="s">
        <v>108</v>
      </c>
      <c r="F29" s="7">
        <f ca="1">IFERROR(__xludf.DUMMYFUNCTION("ARRAYFORMULA(SUM(ARRAYFORMULA(IFERROR(VALUE(SPLIT(SUBSTITUTE(E29,""-"","" ""),"" "")),0))))
"),14)</f>
        <v>14</v>
      </c>
      <c r="G29" s="7" t="s">
        <v>5734</v>
      </c>
      <c r="H29" s="7" t="s">
        <v>5735</v>
      </c>
      <c r="I29" s="7" t="s">
        <v>5736</v>
      </c>
      <c r="J29" s="7" t="s">
        <v>5726</v>
      </c>
      <c r="K29" s="7" t="s">
        <v>5725</v>
      </c>
      <c r="L29" s="7" t="s">
        <v>5725</v>
      </c>
      <c r="M29" s="7" t="s">
        <v>5725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 spans="1:37">
      <c r="A30" s="7" t="s">
        <v>109</v>
      </c>
      <c r="B30" s="7" t="s">
        <v>110</v>
      </c>
      <c r="C30" s="7" t="s">
        <v>111</v>
      </c>
      <c r="D30" s="4">
        <v>4</v>
      </c>
      <c r="E30" s="5" t="s">
        <v>112</v>
      </c>
      <c r="F30" s="7">
        <f ca="1">IFERROR(__xludf.DUMMYFUNCTION("ARRAYFORMULA(SUM(ARRAYFORMULA(IFERROR(VALUE(SPLIT(SUBSTITUTE(E30,""-"","" ""),"" "")),0))))
"),14)</f>
        <v>14</v>
      </c>
      <c r="G30" s="7" t="s">
        <v>5734</v>
      </c>
      <c r="H30" s="7" t="s">
        <v>5735</v>
      </c>
      <c r="I30" s="7" t="s">
        <v>5736</v>
      </c>
      <c r="J30" s="7" t="s">
        <v>5726</v>
      </c>
      <c r="K30" s="7" t="s">
        <v>5725</v>
      </c>
      <c r="L30" s="7" t="s">
        <v>5725</v>
      </c>
      <c r="M30" s="7" t="s">
        <v>5725</v>
      </c>
      <c r="N30" s="7"/>
      <c r="O30" s="7"/>
      <c r="P30" s="7"/>
      <c r="Q30" s="7">
        <v>1</v>
      </c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</row>
    <row r="31" spans="1:37">
      <c r="A31" s="7" t="s">
        <v>113</v>
      </c>
      <c r="B31" s="7" t="s">
        <v>114</v>
      </c>
      <c r="C31" s="7" t="s">
        <v>115</v>
      </c>
      <c r="D31" s="4">
        <v>5</v>
      </c>
      <c r="E31" s="5" t="s">
        <v>116</v>
      </c>
      <c r="F31" s="7">
        <f ca="1">IFERROR(__xludf.DUMMYFUNCTION("ARRAYFORMULA(SUM(ARRAYFORMULA(IFERROR(VALUE(SPLIT(SUBSTITUTE(E31,""-"","" ""),"" "")),0))))
"),16)</f>
        <v>16</v>
      </c>
      <c r="G31" s="7" t="s">
        <v>5734</v>
      </c>
      <c r="H31" s="7" t="s">
        <v>5735</v>
      </c>
      <c r="I31" s="7" t="s">
        <v>5736</v>
      </c>
      <c r="J31" s="7" t="s">
        <v>5726</v>
      </c>
      <c r="K31" s="7" t="s">
        <v>5725</v>
      </c>
      <c r="L31" s="7" t="s">
        <v>5725</v>
      </c>
      <c r="M31" s="7" t="s">
        <v>5725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</row>
    <row r="32" spans="1:37">
      <c r="A32" s="7" t="s">
        <v>117</v>
      </c>
      <c r="B32" s="7" t="s">
        <v>118</v>
      </c>
      <c r="C32" s="7" t="s">
        <v>119</v>
      </c>
      <c r="D32" s="4">
        <v>5</v>
      </c>
      <c r="E32" s="5" t="s">
        <v>120</v>
      </c>
      <c r="F32" s="7">
        <f ca="1">IFERROR(__xludf.DUMMYFUNCTION("ARRAYFORMULA(SUM(ARRAYFORMULA(IFERROR(VALUE(SPLIT(SUBSTITUTE(E32,""-"","" ""),"" "")),0))))
"),18)</f>
        <v>18</v>
      </c>
      <c r="G32" s="7" t="s">
        <v>5734</v>
      </c>
      <c r="H32" s="7" t="s">
        <v>5735</v>
      </c>
      <c r="I32" s="7" t="s">
        <v>5736</v>
      </c>
      <c r="J32" s="7" t="s">
        <v>5726</v>
      </c>
      <c r="K32" s="7" t="s">
        <v>5725</v>
      </c>
      <c r="L32" s="7" t="s">
        <v>5725</v>
      </c>
      <c r="M32" s="7" t="s">
        <v>5725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spans="1:37">
      <c r="A33" s="7" t="s">
        <v>121</v>
      </c>
      <c r="B33" s="7" t="s">
        <v>122</v>
      </c>
      <c r="C33" s="7" t="s">
        <v>123</v>
      </c>
      <c r="D33" s="4">
        <v>5</v>
      </c>
      <c r="E33" s="5" t="s">
        <v>124</v>
      </c>
      <c r="F33" s="7">
        <f ca="1">IFERROR(__xludf.DUMMYFUNCTION("ARRAYFORMULA(SUM(ARRAYFORMULA(IFERROR(VALUE(SPLIT(SUBSTITUTE(E33,""-"","" ""),"" "")),0))))
"),20)</f>
        <v>20</v>
      </c>
      <c r="G33" s="7" t="s">
        <v>5734</v>
      </c>
      <c r="H33" s="7" t="s">
        <v>5735</v>
      </c>
      <c r="I33" s="7" t="s">
        <v>5736</v>
      </c>
      <c r="J33" s="7" t="s">
        <v>5726</v>
      </c>
      <c r="K33" s="7" t="s">
        <v>5725</v>
      </c>
      <c r="L33" s="7" t="s">
        <v>5725</v>
      </c>
      <c r="M33" s="7" t="s">
        <v>5725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spans="1:37">
      <c r="A34" s="7" t="s">
        <v>125</v>
      </c>
      <c r="B34" s="7" t="s">
        <v>126</v>
      </c>
      <c r="C34" s="7" t="s">
        <v>127</v>
      </c>
      <c r="D34" s="4">
        <v>5</v>
      </c>
      <c r="E34" s="5" t="s">
        <v>128</v>
      </c>
      <c r="F34" s="7">
        <f ca="1">IFERROR(__xludf.DUMMYFUNCTION("ARRAYFORMULA(SUM(ARRAYFORMULA(IFERROR(VALUE(SPLIT(SUBSTITUTE(E34,""-"","" ""),"" "")),0))))
"),22)</f>
        <v>22</v>
      </c>
      <c r="G34" s="7" t="s">
        <v>5734</v>
      </c>
      <c r="H34" s="7" t="s">
        <v>5735</v>
      </c>
      <c r="I34" s="7" t="s">
        <v>5736</v>
      </c>
      <c r="J34" s="7" t="s">
        <v>5726</v>
      </c>
      <c r="K34" s="7" t="s">
        <v>5725</v>
      </c>
      <c r="L34" s="7" t="s">
        <v>5725</v>
      </c>
      <c r="M34" s="7" t="s">
        <v>5725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 spans="1:37">
      <c r="A35" s="7" t="s">
        <v>129</v>
      </c>
      <c r="B35" s="7" t="s">
        <v>130</v>
      </c>
      <c r="C35" s="7" t="s">
        <v>131</v>
      </c>
      <c r="D35" s="4">
        <v>5</v>
      </c>
      <c r="E35" s="5" t="s">
        <v>132</v>
      </c>
      <c r="F35" s="7">
        <f ca="1">IFERROR(__xludf.DUMMYFUNCTION("ARRAYFORMULA(SUM(ARRAYFORMULA(IFERROR(VALUE(SPLIT(SUBSTITUTE(E35,""-"","" ""),"" "")),0))))
"),24)</f>
        <v>24</v>
      </c>
      <c r="G35" s="7" t="s">
        <v>5734</v>
      </c>
      <c r="H35" s="7" t="s">
        <v>5735</v>
      </c>
      <c r="I35" s="7" t="s">
        <v>5736</v>
      </c>
      <c r="J35" s="7" t="s">
        <v>5726</v>
      </c>
      <c r="K35" s="7" t="s">
        <v>5725</v>
      </c>
      <c r="L35" s="7" t="s">
        <v>5725</v>
      </c>
      <c r="M35" s="7" t="s">
        <v>5725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spans="1:37">
      <c r="A36" s="3" t="s">
        <v>133</v>
      </c>
      <c r="B36" s="3" t="s">
        <v>134</v>
      </c>
      <c r="C36" s="3" t="s">
        <v>135</v>
      </c>
      <c r="D36" s="4">
        <v>3</v>
      </c>
      <c r="E36" s="5" t="s">
        <v>136</v>
      </c>
      <c r="F36" s="7">
        <f ca="1">IFERROR(__xludf.DUMMYFUNCTION("ARRAYFORMULA(SUM(ARRAYFORMULA(IFERROR(VALUE(SPLIT(SUBSTITUTE(E36,""-"","" ""),"" "")),0))))
"),12)</f>
        <v>12</v>
      </c>
      <c r="G36" s="7" t="s">
        <v>5708</v>
      </c>
      <c r="H36" s="7" t="s">
        <v>5732</v>
      </c>
      <c r="I36" s="7" t="s">
        <v>5733</v>
      </c>
      <c r="J36" s="7" t="s">
        <v>5725</v>
      </c>
      <c r="K36" s="7" t="s">
        <v>5725</v>
      </c>
      <c r="L36" s="7" t="s">
        <v>5726</v>
      </c>
      <c r="M36" s="7" t="s">
        <v>5726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</row>
    <row r="37" spans="1:37">
      <c r="A37" s="7" t="s">
        <v>137</v>
      </c>
      <c r="B37" s="7" t="s">
        <v>138</v>
      </c>
      <c r="C37" s="7" t="s">
        <v>139</v>
      </c>
      <c r="D37" s="4">
        <v>4</v>
      </c>
      <c r="E37" s="5" t="s">
        <v>140</v>
      </c>
      <c r="F37" s="7">
        <f ca="1">IFERROR(__xludf.DUMMYFUNCTION("ARRAYFORMULA(SUM(ARRAYFORMULA(IFERROR(VALUE(SPLIT(SUBSTITUTE(E37,""-"","" ""),"" "")),0))))
"),14)</f>
        <v>14</v>
      </c>
      <c r="G37" s="7" t="s">
        <v>5734</v>
      </c>
      <c r="H37" s="7" t="s">
        <v>5735</v>
      </c>
      <c r="I37" s="7" t="s">
        <v>5736</v>
      </c>
      <c r="J37" s="7" t="s">
        <v>5726</v>
      </c>
      <c r="K37" s="7" t="s">
        <v>5725</v>
      </c>
      <c r="L37" s="7" t="s">
        <v>5725</v>
      </c>
      <c r="M37" s="7" t="s">
        <v>5725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</row>
    <row r="38" spans="1:37">
      <c r="A38" s="7" t="s">
        <v>141</v>
      </c>
      <c r="B38" s="7" t="s">
        <v>142</v>
      </c>
      <c r="C38" s="7" t="s">
        <v>143</v>
      </c>
      <c r="D38" s="4">
        <v>4</v>
      </c>
      <c r="E38" s="5" t="s">
        <v>144</v>
      </c>
      <c r="F38" s="7">
        <f ca="1">IFERROR(__xludf.DUMMYFUNCTION("ARRAYFORMULA(SUM(ARRAYFORMULA(IFERROR(VALUE(SPLIT(SUBSTITUTE(E38,""-"","" ""),"" "")),0))))
"),16)</f>
        <v>16</v>
      </c>
      <c r="G38" s="7" t="s">
        <v>5734</v>
      </c>
      <c r="H38" s="7" t="s">
        <v>5735</v>
      </c>
      <c r="I38" s="7" t="s">
        <v>5736</v>
      </c>
      <c r="J38" s="7" t="s">
        <v>5726</v>
      </c>
      <c r="K38" s="7" t="s">
        <v>5725</v>
      </c>
      <c r="L38" s="7" t="s">
        <v>5725</v>
      </c>
      <c r="M38" s="7" t="s">
        <v>5725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 spans="1:37">
      <c r="A39" s="7" t="s">
        <v>145</v>
      </c>
      <c r="B39" s="7" t="s">
        <v>146</v>
      </c>
      <c r="C39" s="7" t="s">
        <v>147</v>
      </c>
      <c r="D39" s="4">
        <v>4</v>
      </c>
      <c r="E39" s="5" t="s">
        <v>148</v>
      </c>
      <c r="F39" s="7">
        <f ca="1">IFERROR(__xludf.DUMMYFUNCTION("ARRAYFORMULA(SUM(ARRAYFORMULA(IFERROR(VALUE(SPLIT(SUBSTITUTE(E39,""-"","" ""),"" "")),0))))
"),18)</f>
        <v>18</v>
      </c>
      <c r="G39" s="7" t="s">
        <v>5734</v>
      </c>
      <c r="H39" s="7" t="s">
        <v>5735</v>
      </c>
      <c r="I39" s="7" t="s">
        <v>5736</v>
      </c>
      <c r="J39" s="7" t="s">
        <v>5726</v>
      </c>
      <c r="K39" s="7" t="s">
        <v>5725</v>
      </c>
      <c r="L39" s="7" t="s">
        <v>5725</v>
      </c>
      <c r="M39" s="7" t="s">
        <v>5725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 spans="1:37">
      <c r="A40" s="3" t="s">
        <v>149</v>
      </c>
      <c r="B40" s="3" t="s">
        <v>150</v>
      </c>
      <c r="C40" s="3" t="s">
        <v>151</v>
      </c>
      <c r="D40" s="4">
        <v>3</v>
      </c>
      <c r="E40" s="5" t="s">
        <v>152</v>
      </c>
      <c r="F40" s="7">
        <f ca="1">IFERROR(__xludf.DUMMYFUNCTION("ARRAYFORMULA(SUM(ARRAYFORMULA(IFERROR(VALUE(SPLIT(SUBSTITUTE(E40,""-"","" ""),"" "")),0))))
"),14)</f>
        <v>14</v>
      </c>
      <c r="G40" s="7" t="s">
        <v>5708</v>
      </c>
      <c r="H40" s="7" t="s">
        <v>5732</v>
      </c>
      <c r="I40" s="7" t="s">
        <v>5733</v>
      </c>
      <c r="J40" s="7" t="s">
        <v>5725</v>
      </c>
      <c r="K40" s="7" t="s">
        <v>5725</v>
      </c>
      <c r="L40" s="7" t="s">
        <v>5726</v>
      </c>
      <c r="M40" s="7" t="s">
        <v>5726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 spans="1:37">
      <c r="A41" s="7" t="s">
        <v>153</v>
      </c>
      <c r="B41" s="7" t="s">
        <v>154</v>
      </c>
      <c r="C41" s="7" t="s">
        <v>155</v>
      </c>
      <c r="D41" s="4">
        <v>4</v>
      </c>
      <c r="E41" s="5" t="s">
        <v>156</v>
      </c>
      <c r="F41" s="7">
        <f ca="1">IFERROR(__xludf.DUMMYFUNCTION("ARRAYFORMULA(SUM(ARRAYFORMULA(IFERROR(VALUE(SPLIT(SUBSTITUTE(E41,""-"","" ""),"" "")),0))))
"),16)</f>
        <v>16</v>
      </c>
      <c r="G41" s="7" t="s">
        <v>5734</v>
      </c>
      <c r="H41" s="7" t="s">
        <v>5735</v>
      </c>
      <c r="I41" s="7" t="s">
        <v>5736</v>
      </c>
      <c r="J41" s="7" t="s">
        <v>5726</v>
      </c>
      <c r="K41" s="7" t="s">
        <v>5725</v>
      </c>
      <c r="L41" s="7" t="s">
        <v>5725</v>
      </c>
      <c r="M41" s="7" t="s">
        <v>5725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>
      <c r="A42" s="7" t="s">
        <v>157</v>
      </c>
      <c r="B42" s="7" t="s">
        <v>158</v>
      </c>
      <c r="C42" s="7" t="s">
        <v>159</v>
      </c>
      <c r="D42" s="4">
        <v>4</v>
      </c>
      <c r="E42" s="5" t="s">
        <v>160</v>
      </c>
      <c r="F42" s="7">
        <f ca="1">IFERROR(__xludf.DUMMYFUNCTION("ARRAYFORMULA(SUM(ARRAYFORMULA(IFERROR(VALUE(SPLIT(SUBSTITUTE(E42,""-"","" ""),"" "")),0))))
"),18)</f>
        <v>18</v>
      </c>
      <c r="G42" s="7" t="s">
        <v>5734</v>
      </c>
      <c r="H42" s="7" t="s">
        <v>5735</v>
      </c>
      <c r="I42" s="7" t="s">
        <v>5736</v>
      </c>
      <c r="J42" s="7" t="s">
        <v>5726</v>
      </c>
      <c r="K42" s="7" t="s">
        <v>5725</v>
      </c>
      <c r="L42" s="7" t="s">
        <v>5725</v>
      </c>
      <c r="M42" s="7" t="s">
        <v>5725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 spans="1:37">
      <c r="A43" s="7" t="s">
        <v>161</v>
      </c>
      <c r="B43" s="7" t="s">
        <v>162</v>
      </c>
      <c r="C43" s="7" t="s">
        <v>163</v>
      </c>
      <c r="D43" s="4">
        <v>4</v>
      </c>
      <c r="E43" s="5" t="s">
        <v>164</v>
      </c>
      <c r="F43" s="7">
        <f ca="1">IFERROR(__xludf.DUMMYFUNCTION("ARRAYFORMULA(SUM(ARRAYFORMULA(IFERROR(VALUE(SPLIT(SUBSTITUTE(E43,""-"","" ""),"" "")),0))))
"),20)</f>
        <v>20</v>
      </c>
      <c r="G43" s="7" t="s">
        <v>5734</v>
      </c>
      <c r="H43" s="7" t="s">
        <v>5735</v>
      </c>
      <c r="I43" s="7" t="s">
        <v>5736</v>
      </c>
      <c r="J43" s="7" t="s">
        <v>5726</v>
      </c>
      <c r="K43" s="7" t="s">
        <v>5725</v>
      </c>
      <c r="L43" s="7" t="s">
        <v>5725</v>
      </c>
      <c r="M43" s="7" t="s">
        <v>5725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 spans="1:37">
      <c r="A44" s="7" t="s">
        <v>165</v>
      </c>
      <c r="B44" s="7" t="s">
        <v>166</v>
      </c>
      <c r="C44" s="7" t="s">
        <v>167</v>
      </c>
      <c r="D44" s="4">
        <v>4</v>
      </c>
      <c r="E44" s="5" t="s">
        <v>168</v>
      </c>
      <c r="F44" s="7">
        <f ca="1">IFERROR(__xludf.DUMMYFUNCTION("ARRAYFORMULA(SUM(ARRAYFORMULA(IFERROR(VALUE(SPLIT(SUBSTITUTE(E44,""-"","" ""),"" "")),0))))
"),22)</f>
        <v>22</v>
      </c>
      <c r="G44" s="7" t="s">
        <v>5734</v>
      </c>
      <c r="H44" s="7" t="s">
        <v>5735</v>
      </c>
      <c r="I44" s="7" t="s">
        <v>5736</v>
      </c>
      <c r="J44" s="7" t="s">
        <v>5726</v>
      </c>
      <c r="K44" s="7" t="s">
        <v>5725</v>
      </c>
      <c r="L44" s="7" t="s">
        <v>5725</v>
      </c>
      <c r="M44" s="7" t="s">
        <v>5725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</row>
    <row r="45" spans="1:37">
      <c r="A45" s="7" t="s">
        <v>169</v>
      </c>
      <c r="B45" s="7" t="s">
        <v>170</v>
      </c>
      <c r="C45" s="7" t="s">
        <v>171</v>
      </c>
      <c r="D45" s="4">
        <v>4</v>
      </c>
      <c r="E45" s="5" t="s">
        <v>172</v>
      </c>
      <c r="F45" s="7">
        <f ca="1">IFERROR(__xludf.DUMMYFUNCTION("ARRAYFORMULA(SUM(ARRAYFORMULA(IFERROR(VALUE(SPLIT(SUBSTITUTE(E45,""-"","" ""),"" "")),0))))
"),24)</f>
        <v>24</v>
      </c>
      <c r="G45" s="7" t="s">
        <v>5734</v>
      </c>
      <c r="H45" s="7" t="s">
        <v>5735</v>
      </c>
      <c r="I45" s="7" t="s">
        <v>5736</v>
      </c>
      <c r="J45" s="7" t="s">
        <v>5726</v>
      </c>
      <c r="K45" s="7" t="s">
        <v>5725</v>
      </c>
      <c r="L45" s="7" t="s">
        <v>5725</v>
      </c>
      <c r="M45" s="7" t="s">
        <v>5725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</row>
    <row r="46" spans="1:37">
      <c r="A46" s="3" t="s">
        <v>173</v>
      </c>
      <c r="B46" s="3" t="s">
        <v>174</v>
      </c>
      <c r="C46" s="3" t="s">
        <v>175</v>
      </c>
      <c r="D46" s="4">
        <v>2</v>
      </c>
      <c r="E46" s="8" t="s">
        <v>176</v>
      </c>
      <c r="F46" s="7">
        <f ca="1">IFERROR(__xludf.DUMMYFUNCTION("ARRAYFORMULA(SUM(ARRAYFORMULA(IFERROR(VALUE(SPLIT(SUBSTITUTE(E46,""-"","" ""),"" "")),0))))
"),4)</f>
        <v>4</v>
      </c>
      <c r="G46" s="7" t="s">
        <v>5706</v>
      </c>
      <c r="H46" s="7" t="s">
        <v>5723</v>
      </c>
      <c r="I46" s="7" t="s">
        <v>5724</v>
      </c>
      <c r="J46" s="7" t="s">
        <v>5725</v>
      </c>
      <c r="K46" s="7" t="s">
        <v>5726</v>
      </c>
      <c r="L46" s="7" t="s">
        <v>5726</v>
      </c>
      <c r="M46" s="7" t="s">
        <v>5726</v>
      </c>
      <c r="N46" s="7"/>
      <c r="O46" s="7"/>
      <c r="P46" s="7"/>
      <c r="Q46" s="7"/>
      <c r="R46" s="8" t="s">
        <v>176</v>
      </c>
      <c r="S46" s="3" t="s">
        <v>5737</v>
      </c>
      <c r="T46" s="111" t="s">
        <v>5409</v>
      </c>
      <c r="U46" s="7" t="str">
        <f>T46&amp;"-"&amp;S46</f>
        <v>3E-04-canteiro de obra</v>
      </c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</row>
    <row r="47" spans="1:37">
      <c r="A47" s="3" t="s">
        <v>177</v>
      </c>
      <c r="B47" s="3" t="s">
        <v>178</v>
      </c>
      <c r="C47" s="3" t="s">
        <v>179</v>
      </c>
      <c r="D47" s="4">
        <v>3</v>
      </c>
      <c r="E47" s="5" t="s">
        <v>180</v>
      </c>
      <c r="F47" s="7">
        <f ca="1">IFERROR(__xludf.DUMMYFUNCTION("ARRAYFORMULA(SUM(ARRAYFORMULA(IFERROR(VALUE(SPLIT(SUBSTITUTE(E47,""-"","" ""),"" "")),0))))
"),6)</f>
        <v>6</v>
      </c>
      <c r="G47" s="7" t="s">
        <v>5708</v>
      </c>
      <c r="H47" s="7" t="s">
        <v>5732</v>
      </c>
      <c r="I47" s="7" t="s">
        <v>5733</v>
      </c>
      <c r="J47" s="7" t="s">
        <v>5725</v>
      </c>
      <c r="K47" s="7" t="s">
        <v>5725</v>
      </c>
      <c r="L47" s="7" t="s">
        <v>5726</v>
      </c>
      <c r="M47" s="7" t="s">
        <v>5726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</row>
    <row r="48" spans="1:37">
      <c r="A48" s="3" t="s">
        <v>181</v>
      </c>
      <c r="B48" s="3" t="s">
        <v>182</v>
      </c>
      <c r="C48" s="3" t="s">
        <v>183</v>
      </c>
      <c r="D48" s="4">
        <v>3</v>
      </c>
      <c r="E48" s="5" t="s">
        <v>184</v>
      </c>
      <c r="F48" s="7">
        <f ca="1">IFERROR(__xludf.DUMMYFUNCTION("ARRAYFORMULA(SUM(ARRAYFORMULA(IFERROR(VALUE(SPLIT(SUBSTITUTE(E48,""-"","" ""),"" "")),0))))
"),8)</f>
        <v>8</v>
      </c>
      <c r="G48" s="7" t="s">
        <v>5708</v>
      </c>
      <c r="H48" s="7" t="s">
        <v>5732</v>
      </c>
      <c r="I48" s="7" t="s">
        <v>5733</v>
      </c>
      <c r="J48" s="7" t="s">
        <v>5725</v>
      </c>
      <c r="K48" s="7" t="s">
        <v>5725</v>
      </c>
      <c r="L48" s="7" t="s">
        <v>5726</v>
      </c>
      <c r="M48" s="7" t="s">
        <v>5726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</row>
    <row r="49" spans="1:37">
      <c r="A49" s="3" t="s">
        <v>185</v>
      </c>
      <c r="B49" s="3" t="s">
        <v>186</v>
      </c>
      <c r="C49" s="3" t="s">
        <v>187</v>
      </c>
      <c r="D49" s="4">
        <v>3</v>
      </c>
      <c r="E49" s="5" t="s">
        <v>188</v>
      </c>
      <c r="F49" s="7">
        <f ca="1">IFERROR(__xludf.DUMMYFUNCTION("ARRAYFORMULA(SUM(ARRAYFORMULA(IFERROR(VALUE(SPLIT(SUBSTITUTE(E49,""-"","" ""),"" "")),0))))
"),10)</f>
        <v>10</v>
      </c>
      <c r="G49" s="7" t="s">
        <v>5708</v>
      </c>
      <c r="H49" s="7" t="s">
        <v>5732</v>
      </c>
      <c r="I49" s="7" t="s">
        <v>5733</v>
      </c>
      <c r="J49" s="7" t="s">
        <v>5725</v>
      </c>
      <c r="K49" s="7" t="s">
        <v>5725</v>
      </c>
      <c r="L49" s="7" t="s">
        <v>5726</v>
      </c>
      <c r="M49" s="7" t="s">
        <v>5726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</row>
    <row r="50" spans="1:37">
      <c r="A50" s="3" t="s">
        <v>189</v>
      </c>
      <c r="B50" s="3" t="s">
        <v>190</v>
      </c>
      <c r="C50" s="3" t="s">
        <v>191</v>
      </c>
      <c r="D50" s="4">
        <v>3</v>
      </c>
      <c r="E50" s="5" t="s">
        <v>192</v>
      </c>
      <c r="F50" s="7">
        <f ca="1">IFERROR(__xludf.DUMMYFUNCTION("ARRAYFORMULA(SUM(ARRAYFORMULA(IFERROR(VALUE(SPLIT(SUBSTITUTE(E50,""-"","" ""),"" "")),0))))
"),12)</f>
        <v>12</v>
      </c>
      <c r="G50" s="7" t="s">
        <v>5708</v>
      </c>
      <c r="H50" s="7" t="s">
        <v>5732</v>
      </c>
      <c r="I50" s="7" t="s">
        <v>5733</v>
      </c>
      <c r="J50" s="7" t="s">
        <v>5725</v>
      </c>
      <c r="K50" s="7" t="s">
        <v>5725</v>
      </c>
      <c r="L50" s="7" t="s">
        <v>5726</v>
      </c>
      <c r="M50" s="7" t="s">
        <v>5726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</row>
    <row r="51" spans="1:37">
      <c r="A51" s="3" t="s">
        <v>193</v>
      </c>
      <c r="B51" s="3" t="s">
        <v>194</v>
      </c>
      <c r="C51" s="3" t="s">
        <v>195</v>
      </c>
      <c r="D51" s="4">
        <v>3</v>
      </c>
      <c r="E51" s="5" t="s">
        <v>196</v>
      </c>
      <c r="F51" s="7">
        <f ca="1">IFERROR(__xludf.DUMMYFUNCTION("ARRAYFORMULA(SUM(ARRAYFORMULA(IFERROR(VALUE(SPLIT(SUBSTITUTE(E51,""-"","" ""),"" "")),0))))
"),14)</f>
        <v>14</v>
      </c>
      <c r="G51" s="7" t="s">
        <v>5708</v>
      </c>
      <c r="H51" s="7" t="s">
        <v>5732</v>
      </c>
      <c r="I51" s="7" t="s">
        <v>5733</v>
      </c>
      <c r="J51" s="7" t="s">
        <v>5725</v>
      </c>
      <c r="K51" s="7" t="s">
        <v>5725</v>
      </c>
      <c r="L51" s="7" t="s">
        <v>5726</v>
      </c>
      <c r="M51" s="7" t="s">
        <v>5726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</row>
    <row r="52" spans="1:37">
      <c r="A52" s="7" t="s">
        <v>197</v>
      </c>
      <c r="B52" s="7" t="s">
        <v>198</v>
      </c>
      <c r="C52" s="7" t="s">
        <v>199</v>
      </c>
      <c r="D52" s="4">
        <v>4</v>
      </c>
      <c r="E52" s="5" t="s">
        <v>200</v>
      </c>
      <c r="F52" s="7">
        <f ca="1">IFERROR(__xludf.DUMMYFUNCTION("ARRAYFORMULA(SUM(ARRAYFORMULA(IFERROR(VALUE(SPLIT(SUBSTITUTE(E52,""-"","" ""),"" "")),0))))
"),16)</f>
        <v>16</v>
      </c>
      <c r="G52" s="7" t="s">
        <v>5734</v>
      </c>
      <c r="H52" s="7" t="s">
        <v>5735</v>
      </c>
      <c r="I52" s="7" t="s">
        <v>5736</v>
      </c>
      <c r="J52" s="7" t="s">
        <v>5726</v>
      </c>
      <c r="K52" s="7" t="s">
        <v>5725</v>
      </c>
      <c r="L52" s="7" t="s">
        <v>5725</v>
      </c>
      <c r="M52" s="7" t="s">
        <v>5725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</row>
    <row r="53" spans="1:37">
      <c r="A53" s="3" t="s">
        <v>201</v>
      </c>
      <c r="B53" s="3" t="s">
        <v>202</v>
      </c>
      <c r="C53" s="3" t="s">
        <v>203</v>
      </c>
      <c r="D53" s="4">
        <v>2</v>
      </c>
      <c r="E53" s="8" t="s">
        <v>204</v>
      </c>
      <c r="F53" s="7">
        <f ca="1">IFERROR(__xludf.DUMMYFUNCTION("ARRAYFORMULA(SUM(ARRAYFORMULA(IFERROR(VALUE(SPLIT(SUBSTITUTE(E53,""-"","" ""),"" "")),0))))
"),6)</f>
        <v>6</v>
      </c>
      <c r="G53" s="7" t="s">
        <v>5706</v>
      </c>
      <c r="H53" s="7" t="s">
        <v>5723</v>
      </c>
      <c r="I53" s="7" t="s">
        <v>5724</v>
      </c>
      <c r="J53" s="7" t="s">
        <v>5725</v>
      </c>
      <c r="K53" s="7" t="s">
        <v>5726</v>
      </c>
      <c r="L53" s="7" t="s">
        <v>5726</v>
      </c>
      <c r="M53" s="7" t="s">
        <v>5726</v>
      </c>
      <c r="N53" s="7"/>
      <c r="O53" s="7"/>
      <c r="P53" s="7"/>
      <c r="Q53" s="7"/>
      <c r="R53" s="8" t="s">
        <v>204</v>
      </c>
      <c r="S53" s="3" t="s">
        <v>5738</v>
      </c>
      <c r="T53" s="111" t="s">
        <v>5739</v>
      </c>
      <c r="U53" s="7" t="str">
        <f>T53&amp;"-"&amp;S53</f>
        <v>3E-06-drenagem</v>
      </c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</row>
    <row r="54" spans="1:37">
      <c r="A54" s="3" t="s">
        <v>205</v>
      </c>
      <c r="B54" s="3" t="s">
        <v>206</v>
      </c>
      <c r="C54" s="3" t="s">
        <v>207</v>
      </c>
      <c r="D54" s="4">
        <v>3</v>
      </c>
      <c r="E54" s="5" t="s">
        <v>208</v>
      </c>
      <c r="F54" s="7">
        <f ca="1">IFERROR(__xludf.DUMMYFUNCTION("ARRAYFORMULA(SUM(ARRAYFORMULA(IFERROR(VALUE(SPLIT(SUBSTITUTE(E54,""-"","" ""),"" "")),0))))
"),8)</f>
        <v>8</v>
      </c>
      <c r="G54" s="7" t="s">
        <v>5708</v>
      </c>
      <c r="H54" s="7" t="s">
        <v>5732</v>
      </c>
      <c r="I54" s="7" t="s">
        <v>5733</v>
      </c>
      <c r="J54" s="7" t="s">
        <v>5725</v>
      </c>
      <c r="K54" s="7" t="s">
        <v>5725</v>
      </c>
      <c r="L54" s="7" t="s">
        <v>5726</v>
      </c>
      <c r="M54" s="7" t="s">
        <v>5726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</row>
    <row r="55" spans="1:37">
      <c r="A55" s="7" t="s">
        <v>209</v>
      </c>
      <c r="B55" s="7" t="s">
        <v>210</v>
      </c>
      <c r="C55" s="7" t="s">
        <v>211</v>
      </c>
      <c r="D55" s="4">
        <v>4</v>
      </c>
      <c r="E55" s="5" t="s">
        <v>212</v>
      </c>
      <c r="F55" s="7">
        <f ca="1">IFERROR(__xludf.DUMMYFUNCTION("ARRAYFORMULA(SUM(ARRAYFORMULA(IFERROR(VALUE(SPLIT(SUBSTITUTE(E55,""-"","" ""),"" "")),0))))
"),10)</f>
        <v>10</v>
      </c>
      <c r="G55" s="7" t="s">
        <v>5734</v>
      </c>
      <c r="H55" s="7" t="s">
        <v>5735</v>
      </c>
      <c r="I55" s="7" t="s">
        <v>5736</v>
      </c>
      <c r="J55" s="7" t="s">
        <v>5726</v>
      </c>
      <c r="K55" s="7" t="s">
        <v>5725</v>
      </c>
      <c r="L55" s="7" t="s">
        <v>5725</v>
      </c>
      <c r="M55" s="7" t="s">
        <v>5725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 spans="1:37">
      <c r="A56" s="7" t="s">
        <v>213</v>
      </c>
      <c r="B56" s="7" t="s">
        <v>214</v>
      </c>
      <c r="C56" s="7" t="s">
        <v>215</v>
      </c>
      <c r="D56" s="4">
        <v>4</v>
      </c>
      <c r="E56" s="5" t="s">
        <v>216</v>
      </c>
      <c r="F56" s="7">
        <f ca="1">IFERROR(__xludf.DUMMYFUNCTION("ARRAYFORMULA(SUM(ARRAYFORMULA(IFERROR(VALUE(SPLIT(SUBSTITUTE(E56,""-"","" ""),"" "")),0))))
"),12)</f>
        <v>12</v>
      </c>
      <c r="G56" s="7" t="s">
        <v>5734</v>
      </c>
      <c r="H56" s="7" t="s">
        <v>5735</v>
      </c>
      <c r="I56" s="7" t="s">
        <v>5736</v>
      </c>
      <c r="J56" s="7" t="s">
        <v>5726</v>
      </c>
      <c r="K56" s="7" t="s">
        <v>5725</v>
      </c>
      <c r="L56" s="7" t="s">
        <v>5725</v>
      </c>
      <c r="M56" s="7" t="s">
        <v>5725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</row>
    <row r="57" spans="1:37">
      <c r="A57" s="7" t="s">
        <v>217</v>
      </c>
      <c r="B57" s="7" t="s">
        <v>218</v>
      </c>
      <c r="C57" s="7" t="s">
        <v>219</v>
      </c>
      <c r="D57" s="4">
        <v>4</v>
      </c>
      <c r="E57" s="5" t="s">
        <v>220</v>
      </c>
      <c r="F57" s="7">
        <f ca="1">IFERROR(__xludf.DUMMYFUNCTION("ARRAYFORMULA(SUM(ARRAYFORMULA(IFERROR(VALUE(SPLIT(SUBSTITUTE(E57,""-"","" ""),"" "")),0))))
"),14)</f>
        <v>14</v>
      </c>
      <c r="G57" s="7" t="s">
        <v>5734</v>
      </c>
      <c r="H57" s="7" t="s">
        <v>5735</v>
      </c>
      <c r="I57" s="7" t="s">
        <v>5736</v>
      </c>
      <c r="J57" s="7" t="s">
        <v>5726</v>
      </c>
      <c r="K57" s="7" t="s">
        <v>5725</v>
      </c>
      <c r="L57" s="7" t="s">
        <v>5725</v>
      </c>
      <c r="M57" s="7" t="s">
        <v>5725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</row>
    <row r="58" spans="1:37">
      <c r="A58" s="3" t="s">
        <v>221</v>
      </c>
      <c r="B58" s="3" t="s">
        <v>222</v>
      </c>
      <c r="C58" s="3" t="s">
        <v>223</v>
      </c>
      <c r="D58" s="4">
        <v>3</v>
      </c>
      <c r="E58" s="5" t="s">
        <v>224</v>
      </c>
      <c r="F58" s="7">
        <f ca="1">IFERROR(__xludf.DUMMYFUNCTION("ARRAYFORMULA(SUM(ARRAYFORMULA(IFERROR(VALUE(SPLIT(SUBSTITUTE(E58,""-"","" ""),"" "")),0))))
"),10)</f>
        <v>10</v>
      </c>
      <c r="G58" s="7" t="s">
        <v>5708</v>
      </c>
      <c r="H58" s="7" t="s">
        <v>5732</v>
      </c>
      <c r="I58" s="7" t="s">
        <v>5733</v>
      </c>
      <c r="J58" s="7" t="s">
        <v>5725</v>
      </c>
      <c r="K58" s="7" t="s">
        <v>5725</v>
      </c>
      <c r="L58" s="7" t="s">
        <v>5726</v>
      </c>
      <c r="M58" s="7" t="s">
        <v>5726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</row>
    <row r="59" spans="1:37">
      <c r="A59" s="7" t="s">
        <v>225</v>
      </c>
      <c r="B59" s="7" t="s">
        <v>226</v>
      </c>
      <c r="C59" s="7" t="s">
        <v>227</v>
      </c>
      <c r="D59" s="4">
        <v>4</v>
      </c>
      <c r="E59" s="5" t="s">
        <v>228</v>
      </c>
      <c r="F59" s="7">
        <f ca="1">IFERROR(__xludf.DUMMYFUNCTION("ARRAYFORMULA(SUM(ARRAYFORMULA(IFERROR(VALUE(SPLIT(SUBSTITUTE(E59,""-"","" ""),"" "")),0))))
"),12)</f>
        <v>12</v>
      </c>
      <c r="G59" s="7" t="s">
        <v>5734</v>
      </c>
      <c r="H59" s="7" t="s">
        <v>5735</v>
      </c>
      <c r="I59" s="7" t="s">
        <v>5736</v>
      </c>
      <c r="J59" s="7" t="s">
        <v>5726</v>
      </c>
      <c r="K59" s="7" t="s">
        <v>5725</v>
      </c>
      <c r="L59" s="7" t="s">
        <v>5725</v>
      </c>
      <c r="M59" s="7" t="s">
        <v>5725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 spans="1:37">
      <c r="A60" s="7" t="s">
        <v>229</v>
      </c>
      <c r="B60" s="7" t="s">
        <v>230</v>
      </c>
      <c r="C60" s="7" t="s">
        <v>231</v>
      </c>
      <c r="D60" s="4">
        <v>4</v>
      </c>
      <c r="E60" s="5" t="s">
        <v>232</v>
      </c>
      <c r="F60" s="7">
        <f ca="1">IFERROR(__xludf.DUMMYFUNCTION("ARRAYFORMULA(SUM(ARRAYFORMULA(IFERROR(VALUE(SPLIT(SUBSTITUTE(E60,""-"","" ""),"" "")),0))))
"),14)</f>
        <v>14</v>
      </c>
      <c r="G60" s="7" t="s">
        <v>5734</v>
      </c>
      <c r="H60" s="7" t="s">
        <v>5735</v>
      </c>
      <c r="I60" s="7" t="s">
        <v>5736</v>
      </c>
      <c r="J60" s="7" t="s">
        <v>5726</v>
      </c>
      <c r="K60" s="7" t="s">
        <v>5725</v>
      </c>
      <c r="L60" s="7" t="s">
        <v>5725</v>
      </c>
      <c r="M60" s="7" t="s">
        <v>5725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1:37">
      <c r="A61" s="7" t="s">
        <v>233</v>
      </c>
      <c r="B61" s="7" t="s">
        <v>234</v>
      </c>
      <c r="C61" s="7" t="s">
        <v>235</v>
      </c>
      <c r="D61" s="4">
        <v>4</v>
      </c>
      <c r="E61" s="5" t="s">
        <v>236</v>
      </c>
      <c r="F61" s="7">
        <f ca="1">IFERROR(__xludf.DUMMYFUNCTION("ARRAYFORMULA(SUM(ARRAYFORMULA(IFERROR(VALUE(SPLIT(SUBSTITUTE(E61,""-"","" ""),"" "")),0))))
"),16)</f>
        <v>16</v>
      </c>
      <c r="G61" s="7" t="s">
        <v>5734</v>
      </c>
      <c r="H61" s="7" t="s">
        <v>5735</v>
      </c>
      <c r="I61" s="7" t="s">
        <v>5736</v>
      </c>
      <c r="J61" s="7" t="s">
        <v>5726</v>
      </c>
      <c r="K61" s="7" t="s">
        <v>5725</v>
      </c>
      <c r="L61" s="7" t="s">
        <v>5725</v>
      </c>
      <c r="M61" s="7" t="s">
        <v>5725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spans="1:37">
      <c r="A62" s="7" t="s">
        <v>237</v>
      </c>
      <c r="B62" s="7" t="s">
        <v>238</v>
      </c>
      <c r="C62" s="7" t="s">
        <v>239</v>
      </c>
      <c r="D62" s="4">
        <v>4</v>
      </c>
      <c r="E62" s="5" t="s">
        <v>240</v>
      </c>
      <c r="F62" s="7">
        <f ca="1">IFERROR(__xludf.DUMMYFUNCTION("ARRAYFORMULA(SUM(ARRAYFORMULA(IFERROR(VALUE(SPLIT(SUBSTITUTE(E62,""-"","" ""),"" "")),0))))
"),18)</f>
        <v>18</v>
      </c>
      <c r="G62" s="7" t="s">
        <v>5734</v>
      </c>
      <c r="H62" s="7" t="s">
        <v>5735</v>
      </c>
      <c r="I62" s="7" t="s">
        <v>5736</v>
      </c>
      <c r="J62" s="7" t="s">
        <v>5726</v>
      </c>
      <c r="K62" s="7" t="s">
        <v>5725</v>
      </c>
      <c r="L62" s="7" t="s">
        <v>5725</v>
      </c>
      <c r="M62" s="7" t="s">
        <v>5725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</row>
    <row r="63" spans="1:37">
      <c r="A63" s="7" t="s">
        <v>241</v>
      </c>
      <c r="B63" s="7" t="s">
        <v>242</v>
      </c>
      <c r="C63" s="7" t="s">
        <v>243</v>
      </c>
      <c r="D63" s="4">
        <v>4</v>
      </c>
      <c r="E63" s="5" t="s">
        <v>244</v>
      </c>
      <c r="F63" s="7">
        <f ca="1">IFERROR(__xludf.DUMMYFUNCTION("ARRAYFORMULA(SUM(ARRAYFORMULA(IFERROR(VALUE(SPLIT(SUBSTITUTE(E63,""-"","" ""),"" "")),0))))
"),20)</f>
        <v>20</v>
      </c>
      <c r="G63" s="7" t="s">
        <v>5734</v>
      </c>
      <c r="H63" s="7" t="s">
        <v>5735</v>
      </c>
      <c r="I63" s="7" t="s">
        <v>5736</v>
      </c>
      <c r="J63" s="7" t="s">
        <v>5726</v>
      </c>
      <c r="K63" s="7" t="s">
        <v>5725</v>
      </c>
      <c r="L63" s="7" t="s">
        <v>5725</v>
      </c>
      <c r="M63" s="7" t="s">
        <v>5725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</row>
    <row r="64" spans="1:37">
      <c r="A64" s="7" t="s">
        <v>245</v>
      </c>
      <c r="B64" s="7" t="s">
        <v>246</v>
      </c>
      <c r="C64" s="7" t="s">
        <v>247</v>
      </c>
      <c r="D64" s="4">
        <v>4</v>
      </c>
      <c r="E64" s="5" t="s">
        <v>248</v>
      </c>
      <c r="F64" s="7">
        <f ca="1">IFERROR(__xludf.DUMMYFUNCTION("ARRAYFORMULA(SUM(ARRAYFORMULA(IFERROR(VALUE(SPLIT(SUBSTITUTE(E64,""-"","" ""),"" "")),0))))
"),22)</f>
        <v>22</v>
      </c>
      <c r="G64" s="7" t="s">
        <v>5734</v>
      </c>
      <c r="H64" s="7" t="s">
        <v>5735</v>
      </c>
      <c r="I64" s="7" t="s">
        <v>5736</v>
      </c>
      <c r="J64" s="7" t="s">
        <v>5726</v>
      </c>
      <c r="K64" s="7" t="s">
        <v>5725</v>
      </c>
      <c r="L64" s="7" t="s">
        <v>5725</v>
      </c>
      <c r="M64" s="7" t="s">
        <v>5725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</row>
    <row r="65" spans="1:37">
      <c r="A65" s="7" t="s">
        <v>249</v>
      </c>
      <c r="B65" s="7" t="s">
        <v>250</v>
      </c>
      <c r="C65" s="7" t="s">
        <v>251</v>
      </c>
      <c r="D65" s="4">
        <v>4</v>
      </c>
      <c r="E65" s="5" t="s">
        <v>252</v>
      </c>
      <c r="F65" s="7">
        <f ca="1">IFERROR(__xludf.DUMMYFUNCTION("ARRAYFORMULA(SUM(ARRAYFORMULA(IFERROR(VALUE(SPLIT(SUBSTITUTE(E65,""-"","" ""),"" "")),0))))
"),24)</f>
        <v>24</v>
      </c>
      <c r="G65" s="7" t="s">
        <v>5734</v>
      </c>
      <c r="H65" s="7" t="s">
        <v>5735</v>
      </c>
      <c r="I65" s="7" t="s">
        <v>5736</v>
      </c>
      <c r="J65" s="7" t="s">
        <v>5726</v>
      </c>
      <c r="K65" s="7" t="s">
        <v>5725</v>
      </c>
      <c r="L65" s="7" t="s">
        <v>5725</v>
      </c>
      <c r="M65" s="7" t="s">
        <v>5725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</row>
    <row r="66" spans="1:37">
      <c r="A66" s="7" t="s">
        <v>253</v>
      </c>
      <c r="B66" s="7" t="s">
        <v>254</v>
      </c>
      <c r="C66" s="7" t="s">
        <v>255</v>
      </c>
      <c r="D66" s="4">
        <v>4</v>
      </c>
      <c r="E66" s="5" t="s">
        <v>256</v>
      </c>
      <c r="F66" s="7">
        <f ca="1">IFERROR(__xludf.DUMMYFUNCTION("ARRAYFORMULA(SUM(ARRAYFORMULA(IFERROR(VALUE(SPLIT(SUBSTITUTE(E66,""-"","" ""),"" "")),0))))
"),26)</f>
        <v>26</v>
      </c>
      <c r="G66" s="7" t="s">
        <v>5734</v>
      </c>
      <c r="H66" s="7" t="s">
        <v>5735</v>
      </c>
      <c r="I66" s="7" t="s">
        <v>5736</v>
      </c>
      <c r="J66" s="7" t="s">
        <v>5726</v>
      </c>
      <c r="K66" s="7" t="s">
        <v>5725</v>
      </c>
      <c r="L66" s="7" t="s">
        <v>5725</v>
      </c>
      <c r="M66" s="7" t="s">
        <v>5725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 spans="1:37">
      <c r="A67" s="7" t="s">
        <v>257</v>
      </c>
      <c r="B67" s="7" t="s">
        <v>258</v>
      </c>
      <c r="C67" s="7" t="s">
        <v>259</v>
      </c>
      <c r="D67" s="4">
        <v>4</v>
      </c>
      <c r="E67" s="5" t="s">
        <v>260</v>
      </c>
      <c r="F67" s="7">
        <f ca="1">IFERROR(__xludf.DUMMYFUNCTION("ARRAYFORMULA(SUM(ARRAYFORMULA(IFERROR(VALUE(SPLIT(SUBSTITUTE(E67,""-"","" ""),"" "")),0))))
"),28)</f>
        <v>28</v>
      </c>
      <c r="G67" s="7" t="s">
        <v>5734</v>
      </c>
      <c r="H67" s="7" t="s">
        <v>5735</v>
      </c>
      <c r="I67" s="7" t="s">
        <v>5736</v>
      </c>
      <c r="J67" s="7" t="s">
        <v>5726</v>
      </c>
      <c r="K67" s="7" t="s">
        <v>5725</v>
      </c>
      <c r="L67" s="7" t="s">
        <v>5725</v>
      </c>
      <c r="M67" s="7" t="s">
        <v>5725</v>
      </c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 spans="1:37">
      <c r="A68" s="7" t="s">
        <v>261</v>
      </c>
      <c r="B68" s="7" t="s">
        <v>262</v>
      </c>
      <c r="C68" s="7" t="s">
        <v>263</v>
      </c>
      <c r="D68" s="4">
        <v>4</v>
      </c>
      <c r="E68" s="5" t="s">
        <v>264</v>
      </c>
      <c r="F68" s="7">
        <f ca="1">IFERROR(__xludf.DUMMYFUNCTION("ARRAYFORMULA(SUM(ARRAYFORMULA(IFERROR(VALUE(SPLIT(SUBSTITUTE(E68,""-"","" ""),"" "")),0))))
"),30)</f>
        <v>30</v>
      </c>
      <c r="G68" s="7" t="s">
        <v>5734</v>
      </c>
      <c r="H68" s="7" t="s">
        <v>5735</v>
      </c>
      <c r="I68" s="7" t="s">
        <v>5736</v>
      </c>
      <c r="J68" s="7" t="s">
        <v>5726</v>
      </c>
      <c r="K68" s="7" t="s">
        <v>5725</v>
      </c>
      <c r="L68" s="7" t="s">
        <v>5725</v>
      </c>
      <c r="M68" s="7" t="s">
        <v>5725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</row>
    <row r="69" spans="1:37">
      <c r="A69" s="7" t="s">
        <v>265</v>
      </c>
      <c r="B69" s="7" t="s">
        <v>266</v>
      </c>
      <c r="C69" s="7" t="s">
        <v>267</v>
      </c>
      <c r="D69" s="4">
        <v>5</v>
      </c>
      <c r="E69" s="5" t="s">
        <v>268</v>
      </c>
      <c r="F69" s="7">
        <f ca="1">IFERROR(__xludf.DUMMYFUNCTION("ARRAYFORMULA(SUM(ARRAYFORMULA(IFERROR(VALUE(SPLIT(SUBSTITUTE(E69,""-"","" ""),"" "")),0))))
"),32)</f>
        <v>32</v>
      </c>
      <c r="G69" s="7" t="s">
        <v>5734</v>
      </c>
      <c r="H69" s="7" t="s">
        <v>5735</v>
      </c>
      <c r="I69" s="7" t="s">
        <v>5736</v>
      </c>
      <c r="J69" s="7" t="s">
        <v>5726</v>
      </c>
      <c r="K69" s="7" t="s">
        <v>5725</v>
      </c>
      <c r="L69" s="7" t="s">
        <v>5725</v>
      </c>
      <c r="M69" s="7" t="s">
        <v>5725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</row>
    <row r="70" spans="1:37">
      <c r="A70" s="7" t="s">
        <v>269</v>
      </c>
      <c r="B70" s="7" t="s">
        <v>270</v>
      </c>
      <c r="C70" s="7" t="s">
        <v>271</v>
      </c>
      <c r="D70" s="4">
        <v>5</v>
      </c>
      <c r="E70" s="5" t="s">
        <v>272</v>
      </c>
      <c r="F70" s="7">
        <f ca="1">IFERROR(__xludf.DUMMYFUNCTION("ARRAYFORMULA(SUM(ARRAYFORMULA(IFERROR(VALUE(SPLIT(SUBSTITUTE(E70,""-"","" ""),"" "")),0))))
"),34)</f>
        <v>34</v>
      </c>
      <c r="G70" s="7" t="s">
        <v>5734</v>
      </c>
      <c r="H70" s="7" t="s">
        <v>5735</v>
      </c>
      <c r="I70" s="7" t="s">
        <v>5736</v>
      </c>
      <c r="J70" s="7" t="s">
        <v>5726</v>
      </c>
      <c r="K70" s="7" t="s">
        <v>5725</v>
      </c>
      <c r="L70" s="7" t="s">
        <v>5725</v>
      </c>
      <c r="M70" s="7" t="s">
        <v>5725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spans="1:37">
      <c r="A71" s="7" t="s">
        <v>273</v>
      </c>
      <c r="B71" s="7" t="s">
        <v>274</v>
      </c>
      <c r="C71" s="7" t="s">
        <v>275</v>
      </c>
      <c r="D71" s="4">
        <v>4</v>
      </c>
      <c r="E71" s="5" t="s">
        <v>276</v>
      </c>
      <c r="F71" s="7">
        <f ca="1">IFERROR(__xludf.DUMMYFUNCTION("ARRAYFORMULA(SUM(ARRAYFORMULA(IFERROR(VALUE(SPLIT(SUBSTITUTE(E71,""-"","" ""),"" "")),0))))
"),32)</f>
        <v>32</v>
      </c>
      <c r="G71" s="7" t="s">
        <v>5734</v>
      </c>
      <c r="H71" s="7" t="s">
        <v>5735</v>
      </c>
      <c r="I71" s="7" t="s">
        <v>5736</v>
      </c>
      <c r="J71" s="7" t="s">
        <v>5726</v>
      </c>
      <c r="K71" s="7" t="s">
        <v>5725</v>
      </c>
      <c r="L71" s="7" t="s">
        <v>5725</v>
      </c>
      <c r="M71" s="7" t="s">
        <v>5725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</row>
    <row r="72" spans="1:37">
      <c r="A72" s="7" t="s">
        <v>277</v>
      </c>
      <c r="B72" s="7" t="s">
        <v>278</v>
      </c>
      <c r="C72" s="7" t="s">
        <v>279</v>
      </c>
      <c r="D72" s="4">
        <v>4</v>
      </c>
      <c r="E72" s="5" t="s">
        <v>280</v>
      </c>
      <c r="F72" s="7">
        <f ca="1">IFERROR(__xludf.DUMMYFUNCTION("ARRAYFORMULA(SUM(ARRAYFORMULA(IFERROR(VALUE(SPLIT(SUBSTITUTE(E72,""-"","" ""),"" "")),0))))
"),34)</f>
        <v>34</v>
      </c>
      <c r="G72" s="7" t="s">
        <v>5734</v>
      </c>
      <c r="H72" s="7" t="s">
        <v>5735</v>
      </c>
      <c r="I72" s="7" t="s">
        <v>5736</v>
      </c>
      <c r="J72" s="7" t="s">
        <v>5726</v>
      </c>
      <c r="K72" s="7" t="s">
        <v>5725</v>
      </c>
      <c r="L72" s="7" t="s">
        <v>5725</v>
      </c>
      <c r="M72" s="7" t="s">
        <v>5725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</row>
    <row r="73" spans="1:37">
      <c r="A73" s="3" t="s">
        <v>281</v>
      </c>
      <c r="B73" s="3" t="s">
        <v>282</v>
      </c>
      <c r="C73" s="3" t="s">
        <v>283</v>
      </c>
      <c r="D73" s="4">
        <v>3</v>
      </c>
      <c r="E73" s="5" t="s">
        <v>284</v>
      </c>
      <c r="F73" s="7">
        <f ca="1">IFERROR(__xludf.DUMMYFUNCTION("ARRAYFORMULA(SUM(ARRAYFORMULA(IFERROR(VALUE(SPLIT(SUBSTITUTE(E73,""-"","" ""),"" "")),0))))
"),12)</f>
        <v>12</v>
      </c>
      <c r="G73" s="7" t="s">
        <v>5708</v>
      </c>
      <c r="H73" s="7" t="s">
        <v>5732</v>
      </c>
      <c r="I73" s="7" t="s">
        <v>5733</v>
      </c>
      <c r="J73" s="7" t="s">
        <v>5725</v>
      </c>
      <c r="K73" s="7" t="s">
        <v>5725</v>
      </c>
      <c r="L73" s="7" t="s">
        <v>5726</v>
      </c>
      <c r="M73" s="7" t="s">
        <v>5726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</row>
    <row r="74" spans="1:37">
      <c r="A74" s="7" t="s">
        <v>285</v>
      </c>
      <c r="B74" s="7" t="s">
        <v>286</v>
      </c>
      <c r="C74" s="7" t="s">
        <v>287</v>
      </c>
      <c r="D74" s="4">
        <v>4</v>
      </c>
      <c r="E74" s="5" t="s">
        <v>288</v>
      </c>
      <c r="F74" s="7">
        <f ca="1">IFERROR(__xludf.DUMMYFUNCTION("ARRAYFORMULA(SUM(ARRAYFORMULA(IFERROR(VALUE(SPLIT(SUBSTITUTE(E74,""-"","" ""),"" "")),0))))
"),14)</f>
        <v>14</v>
      </c>
      <c r="G74" s="7" t="s">
        <v>5734</v>
      </c>
      <c r="H74" s="7" t="s">
        <v>5735</v>
      </c>
      <c r="I74" s="7" t="s">
        <v>5736</v>
      </c>
      <c r="J74" s="7" t="s">
        <v>5726</v>
      </c>
      <c r="K74" s="7" t="s">
        <v>5725</v>
      </c>
      <c r="L74" s="7" t="s">
        <v>5725</v>
      </c>
      <c r="M74" s="7" t="s">
        <v>5725</v>
      </c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</row>
    <row r="75" spans="1:37">
      <c r="A75" s="7" t="s">
        <v>289</v>
      </c>
      <c r="B75" s="7" t="s">
        <v>290</v>
      </c>
      <c r="C75" s="7" t="s">
        <v>291</v>
      </c>
      <c r="D75" s="4">
        <v>4</v>
      </c>
      <c r="E75" s="5" t="s">
        <v>292</v>
      </c>
      <c r="F75" s="7">
        <f ca="1">IFERROR(__xludf.DUMMYFUNCTION("ARRAYFORMULA(SUM(ARRAYFORMULA(IFERROR(VALUE(SPLIT(SUBSTITUTE(E75,""-"","" ""),"" "")),0))))
"),16)</f>
        <v>16</v>
      </c>
      <c r="G75" s="7" t="s">
        <v>5734</v>
      </c>
      <c r="H75" s="7" t="s">
        <v>5735</v>
      </c>
      <c r="I75" s="7" t="s">
        <v>5736</v>
      </c>
      <c r="J75" s="7" t="s">
        <v>5726</v>
      </c>
      <c r="K75" s="7" t="s">
        <v>5725</v>
      </c>
      <c r="L75" s="7" t="s">
        <v>5725</v>
      </c>
      <c r="M75" s="7" t="s">
        <v>5725</v>
      </c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</row>
    <row r="76" spans="1:37">
      <c r="A76" s="7" t="s">
        <v>293</v>
      </c>
      <c r="B76" s="7" t="s">
        <v>294</v>
      </c>
      <c r="C76" s="7" t="s">
        <v>295</v>
      </c>
      <c r="D76" s="4">
        <v>4</v>
      </c>
      <c r="E76" s="5" t="s">
        <v>296</v>
      </c>
      <c r="F76" s="7">
        <f ca="1">IFERROR(__xludf.DUMMYFUNCTION("ARRAYFORMULA(SUM(ARRAYFORMULA(IFERROR(VALUE(SPLIT(SUBSTITUTE(E76,""-"","" ""),"" "")),0))))
"),18)</f>
        <v>18</v>
      </c>
      <c r="G76" s="7" t="s">
        <v>5734</v>
      </c>
      <c r="H76" s="7" t="s">
        <v>5735</v>
      </c>
      <c r="I76" s="7" t="s">
        <v>5736</v>
      </c>
      <c r="J76" s="7" t="s">
        <v>5726</v>
      </c>
      <c r="K76" s="7" t="s">
        <v>5725</v>
      </c>
      <c r="L76" s="7" t="s">
        <v>5725</v>
      </c>
      <c r="M76" s="7" t="s">
        <v>5725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</row>
    <row r="77" spans="1:37">
      <c r="A77" s="7" t="s">
        <v>297</v>
      </c>
      <c r="B77" s="7" t="s">
        <v>298</v>
      </c>
      <c r="C77" s="7" t="s">
        <v>299</v>
      </c>
      <c r="D77" s="4">
        <v>4</v>
      </c>
      <c r="E77" s="5" t="s">
        <v>300</v>
      </c>
      <c r="F77" s="7">
        <f ca="1">IFERROR(__xludf.DUMMYFUNCTION("ARRAYFORMULA(SUM(ARRAYFORMULA(IFERROR(VALUE(SPLIT(SUBSTITUTE(E77,""-"","" ""),"" "")),0))))
"),20)</f>
        <v>20</v>
      </c>
      <c r="G77" s="7" t="s">
        <v>5734</v>
      </c>
      <c r="H77" s="7" t="s">
        <v>5735</v>
      </c>
      <c r="I77" s="7" t="s">
        <v>5736</v>
      </c>
      <c r="J77" s="7" t="s">
        <v>5726</v>
      </c>
      <c r="K77" s="7" t="s">
        <v>5725</v>
      </c>
      <c r="L77" s="7" t="s">
        <v>5725</v>
      </c>
      <c r="M77" s="7" t="s">
        <v>5725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</row>
    <row r="78" spans="1:37">
      <c r="A78" s="3" t="s">
        <v>301</v>
      </c>
      <c r="B78" s="3" t="s">
        <v>302</v>
      </c>
      <c r="C78" s="3" t="s">
        <v>303</v>
      </c>
      <c r="D78" s="4">
        <v>3</v>
      </c>
      <c r="E78" s="5" t="s">
        <v>304</v>
      </c>
      <c r="F78" s="7">
        <f ca="1">IFERROR(__xludf.DUMMYFUNCTION("ARRAYFORMULA(SUM(ARRAYFORMULA(IFERROR(VALUE(SPLIT(SUBSTITUTE(E78,""-"","" ""),"" "")),0))))
"),14)</f>
        <v>14</v>
      </c>
      <c r="G78" s="7" t="s">
        <v>5708</v>
      </c>
      <c r="H78" s="7" t="s">
        <v>5732</v>
      </c>
      <c r="I78" s="7" t="s">
        <v>5733</v>
      </c>
      <c r="J78" s="7" t="s">
        <v>5725</v>
      </c>
      <c r="K78" s="7" t="s">
        <v>5725</v>
      </c>
      <c r="L78" s="7" t="s">
        <v>5726</v>
      </c>
      <c r="M78" s="7" t="s">
        <v>5726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</row>
    <row r="79" spans="1:37">
      <c r="A79" s="7" t="s">
        <v>305</v>
      </c>
      <c r="B79" s="7" t="s">
        <v>306</v>
      </c>
      <c r="C79" s="7" t="s">
        <v>307</v>
      </c>
      <c r="D79" s="4">
        <v>4</v>
      </c>
      <c r="E79" s="5" t="s">
        <v>308</v>
      </c>
      <c r="F79" s="7">
        <f ca="1">IFERROR(__xludf.DUMMYFUNCTION("ARRAYFORMULA(SUM(ARRAYFORMULA(IFERROR(VALUE(SPLIT(SUBSTITUTE(E79,""-"","" ""),"" "")),0))))
"),16)</f>
        <v>16</v>
      </c>
      <c r="G79" s="7" t="s">
        <v>5734</v>
      </c>
      <c r="H79" s="7" t="s">
        <v>5735</v>
      </c>
      <c r="I79" s="7" t="s">
        <v>5736</v>
      </c>
      <c r="J79" s="7" t="s">
        <v>5726</v>
      </c>
      <c r="K79" s="7" t="s">
        <v>5725</v>
      </c>
      <c r="L79" s="7" t="s">
        <v>5725</v>
      </c>
      <c r="M79" s="7" t="s">
        <v>5725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</row>
    <row r="80" spans="1:37">
      <c r="A80" s="7" t="s">
        <v>309</v>
      </c>
      <c r="B80" s="7" t="s">
        <v>310</v>
      </c>
      <c r="C80" s="7" t="s">
        <v>311</v>
      </c>
      <c r="D80" s="4">
        <v>5</v>
      </c>
      <c r="E80" s="5" t="s">
        <v>312</v>
      </c>
      <c r="F80" s="7">
        <f ca="1">IFERROR(__xludf.DUMMYFUNCTION("ARRAYFORMULA(SUM(ARRAYFORMULA(IFERROR(VALUE(SPLIT(SUBSTITUTE(E80,""-"","" ""),"" "")),0))))
"),18)</f>
        <v>18</v>
      </c>
      <c r="G80" s="7" t="s">
        <v>5734</v>
      </c>
      <c r="H80" s="7" t="s">
        <v>5735</v>
      </c>
      <c r="I80" s="7" t="s">
        <v>5736</v>
      </c>
      <c r="J80" s="7" t="s">
        <v>5726</v>
      </c>
      <c r="K80" s="7" t="s">
        <v>5725</v>
      </c>
      <c r="L80" s="7" t="s">
        <v>5725</v>
      </c>
      <c r="M80" s="7" t="s">
        <v>5725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</row>
    <row r="81" spans="1:37">
      <c r="A81" s="7" t="s">
        <v>313</v>
      </c>
      <c r="B81" s="7" t="s">
        <v>314</v>
      </c>
      <c r="C81" s="7" t="s">
        <v>315</v>
      </c>
      <c r="D81" s="4">
        <v>5</v>
      </c>
      <c r="E81" s="5" t="s">
        <v>316</v>
      </c>
      <c r="F81" s="7">
        <f ca="1">IFERROR(__xludf.DUMMYFUNCTION("ARRAYFORMULA(SUM(ARRAYFORMULA(IFERROR(VALUE(SPLIT(SUBSTITUTE(E81,""-"","" ""),"" "")),0))))
"),20)</f>
        <v>20</v>
      </c>
      <c r="G81" s="7" t="s">
        <v>5734</v>
      </c>
      <c r="H81" s="7" t="s">
        <v>5735</v>
      </c>
      <c r="I81" s="7" t="s">
        <v>5736</v>
      </c>
      <c r="J81" s="7" t="s">
        <v>5726</v>
      </c>
      <c r="K81" s="7" t="s">
        <v>5725</v>
      </c>
      <c r="L81" s="7" t="s">
        <v>5725</v>
      </c>
      <c r="M81" s="7" t="s">
        <v>5725</v>
      </c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</row>
    <row r="82" spans="1:37">
      <c r="A82" s="7" t="s">
        <v>317</v>
      </c>
      <c r="B82" s="7" t="s">
        <v>318</v>
      </c>
      <c r="C82" s="7" t="s">
        <v>319</v>
      </c>
      <c r="D82" s="4">
        <v>4</v>
      </c>
      <c r="E82" s="5" t="s">
        <v>320</v>
      </c>
      <c r="F82" s="7">
        <f ca="1">IFERROR(__xludf.DUMMYFUNCTION("ARRAYFORMULA(SUM(ARRAYFORMULA(IFERROR(VALUE(SPLIT(SUBSTITUTE(E82,""-"","" ""),"" "")),0))))
"),18)</f>
        <v>18</v>
      </c>
      <c r="G82" s="7" t="s">
        <v>5734</v>
      </c>
      <c r="H82" s="7" t="s">
        <v>5735</v>
      </c>
      <c r="I82" s="7" t="s">
        <v>5736</v>
      </c>
      <c r="J82" s="7" t="s">
        <v>5726</v>
      </c>
      <c r="K82" s="7" t="s">
        <v>5725</v>
      </c>
      <c r="L82" s="7" t="s">
        <v>5725</v>
      </c>
      <c r="M82" s="7" t="s">
        <v>5725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</row>
    <row r="83" spans="1:37">
      <c r="A83" s="7" t="s">
        <v>321</v>
      </c>
      <c r="B83" s="7" t="s">
        <v>322</v>
      </c>
      <c r="C83" s="7" t="s">
        <v>323</v>
      </c>
      <c r="D83" s="4">
        <v>4</v>
      </c>
      <c r="E83" s="5" t="s">
        <v>324</v>
      </c>
      <c r="F83" s="7">
        <f ca="1">IFERROR(__xludf.DUMMYFUNCTION("ARRAYFORMULA(SUM(ARRAYFORMULA(IFERROR(VALUE(SPLIT(SUBSTITUTE(E83,""-"","" ""),"" "")),0))))
"),20)</f>
        <v>20</v>
      </c>
      <c r="G83" s="7" t="s">
        <v>5734</v>
      </c>
      <c r="H83" s="7" t="s">
        <v>5735</v>
      </c>
      <c r="I83" s="7" t="s">
        <v>5736</v>
      </c>
      <c r="J83" s="7" t="s">
        <v>5726</v>
      </c>
      <c r="K83" s="7" t="s">
        <v>5725</v>
      </c>
      <c r="L83" s="7" t="s">
        <v>5725</v>
      </c>
      <c r="M83" s="7" t="s">
        <v>5725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</row>
    <row r="84" spans="1:37">
      <c r="A84" s="7" t="s">
        <v>325</v>
      </c>
      <c r="B84" s="7" t="s">
        <v>326</v>
      </c>
      <c r="C84" s="7" t="s">
        <v>327</v>
      </c>
      <c r="D84" s="4">
        <v>4</v>
      </c>
      <c r="E84" s="5" t="s">
        <v>328</v>
      </c>
      <c r="F84" s="7">
        <f ca="1">IFERROR(__xludf.DUMMYFUNCTION("ARRAYFORMULA(SUM(ARRAYFORMULA(IFERROR(VALUE(SPLIT(SUBSTITUTE(E84,""-"","" ""),"" "")),0))))
"),22)</f>
        <v>22</v>
      </c>
      <c r="G84" s="7" t="s">
        <v>5734</v>
      </c>
      <c r="H84" s="7" t="s">
        <v>5735</v>
      </c>
      <c r="I84" s="7" t="s">
        <v>5736</v>
      </c>
      <c r="J84" s="7" t="s">
        <v>5726</v>
      </c>
      <c r="K84" s="7" t="s">
        <v>5725</v>
      </c>
      <c r="L84" s="7" t="s">
        <v>5725</v>
      </c>
      <c r="M84" s="7" t="s">
        <v>5725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</row>
    <row r="85" spans="1:37">
      <c r="A85" s="7" t="s">
        <v>329</v>
      </c>
      <c r="B85" s="7" t="s">
        <v>330</v>
      </c>
      <c r="C85" s="7" t="s">
        <v>331</v>
      </c>
      <c r="D85" s="4">
        <v>4</v>
      </c>
      <c r="E85" s="5" t="s">
        <v>332</v>
      </c>
      <c r="F85" s="7">
        <f ca="1">IFERROR(__xludf.DUMMYFUNCTION("ARRAYFORMULA(SUM(ARRAYFORMULA(IFERROR(VALUE(SPLIT(SUBSTITUTE(E85,""-"","" ""),"" "")),0))))
"),24)</f>
        <v>24</v>
      </c>
      <c r="G85" s="7" t="s">
        <v>5734</v>
      </c>
      <c r="H85" s="7" t="s">
        <v>5735</v>
      </c>
      <c r="I85" s="7" t="s">
        <v>5736</v>
      </c>
      <c r="J85" s="7" t="s">
        <v>5726</v>
      </c>
      <c r="K85" s="7" t="s">
        <v>5725</v>
      </c>
      <c r="L85" s="7" t="s">
        <v>5725</v>
      </c>
      <c r="M85" s="7" t="s">
        <v>5725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</row>
    <row r="86" spans="1:37">
      <c r="A86" s="7" t="s">
        <v>333</v>
      </c>
      <c r="B86" s="7" t="s">
        <v>334</v>
      </c>
      <c r="C86" s="7" t="s">
        <v>335</v>
      </c>
      <c r="D86" s="4">
        <v>4</v>
      </c>
      <c r="E86" s="5" t="s">
        <v>336</v>
      </c>
      <c r="F86" s="7">
        <f ca="1">IFERROR(__xludf.DUMMYFUNCTION("ARRAYFORMULA(SUM(ARRAYFORMULA(IFERROR(VALUE(SPLIT(SUBSTITUTE(E86,""-"","" ""),"" "")),0))))
"),26)</f>
        <v>26</v>
      </c>
      <c r="G86" s="7" t="s">
        <v>5734</v>
      </c>
      <c r="H86" s="7" t="s">
        <v>5735</v>
      </c>
      <c r="I86" s="7" t="s">
        <v>5736</v>
      </c>
      <c r="J86" s="7" t="s">
        <v>5726</v>
      </c>
      <c r="K86" s="7" t="s">
        <v>5725</v>
      </c>
      <c r="L86" s="7" t="s">
        <v>5725</v>
      </c>
      <c r="M86" s="7" t="s">
        <v>5725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</row>
    <row r="87" spans="1:37">
      <c r="A87" s="3" t="s">
        <v>337</v>
      </c>
      <c r="B87" s="3" t="s">
        <v>338</v>
      </c>
      <c r="C87" s="3" t="s">
        <v>339</v>
      </c>
      <c r="D87" s="4">
        <v>3</v>
      </c>
      <c r="E87" s="5" t="s">
        <v>340</v>
      </c>
      <c r="F87" s="7">
        <f ca="1">IFERROR(__xludf.DUMMYFUNCTION("ARRAYFORMULA(SUM(ARRAYFORMULA(IFERROR(VALUE(SPLIT(SUBSTITUTE(E87,""-"","" ""),"" "")),0))))
"),16)</f>
        <v>16</v>
      </c>
      <c r="G87" s="7" t="s">
        <v>5708</v>
      </c>
      <c r="H87" s="7" t="s">
        <v>5732</v>
      </c>
      <c r="I87" s="7" t="s">
        <v>5733</v>
      </c>
      <c r="J87" s="7" t="s">
        <v>5725</v>
      </c>
      <c r="K87" s="7" t="s">
        <v>5725</v>
      </c>
      <c r="L87" s="7" t="s">
        <v>5726</v>
      </c>
      <c r="M87" s="7" t="s">
        <v>5726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</row>
    <row r="88" spans="1:37">
      <c r="A88" s="7" t="s">
        <v>341</v>
      </c>
      <c r="B88" s="7" t="s">
        <v>342</v>
      </c>
      <c r="C88" s="7" t="s">
        <v>343</v>
      </c>
      <c r="D88" s="4">
        <v>4</v>
      </c>
      <c r="E88" s="5" t="s">
        <v>344</v>
      </c>
      <c r="F88" s="7">
        <f ca="1">IFERROR(__xludf.DUMMYFUNCTION("ARRAYFORMULA(SUM(ARRAYFORMULA(IFERROR(VALUE(SPLIT(SUBSTITUTE(E88,""-"","" ""),"" "")),0))))
"),18)</f>
        <v>18</v>
      </c>
      <c r="G88" s="7" t="s">
        <v>5734</v>
      </c>
      <c r="H88" s="7" t="s">
        <v>5735</v>
      </c>
      <c r="I88" s="7" t="s">
        <v>5736</v>
      </c>
      <c r="J88" s="7" t="s">
        <v>5726</v>
      </c>
      <c r="K88" s="7" t="s">
        <v>5725</v>
      </c>
      <c r="L88" s="7" t="s">
        <v>5725</v>
      </c>
      <c r="M88" s="7" t="s">
        <v>5725</v>
      </c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</row>
    <row r="89" spans="1:37">
      <c r="A89" s="7" t="s">
        <v>345</v>
      </c>
      <c r="B89" s="7" t="s">
        <v>346</v>
      </c>
      <c r="C89" s="7" t="s">
        <v>347</v>
      </c>
      <c r="D89" s="4">
        <v>4</v>
      </c>
      <c r="E89" s="5" t="s">
        <v>348</v>
      </c>
      <c r="F89" s="7">
        <f ca="1">IFERROR(__xludf.DUMMYFUNCTION("ARRAYFORMULA(SUM(ARRAYFORMULA(IFERROR(VALUE(SPLIT(SUBSTITUTE(E89,""-"","" ""),"" "")),0))))
"),20)</f>
        <v>20</v>
      </c>
      <c r="G89" s="7" t="s">
        <v>5734</v>
      </c>
      <c r="H89" s="7" t="s">
        <v>5735</v>
      </c>
      <c r="I89" s="7" t="s">
        <v>5736</v>
      </c>
      <c r="J89" s="7" t="s">
        <v>5726</v>
      </c>
      <c r="K89" s="7" t="s">
        <v>5725</v>
      </c>
      <c r="L89" s="7" t="s">
        <v>5725</v>
      </c>
      <c r="M89" s="7" t="s">
        <v>5725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</row>
    <row r="90" spans="1:37">
      <c r="A90" s="7" t="s">
        <v>349</v>
      </c>
      <c r="B90" s="7" t="s">
        <v>350</v>
      </c>
      <c r="C90" s="7" t="s">
        <v>351</v>
      </c>
      <c r="D90" s="4">
        <v>4</v>
      </c>
      <c r="E90" s="5" t="s">
        <v>352</v>
      </c>
      <c r="F90" s="7">
        <f ca="1">IFERROR(__xludf.DUMMYFUNCTION("ARRAYFORMULA(SUM(ARRAYFORMULA(IFERROR(VALUE(SPLIT(SUBSTITUTE(E90,""-"","" ""),"" "")),0))))
"),22)</f>
        <v>22</v>
      </c>
      <c r="G90" s="7" t="s">
        <v>5734</v>
      </c>
      <c r="H90" s="7" t="s">
        <v>5735</v>
      </c>
      <c r="I90" s="7" t="s">
        <v>5736</v>
      </c>
      <c r="J90" s="7" t="s">
        <v>5726</v>
      </c>
      <c r="K90" s="7" t="s">
        <v>5725</v>
      </c>
      <c r="L90" s="7" t="s">
        <v>5725</v>
      </c>
      <c r="M90" s="7" t="s">
        <v>5725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</row>
    <row r="91" spans="1:37">
      <c r="A91" s="3" t="s">
        <v>353</v>
      </c>
      <c r="B91" s="3" t="s">
        <v>354</v>
      </c>
      <c r="C91" s="3" t="s">
        <v>355</v>
      </c>
      <c r="D91" s="4">
        <v>3</v>
      </c>
      <c r="E91" s="5" t="s">
        <v>356</v>
      </c>
      <c r="F91" s="7">
        <f ca="1">IFERROR(__xludf.DUMMYFUNCTION("ARRAYFORMULA(SUM(ARRAYFORMULA(IFERROR(VALUE(SPLIT(SUBSTITUTE(E91,""-"","" ""),"" "")),0))))
"),18)</f>
        <v>18</v>
      </c>
      <c r="G91" s="7" t="s">
        <v>5708</v>
      </c>
      <c r="H91" s="7" t="s">
        <v>5732</v>
      </c>
      <c r="I91" s="7" t="s">
        <v>5733</v>
      </c>
      <c r="J91" s="7" t="s">
        <v>5725</v>
      </c>
      <c r="K91" s="7" t="s">
        <v>5725</v>
      </c>
      <c r="L91" s="7" t="s">
        <v>5726</v>
      </c>
      <c r="M91" s="7" t="s">
        <v>5726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</row>
    <row r="92" spans="1:37">
      <c r="A92" s="7" t="s">
        <v>357</v>
      </c>
      <c r="B92" s="7" t="s">
        <v>358</v>
      </c>
      <c r="C92" s="7" t="s">
        <v>359</v>
      </c>
      <c r="D92" s="4">
        <v>4</v>
      </c>
      <c r="E92" s="5" t="s">
        <v>360</v>
      </c>
      <c r="F92" s="7">
        <f ca="1">IFERROR(__xludf.DUMMYFUNCTION("ARRAYFORMULA(SUM(ARRAYFORMULA(IFERROR(VALUE(SPLIT(SUBSTITUTE(E92,""-"","" ""),"" "")),0))))
"),20)</f>
        <v>20</v>
      </c>
      <c r="G92" s="7" t="s">
        <v>5734</v>
      </c>
      <c r="H92" s="7" t="s">
        <v>5735</v>
      </c>
      <c r="I92" s="7" t="s">
        <v>5736</v>
      </c>
      <c r="J92" s="7" t="s">
        <v>5726</v>
      </c>
      <c r="K92" s="7" t="s">
        <v>5725</v>
      </c>
      <c r="L92" s="7" t="s">
        <v>5725</v>
      </c>
      <c r="M92" s="7" t="s">
        <v>5725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</row>
    <row r="93" spans="1:37">
      <c r="A93" s="7" t="s">
        <v>361</v>
      </c>
      <c r="B93" s="7" t="s">
        <v>362</v>
      </c>
      <c r="C93" s="7" t="s">
        <v>363</v>
      </c>
      <c r="D93" s="4">
        <v>4</v>
      </c>
      <c r="E93" s="5" t="s">
        <v>364</v>
      </c>
      <c r="F93" s="7">
        <f ca="1">IFERROR(__xludf.DUMMYFUNCTION("ARRAYFORMULA(SUM(ARRAYFORMULA(IFERROR(VALUE(SPLIT(SUBSTITUTE(E93,""-"","" ""),"" "")),0))))
"),22)</f>
        <v>22</v>
      </c>
      <c r="G93" s="7" t="s">
        <v>5734</v>
      </c>
      <c r="H93" s="7" t="s">
        <v>5735</v>
      </c>
      <c r="I93" s="7" t="s">
        <v>5736</v>
      </c>
      <c r="J93" s="7" t="s">
        <v>5726</v>
      </c>
      <c r="K93" s="7" t="s">
        <v>5725</v>
      </c>
      <c r="L93" s="7" t="s">
        <v>5725</v>
      </c>
      <c r="M93" s="7" t="s">
        <v>5725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</row>
    <row r="94" spans="1:37">
      <c r="A94" s="3" t="s">
        <v>365</v>
      </c>
      <c r="B94" s="3" t="s">
        <v>366</v>
      </c>
      <c r="C94" s="3" t="s">
        <v>367</v>
      </c>
      <c r="D94" s="4">
        <v>2</v>
      </c>
      <c r="E94" s="8" t="s">
        <v>368</v>
      </c>
      <c r="F94" s="7">
        <f ca="1">IFERROR(__xludf.DUMMYFUNCTION("ARRAYFORMULA(SUM(ARRAYFORMULA(IFERROR(VALUE(SPLIT(SUBSTITUTE(E94,""-"","" ""),"" "")),0))))
"),8)</f>
        <v>8</v>
      </c>
      <c r="G94" s="7" t="s">
        <v>5706</v>
      </c>
      <c r="H94" s="7" t="s">
        <v>5723</v>
      </c>
      <c r="I94" s="7" t="s">
        <v>5724</v>
      </c>
      <c r="J94" s="7" t="s">
        <v>5725</v>
      </c>
      <c r="K94" s="7" t="s">
        <v>5726</v>
      </c>
      <c r="L94" s="7" t="s">
        <v>5726</v>
      </c>
      <c r="M94" s="7" t="s">
        <v>5726</v>
      </c>
      <c r="N94" s="7"/>
      <c r="O94" s="7"/>
      <c r="P94" s="7"/>
      <c r="Q94" s="7"/>
      <c r="R94" s="8" t="s">
        <v>368</v>
      </c>
      <c r="S94" s="3" t="s">
        <v>5740</v>
      </c>
      <c r="T94" s="111" t="s">
        <v>5741</v>
      </c>
      <c r="U94" s="7" t="str">
        <f>T94&amp;"-"&amp;S94</f>
        <v>3E-08-tráfego</v>
      </c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</row>
    <row r="95" spans="1:37">
      <c r="A95" s="3" t="s">
        <v>369</v>
      </c>
      <c r="B95" s="3" t="s">
        <v>370</v>
      </c>
      <c r="C95" s="3" t="s">
        <v>371</v>
      </c>
      <c r="D95" s="4">
        <v>3</v>
      </c>
      <c r="E95" s="5" t="s">
        <v>372</v>
      </c>
      <c r="F95" s="7">
        <f ca="1">IFERROR(__xludf.DUMMYFUNCTION("ARRAYFORMULA(SUM(ARRAYFORMULA(IFERROR(VALUE(SPLIT(SUBSTITUTE(E95,""-"","" ""),"" "")),0))))
"),10)</f>
        <v>10</v>
      </c>
      <c r="G95" s="7" t="s">
        <v>5708</v>
      </c>
      <c r="H95" s="7" t="s">
        <v>5732</v>
      </c>
      <c r="I95" s="7" t="s">
        <v>5733</v>
      </c>
      <c r="J95" s="7" t="s">
        <v>5725</v>
      </c>
      <c r="K95" s="7" t="s">
        <v>5725</v>
      </c>
      <c r="L95" s="7" t="s">
        <v>5726</v>
      </c>
      <c r="M95" s="7" t="s">
        <v>5726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</row>
    <row r="96" spans="1:37">
      <c r="A96" s="7" t="s">
        <v>373</v>
      </c>
      <c r="B96" s="7" t="s">
        <v>374</v>
      </c>
      <c r="C96" s="7" t="s">
        <v>375</v>
      </c>
      <c r="D96" s="4">
        <v>4</v>
      </c>
      <c r="E96" s="5" t="s">
        <v>376</v>
      </c>
      <c r="F96" s="7">
        <f ca="1">IFERROR(__xludf.DUMMYFUNCTION("ARRAYFORMULA(SUM(ARRAYFORMULA(IFERROR(VALUE(SPLIT(SUBSTITUTE(E96,""-"","" ""),"" "")),0))))
"),12)</f>
        <v>12</v>
      </c>
      <c r="G96" s="7" t="s">
        <v>5734</v>
      </c>
      <c r="H96" s="7" t="s">
        <v>5735</v>
      </c>
      <c r="I96" s="7" t="s">
        <v>5736</v>
      </c>
      <c r="J96" s="7" t="s">
        <v>5726</v>
      </c>
      <c r="K96" s="7" t="s">
        <v>5725</v>
      </c>
      <c r="L96" s="7" t="s">
        <v>5725</v>
      </c>
      <c r="M96" s="7" t="s">
        <v>5725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 spans="1:37">
      <c r="A97" s="7" t="s">
        <v>377</v>
      </c>
      <c r="B97" s="7" t="s">
        <v>378</v>
      </c>
      <c r="C97" s="7" t="s">
        <v>379</v>
      </c>
      <c r="D97" s="4">
        <v>4</v>
      </c>
      <c r="E97" s="5" t="s">
        <v>380</v>
      </c>
      <c r="F97" s="7">
        <f ca="1">IFERROR(__xludf.DUMMYFUNCTION("ARRAYFORMULA(SUM(ARRAYFORMULA(IFERROR(VALUE(SPLIT(SUBSTITUTE(E97,""-"","" ""),"" "")),0))))
"),14)</f>
        <v>14</v>
      </c>
      <c r="G97" s="7" t="s">
        <v>5734</v>
      </c>
      <c r="H97" s="7" t="s">
        <v>5735</v>
      </c>
      <c r="I97" s="7" t="s">
        <v>5736</v>
      </c>
      <c r="J97" s="7" t="s">
        <v>5726</v>
      </c>
      <c r="K97" s="7" t="s">
        <v>5725</v>
      </c>
      <c r="L97" s="7" t="s">
        <v>5725</v>
      </c>
      <c r="M97" s="7" t="s">
        <v>5725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 spans="1:37">
      <c r="A98" s="7" t="s">
        <v>381</v>
      </c>
      <c r="B98" s="7" t="s">
        <v>382</v>
      </c>
      <c r="C98" s="7" t="s">
        <v>383</v>
      </c>
      <c r="D98" s="4">
        <v>4</v>
      </c>
      <c r="E98" s="5" t="s">
        <v>384</v>
      </c>
      <c r="F98" s="7">
        <f ca="1">IFERROR(__xludf.DUMMYFUNCTION("ARRAYFORMULA(SUM(ARRAYFORMULA(IFERROR(VALUE(SPLIT(SUBSTITUTE(E98,""-"","" ""),"" "")),0))))
"),16)</f>
        <v>16</v>
      </c>
      <c r="G98" s="7" t="s">
        <v>5734</v>
      </c>
      <c r="H98" s="7" t="s">
        <v>5735</v>
      </c>
      <c r="I98" s="7" t="s">
        <v>5736</v>
      </c>
      <c r="J98" s="7" t="s">
        <v>5726</v>
      </c>
      <c r="K98" s="7" t="s">
        <v>5725</v>
      </c>
      <c r="L98" s="7" t="s">
        <v>5725</v>
      </c>
      <c r="M98" s="7" t="s">
        <v>5725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 spans="1:37">
      <c r="A99" s="7" t="s">
        <v>385</v>
      </c>
      <c r="B99" s="7" t="s">
        <v>386</v>
      </c>
      <c r="C99" s="7" t="s">
        <v>387</v>
      </c>
      <c r="D99" s="4">
        <v>4</v>
      </c>
      <c r="E99" s="5" t="s">
        <v>388</v>
      </c>
      <c r="F99" s="7">
        <f ca="1">IFERROR(__xludf.DUMMYFUNCTION("ARRAYFORMULA(SUM(ARRAYFORMULA(IFERROR(VALUE(SPLIT(SUBSTITUTE(E99,""-"","" ""),"" "")),0))))
"),18)</f>
        <v>18</v>
      </c>
      <c r="G99" s="7" t="s">
        <v>5734</v>
      </c>
      <c r="H99" s="7" t="s">
        <v>5735</v>
      </c>
      <c r="I99" s="7" t="s">
        <v>5736</v>
      </c>
      <c r="J99" s="7" t="s">
        <v>5726</v>
      </c>
      <c r="K99" s="7" t="s">
        <v>5725</v>
      </c>
      <c r="L99" s="7" t="s">
        <v>5725</v>
      </c>
      <c r="M99" s="7" t="s">
        <v>5725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 spans="1:37">
      <c r="A100" s="3" t="s">
        <v>389</v>
      </c>
      <c r="B100" s="3" t="s">
        <v>390</v>
      </c>
      <c r="C100" s="3" t="s">
        <v>391</v>
      </c>
      <c r="D100" s="4">
        <v>3</v>
      </c>
      <c r="E100" s="5" t="s">
        <v>392</v>
      </c>
      <c r="F100" s="7">
        <f ca="1">IFERROR(__xludf.DUMMYFUNCTION("ARRAYFORMULA(SUM(ARRAYFORMULA(IFERROR(VALUE(SPLIT(SUBSTITUTE(E100,""-"","" ""),"" "")),0))))
"),12)</f>
        <v>12</v>
      </c>
      <c r="G100" s="7" t="s">
        <v>5708</v>
      </c>
      <c r="H100" s="7" t="s">
        <v>5732</v>
      </c>
      <c r="I100" s="7" t="s">
        <v>5733</v>
      </c>
      <c r="J100" s="7" t="s">
        <v>5725</v>
      </c>
      <c r="K100" s="7" t="s">
        <v>5725</v>
      </c>
      <c r="L100" s="7" t="s">
        <v>5726</v>
      </c>
      <c r="M100" s="7" t="s">
        <v>5726</v>
      </c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 spans="1:37">
      <c r="A101" s="7" t="s">
        <v>393</v>
      </c>
      <c r="B101" s="7" t="s">
        <v>394</v>
      </c>
      <c r="C101" s="7" t="s">
        <v>395</v>
      </c>
      <c r="D101" s="4">
        <v>4</v>
      </c>
      <c r="E101" s="5" t="s">
        <v>396</v>
      </c>
      <c r="F101" s="7">
        <f ca="1">IFERROR(__xludf.DUMMYFUNCTION("ARRAYFORMULA(SUM(ARRAYFORMULA(IFERROR(VALUE(SPLIT(SUBSTITUTE(E101,""-"","" ""),"" "")),0))))
"),14)</f>
        <v>14</v>
      </c>
      <c r="G101" s="7" t="s">
        <v>5734</v>
      </c>
      <c r="H101" s="7" t="s">
        <v>5735</v>
      </c>
      <c r="I101" s="7" t="s">
        <v>5736</v>
      </c>
      <c r="J101" s="7" t="s">
        <v>5726</v>
      </c>
      <c r="K101" s="7" t="s">
        <v>5725</v>
      </c>
      <c r="L101" s="7" t="s">
        <v>5725</v>
      </c>
      <c r="M101" s="7" t="s">
        <v>5725</v>
      </c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 spans="1:37">
      <c r="A102" s="7" t="s">
        <v>397</v>
      </c>
      <c r="B102" s="7" t="s">
        <v>398</v>
      </c>
      <c r="C102" s="7" t="s">
        <v>399</v>
      </c>
      <c r="D102" s="4">
        <v>4</v>
      </c>
      <c r="E102" s="5" t="s">
        <v>400</v>
      </c>
      <c r="F102" s="7">
        <f ca="1">IFERROR(__xludf.DUMMYFUNCTION("ARRAYFORMULA(SUM(ARRAYFORMULA(IFERROR(VALUE(SPLIT(SUBSTITUTE(E102,""-"","" ""),"" "")),0))))
"),16)</f>
        <v>16</v>
      </c>
      <c r="G102" s="7" t="s">
        <v>5734</v>
      </c>
      <c r="H102" s="7" t="s">
        <v>5735</v>
      </c>
      <c r="I102" s="7" t="s">
        <v>5736</v>
      </c>
      <c r="J102" s="7" t="s">
        <v>5726</v>
      </c>
      <c r="K102" s="7" t="s">
        <v>5725</v>
      </c>
      <c r="L102" s="7" t="s">
        <v>5725</v>
      </c>
      <c r="M102" s="7" t="s">
        <v>5725</v>
      </c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 spans="1:37">
      <c r="A103" s="7" t="s">
        <v>401</v>
      </c>
      <c r="B103" s="7" t="s">
        <v>402</v>
      </c>
      <c r="C103" s="7" t="s">
        <v>403</v>
      </c>
      <c r="D103" s="4">
        <v>4</v>
      </c>
      <c r="E103" s="5" t="s">
        <v>404</v>
      </c>
      <c r="F103" s="7">
        <f ca="1">IFERROR(__xludf.DUMMYFUNCTION("ARRAYFORMULA(SUM(ARRAYFORMULA(IFERROR(VALUE(SPLIT(SUBSTITUTE(E103,""-"","" ""),"" "")),0))))
"),18)</f>
        <v>18</v>
      </c>
      <c r="G103" s="7" t="s">
        <v>5734</v>
      </c>
      <c r="H103" s="7" t="s">
        <v>5735</v>
      </c>
      <c r="I103" s="7" t="s">
        <v>5736</v>
      </c>
      <c r="J103" s="7" t="s">
        <v>5726</v>
      </c>
      <c r="K103" s="7" t="s">
        <v>5725</v>
      </c>
      <c r="L103" s="7" t="s">
        <v>5725</v>
      </c>
      <c r="M103" s="7" t="s">
        <v>5725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 spans="1:37">
      <c r="A104" s="7" t="s">
        <v>405</v>
      </c>
      <c r="B104" s="7" t="s">
        <v>406</v>
      </c>
      <c r="C104" s="7" t="s">
        <v>407</v>
      </c>
      <c r="D104" s="4">
        <v>4</v>
      </c>
      <c r="E104" s="5" t="s">
        <v>408</v>
      </c>
      <c r="F104" s="7">
        <f ca="1">IFERROR(__xludf.DUMMYFUNCTION("ARRAYFORMULA(SUM(ARRAYFORMULA(IFERROR(VALUE(SPLIT(SUBSTITUTE(E104,""-"","" ""),"" "")),0))))
"),20)</f>
        <v>20</v>
      </c>
      <c r="G104" s="7" t="s">
        <v>5734</v>
      </c>
      <c r="H104" s="7" t="s">
        <v>5735</v>
      </c>
      <c r="I104" s="7" t="s">
        <v>5736</v>
      </c>
      <c r="J104" s="7" t="s">
        <v>5726</v>
      </c>
      <c r="K104" s="7" t="s">
        <v>5725</v>
      </c>
      <c r="L104" s="7" t="s">
        <v>5725</v>
      </c>
      <c r="M104" s="7" t="s">
        <v>5725</v>
      </c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spans="1:37">
      <c r="A105" s="7" t="s">
        <v>409</v>
      </c>
      <c r="B105" s="7" t="s">
        <v>410</v>
      </c>
      <c r="C105" s="7" t="s">
        <v>411</v>
      </c>
      <c r="D105" s="4">
        <v>4</v>
      </c>
      <c r="E105" s="5" t="s">
        <v>412</v>
      </c>
      <c r="F105" s="7">
        <f ca="1">IFERROR(__xludf.DUMMYFUNCTION("ARRAYFORMULA(SUM(ARRAYFORMULA(IFERROR(VALUE(SPLIT(SUBSTITUTE(E105,""-"","" ""),"" "")),0))))
"),22)</f>
        <v>22</v>
      </c>
      <c r="G105" s="7" t="s">
        <v>5734</v>
      </c>
      <c r="H105" s="7" t="s">
        <v>5735</v>
      </c>
      <c r="I105" s="7" t="s">
        <v>5736</v>
      </c>
      <c r="J105" s="7" t="s">
        <v>5726</v>
      </c>
      <c r="K105" s="7" t="s">
        <v>5725</v>
      </c>
      <c r="L105" s="7" t="s">
        <v>5725</v>
      </c>
      <c r="M105" s="7" t="s">
        <v>5725</v>
      </c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spans="1:37">
      <c r="A106" s="7" t="s">
        <v>413</v>
      </c>
      <c r="B106" s="7" t="s">
        <v>414</v>
      </c>
      <c r="C106" s="7" t="s">
        <v>415</v>
      </c>
      <c r="D106" s="4">
        <v>4</v>
      </c>
      <c r="E106" s="5" t="s">
        <v>416</v>
      </c>
      <c r="F106" s="7">
        <f ca="1">IFERROR(__xludf.DUMMYFUNCTION("ARRAYFORMULA(SUM(ARRAYFORMULA(IFERROR(VALUE(SPLIT(SUBSTITUTE(E106,""-"","" ""),"" "")),0))))
"),24)</f>
        <v>24</v>
      </c>
      <c r="G106" s="7" t="s">
        <v>5734</v>
      </c>
      <c r="H106" s="7" t="s">
        <v>5735</v>
      </c>
      <c r="I106" s="7" t="s">
        <v>5736</v>
      </c>
      <c r="J106" s="7" t="s">
        <v>5726</v>
      </c>
      <c r="K106" s="7" t="s">
        <v>5725</v>
      </c>
      <c r="L106" s="7" t="s">
        <v>5725</v>
      </c>
      <c r="M106" s="7" t="s">
        <v>5725</v>
      </c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spans="1:37">
      <c r="A107" s="7" t="s">
        <v>417</v>
      </c>
      <c r="B107" s="7" t="s">
        <v>418</v>
      </c>
      <c r="C107" s="7" t="s">
        <v>419</v>
      </c>
      <c r="D107" s="4">
        <v>4</v>
      </c>
      <c r="E107" s="5" t="s">
        <v>420</v>
      </c>
      <c r="F107" s="7">
        <f ca="1">IFERROR(__xludf.DUMMYFUNCTION("ARRAYFORMULA(SUM(ARRAYFORMULA(IFERROR(VALUE(SPLIT(SUBSTITUTE(E107,""-"","" ""),"" "")),0))))
"),26)</f>
        <v>26</v>
      </c>
      <c r="G107" s="7" t="s">
        <v>5734</v>
      </c>
      <c r="H107" s="7" t="s">
        <v>5735</v>
      </c>
      <c r="I107" s="7" t="s">
        <v>5736</v>
      </c>
      <c r="J107" s="7" t="s">
        <v>5726</v>
      </c>
      <c r="K107" s="7" t="s">
        <v>5725</v>
      </c>
      <c r="L107" s="7" t="s">
        <v>5725</v>
      </c>
      <c r="M107" s="7" t="s">
        <v>5725</v>
      </c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spans="1:37">
      <c r="A108" s="7" t="s">
        <v>421</v>
      </c>
      <c r="B108" s="7" t="s">
        <v>422</v>
      </c>
      <c r="C108" s="7" t="s">
        <v>423</v>
      </c>
      <c r="D108" s="4">
        <v>4</v>
      </c>
      <c r="E108" s="5" t="s">
        <v>424</v>
      </c>
      <c r="F108" s="7">
        <f ca="1">IFERROR(__xludf.DUMMYFUNCTION("ARRAYFORMULA(SUM(ARRAYFORMULA(IFERROR(VALUE(SPLIT(SUBSTITUTE(E108,""-"","" ""),"" "")),0))))
"),28)</f>
        <v>28</v>
      </c>
      <c r="G108" s="7" t="s">
        <v>5734</v>
      </c>
      <c r="H108" s="7" t="s">
        <v>5735</v>
      </c>
      <c r="I108" s="7" t="s">
        <v>5736</v>
      </c>
      <c r="J108" s="7" t="s">
        <v>5726</v>
      </c>
      <c r="K108" s="7" t="s">
        <v>5725</v>
      </c>
      <c r="L108" s="7" t="s">
        <v>5725</v>
      </c>
      <c r="M108" s="7" t="s">
        <v>5725</v>
      </c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spans="1:37">
      <c r="A109" s="7" t="s">
        <v>425</v>
      </c>
      <c r="B109" s="7" t="s">
        <v>426</v>
      </c>
      <c r="C109" s="7" t="s">
        <v>427</v>
      </c>
      <c r="D109" s="4">
        <v>4</v>
      </c>
      <c r="E109" s="5" t="s">
        <v>428</v>
      </c>
      <c r="F109" s="7">
        <f ca="1">IFERROR(__xludf.DUMMYFUNCTION("ARRAYFORMULA(SUM(ARRAYFORMULA(IFERROR(VALUE(SPLIT(SUBSTITUTE(E109,""-"","" ""),"" "")),0))))
"),30)</f>
        <v>30</v>
      </c>
      <c r="G109" s="7" t="s">
        <v>5734</v>
      </c>
      <c r="H109" s="7" t="s">
        <v>5735</v>
      </c>
      <c r="I109" s="7" t="s">
        <v>5736</v>
      </c>
      <c r="J109" s="7" t="s">
        <v>5726</v>
      </c>
      <c r="K109" s="7" t="s">
        <v>5725</v>
      </c>
      <c r="L109" s="7" t="s">
        <v>5725</v>
      </c>
      <c r="M109" s="7" t="s">
        <v>5725</v>
      </c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spans="1:37">
      <c r="A110" s="7" t="s">
        <v>429</v>
      </c>
      <c r="B110" s="7" t="s">
        <v>430</v>
      </c>
      <c r="C110" s="7" t="s">
        <v>431</v>
      </c>
      <c r="D110" s="4">
        <v>4</v>
      </c>
      <c r="E110" s="5" t="s">
        <v>432</v>
      </c>
      <c r="F110" s="7">
        <f ca="1">IFERROR(__xludf.DUMMYFUNCTION("ARRAYFORMULA(SUM(ARRAYFORMULA(IFERROR(VALUE(SPLIT(SUBSTITUTE(E110,""-"","" ""),"" "")),0))))
"),32)</f>
        <v>32</v>
      </c>
      <c r="G110" s="7" t="s">
        <v>5734</v>
      </c>
      <c r="H110" s="7" t="s">
        <v>5735</v>
      </c>
      <c r="I110" s="7" t="s">
        <v>5736</v>
      </c>
      <c r="J110" s="7" t="s">
        <v>5726</v>
      </c>
      <c r="K110" s="7" t="s">
        <v>5725</v>
      </c>
      <c r="L110" s="7" t="s">
        <v>5725</v>
      </c>
      <c r="M110" s="7" t="s">
        <v>5725</v>
      </c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spans="1:37">
      <c r="A111" s="7" t="s">
        <v>433</v>
      </c>
      <c r="B111" s="7" t="s">
        <v>434</v>
      </c>
      <c r="C111" s="7" t="s">
        <v>435</v>
      </c>
      <c r="D111" s="4">
        <v>4</v>
      </c>
      <c r="E111" s="5" t="s">
        <v>436</v>
      </c>
      <c r="F111" s="7">
        <f ca="1">IFERROR(__xludf.DUMMYFUNCTION("ARRAYFORMULA(SUM(ARRAYFORMULA(IFERROR(VALUE(SPLIT(SUBSTITUTE(E111,""-"","" ""),"" "")),0))))
"),34)</f>
        <v>34</v>
      </c>
      <c r="G111" s="7" t="s">
        <v>5734</v>
      </c>
      <c r="H111" s="7" t="s">
        <v>5735</v>
      </c>
      <c r="I111" s="7" t="s">
        <v>5736</v>
      </c>
      <c r="J111" s="7" t="s">
        <v>5726</v>
      </c>
      <c r="K111" s="7" t="s">
        <v>5725</v>
      </c>
      <c r="L111" s="7" t="s">
        <v>5725</v>
      </c>
      <c r="M111" s="7" t="s">
        <v>5725</v>
      </c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spans="1:37">
      <c r="A112" s="7" t="s">
        <v>437</v>
      </c>
      <c r="B112" s="7" t="s">
        <v>438</v>
      </c>
      <c r="C112" s="7" t="s">
        <v>439</v>
      </c>
      <c r="D112" s="4">
        <v>4</v>
      </c>
      <c r="E112" s="5" t="s">
        <v>440</v>
      </c>
      <c r="F112" s="7">
        <f ca="1">IFERROR(__xludf.DUMMYFUNCTION("ARRAYFORMULA(SUM(ARRAYFORMULA(IFERROR(VALUE(SPLIT(SUBSTITUTE(E112,""-"","" ""),"" "")),0))))
"),36)</f>
        <v>36</v>
      </c>
      <c r="G112" s="7" t="s">
        <v>5734</v>
      </c>
      <c r="H112" s="7" t="s">
        <v>5735</v>
      </c>
      <c r="I112" s="7" t="s">
        <v>5736</v>
      </c>
      <c r="J112" s="7" t="s">
        <v>5726</v>
      </c>
      <c r="K112" s="7" t="s">
        <v>5725</v>
      </c>
      <c r="L112" s="7" t="s">
        <v>5725</v>
      </c>
      <c r="M112" s="7" t="s">
        <v>5725</v>
      </c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spans="1:37">
      <c r="A113" s="7" t="s">
        <v>441</v>
      </c>
      <c r="B113" s="7" t="s">
        <v>442</v>
      </c>
      <c r="C113" s="7" t="s">
        <v>443</v>
      </c>
      <c r="D113" s="4">
        <v>4</v>
      </c>
      <c r="E113" s="5" t="s">
        <v>444</v>
      </c>
      <c r="F113" s="7">
        <f ca="1">IFERROR(__xludf.DUMMYFUNCTION("ARRAYFORMULA(SUM(ARRAYFORMULA(IFERROR(VALUE(SPLIT(SUBSTITUTE(E113,""-"","" ""),"" "")),0))))
"),38)</f>
        <v>38</v>
      </c>
      <c r="G113" s="7" t="s">
        <v>5734</v>
      </c>
      <c r="H113" s="7" t="s">
        <v>5735</v>
      </c>
      <c r="I113" s="7" t="s">
        <v>5736</v>
      </c>
      <c r="J113" s="7" t="s">
        <v>5726</v>
      </c>
      <c r="K113" s="7" t="s">
        <v>5725</v>
      </c>
      <c r="L113" s="7" t="s">
        <v>5725</v>
      </c>
      <c r="M113" s="7" t="s">
        <v>5725</v>
      </c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spans="1:37">
      <c r="A114" s="3" t="s">
        <v>445</v>
      </c>
      <c r="B114" s="3" t="s">
        <v>446</v>
      </c>
      <c r="C114" s="3" t="s">
        <v>447</v>
      </c>
      <c r="D114" s="4">
        <v>3</v>
      </c>
      <c r="E114" s="5" t="s">
        <v>448</v>
      </c>
      <c r="F114" s="7">
        <f ca="1">IFERROR(__xludf.DUMMYFUNCTION("ARRAYFORMULA(SUM(ARRAYFORMULA(IFERROR(VALUE(SPLIT(SUBSTITUTE(E114,""-"","" ""),"" "")),0))))
"),14)</f>
        <v>14</v>
      </c>
      <c r="G114" s="7" t="s">
        <v>5708</v>
      </c>
      <c r="H114" s="7" t="s">
        <v>5732</v>
      </c>
      <c r="I114" s="7" t="s">
        <v>5733</v>
      </c>
      <c r="J114" s="7" t="s">
        <v>5725</v>
      </c>
      <c r="K114" s="7" t="s">
        <v>5725</v>
      </c>
      <c r="L114" s="7" t="s">
        <v>5726</v>
      </c>
      <c r="M114" s="7" t="s">
        <v>5726</v>
      </c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spans="1:37">
      <c r="A115" s="7" t="s">
        <v>449</v>
      </c>
      <c r="B115" s="7" t="s">
        <v>450</v>
      </c>
      <c r="C115" s="7" t="s">
        <v>451</v>
      </c>
      <c r="D115" s="4">
        <v>4</v>
      </c>
      <c r="E115" s="5" t="s">
        <v>452</v>
      </c>
      <c r="F115" s="7">
        <f ca="1">IFERROR(__xludf.DUMMYFUNCTION("ARRAYFORMULA(SUM(ARRAYFORMULA(IFERROR(VALUE(SPLIT(SUBSTITUTE(E115,""-"","" ""),"" "")),0))))
"),16)</f>
        <v>16</v>
      </c>
      <c r="G115" s="7" t="s">
        <v>5734</v>
      </c>
      <c r="H115" s="7" t="s">
        <v>5735</v>
      </c>
      <c r="I115" s="7" t="s">
        <v>5736</v>
      </c>
      <c r="J115" s="7" t="s">
        <v>5726</v>
      </c>
      <c r="K115" s="7" t="s">
        <v>5725</v>
      </c>
      <c r="L115" s="7" t="s">
        <v>5725</v>
      </c>
      <c r="M115" s="7" t="s">
        <v>5725</v>
      </c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spans="1:37">
      <c r="A116" s="7" t="s">
        <v>453</v>
      </c>
      <c r="B116" s="7" t="s">
        <v>454</v>
      </c>
      <c r="C116" s="7" t="s">
        <v>455</v>
      </c>
      <c r="D116" s="4">
        <v>5</v>
      </c>
      <c r="E116" s="5" t="s">
        <v>456</v>
      </c>
      <c r="F116" s="7">
        <f ca="1">IFERROR(__xludf.DUMMYFUNCTION("ARRAYFORMULA(SUM(ARRAYFORMULA(IFERROR(VALUE(SPLIT(SUBSTITUTE(E116,""-"","" ""),"" "")),0))))
"),18)</f>
        <v>18</v>
      </c>
      <c r="G116" s="7" t="s">
        <v>5734</v>
      </c>
      <c r="H116" s="7" t="s">
        <v>5735</v>
      </c>
      <c r="I116" s="7" t="s">
        <v>5736</v>
      </c>
      <c r="J116" s="7" t="s">
        <v>5726</v>
      </c>
      <c r="K116" s="7" t="s">
        <v>5725</v>
      </c>
      <c r="L116" s="7" t="s">
        <v>5725</v>
      </c>
      <c r="M116" s="7" t="s">
        <v>5725</v>
      </c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spans="1:37">
      <c r="A117" s="7" t="s">
        <v>457</v>
      </c>
      <c r="B117" s="7" t="s">
        <v>458</v>
      </c>
      <c r="C117" s="7" t="s">
        <v>459</v>
      </c>
      <c r="D117" s="4">
        <v>5</v>
      </c>
      <c r="E117" s="5" t="s">
        <v>460</v>
      </c>
      <c r="F117" s="7">
        <f ca="1">IFERROR(__xludf.DUMMYFUNCTION("ARRAYFORMULA(SUM(ARRAYFORMULA(IFERROR(VALUE(SPLIT(SUBSTITUTE(E117,""-"","" ""),"" "")),0))))
"),20)</f>
        <v>20</v>
      </c>
      <c r="G117" s="7" t="s">
        <v>5734</v>
      </c>
      <c r="H117" s="7" t="s">
        <v>5735</v>
      </c>
      <c r="I117" s="7" t="s">
        <v>5736</v>
      </c>
      <c r="J117" s="7" t="s">
        <v>5726</v>
      </c>
      <c r="K117" s="7" t="s">
        <v>5725</v>
      </c>
      <c r="L117" s="7" t="s">
        <v>5725</v>
      </c>
      <c r="M117" s="7" t="s">
        <v>5725</v>
      </c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spans="1:37">
      <c r="A118" s="7" t="s">
        <v>461</v>
      </c>
      <c r="B118" s="7" t="s">
        <v>462</v>
      </c>
      <c r="C118" s="7" t="s">
        <v>463</v>
      </c>
      <c r="D118" s="4">
        <v>4</v>
      </c>
      <c r="E118" s="5" t="s">
        <v>464</v>
      </c>
      <c r="F118" s="7">
        <f ca="1">IFERROR(__xludf.DUMMYFUNCTION("ARRAYFORMULA(SUM(ARRAYFORMULA(IFERROR(VALUE(SPLIT(SUBSTITUTE(E118,""-"","" ""),"" "")),0))))
"),18)</f>
        <v>18</v>
      </c>
      <c r="G118" s="7" t="s">
        <v>5734</v>
      </c>
      <c r="H118" s="7" t="s">
        <v>5735</v>
      </c>
      <c r="I118" s="7" t="s">
        <v>5736</v>
      </c>
      <c r="J118" s="7" t="s">
        <v>5726</v>
      </c>
      <c r="K118" s="7" t="s">
        <v>5725</v>
      </c>
      <c r="L118" s="7" t="s">
        <v>5725</v>
      </c>
      <c r="M118" s="7" t="s">
        <v>5725</v>
      </c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spans="1:37">
      <c r="A119" s="7" t="s">
        <v>465</v>
      </c>
      <c r="B119" s="7" t="s">
        <v>466</v>
      </c>
      <c r="C119" s="7" t="s">
        <v>467</v>
      </c>
      <c r="D119" s="4">
        <v>5</v>
      </c>
      <c r="E119" s="5" t="s">
        <v>468</v>
      </c>
      <c r="F119" s="7">
        <f ca="1">IFERROR(__xludf.DUMMYFUNCTION("ARRAYFORMULA(SUM(ARRAYFORMULA(IFERROR(VALUE(SPLIT(SUBSTITUTE(E119,""-"","" ""),"" "")),0))))
"),20)</f>
        <v>20</v>
      </c>
      <c r="G119" s="7" t="s">
        <v>5734</v>
      </c>
      <c r="H119" s="7" t="s">
        <v>5735</v>
      </c>
      <c r="I119" s="7" t="s">
        <v>5736</v>
      </c>
      <c r="J119" s="7" t="s">
        <v>5726</v>
      </c>
      <c r="K119" s="7" t="s">
        <v>5725</v>
      </c>
      <c r="L119" s="7" t="s">
        <v>5725</v>
      </c>
      <c r="M119" s="7" t="s">
        <v>5725</v>
      </c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spans="1:37">
      <c r="A120" s="7" t="s">
        <v>469</v>
      </c>
      <c r="B120" s="7" t="s">
        <v>470</v>
      </c>
      <c r="C120" s="7" t="s">
        <v>471</v>
      </c>
      <c r="D120" s="4">
        <v>5</v>
      </c>
      <c r="E120" s="5" t="s">
        <v>472</v>
      </c>
      <c r="F120" s="7">
        <f ca="1">IFERROR(__xludf.DUMMYFUNCTION("ARRAYFORMULA(SUM(ARRAYFORMULA(IFERROR(VALUE(SPLIT(SUBSTITUTE(E120,""-"","" ""),"" "")),0))))
"),22)</f>
        <v>22</v>
      </c>
      <c r="G120" s="7" t="s">
        <v>5734</v>
      </c>
      <c r="H120" s="7" t="s">
        <v>5735</v>
      </c>
      <c r="I120" s="7" t="s">
        <v>5736</v>
      </c>
      <c r="J120" s="7" t="s">
        <v>5726</v>
      </c>
      <c r="K120" s="7" t="s">
        <v>5725</v>
      </c>
      <c r="L120" s="7" t="s">
        <v>5725</v>
      </c>
      <c r="M120" s="7" t="s">
        <v>5725</v>
      </c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spans="1:37">
      <c r="A121" s="7" t="s">
        <v>473</v>
      </c>
      <c r="B121" s="7" t="s">
        <v>474</v>
      </c>
      <c r="C121" s="7" t="s">
        <v>475</v>
      </c>
      <c r="D121" s="4">
        <v>5</v>
      </c>
      <c r="E121" s="5" t="s">
        <v>476</v>
      </c>
      <c r="F121" s="7">
        <f ca="1">IFERROR(__xludf.DUMMYFUNCTION("ARRAYFORMULA(SUM(ARRAYFORMULA(IFERROR(VALUE(SPLIT(SUBSTITUTE(E121,""-"","" ""),"" "")),0))))
"),24)</f>
        <v>24</v>
      </c>
      <c r="G121" s="7" t="s">
        <v>5734</v>
      </c>
      <c r="H121" s="7" t="s">
        <v>5735</v>
      </c>
      <c r="I121" s="7" t="s">
        <v>5736</v>
      </c>
      <c r="J121" s="7" t="s">
        <v>5726</v>
      </c>
      <c r="K121" s="7" t="s">
        <v>5725</v>
      </c>
      <c r="L121" s="7" t="s">
        <v>5725</v>
      </c>
      <c r="M121" s="7" t="s">
        <v>5725</v>
      </c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spans="1:37">
      <c r="A122" s="7" t="s">
        <v>477</v>
      </c>
      <c r="B122" s="7" t="s">
        <v>478</v>
      </c>
      <c r="C122" s="7" t="s">
        <v>479</v>
      </c>
      <c r="D122" s="4">
        <v>4</v>
      </c>
      <c r="E122" s="5" t="s">
        <v>480</v>
      </c>
      <c r="F122" s="7">
        <f ca="1">IFERROR(__xludf.DUMMYFUNCTION("ARRAYFORMULA(SUM(ARRAYFORMULA(IFERROR(VALUE(SPLIT(SUBSTITUTE(E122,""-"","" ""),"" "")),0))))
"),20)</f>
        <v>20</v>
      </c>
      <c r="G122" s="7" t="s">
        <v>5734</v>
      </c>
      <c r="H122" s="7" t="s">
        <v>5735</v>
      </c>
      <c r="I122" s="7" t="s">
        <v>5736</v>
      </c>
      <c r="J122" s="7" t="s">
        <v>5726</v>
      </c>
      <c r="K122" s="7" t="s">
        <v>5725</v>
      </c>
      <c r="L122" s="7" t="s">
        <v>5725</v>
      </c>
      <c r="M122" s="7" t="s">
        <v>5725</v>
      </c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spans="1:37">
      <c r="A123" s="7" t="s">
        <v>481</v>
      </c>
      <c r="B123" s="7" t="s">
        <v>482</v>
      </c>
      <c r="C123" s="7" t="s">
        <v>483</v>
      </c>
      <c r="D123" s="4">
        <v>4</v>
      </c>
      <c r="E123" s="5" t="s">
        <v>484</v>
      </c>
      <c r="F123" s="7">
        <f ca="1">IFERROR(__xludf.DUMMYFUNCTION("ARRAYFORMULA(SUM(ARRAYFORMULA(IFERROR(VALUE(SPLIT(SUBSTITUTE(E123,""-"","" ""),"" "")),0))))
"),22)</f>
        <v>22</v>
      </c>
      <c r="G123" s="7" t="s">
        <v>5734</v>
      </c>
      <c r="H123" s="7" t="s">
        <v>5735</v>
      </c>
      <c r="I123" s="7" t="s">
        <v>5736</v>
      </c>
      <c r="J123" s="7" t="s">
        <v>5726</v>
      </c>
      <c r="K123" s="7" t="s">
        <v>5725</v>
      </c>
      <c r="L123" s="7" t="s">
        <v>5725</v>
      </c>
      <c r="M123" s="7" t="s">
        <v>5725</v>
      </c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spans="1:37">
      <c r="A124" s="7" t="s">
        <v>485</v>
      </c>
      <c r="B124" s="7" t="s">
        <v>486</v>
      </c>
      <c r="C124" s="7" t="s">
        <v>487</v>
      </c>
      <c r="D124" s="4">
        <v>4</v>
      </c>
      <c r="E124" s="5" t="s">
        <v>488</v>
      </c>
      <c r="F124" s="7">
        <f ca="1">IFERROR(__xludf.DUMMYFUNCTION("ARRAYFORMULA(SUM(ARRAYFORMULA(IFERROR(VALUE(SPLIT(SUBSTITUTE(E124,""-"","" ""),"" "")),0))))
"),24)</f>
        <v>24</v>
      </c>
      <c r="G124" s="7" t="s">
        <v>5734</v>
      </c>
      <c r="H124" s="7" t="s">
        <v>5735</v>
      </c>
      <c r="I124" s="7" t="s">
        <v>5736</v>
      </c>
      <c r="J124" s="7" t="s">
        <v>5726</v>
      </c>
      <c r="K124" s="7" t="s">
        <v>5725</v>
      </c>
      <c r="L124" s="7" t="s">
        <v>5725</v>
      </c>
      <c r="M124" s="7" t="s">
        <v>5725</v>
      </c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spans="1:37">
      <c r="A125" s="7" t="s">
        <v>489</v>
      </c>
      <c r="B125" s="7" t="s">
        <v>490</v>
      </c>
      <c r="C125" s="7" t="s">
        <v>491</v>
      </c>
      <c r="D125" s="4">
        <v>5</v>
      </c>
      <c r="E125" s="5" t="s">
        <v>492</v>
      </c>
      <c r="F125" s="7">
        <f ca="1">IFERROR(__xludf.DUMMYFUNCTION("ARRAYFORMULA(SUM(ARRAYFORMULA(IFERROR(VALUE(SPLIT(SUBSTITUTE(E125,""-"","" ""),"" "")),0))))
"),26)</f>
        <v>26</v>
      </c>
      <c r="G125" s="7" t="s">
        <v>5734</v>
      </c>
      <c r="H125" s="7" t="s">
        <v>5735</v>
      </c>
      <c r="I125" s="7" t="s">
        <v>5736</v>
      </c>
      <c r="J125" s="7" t="s">
        <v>5726</v>
      </c>
      <c r="K125" s="7" t="s">
        <v>5725</v>
      </c>
      <c r="L125" s="7" t="s">
        <v>5725</v>
      </c>
      <c r="M125" s="7" t="s">
        <v>5725</v>
      </c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spans="1:37">
      <c r="A126" s="7" t="s">
        <v>493</v>
      </c>
      <c r="B126" s="7" t="s">
        <v>494</v>
      </c>
      <c r="C126" s="7" t="s">
        <v>495</v>
      </c>
      <c r="D126" s="4">
        <v>5</v>
      </c>
      <c r="E126" s="5" t="s">
        <v>496</v>
      </c>
      <c r="F126" s="7">
        <f ca="1">IFERROR(__xludf.DUMMYFUNCTION("ARRAYFORMULA(SUM(ARRAYFORMULA(IFERROR(VALUE(SPLIT(SUBSTITUTE(E126,""-"","" ""),"" "")),0))))
"),28)</f>
        <v>28</v>
      </c>
      <c r="G126" s="7" t="s">
        <v>5734</v>
      </c>
      <c r="H126" s="7" t="s">
        <v>5735</v>
      </c>
      <c r="I126" s="7" t="s">
        <v>5736</v>
      </c>
      <c r="J126" s="7" t="s">
        <v>5726</v>
      </c>
      <c r="K126" s="7" t="s">
        <v>5725</v>
      </c>
      <c r="L126" s="7" t="s">
        <v>5725</v>
      </c>
      <c r="M126" s="7" t="s">
        <v>5725</v>
      </c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spans="1:37">
      <c r="A127" s="3" t="s">
        <v>497</v>
      </c>
      <c r="B127" s="3" t="s">
        <v>498</v>
      </c>
      <c r="C127" s="3" t="s">
        <v>499</v>
      </c>
      <c r="D127" s="4">
        <v>3</v>
      </c>
      <c r="E127" s="5" t="s">
        <v>500</v>
      </c>
      <c r="F127" s="7">
        <f ca="1">IFERROR(__xludf.DUMMYFUNCTION("ARRAYFORMULA(SUM(ARRAYFORMULA(IFERROR(VALUE(SPLIT(SUBSTITUTE(E127,""-"","" ""),"" "")),0))))
"),16)</f>
        <v>16</v>
      </c>
      <c r="G127" s="7" t="s">
        <v>5708</v>
      </c>
      <c r="H127" s="7" t="s">
        <v>5732</v>
      </c>
      <c r="I127" s="7" t="s">
        <v>5733</v>
      </c>
      <c r="J127" s="7" t="s">
        <v>5725</v>
      </c>
      <c r="K127" s="7" t="s">
        <v>5725</v>
      </c>
      <c r="L127" s="7" t="s">
        <v>5726</v>
      </c>
      <c r="M127" s="7" t="s">
        <v>5726</v>
      </c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spans="1:37">
      <c r="A128" s="7" t="s">
        <v>501</v>
      </c>
      <c r="B128" s="7" t="s">
        <v>502</v>
      </c>
      <c r="C128" s="7" t="s">
        <v>503</v>
      </c>
      <c r="D128" s="4">
        <v>4</v>
      </c>
      <c r="E128" s="5" t="s">
        <v>504</v>
      </c>
      <c r="F128" s="7">
        <f ca="1">IFERROR(__xludf.DUMMYFUNCTION("ARRAYFORMULA(SUM(ARRAYFORMULA(IFERROR(VALUE(SPLIT(SUBSTITUTE(E128,""-"","" ""),"" "")),0))))
"),18)</f>
        <v>18</v>
      </c>
      <c r="G128" s="7" t="s">
        <v>5734</v>
      </c>
      <c r="H128" s="7" t="s">
        <v>5735</v>
      </c>
      <c r="I128" s="7" t="s">
        <v>5736</v>
      </c>
      <c r="J128" s="7" t="s">
        <v>5726</v>
      </c>
      <c r="K128" s="7" t="s">
        <v>5725</v>
      </c>
      <c r="L128" s="7" t="s">
        <v>5725</v>
      </c>
      <c r="M128" s="7" t="s">
        <v>5725</v>
      </c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spans="1:37">
      <c r="A129" s="7" t="s">
        <v>505</v>
      </c>
      <c r="B129" s="7" t="s">
        <v>506</v>
      </c>
      <c r="C129" s="7" t="s">
        <v>507</v>
      </c>
      <c r="D129" s="4">
        <v>4</v>
      </c>
      <c r="E129" s="5" t="s">
        <v>508</v>
      </c>
      <c r="F129" s="7">
        <f ca="1">IFERROR(__xludf.DUMMYFUNCTION("ARRAYFORMULA(SUM(ARRAYFORMULA(IFERROR(VALUE(SPLIT(SUBSTITUTE(E129,""-"","" ""),"" "")),0))))
"),20)</f>
        <v>20</v>
      </c>
      <c r="G129" s="7" t="s">
        <v>5734</v>
      </c>
      <c r="H129" s="7" t="s">
        <v>5735</v>
      </c>
      <c r="I129" s="7" t="s">
        <v>5736</v>
      </c>
      <c r="J129" s="7" t="s">
        <v>5726</v>
      </c>
      <c r="K129" s="7" t="s">
        <v>5725</v>
      </c>
      <c r="L129" s="7" t="s">
        <v>5725</v>
      </c>
      <c r="M129" s="7" t="s">
        <v>5725</v>
      </c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spans="1:37">
      <c r="A130" s="7" t="s">
        <v>509</v>
      </c>
      <c r="B130" s="7" t="s">
        <v>510</v>
      </c>
      <c r="C130" s="7" t="s">
        <v>511</v>
      </c>
      <c r="D130" s="4">
        <v>4</v>
      </c>
      <c r="E130" s="5" t="s">
        <v>512</v>
      </c>
      <c r="F130" s="7">
        <f ca="1">IFERROR(__xludf.DUMMYFUNCTION("ARRAYFORMULA(SUM(ARRAYFORMULA(IFERROR(VALUE(SPLIT(SUBSTITUTE(E130,""-"","" ""),"" "")),0))))
"),22)</f>
        <v>22</v>
      </c>
      <c r="G130" s="7" t="s">
        <v>5734</v>
      </c>
      <c r="H130" s="7" t="s">
        <v>5735</v>
      </c>
      <c r="I130" s="7" t="s">
        <v>5736</v>
      </c>
      <c r="J130" s="7" t="s">
        <v>5726</v>
      </c>
      <c r="K130" s="7" t="s">
        <v>5725</v>
      </c>
      <c r="L130" s="7" t="s">
        <v>5725</v>
      </c>
      <c r="M130" s="7" t="s">
        <v>5725</v>
      </c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spans="1:37">
      <c r="A131" s="7" t="s">
        <v>513</v>
      </c>
      <c r="B131" s="7" t="s">
        <v>514</v>
      </c>
      <c r="C131" s="7" t="s">
        <v>515</v>
      </c>
      <c r="D131" s="4">
        <v>4</v>
      </c>
      <c r="E131" s="5" t="s">
        <v>516</v>
      </c>
      <c r="F131" s="7">
        <f ca="1">IFERROR(__xludf.DUMMYFUNCTION("ARRAYFORMULA(SUM(ARRAYFORMULA(IFERROR(VALUE(SPLIT(SUBSTITUTE(E131,""-"","" ""),"" "")),0))))
"),24)</f>
        <v>24</v>
      </c>
      <c r="G131" s="7" t="s">
        <v>5734</v>
      </c>
      <c r="H131" s="7" t="s">
        <v>5735</v>
      </c>
      <c r="I131" s="7" t="s">
        <v>5736</v>
      </c>
      <c r="J131" s="7" t="s">
        <v>5726</v>
      </c>
      <c r="K131" s="7" t="s">
        <v>5725</v>
      </c>
      <c r="L131" s="7" t="s">
        <v>5725</v>
      </c>
      <c r="M131" s="7" t="s">
        <v>5725</v>
      </c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spans="1:37">
      <c r="A132" s="7" t="s">
        <v>517</v>
      </c>
      <c r="B132" s="7" t="s">
        <v>518</v>
      </c>
      <c r="C132" s="7" t="s">
        <v>519</v>
      </c>
      <c r="D132" s="4">
        <v>4</v>
      </c>
      <c r="E132" s="5" t="s">
        <v>520</v>
      </c>
      <c r="F132" s="7">
        <f ca="1">IFERROR(__xludf.DUMMYFUNCTION("ARRAYFORMULA(SUM(ARRAYFORMULA(IFERROR(VALUE(SPLIT(SUBSTITUTE(E132,""-"","" ""),"" "")),0))))
"),26)</f>
        <v>26</v>
      </c>
      <c r="G132" s="7" t="s">
        <v>5734</v>
      </c>
      <c r="H132" s="7" t="s">
        <v>5735</v>
      </c>
      <c r="I132" s="7" t="s">
        <v>5736</v>
      </c>
      <c r="J132" s="7" t="s">
        <v>5726</v>
      </c>
      <c r="K132" s="7" t="s">
        <v>5725</v>
      </c>
      <c r="L132" s="7" t="s">
        <v>5725</v>
      </c>
      <c r="M132" s="7" t="s">
        <v>5725</v>
      </c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spans="1:37">
      <c r="A133" s="7" t="s">
        <v>521</v>
      </c>
      <c r="B133" s="7" t="s">
        <v>522</v>
      </c>
      <c r="C133" s="7" t="s">
        <v>523</v>
      </c>
      <c r="D133" s="4">
        <v>4</v>
      </c>
      <c r="E133" s="5" t="s">
        <v>524</v>
      </c>
      <c r="F133" s="7">
        <f ca="1">IFERROR(__xludf.DUMMYFUNCTION("ARRAYFORMULA(SUM(ARRAYFORMULA(IFERROR(VALUE(SPLIT(SUBSTITUTE(E133,""-"","" ""),"" "")),0))))
"),28)</f>
        <v>28</v>
      </c>
      <c r="G133" s="7" t="s">
        <v>5734</v>
      </c>
      <c r="H133" s="7" t="s">
        <v>5735</v>
      </c>
      <c r="I133" s="7" t="s">
        <v>5736</v>
      </c>
      <c r="J133" s="7" t="s">
        <v>5726</v>
      </c>
      <c r="K133" s="7" t="s">
        <v>5725</v>
      </c>
      <c r="L133" s="7" t="s">
        <v>5725</v>
      </c>
      <c r="M133" s="7" t="s">
        <v>5725</v>
      </c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spans="1:37">
      <c r="A134" s="7" t="s">
        <v>525</v>
      </c>
      <c r="B134" s="7" t="s">
        <v>526</v>
      </c>
      <c r="C134" s="7" t="s">
        <v>527</v>
      </c>
      <c r="D134" s="4">
        <v>4</v>
      </c>
      <c r="E134" s="5" t="s">
        <v>528</v>
      </c>
      <c r="F134" s="7">
        <f ca="1">IFERROR(__xludf.DUMMYFUNCTION("ARRAYFORMULA(SUM(ARRAYFORMULA(IFERROR(VALUE(SPLIT(SUBSTITUTE(E134,""-"","" ""),"" "")),0))))
"),30)</f>
        <v>30</v>
      </c>
      <c r="G134" s="7" t="s">
        <v>5734</v>
      </c>
      <c r="H134" s="7" t="s">
        <v>5735</v>
      </c>
      <c r="I134" s="7" t="s">
        <v>5736</v>
      </c>
      <c r="J134" s="7" t="s">
        <v>5726</v>
      </c>
      <c r="K134" s="7" t="s">
        <v>5725</v>
      </c>
      <c r="L134" s="7" t="s">
        <v>5725</v>
      </c>
      <c r="M134" s="7" t="s">
        <v>5725</v>
      </c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spans="1:37">
      <c r="A135" s="7" t="s">
        <v>529</v>
      </c>
      <c r="B135" s="7" t="s">
        <v>530</v>
      </c>
      <c r="C135" s="7" t="s">
        <v>531</v>
      </c>
      <c r="D135" s="4">
        <v>4</v>
      </c>
      <c r="E135" s="5" t="s">
        <v>532</v>
      </c>
      <c r="F135" s="7">
        <f ca="1">IFERROR(__xludf.DUMMYFUNCTION("ARRAYFORMULA(SUM(ARRAYFORMULA(IFERROR(VALUE(SPLIT(SUBSTITUTE(E135,""-"","" ""),"" "")),0))))
"),32)</f>
        <v>32</v>
      </c>
      <c r="G135" s="7" t="s">
        <v>5734</v>
      </c>
      <c r="H135" s="7" t="s">
        <v>5735</v>
      </c>
      <c r="I135" s="7" t="s">
        <v>5736</v>
      </c>
      <c r="J135" s="7" t="s">
        <v>5726</v>
      </c>
      <c r="K135" s="7" t="s">
        <v>5725</v>
      </c>
      <c r="L135" s="7" t="s">
        <v>5725</v>
      </c>
      <c r="M135" s="7" t="s">
        <v>5725</v>
      </c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spans="1:37">
      <c r="A136" s="3" t="s">
        <v>533</v>
      </c>
      <c r="B136" s="3" t="s">
        <v>534</v>
      </c>
      <c r="C136" s="3" t="s">
        <v>535</v>
      </c>
      <c r="D136" s="4">
        <v>2</v>
      </c>
      <c r="E136" s="8" t="s">
        <v>536</v>
      </c>
      <c r="F136" s="7">
        <f ca="1">IFERROR(__xludf.DUMMYFUNCTION("ARRAYFORMULA(SUM(ARRAYFORMULA(IFERROR(VALUE(SPLIT(SUBSTITUTE(E136,""-"","" ""),"" "")),0))))
"),10)</f>
        <v>10</v>
      </c>
      <c r="G136" s="7" t="s">
        <v>5706</v>
      </c>
      <c r="H136" s="7" t="s">
        <v>5723</v>
      </c>
      <c r="I136" s="7" t="s">
        <v>5724</v>
      </c>
      <c r="J136" s="7" t="s">
        <v>5725</v>
      </c>
      <c r="K136" s="7" t="s">
        <v>5726</v>
      </c>
      <c r="L136" s="7" t="s">
        <v>5726</v>
      </c>
      <c r="M136" s="7" t="s">
        <v>5726</v>
      </c>
      <c r="N136" s="7"/>
      <c r="O136" s="7"/>
      <c r="P136" s="7"/>
      <c r="Q136" s="7"/>
      <c r="R136" s="8" t="s">
        <v>536</v>
      </c>
      <c r="S136" s="3" t="s">
        <v>5742</v>
      </c>
      <c r="T136" s="111" t="s">
        <v>5372</v>
      </c>
      <c r="U136" s="7" t="str">
        <f>T136&amp;"-"&amp;S136</f>
        <v>3E-10-fundações</v>
      </c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spans="1:37">
      <c r="A137" s="3" t="s">
        <v>537</v>
      </c>
      <c r="B137" s="3" t="s">
        <v>538</v>
      </c>
      <c r="C137" s="3" t="s">
        <v>539</v>
      </c>
      <c r="D137" s="4">
        <v>3</v>
      </c>
      <c r="E137" s="5" t="s">
        <v>540</v>
      </c>
      <c r="F137" s="7">
        <f ca="1">IFERROR(__xludf.DUMMYFUNCTION("ARRAYFORMULA(SUM(ARRAYFORMULA(IFERROR(VALUE(SPLIT(SUBSTITUTE(E137,""-"","" ""),"" "")),0))))
"),12)</f>
        <v>12</v>
      </c>
      <c r="G137" s="7" t="s">
        <v>5708</v>
      </c>
      <c r="H137" s="7" t="s">
        <v>5732</v>
      </c>
      <c r="I137" s="7" t="s">
        <v>5733</v>
      </c>
      <c r="J137" s="7" t="s">
        <v>5725</v>
      </c>
      <c r="K137" s="7" t="s">
        <v>5725</v>
      </c>
      <c r="L137" s="7" t="s">
        <v>5726</v>
      </c>
      <c r="M137" s="7" t="s">
        <v>5726</v>
      </c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spans="1:37">
      <c r="A138" s="7" t="s">
        <v>541</v>
      </c>
      <c r="B138" s="7" t="s">
        <v>542</v>
      </c>
      <c r="C138" s="7" t="s">
        <v>543</v>
      </c>
      <c r="D138" s="4">
        <v>4</v>
      </c>
      <c r="E138" s="5" t="s">
        <v>544</v>
      </c>
      <c r="F138" s="7">
        <f ca="1">IFERROR(__xludf.DUMMYFUNCTION("ARRAYFORMULA(SUM(ARRAYFORMULA(IFERROR(VALUE(SPLIT(SUBSTITUTE(E138,""-"","" ""),"" "")),0))))
"),14)</f>
        <v>14</v>
      </c>
      <c r="G138" s="7" t="s">
        <v>5734</v>
      </c>
      <c r="H138" s="7" t="s">
        <v>5735</v>
      </c>
      <c r="I138" s="7" t="s">
        <v>5736</v>
      </c>
      <c r="J138" s="7" t="s">
        <v>5726</v>
      </c>
      <c r="K138" s="7" t="s">
        <v>5725</v>
      </c>
      <c r="L138" s="7" t="s">
        <v>5725</v>
      </c>
      <c r="M138" s="7" t="s">
        <v>5725</v>
      </c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spans="1:37">
      <c r="A139" s="7" t="s">
        <v>545</v>
      </c>
      <c r="B139" s="7" t="s">
        <v>546</v>
      </c>
      <c r="C139" s="7" t="s">
        <v>547</v>
      </c>
      <c r="D139" s="4">
        <v>4</v>
      </c>
      <c r="E139" s="5" t="s">
        <v>548</v>
      </c>
      <c r="F139" s="7">
        <f ca="1">IFERROR(__xludf.DUMMYFUNCTION("ARRAYFORMULA(SUM(ARRAYFORMULA(IFERROR(VALUE(SPLIT(SUBSTITUTE(E139,""-"","" ""),"" "")),0))))
"),16)</f>
        <v>16</v>
      </c>
      <c r="G139" s="7" t="s">
        <v>5734</v>
      </c>
      <c r="H139" s="7" t="s">
        <v>5735</v>
      </c>
      <c r="I139" s="7" t="s">
        <v>5736</v>
      </c>
      <c r="J139" s="7" t="s">
        <v>5726</v>
      </c>
      <c r="K139" s="7" t="s">
        <v>5725</v>
      </c>
      <c r="L139" s="7" t="s">
        <v>5725</v>
      </c>
      <c r="M139" s="7" t="s">
        <v>5725</v>
      </c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spans="1:37">
      <c r="A140" s="7" t="s">
        <v>549</v>
      </c>
      <c r="B140" s="7" t="s">
        <v>550</v>
      </c>
      <c r="C140" s="7" t="s">
        <v>551</v>
      </c>
      <c r="D140" s="4">
        <v>4</v>
      </c>
      <c r="E140" s="5" t="s">
        <v>552</v>
      </c>
      <c r="F140" s="7">
        <f ca="1">IFERROR(__xludf.DUMMYFUNCTION("ARRAYFORMULA(SUM(ARRAYFORMULA(IFERROR(VALUE(SPLIT(SUBSTITUTE(E140,""-"","" ""),"" "")),0))))
"),18)</f>
        <v>18</v>
      </c>
      <c r="G140" s="7" t="s">
        <v>5734</v>
      </c>
      <c r="H140" s="7" t="s">
        <v>5735</v>
      </c>
      <c r="I140" s="7" t="s">
        <v>5736</v>
      </c>
      <c r="J140" s="7" t="s">
        <v>5726</v>
      </c>
      <c r="K140" s="7" t="s">
        <v>5725</v>
      </c>
      <c r="L140" s="7" t="s">
        <v>5725</v>
      </c>
      <c r="M140" s="7" t="s">
        <v>5725</v>
      </c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spans="1:37">
      <c r="A141" s="7" t="s">
        <v>553</v>
      </c>
      <c r="B141" s="7" t="s">
        <v>554</v>
      </c>
      <c r="C141" s="7" t="s">
        <v>555</v>
      </c>
      <c r="D141" s="4">
        <v>4</v>
      </c>
      <c r="E141" s="5" t="s">
        <v>556</v>
      </c>
      <c r="F141" s="7">
        <f ca="1">IFERROR(__xludf.DUMMYFUNCTION("ARRAYFORMULA(SUM(ARRAYFORMULA(IFERROR(VALUE(SPLIT(SUBSTITUTE(E141,""-"","" ""),"" "")),0))))
"),20)</f>
        <v>20</v>
      </c>
      <c r="G141" s="7" t="s">
        <v>5734</v>
      </c>
      <c r="H141" s="7" t="s">
        <v>5735</v>
      </c>
      <c r="I141" s="7" t="s">
        <v>5736</v>
      </c>
      <c r="J141" s="7" t="s">
        <v>5726</v>
      </c>
      <c r="K141" s="7" t="s">
        <v>5725</v>
      </c>
      <c r="L141" s="7" t="s">
        <v>5725</v>
      </c>
      <c r="M141" s="7" t="s">
        <v>5725</v>
      </c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spans="1:37">
      <c r="A142" s="3" t="s">
        <v>557</v>
      </c>
      <c r="B142" s="3" t="s">
        <v>558</v>
      </c>
      <c r="C142" s="3" t="s">
        <v>559</v>
      </c>
      <c r="D142" s="4">
        <v>3</v>
      </c>
      <c r="E142" s="8" t="s">
        <v>560</v>
      </c>
      <c r="F142" s="7">
        <f ca="1">IFERROR(__xludf.DUMMYFUNCTION("ARRAYFORMULA(SUM(ARRAYFORMULA(IFERROR(VALUE(SPLIT(SUBSTITUTE(E142,""-"","" ""),"" "")),0))))
"),14)</f>
        <v>14</v>
      </c>
      <c r="G142" s="7" t="s">
        <v>5708</v>
      </c>
      <c r="H142" s="7" t="s">
        <v>5732</v>
      </c>
      <c r="I142" s="7" t="s">
        <v>5733</v>
      </c>
      <c r="J142" s="7" t="s">
        <v>5725</v>
      </c>
      <c r="K142" s="7" t="s">
        <v>5725</v>
      </c>
      <c r="L142" s="7" t="s">
        <v>5726</v>
      </c>
      <c r="M142" s="7" t="s">
        <v>5726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1:37">
      <c r="A143" s="7" t="s">
        <v>561</v>
      </c>
      <c r="B143" s="7" t="s">
        <v>562</v>
      </c>
      <c r="C143" s="7" t="s">
        <v>563</v>
      </c>
      <c r="D143" s="4">
        <v>4</v>
      </c>
      <c r="E143" s="5" t="s">
        <v>564</v>
      </c>
      <c r="F143" s="7">
        <f ca="1">IFERROR(__xludf.DUMMYFUNCTION("ARRAYFORMULA(SUM(ARRAYFORMULA(IFERROR(VALUE(SPLIT(SUBSTITUTE(E143,""-"","" ""),"" "")),0))))
"),16)</f>
        <v>16</v>
      </c>
      <c r="G143" s="7" t="s">
        <v>5734</v>
      </c>
      <c r="H143" s="7" t="s">
        <v>5735</v>
      </c>
      <c r="I143" s="7" t="s">
        <v>5736</v>
      </c>
      <c r="J143" s="7" t="s">
        <v>5726</v>
      </c>
      <c r="K143" s="7" t="s">
        <v>5725</v>
      </c>
      <c r="L143" s="7" t="s">
        <v>5725</v>
      </c>
      <c r="M143" s="7" t="s">
        <v>5725</v>
      </c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spans="1:37">
      <c r="A144" s="7" t="s">
        <v>565</v>
      </c>
      <c r="B144" s="7" t="s">
        <v>566</v>
      </c>
      <c r="C144" s="7" t="s">
        <v>567</v>
      </c>
      <c r="D144" s="4">
        <v>5</v>
      </c>
      <c r="E144" s="5" t="s">
        <v>568</v>
      </c>
      <c r="F144" s="7">
        <f ca="1">IFERROR(__xludf.DUMMYFUNCTION("ARRAYFORMULA(SUM(ARRAYFORMULA(IFERROR(VALUE(SPLIT(SUBSTITUTE(E144,""-"","" ""),"" "")),0))))
"),18)</f>
        <v>18</v>
      </c>
      <c r="G144" s="7" t="s">
        <v>5734</v>
      </c>
      <c r="H144" s="7" t="s">
        <v>5735</v>
      </c>
      <c r="I144" s="7" t="s">
        <v>5736</v>
      </c>
      <c r="J144" s="7" t="s">
        <v>5726</v>
      </c>
      <c r="K144" s="7" t="s">
        <v>5725</v>
      </c>
      <c r="L144" s="7" t="s">
        <v>5725</v>
      </c>
      <c r="M144" s="7" t="s">
        <v>5725</v>
      </c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spans="1:37">
      <c r="A145" s="7" t="s">
        <v>569</v>
      </c>
      <c r="B145" s="7" t="s">
        <v>570</v>
      </c>
      <c r="C145" s="7" t="s">
        <v>571</v>
      </c>
      <c r="D145" s="4">
        <v>5</v>
      </c>
      <c r="E145" s="5" t="s">
        <v>572</v>
      </c>
      <c r="F145" s="7">
        <f ca="1">IFERROR(__xludf.DUMMYFUNCTION("ARRAYFORMULA(SUM(ARRAYFORMULA(IFERROR(VALUE(SPLIT(SUBSTITUTE(E145,""-"","" ""),"" "")),0))))
"),20)</f>
        <v>20</v>
      </c>
      <c r="G145" s="7" t="s">
        <v>5734</v>
      </c>
      <c r="H145" s="7" t="s">
        <v>5735</v>
      </c>
      <c r="I145" s="7" t="s">
        <v>5736</v>
      </c>
      <c r="J145" s="7" t="s">
        <v>5726</v>
      </c>
      <c r="K145" s="7" t="s">
        <v>5725</v>
      </c>
      <c r="L145" s="7" t="s">
        <v>5725</v>
      </c>
      <c r="M145" s="7" t="s">
        <v>5725</v>
      </c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spans="1:37">
      <c r="A146" s="7" t="s">
        <v>573</v>
      </c>
      <c r="B146" s="7" t="s">
        <v>574</v>
      </c>
      <c r="C146" s="7" t="s">
        <v>575</v>
      </c>
      <c r="D146" s="4">
        <v>5</v>
      </c>
      <c r="E146" s="5" t="s">
        <v>576</v>
      </c>
      <c r="F146" s="7">
        <f ca="1">IFERROR(__xludf.DUMMYFUNCTION("ARRAYFORMULA(SUM(ARRAYFORMULA(IFERROR(VALUE(SPLIT(SUBSTITUTE(E146,""-"","" ""),"" "")),0))))
"),22)</f>
        <v>22</v>
      </c>
      <c r="G146" s="7" t="s">
        <v>5734</v>
      </c>
      <c r="H146" s="7" t="s">
        <v>5735</v>
      </c>
      <c r="I146" s="7" t="s">
        <v>5736</v>
      </c>
      <c r="J146" s="7" t="s">
        <v>5726</v>
      </c>
      <c r="K146" s="7" t="s">
        <v>5725</v>
      </c>
      <c r="L146" s="7" t="s">
        <v>5725</v>
      </c>
      <c r="M146" s="7" t="s">
        <v>5725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spans="1:37">
      <c r="A147" s="7" t="s">
        <v>577</v>
      </c>
      <c r="B147" s="7" t="s">
        <v>578</v>
      </c>
      <c r="C147" s="7" t="s">
        <v>579</v>
      </c>
      <c r="D147" s="4">
        <v>5</v>
      </c>
      <c r="E147" s="5" t="s">
        <v>580</v>
      </c>
      <c r="F147" s="7">
        <f ca="1">IFERROR(__xludf.DUMMYFUNCTION("ARRAYFORMULA(SUM(ARRAYFORMULA(IFERROR(VALUE(SPLIT(SUBSTITUTE(E147,""-"","" ""),"" "")),0))))
"),24)</f>
        <v>24</v>
      </c>
      <c r="G147" s="7" t="s">
        <v>5734</v>
      </c>
      <c r="H147" s="7" t="s">
        <v>5735</v>
      </c>
      <c r="I147" s="7" t="s">
        <v>5736</v>
      </c>
      <c r="J147" s="7" t="s">
        <v>5726</v>
      </c>
      <c r="K147" s="7" t="s">
        <v>5725</v>
      </c>
      <c r="L147" s="7" t="s">
        <v>5725</v>
      </c>
      <c r="M147" s="7" t="s">
        <v>5725</v>
      </c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spans="1:37">
      <c r="A148" s="7" t="s">
        <v>581</v>
      </c>
      <c r="B148" s="7" t="s">
        <v>582</v>
      </c>
      <c r="C148" s="7" t="s">
        <v>583</v>
      </c>
      <c r="D148" s="4">
        <v>5</v>
      </c>
      <c r="E148" s="5" t="s">
        <v>584</v>
      </c>
      <c r="F148" s="7">
        <f ca="1">IFERROR(__xludf.DUMMYFUNCTION("ARRAYFORMULA(SUM(ARRAYFORMULA(IFERROR(VALUE(SPLIT(SUBSTITUTE(E148,""-"","" ""),"" "")),0))))
"),26)</f>
        <v>26</v>
      </c>
      <c r="G148" s="7" t="s">
        <v>5734</v>
      </c>
      <c r="H148" s="7" t="s">
        <v>5735</v>
      </c>
      <c r="I148" s="7" t="s">
        <v>5736</v>
      </c>
      <c r="J148" s="7" t="s">
        <v>5726</v>
      </c>
      <c r="K148" s="7" t="s">
        <v>5725</v>
      </c>
      <c r="L148" s="7" t="s">
        <v>5725</v>
      </c>
      <c r="M148" s="7" t="s">
        <v>5725</v>
      </c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spans="1:37">
      <c r="A149" s="7" t="s">
        <v>585</v>
      </c>
      <c r="B149" s="7" t="s">
        <v>586</v>
      </c>
      <c r="C149" s="7" t="s">
        <v>587</v>
      </c>
      <c r="D149" s="4">
        <v>5</v>
      </c>
      <c r="E149" s="5" t="s">
        <v>588</v>
      </c>
      <c r="F149" s="7">
        <f ca="1">IFERROR(__xludf.DUMMYFUNCTION("ARRAYFORMULA(SUM(ARRAYFORMULA(IFERROR(VALUE(SPLIT(SUBSTITUTE(E149,""-"","" ""),"" "")),0))))
"),28)</f>
        <v>28</v>
      </c>
      <c r="G149" s="7" t="s">
        <v>5734</v>
      </c>
      <c r="H149" s="7" t="s">
        <v>5735</v>
      </c>
      <c r="I149" s="7" t="s">
        <v>5736</v>
      </c>
      <c r="J149" s="7" t="s">
        <v>5726</v>
      </c>
      <c r="K149" s="7" t="s">
        <v>5725</v>
      </c>
      <c r="L149" s="7" t="s">
        <v>5725</v>
      </c>
      <c r="M149" s="7" t="s">
        <v>5725</v>
      </c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spans="1:37">
      <c r="A150" s="7" t="s">
        <v>589</v>
      </c>
      <c r="B150" s="7" t="s">
        <v>590</v>
      </c>
      <c r="C150" s="7" t="s">
        <v>591</v>
      </c>
      <c r="D150" s="4">
        <v>5</v>
      </c>
      <c r="E150" s="5" t="s">
        <v>592</v>
      </c>
      <c r="F150" s="7">
        <f ca="1">IFERROR(__xludf.DUMMYFUNCTION("ARRAYFORMULA(SUM(ARRAYFORMULA(IFERROR(VALUE(SPLIT(SUBSTITUTE(E150,""-"","" ""),"" "")),0))))
"),30)</f>
        <v>30</v>
      </c>
      <c r="G150" s="7" t="s">
        <v>5734</v>
      </c>
      <c r="H150" s="7" t="s">
        <v>5735</v>
      </c>
      <c r="I150" s="7" t="s">
        <v>5736</v>
      </c>
      <c r="J150" s="7" t="s">
        <v>5726</v>
      </c>
      <c r="K150" s="7" t="s">
        <v>5725</v>
      </c>
      <c r="L150" s="7" t="s">
        <v>5725</v>
      </c>
      <c r="M150" s="7" t="s">
        <v>5725</v>
      </c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spans="1:37">
      <c r="A151" s="7" t="s">
        <v>593</v>
      </c>
      <c r="B151" s="7" t="s">
        <v>594</v>
      </c>
      <c r="C151" s="7" t="s">
        <v>595</v>
      </c>
      <c r="D151" s="4">
        <v>5</v>
      </c>
      <c r="E151" s="5" t="s">
        <v>596</v>
      </c>
      <c r="F151" s="7">
        <f ca="1">IFERROR(__xludf.DUMMYFUNCTION("ARRAYFORMULA(SUM(ARRAYFORMULA(IFERROR(VALUE(SPLIT(SUBSTITUTE(E151,""-"","" ""),"" "")),0))))
"),32)</f>
        <v>32</v>
      </c>
      <c r="G151" s="7" t="s">
        <v>5734</v>
      </c>
      <c r="H151" s="7" t="s">
        <v>5735</v>
      </c>
      <c r="I151" s="7" t="s">
        <v>5736</v>
      </c>
      <c r="J151" s="7" t="s">
        <v>5726</v>
      </c>
      <c r="K151" s="7" t="s">
        <v>5725</v>
      </c>
      <c r="L151" s="7" t="s">
        <v>5725</v>
      </c>
      <c r="M151" s="7" t="s">
        <v>5725</v>
      </c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spans="1:37">
      <c r="A152" s="7" t="s">
        <v>597</v>
      </c>
      <c r="B152" s="7" t="s">
        <v>598</v>
      </c>
      <c r="C152" s="7" t="s">
        <v>599</v>
      </c>
      <c r="D152" s="4">
        <v>5</v>
      </c>
      <c r="E152" s="5" t="s">
        <v>600</v>
      </c>
      <c r="F152" s="7">
        <f ca="1">IFERROR(__xludf.DUMMYFUNCTION("ARRAYFORMULA(SUM(ARRAYFORMULA(IFERROR(VALUE(SPLIT(SUBSTITUTE(E152,""-"","" ""),"" "")),0))))
"),34)</f>
        <v>34</v>
      </c>
      <c r="G152" s="7" t="s">
        <v>5734</v>
      </c>
      <c r="H152" s="7" t="s">
        <v>5735</v>
      </c>
      <c r="I152" s="7" t="s">
        <v>5736</v>
      </c>
      <c r="J152" s="7" t="s">
        <v>5726</v>
      </c>
      <c r="K152" s="7" t="s">
        <v>5725</v>
      </c>
      <c r="L152" s="7" t="s">
        <v>5725</v>
      </c>
      <c r="M152" s="7" t="s">
        <v>5725</v>
      </c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spans="1:37">
      <c r="A153" s="7" t="s">
        <v>601</v>
      </c>
      <c r="B153" s="7" t="s">
        <v>602</v>
      </c>
      <c r="C153" s="7" t="s">
        <v>603</v>
      </c>
      <c r="D153" s="4">
        <v>4</v>
      </c>
      <c r="E153" s="5" t="s">
        <v>604</v>
      </c>
      <c r="F153" s="7">
        <f ca="1">IFERROR(__xludf.DUMMYFUNCTION("ARRAYFORMULA(SUM(ARRAYFORMULA(IFERROR(VALUE(SPLIT(SUBSTITUTE(E153,""-"","" ""),"" "")),0))))
"),18)</f>
        <v>18</v>
      </c>
      <c r="G153" s="7" t="s">
        <v>5734</v>
      </c>
      <c r="H153" s="7" t="s">
        <v>5735</v>
      </c>
      <c r="I153" s="7" t="s">
        <v>5736</v>
      </c>
      <c r="J153" s="7" t="s">
        <v>5726</v>
      </c>
      <c r="K153" s="7" t="s">
        <v>5725</v>
      </c>
      <c r="L153" s="7" t="s">
        <v>5725</v>
      </c>
      <c r="M153" s="7" t="s">
        <v>5725</v>
      </c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spans="1:37">
      <c r="A154" s="7" t="s">
        <v>605</v>
      </c>
      <c r="B154" s="7" t="s">
        <v>606</v>
      </c>
      <c r="C154" s="7" t="s">
        <v>607</v>
      </c>
      <c r="D154" s="4">
        <v>4</v>
      </c>
      <c r="E154" s="5" t="s">
        <v>608</v>
      </c>
      <c r="F154" s="7">
        <f ca="1">IFERROR(__xludf.DUMMYFUNCTION("ARRAYFORMULA(SUM(ARRAYFORMULA(IFERROR(VALUE(SPLIT(SUBSTITUTE(E154,""-"","" ""),"" "")),0))))
"),20)</f>
        <v>20</v>
      </c>
      <c r="G154" s="7" t="s">
        <v>5734</v>
      </c>
      <c r="H154" s="7" t="s">
        <v>5735</v>
      </c>
      <c r="I154" s="7" t="s">
        <v>5736</v>
      </c>
      <c r="J154" s="7" t="s">
        <v>5726</v>
      </c>
      <c r="K154" s="7" t="s">
        <v>5725</v>
      </c>
      <c r="L154" s="7" t="s">
        <v>5725</v>
      </c>
      <c r="M154" s="7" t="s">
        <v>5725</v>
      </c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spans="1:37">
      <c r="A155" s="3" t="s">
        <v>609</v>
      </c>
      <c r="B155" s="3" t="s">
        <v>610</v>
      </c>
      <c r="C155" s="3" t="s">
        <v>611</v>
      </c>
      <c r="D155" s="4">
        <v>2</v>
      </c>
      <c r="E155" s="8" t="s">
        <v>612</v>
      </c>
      <c r="F155" s="7">
        <f ca="1">IFERROR(__xludf.DUMMYFUNCTION("ARRAYFORMULA(SUM(ARRAYFORMULA(IFERROR(VALUE(SPLIT(SUBSTITUTE(E155,""-"","" ""),"" "")),0))))
"),12)</f>
        <v>12</v>
      </c>
      <c r="G155" s="7" t="s">
        <v>5706</v>
      </c>
      <c r="H155" s="7" t="s">
        <v>5723</v>
      </c>
      <c r="I155" s="7" t="s">
        <v>5724</v>
      </c>
      <c r="J155" s="7" t="s">
        <v>5725</v>
      </c>
      <c r="K155" s="7" t="s">
        <v>5726</v>
      </c>
      <c r="L155" s="7" t="s">
        <v>5726</v>
      </c>
      <c r="M155" s="7" t="s">
        <v>5726</v>
      </c>
      <c r="N155" s="3"/>
      <c r="O155" s="3"/>
      <c r="P155" s="3"/>
      <c r="Q155" s="3"/>
      <c r="R155" s="8" t="s">
        <v>612</v>
      </c>
      <c r="S155" s="3" t="s">
        <v>5743</v>
      </c>
      <c r="T155" s="111" t="s">
        <v>5371</v>
      </c>
      <c r="U155" s="7" t="str">
        <f>T155&amp;"-"&amp;S155</f>
        <v>3E-12-estruturas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1:37">
      <c r="A156" s="3" t="s">
        <v>613</v>
      </c>
      <c r="B156" s="3" t="s">
        <v>614</v>
      </c>
      <c r="C156" s="3" t="s">
        <v>615</v>
      </c>
      <c r="D156" s="4">
        <v>3</v>
      </c>
      <c r="E156" s="8" t="s">
        <v>616</v>
      </c>
      <c r="F156" s="7">
        <f ca="1">IFERROR(__xludf.DUMMYFUNCTION("ARRAYFORMULA(SUM(ARRAYFORMULA(IFERROR(VALUE(SPLIT(SUBSTITUTE(E156,""-"","" ""),"" "")),0))))
"),14)</f>
        <v>14</v>
      </c>
      <c r="G156" s="7" t="s">
        <v>5708</v>
      </c>
      <c r="H156" s="7" t="s">
        <v>5732</v>
      </c>
      <c r="I156" s="7" t="s">
        <v>5733</v>
      </c>
      <c r="J156" s="7" t="s">
        <v>5725</v>
      </c>
      <c r="K156" s="7" t="s">
        <v>5725</v>
      </c>
      <c r="L156" s="7" t="s">
        <v>5726</v>
      </c>
      <c r="M156" s="7" t="s">
        <v>5726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1:37">
      <c r="A157" s="7" t="s">
        <v>617</v>
      </c>
      <c r="B157" s="7" t="s">
        <v>618</v>
      </c>
      <c r="C157" s="7" t="s">
        <v>619</v>
      </c>
      <c r="D157" s="4">
        <v>4</v>
      </c>
      <c r="E157" s="5" t="s">
        <v>620</v>
      </c>
      <c r="F157" s="7">
        <f ca="1">IFERROR(__xludf.DUMMYFUNCTION("ARRAYFORMULA(SUM(ARRAYFORMULA(IFERROR(VALUE(SPLIT(SUBSTITUTE(E157,""-"","" ""),"" "")),0))))
"),16)</f>
        <v>16</v>
      </c>
      <c r="G157" s="7" t="s">
        <v>5734</v>
      </c>
      <c r="H157" s="7" t="s">
        <v>5735</v>
      </c>
      <c r="I157" s="7" t="s">
        <v>5736</v>
      </c>
      <c r="J157" s="7" t="s">
        <v>5726</v>
      </c>
      <c r="K157" s="7" t="s">
        <v>5725</v>
      </c>
      <c r="L157" s="7" t="s">
        <v>5725</v>
      </c>
      <c r="M157" s="7" t="s">
        <v>5725</v>
      </c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spans="1:37">
      <c r="A158" s="7" t="s">
        <v>621</v>
      </c>
      <c r="B158" s="7" t="s">
        <v>622</v>
      </c>
      <c r="C158" s="7" t="s">
        <v>623</v>
      </c>
      <c r="D158" s="4">
        <v>4</v>
      </c>
      <c r="E158" s="5" t="s">
        <v>624</v>
      </c>
      <c r="F158" s="7">
        <f ca="1">IFERROR(__xludf.DUMMYFUNCTION("ARRAYFORMULA(SUM(ARRAYFORMULA(IFERROR(VALUE(SPLIT(SUBSTITUTE(E158,""-"","" ""),"" "")),0))))
"),18)</f>
        <v>18</v>
      </c>
      <c r="G158" s="7" t="s">
        <v>5734</v>
      </c>
      <c r="H158" s="7" t="s">
        <v>5735</v>
      </c>
      <c r="I158" s="7" t="s">
        <v>5736</v>
      </c>
      <c r="J158" s="7" t="s">
        <v>5726</v>
      </c>
      <c r="K158" s="7" t="s">
        <v>5725</v>
      </c>
      <c r="L158" s="7" t="s">
        <v>5725</v>
      </c>
      <c r="M158" s="7" t="s">
        <v>5725</v>
      </c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spans="1:37">
      <c r="A159" s="7" t="s">
        <v>625</v>
      </c>
      <c r="B159" s="7" t="s">
        <v>626</v>
      </c>
      <c r="C159" s="7" t="s">
        <v>627</v>
      </c>
      <c r="D159" s="4">
        <v>4</v>
      </c>
      <c r="E159" s="5" t="s">
        <v>628</v>
      </c>
      <c r="F159" s="7">
        <f ca="1">IFERROR(__xludf.DUMMYFUNCTION("ARRAYFORMULA(SUM(ARRAYFORMULA(IFERROR(VALUE(SPLIT(SUBSTITUTE(E159,""-"","" ""),"" "")),0))))
"),20)</f>
        <v>20</v>
      </c>
      <c r="G159" s="7" t="s">
        <v>5734</v>
      </c>
      <c r="H159" s="7" t="s">
        <v>5735</v>
      </c>
      <c r="I159" s="7" t="s">
        <v>5736</v>
      </c>
      <c r="J159" s="7" t="s">
        <v>5726</v>
      </c>
      <c r="K159" s="7" t="s">
        <v>5725</v>
      </c>
      <c r="L159" s="7" t="s">
        <v>5725</v>
      </c>
      <c r="M159" s="7" t="s">
        <v>5725</v>
      </c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spans="1:37">
      <c r="A160" s="7" t="s">
        <v>629</v>
      </c>
      <c r="B160" s="7" t="s">
        <v>630</v>
      </c>
      <c r="C160" s="7" t="s">
        <v>631</v>
      </c>
      <c r="D160" s="4">
        <v>4</v>
      </c>
      <c r="E160" s="5" t="s">
        <v>632</v>
      </c>
      <c r="F160" s="7">
        <f ca="1">IFERROR(__xludf.DUMMYFUNCTION("ARRAYFORMULA(SUM(ARRAYFORMULA(IFERROR(VALUE(SPLIT(SUBSTITUTE(E160,""-"","" ""),"" "")),0))))
"),22)</f>
        <v>22</v>
      </c>
      <c r="G160" s="7" t="s">
        <v>5734</v>
      </c>
      <c r="H160" s="7" t="s">
        <v>5735</v>
      </c>
      <c r="I160" s="7" t="s">
        <v>5736</v>
      </c>
      <c r="J160" s="7" t="s">
        <v>5726</v>
      </c>
      <c r="K160" s="7" t="s">
        <v>5725</v>
      </c>
      <c r="L160" s="7" t="s">
        <v>5725</v>
      </c>
      <c r="M160" s="7" t="s">
        <v>5725</v>
      </c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spans="1:37">
      <c r="A161" s="7" t="s">
        <v>633</v>
      </c>
      <c r="B161" s="7" t="s">
        <v>634</v>
      </c>
      <c r="C161" s="7" t="s">
        <v>635</v>
      </c>
      <c r="D161" s="4">
        <v>5</v>
      </c>
      <c r="E161" s="5" t="s">
        <v>636</v>
      </c>
      <c r="F161" s="7">
        <f ca="1">IFERROR(__xludf.DUMMYFUNCTION("ARRAYFORMULA(SUM(ARRAYFORMULA(IFERROR(VALUE(SPLIT(SUBSTITUTE(E161,""-"","" ""),"" "")),0))))
"),24)</f>
        <v>24</v>
      </c>
      <c r="G161" s="7" t="s">
        <v>5734</v>
      </c>
      <c r="H161" s="7" t="s">
        <v>5735</v>
      </c>
      <c r="I161" s="7" t="s">
        <v>5736</v>
      </c>
      <c r="J161" s="7" t="s">
        <v>5726</v>
      </c>
      <c r="K161" s="7" t="s">
        <v>5725</v>
      </c>
      <c r="L161" s="7" t="s">
        <v>5725</v>
      </c>
      <c r="M161" s="7" t="s">
        <v>5725</v>
      </c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spans="1:37">
      <c r="A162" s="7" t="s">
        <v>637</v>
      </c>
      <c r="B162" s="7" t="s">
        <v>638</v>
      </c>
      <c r="C162" s="7" t="s">
        <v>639</v>
      </c>
      <c r="D162" s="4">
        <v>6</v>
      </c>
      <c r="E162" s="5" t="s">
        <v>640</v>
      </c>
      <c r="F162" s="7">
        <f ca="1">IFERROR(__xludf.DUMMYFUNCTION("ARRAYFORMULA(SUM(ARRAYFORMULA(IFERROR(VALUE(SPLIT(SUBSTITUTE(E162,""-"","" ""),"" "")),0))))
"),26)</f>
        <v>26</v>
      </c>
      <c r="G162" s="7" t="s">
        <v>5734</v>
      </c>
      <c r="H162" s="7" t="s">
        <v>5735</v>
      </c>
      <c r="I162" s="7" t="s">
        <v>5736</v>
      </c>
      <c r="J162" s="7" t="s">
        <v>5726</v>
      </c>
      <c r="K162" s="7" t="s">
        <v>5725</v>
      </c>
      <c r="L162" s="7" t="s">
        <v>5725</v>
      </c>
      <c r="M162" s="7" t="s">
        <v>5725</v>
      </c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spans="1:37">
      <c r="A163" s="7" t="s">
        <v>641</v>
      </c>
      <c r="B163" s="7" t="s">
        <v>642</v>
      </c>
      <c r="C163" s="7" t="s">
        <v>643</v>
      </c>
      <c r="D163" s="4">
        <v>6</v>
      </c>
      <c r="E163" s="5" t="s">
        <v>644</v>
      </c>
      <c r="F163" s="7">
        <f ca="1">IFERROR(__xludf.DUMMYFUNCTION("ARRAYFORMULA(SUM(ARRAYFORMULA(IFERROR(VALUE(SPLIT(SUBSTITUTE(E163,""-"","" ""),"" "")),0))))
"),28)</f>
        <v>28</v>
      </c>
      <c r="G163" s="7" t="s">
        <v>5734</v>
      </c>
      <c r="H163" s="7" t="s">
        <v>5735</v>
      </c>
      <c r="I163" s="7" t="s">
        <v>5736</v>
      </c>
      <c r="J163" s="7" t="s">
        <v>5726</v>
      </c>
      <c r="K163" s="7" t="s">
        <v>5725</v>
      </c>
      <c r="L163" s="7" t="s">
        <v>5725</v>
      </c>
      <c r="M163" s="7" t="s">
        <v>5725</v>
      </c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spans="1:37">
      <c r="A164" s="7" t="s">
        <v>645</v>
      </c>
      <c r="B164" s="7" t="s">
        <v>646</v>
      </c>
      <c r="C164" s="7" t="s">
        <v>647</v>
      </c>
      <c r="D164" s="4">
        <v>6</v>
      </c>
      <c r="E164" s="5" t="s">
        <v>648</v>
      </c>
      <c r="F164" s="7">
        <f ca="1">IFERROR(__xludf.DUMMYFUNCTION("ARRAYFORMULA(SUM(ARRAYFORMULA(IFERROR(VALUE(SPLIT(SUBSTITUTE(E164,""-"","" ""),"" "")),0))))
"),30)</f>
        <v>30</v>
      </c>
      <c r="G164" s="7" t="s">
        <v>5734</v>
      </c>
      <c r="H164" s="7" t="s">
        <v>5735</v>
      </c>
      <c r="I164" s="7" t="s">
        <v>5736</v>
      </c>
      <c r="J164" s="7" t="s">
        <v>5726</v>
      </c>
      <c r="K164" s="7" t="s">
        <v>5725</v>
      </c>
      <c r="L164" s="7" t="s">
        <v>5725</v>
      </c>
      <c r="M164" s="7" t="s">
        <v>5725</v>
      </c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spans="1:37">
      <c r="A165" s="7" t="s">
        <v>649</v>
      </c>
      <c r="B165" s="7" t="s">
        <v>650</v>
      </c>
      <c r="C165" s="7" t="s">
        <v>651</v>
      </c>
      <c r="D165" s="4">
        <v>6</v>
      </c>
      <c r="E165" s="5" t="s">
        <v>652</v>
      </c>
      <c r="F165" s="7">
        <f ca="1">IFERROR(__xludf.DUMMYFUNCTION("ARRAYFORMULA(SUM(ARRAYFORMULA(IFERROR(VALUE(SPLIT(SUBSTITUTE(E165,""-"","" ""),"" "")),0))))
"),32)</f>
        <v>32</v>
      </c>
      <c r="G165" s="7" t="s">
        <v>5734</v>
      </c>
      <c r="H165" s="7" t="s">
        <v>5735</v>
      </c>
      <c r="I165" s="7" t="s">
        <v>5736</v>
      </c>
      <c r="J165" s="7" t="s">
        <v>5726</v>
      </c>
      <c r="K165" s="7" t="s">
        <v>5725</v>
      </c>
      <c r="L165" s="7" t="s">
        <v>5725</v>
      </c>
      <c r="M165" s="7" t="s">
        <v>5725</v>
      </c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spans="1:37">
      <c r="A166" s="7" t="s">
        <v>653</v>
      </c>
      <c r="B166" s="7" t="s">
        <v>654</v>
      </c>
      <c r="C166" s="7" t="s">
        <v>655</v>
      </c>
      <c r="D166" s="4">
        <v>6</v>
      </c>
      <c r="E166" s="5" t="s">
        <v>656</v>
      </c>
      <c r="F166" s="7">
        <f ca="1">IFERROR(__xludf.DUMMYFUNCTION("ARRAYFORMULA(SUM(ARRAYFORMULA(IFERROR(VALUE(SPLIT(SUBSTITUTE(E166,""-"","" ""),"" "")),0))))
"),34)</f>
        <v>34</v>
      </c>
      <c r="G166" s="7" t="s">
        <v>5734</v>
      </c>
      <c r="H166" s="7" t="s">
        <v>5735</v>
      </c>
      <c r="I166" s="7" t="s">
        <v>5736</v>
      </c>
      <c r="J166" s="7" t="s">
        <v>5726</v>
      </c>
      <c r="K166" s="7" t="s">
        <v>5725</v>
      </c>
      <c r="L166" s="7" t="s">
        <v>5725</v>
      </c>
      <c r="M166" s="7" t="s">
        <v>5725</v>
      </c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spans="1:37">
      <c r="A167" s="7" t="s">
        <v>657</v>
      </c>
      <c r="B167" s="7" t="s">
        <v>658</v>
      </c>
      <c r="C167" s="7" t="s">
        <v>659</v>
      </c>
      <c r="D167" s="4">
        <v>6</v>
      </c>
      <c r="E167" s="5" t="s">
        <v>660</v>
      </c>
      <c r="F167" s="7">
        <f ca="1">IFERROR(__xludf.DUMMYFUNCTION("ARRAYFORMULA(SUM(ARRAYFORMULA(IFERROR(VALUE(SPLIT(SUBSTITUTE(E167,""-"","" ""),"" "")),0))))
"),36)</f>
        <v>36</v>
      </c>
      <c r="G167" s="7" t="s">
        <v>5734</v>
      </c>
      <c r="H167" s="7" t="s">
        <v>5735</v>
      </c>
      <c r="I167" s="7" t="s">
        <v>5736</v>
      </c>
      <c r="J167" s="7" t="s">
        <v>5726</v>
      </c>
      <c r="K167" s="7" t="s">
        <v>5725</v>
      </c>
      <c r="L167" s="7" t="s">
        <v>5725</v>
      </c>
      <c r="M167" s="7" t="s">
        <v>5725</v>
      </c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spans="1:37">
      <c r="A168" s="7" t="s">
        <v>661</v>
      </c>
      <c r="B168" s="7" t="s">
        <v>662</v>
      </c>
      <c r="C168" s="7" t="s">
        <v>663</v>
      </c>
      <c r="D168" s="4">
        <v>6</v>
      </c>
      <c r="E168" s="5" t="s">
        <v>664</v>
      </c>
      <c r="F168" s="7">
        <f ca="1">IFERROR(__xludf.DUMMYFUNCTION("ARRAYFORMULA(SUM(ARRAYFORMULA(IFERROR(VALUE(SPLIT(SUBSTITUTE(E168,""-"","" ""),"" "")),0))))
"),38)</f>
        <v>38</v>
      </c>
      <c r="G168" s="7" t="s">
        <v>5734</v>
      </c>
      <c r="H168" s="7" t="s">
        <v>5735</v>
      </c>
      <c r="I168" s="7" t="s">
        <v>5736</v>
      </c>
      <c r="J168" s="7" t="s">
        <v>5726</v>
      </c>
      <c r="K168" s="7" t="s">
        <v>5725</v>
      </c>
      <c r="L168" s="7" t="s">
        <v>5725</v>
      </c>
      <c r="M168" s="7" t="s">
        <v>5725</v>
      </c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spans="1:37">
      <c r="A169" s="7" t="s">
        <v>665</v>
      </c>
      <c r="B169" s="7" t="s">
        <v>666</v>
      </c>
      <c r="C169" s="7" t="s">
        <v>667</v>
      </c>
      <c r="D169" s="4">
        <v>6</v>
      </c>
      <c r="E169" s="5" t="s">
        <v>668</v>
      </c>
      <c r="F169" s="7">
        <f ca="1">IFERROR(__xludf.DUMMYFUNCTION("ARRAYFORMULA(SUM(ARRAYFORMULA(IFERROR(VALUE(SPLIT(SUBSTITUTE(E169,""-"","" ""),"" "")),0))))
"),40)</f>
        <v>40</v>
      </c>
      <c r="G169" s="7" t="s">
        <v>5734</v>
      </c>
      <c r="H169" s="7" t="s">
        <v>5735</v>
      </c>
      <c r="I169" s="7" t="s">
        <v>5736</v>
      </c>
      <c r="J169" s="7" t="s">
        <v>5726</v>
      </c>
      <c r="K169" s="7" t="s">
        <v>5725</v>
      </c>
      <c r="L169" s="7" t="s">
        <v>5725</v>
      </c>
      <c r="M169" s="7" t="s">
        <v>5725</v>
      </c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spans="1:37">
      <c r="A170" s="7" t="s">
        <v>669</v>
      </c>
      <c r="B170" s="7" t="s">
        <v>670</v>
      </c>
      <c r="C170" s="7" t="s">
        <v>671</v>
      </c>
      <c r="D170" s="4">
        <v>6</v>
      </c>
      <c r="E170" s="5" t="s">
        <v>672</v>
      </c>
      <c r="F170" s="7">
        <f ca="1">IFERROR(__xludf.DUMMYFUNCTION("ARRAYFORMULA(SUM(ARRAYFORMULA(IFERROR(VALUE(SPLIT(SUBSTITUTE(E170,""-"","" ""),"" "")),0))))
"),42)</f>
        <v>42</v>
      </c>
      <c r="G170" s="7" t="s">
        <v>5734</v>
      </c>
      <c r="H170" s="7" t="s">
        <v>5735</v>
      </c>
      <c r="I170" s="7" t="s">
        <v>5736</v>
      </c>
      <c r="J170" s="7" t="s">
        <v>5726</v>
      </c>
      <c r="K170" s="7" t="s">
        <v>5725</v>
      </c>
      <c r="L170" s="7" t="s">
        <v>5725</v>
      </c>
      <c r="M170" s="7" t="s">
        <v>5725</v>
      </c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spans="1:37">
      <c r="A171" s="7" t="s">
        <v>673</v>
      </c>
      <c r="B171" s="7" t="s">
        <v>674</v>
      </c>
      <c r="C171" s="7" t="s">
        <v>675</v>
      </c>
      <c r="D171" s="4">
        <v>6</v>
      </c>
      <c r="E171" s="5" t="s">
        <v>676</v>
      </c>
      <c r="F171" s="7">
        <f ca="1">IFERROR(__xludf.DUMMYFUNCTION("ARRAYFORMULA(SUM(ARRAYFORMULA(IFERROR(VALUE(SPLIT(SUBSTITUTE(E171,""-"","" ""),"" "")),0))))
"),44)</f>
        <v>44</v>
      </c>
      <c r="G171" s="7" t="s">
        <v>5734</v>
      </c>
      <c r="H171" s="7" t="s">
        <v>5735</v>
      </c>
      <c r="I171" s="7" t="s">
        <v>5736</v>
      </c>
      <c r="J171" s="7" t="s">
        <v>5726</v>
      </c>
      <c r="K171" s="7" t="s">
        <v>5725</v>
      </c>
      <c r="L171" s="7" t="s">
        <v>5725</v>
      </c>
      <c r="M171" s="7" t="s">
        <v>5725</v>
      </c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spans="1:37">
      <c r="A172" s="7" t="s">
        <v>677</v>
      </c>
      <c r="B172" s="7" t="s">
        <v>678</v>
      </c>
      <c r="C172" s="7" t="s">
        <v>679</v>
      </c>
      <c r="D172" s="4">
        <v>6</v>
      </c>
      <c r="E172" s="5" t="s">
        <v>680</v>
      </c>
      <c r="F172" s="7">
        <f ca="1">IFERROR(__xludf.DUMMYFUNCTION("ARRAYFORMULA(SUM(ARRAYFORMULA(IFERROR(VALUE(SPLIT(SUBSTITUTE(E172,""-"","" ""),"" "")),0))))
"),46)</f>
        <v>46</v>
      </c>
      <c r="G172" s="7" t="s">
        <v>5734</v>
      </c>
      <c r="H172" s="7" t="s">
        <v>5735</v>
      </c>
      <c r="I172" s="7" t="s">
        <v>5736</v>
      </c>
      <c r="J172" s="7" t="s">
        <v>5726</v>
      </c>
      <c r="K172" s="7" t="s">
        <v>5725</v>
      </c>
      <c r="L172" s="7" t="s">
        <v>5725</v>
      </c>
      <c r="M172" s="7" t="s">
        <v>5725</v>
      </c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spans="1:37">
      <c r="A173" s="7" t="s">
        <v>681</v>
      </c>
      <c r="B173" s="7" t="s">
        <v>682</v>
      </c>
      <c r="C173" s="7" t="s">
        <v>683</v>
      </c>
      <c r="D173" s="4">
        <v>6</v>
      </c>
      <c r="E173" s="5" t="s">
        <v>684</v>
      </c>
      <c r="F173" s="7">
        <f ca="1">IFERROR(__xludf.DUMMYFUNCTION("ARRAYFORMULA(SUM(ARRAYFORMULA(IFERROR(VALUE(SPLIT(SUBSTITUTE(E173,""-"","" ""),"" "")),0))))
"),48)</f>
        <v>48</v>
      </c>
      <c r="G173" s="7" t="s">
        <v>5734</v>
      </c>
      <c r="H173" s="7" t="s">
        <v>5735</v>
      </c>
      <c r="I173" s="7" t="s">
        <v>5736</v>
      </c>
      <c r="J173" s="7" t="s">
        <v>5726</v>
      </c>
      <c r="K173" s="7" t="s">
        <v>5725</v>
      </c>
      <c r="L173" s="7" t="s">
        <v>5725</v>
      </c>
      <c r="M173" s="7" t="s">
        <v>5725</v>
      </c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spans="1:37">
      <c r="A174" s="7" t="s">
        <v>685</v>
      </c>
      <c r="B174" s="7" t="s">
        <v>686</v>
      </c>
      <c r="C174" s="7" t="s">
        <v>687</v>
      </c>
      <c r="D174" s="4">
        <v>6</v>
      </c>
      <c r="E174" s="5" t="s">
        <v>688</v>
      </c>
      <c r="F174" s="7">
        <f ca="1">IFERROR(__xludf.DUMMYFUNCTION("ARRAYFORMULA(SUM(ARRAYFORMULA(IFERROR(VALUE(SPLIT(SUBSTITUTE(E174,""-"","" ""),"" "")),0))))
"),50)</f>
        <v>50</v>
      </c>
      <c r="G174" s="7" t="s">
        <v>5734</v>
      </c>
      <c r="H174" s="7" t="s">
        <v>5735</v>
      </c>
      <c r="I174" s="7" t="s">
        <v>5736</v>
      </c>
      <c r="J174" s="7" t="s">
        <v>5726</v>
      </c>
      <c r="K174" s="7" t="s">
        <v>5725</v>
      </c>
      <c r="L174" s="7" t="s">
        <v>5725</v>
      </c>
      <c r="M174" s="7" t="s">
        <v>5725</v>
      </c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spans="1:37">
      <c r="A175" s="7" t="s">
        <v>689</v>
      </c>
      <c r="B175" s="7" t="s">
        <v>690</v>
      </c>
      <c r="C175" s="7" t="s">
        <v>691</v>
      </c>
      <c r="D175" s="4">
        <v>6</v>
      </c>
      <c r="E175" s="5" t="s">
        <v>692</v>
      </c>
      <c r="F175" s="7">
        <f ca="1">IFERROR(__xludf.DUMMYFUNCTION("ARRAYFORMULA(SUM(ARRAYFORMULA(IFERROR(VALUE(SPLIT(SUBSTITUTE(E175,""-"","" ""),"" "")),0))))
"),52)</f>
        <v>52</v>
      </c>
      <c r="G175" s="7" t="s">
        <v>5734</v>
      </c>
      <c r="H175" s="7" t="s">
        <v>5735</v>
      </c>
      <c r="I175" s="7" t="s">
        <v>5736</v>
      </c>
      <c r="J175" s="7" t="s">
        <v>5726</v>
      </c>
      <c r="K175" s="7" t="s">
        <v>5725</v>
      </c>
      <c r="L175" s="7" t="s">
        <v>5725</v>
      </c>
      <c r="M175" s="7" t="s">
        <v>5725</v>
      </c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spans="1:37">
      <c r="A176" s="7" t="s">
        <v>693</v>
      </c>
      <c r="B176" s="7" t="s">
        <v>694</v>
      </c>
      <c r="C176" s="7" t="s">
        <v>695</v>
      </c>
      <c r="D176" s="4">
        <v>6</v>
      </c>
      <c r="E176" s="5" t="s">
        <v>696</v>
      </c>
      <c r="F176" s="7">
        <f ca="1">IFERROR(__xludf.DUMMYFUNCTION("ARRAYFORMULA(SUM(ARRAYFORMULA(IFERROR(VALUE(SPLIT(SUBSTITUTE(E176,""-"","" ""),"" "")),0))))
"),54)</f>
        <v>54</v>
      </c>
      <c r="G176" s="7" t="s">
        <v>5734</v>
      </c>
      <c r="H176" s="7" t="s">
        <v>5735</v>
      </c>
      <c r="I176" s="7" t="s">
        <v>5736</v>
      </c>
      <c r="J176" s="7" t="s">
        <v>5726</v>
      </c>
      <c r="K176" s="7" t="s">
        <v>5725</v>
      </c>
      <c r="L176" s="7" t="s">
        <v>5725</v>
      </c>
      <c r="M176" s="7" t="s">
        <v>5725</v>
      </c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spans="1:37">
      <c r="A177" s="7" t="s">
        <v>697</v>
      </c>
      <c r="B177" s="7" t="s">
        <v>698</v>
      </c>
      <c r="C177" s="7" t="s">
        <v>699</v>
      </c>
      <c r="D177" s="4">
        <v>5</v>
      </c>
      <c r="E177" s="5" t="s">
        <v>700</v>
      </c>
      <c r="F177" s="7">
        <f ca="1">IFERROR(__xludf.DUMMYFUNCTION("ARRAYFORMULA(SUM(ARRAYFORMULA(IFERROR(VALUE(SPLIT(SUBSTITUTE(E177,""-"","" ""),"" "")),0))))
"),26)</f>
        <v>26</v>
      </c>
      <c r="G177" s="7" t="s">
        <v>5734</v>
      </c>
      <c r="H177" s="7" t="s">
        <v>5735</v>
      </c>
      <c r="I177" s="7" t="s">
        <v>5736</v>
      </c>
      <c r="J177" s="7" t="s">
        <v>5726</v>
      </c>
      <c r="K177" s="7" t="s">
        <v>5725</v>
      </c>
      <c r="L177" s="7" t="s">
        <v>5725</v>
      </c>
      <c r="M177" s="7" t="s">
        <v>5725</v>
      </c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spans="1:37">
      <c r="A178" s="3" t="s">
        <v>701</v>
      </c>
      <c r="B178" s="3" t="s">
        <v>702</v>
      </c>
      <c r="C178" s="3" t="s">
        <v>703</v>
      </c>
      <c r="D178" s="4">
        <v>3</v>
      </c>
      <c r="E178" s="8" t="s">
        <v>704</v>
      </c>
      <c r="F178" s="7">
        <f ca="1">IFERROR(__xludf.DUMMYFUNCTION("ARRAYFORMULA(SUM(ARRAYFORMULA(IFERROR(VALUE(SPLIT(SUBSTITUTE(E178,""-"","" ""),"" "")),0))))
"),16)</f>
        <v>16</v>
      </c>
      <c r="G178" s="7" t="s">
        <v>5708</v>
      </c>
      <c r="H178" s="7" t="s">
        <v>5732</v>
      </c>
      <c r="I178" s="7" t="s">
        <v>5733</v>
      </c>
      <c r="J178" s="7" t="s">
        <v>5725</v>
      </c>
      <c r="K178" s="7" t="s">
        <v>5725</v>
      </c>
      <c r="L178" s="7" t="s">
        <v>5726</v>
      </c>
      <c r="M178" s="7" t="s">
        <v>5726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1:37">
      <c r="A179" s="7" t="s">
        <v>705</v>
      </c>
      <c r="B179" s="7" t="s">
        <v>706</v>
      </c>
      <c r="C179" s="7" t="s">
        <v>707</v>
      </c>
      <c r="D179" s="4">
        <v>4</v>
      </c>
      <c r="E179" s="5" t="s">
        <v>708</v>
      </c>
      <c r="F179" s="7">
        <f ca="1">IFERROR(__xludf.DUMMYFUNCTION("ARRAYFORMULA(SUM(ARRAYFORMULA(IFERROR(VALUE(SPLIT(SUBSTITUTE(E179,""-"","" ""),"" "")),0))))
"),18)</f>
        <v>18</v>
      </c>
      <c r="G179" s="7" t="s">
        <v>5734</v>
      </c>
      <c r="H179" s="7" t="s">
        <v>5735</v>
      </c>
      <c r="I179" s="7" t="s">
        <v>5736</v>
      </c>
      <c r="J179" s="7" t="s">
        <v>5726</v>
      </c>
      <c r="K179" s="7" t="s">
        <v>5725</v>
      </c>
      <c r="L179" s="7" t="s">
        <v>5725</v>
      </c>
      <c r="M179" s="7" t="s">
        <v>5725</v>
      </c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spans="1:37">
      <c r="A180" s="7" t="s">
        <v>709</v>
      </c>
      <c r="B180" s="7" t="s">
        <v>710</v>
      </c>
      <c r="C180" s="7" t="s">
        <v>711</v>
      </c>
      <c r="D180" s="4">
        <v>4</v>
      </c>
      <c r="E180" s="5" t="s">
        <v>712</v>
      </c>
      <c r="F180" s="7">
        <f ca="1">IFERROR(__xludf.DUMMYFUNCTION("ARRAYFORMULA(SUM(ARRAYFORMULA(IFERROR(VALUE(SPLIT(SUBSTITUTE(E180,""-"","" ""),"" "")),0))))
"),20)</f>
        <v>20</v>
      </c>
      <c r="G180" s="7" t="s">
        <v>5734</v>
      </c>
      <c r="H180" s="7" t="s">
        <v>5735</v>
      </c>
      <c r="I180" s="7" t="s">
        <v>5736</v>
      </c>
      <c r="J180" s="7" t="s">
        <v>5726</v>
      </c>
      <c r="K180" s="7" t="s">
        <v>5725</v>
      </c>
      <c r="L180" s="7" t="s">
        <v>5725</v>
      </c>
      <c r="M180" s="7" t="s">
        <v>5725</v>
      </c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spans="1:37">
      <c r="A181" s="7" t="s">
        <v>713</v>
      </c>
      <c r="B181" s="7" t="s">
        <v>714</v>
      </c>
      <c r="C181" s="7" t="s">
        <v>715</v>
      </c>
      <c r="D181" s="4">
        <v>4</v>
      </c>
      <c r="E181" s="5" t="s">
        <v>716</v>
      </c>
      <c r="F181" s="7">
        <f ca="1">IFERROR(__xludf.DUMMYFUNCTION("ARRAYFORMULA(SUM(ARRAYFORMULA(IFERROR(VALUE(SPLIT(SUBSTITUTE(E181,""-"","" ""),"" "")),0))))
"),22)</f>
        <v>22</v>
      </c>
      <c r="G181" s="7" t="s">
        <v>5734</v>
      </c>
      <c r="H181" s="7" t="s">
        <v>5735</v>
      </c>
      <c r="I181" s="7" t="s">
        <v>5736</v>
      </c>
      <c r="J181" s="7" t="s">
        <v>5726</v>
      </c>
      <c r="K181" s="7" t="s">
        <v>5725</v>
      </c>
      <c r="L181" s="7" t="s">
        <v>5725</v>
      </c>
      <c r="M181" s="7" t="s">
        <v>5725</v>
      </c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spans="1:37">
      <c r="A182" s="7" t="s">
        <v>717</v>
      </c>
      <c r="B182" s="7" t="s">
        <v>718</v>
      </c>
      <c r="C182" s="7" t="s">
        <v>719</v>
      </c>
      <c r="D182" s="4">
        <v>4</v>
      </c>
      <c r="E182" s="5" t="s">
        <v>720</v>
      </c>
      <c r="F182" s="7">
        <f ca="1">IFERROR(__xludf.DUMMYFUNCTION("ARRAYFORMULA(SUM(ARRAYFORMULA(IFERROR(VALUE(SPLIT(SUBSTITUTE(E182,""-"","" ""),"" "")),0))))
"),24)</f>
        <v>24</v>
      </c>
      <c r="G182" s="7" t="s">
        <v>5734</v>
      </c>
      <c r="H182" s="7" t="s">
        <v>5735</v>
      </c>
      <c r="I182" s="7" t="s">
        <v>5736</v>
      </c>
      <c r="J182" s="7" t="s">
        <v>5726</v>
      </c>
      <c r="K182" s="7" t="s">
        <v>5725</v>
      </c>
      <c r="L182" s="7" t="s">
        <v>5725</v>
      </c>
      <c r="M182" s="7" t="s">
        <v>5725</v>
      </c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spans="1:37">
      <c r="A183" s="7" t="s">
        <v>721</v>
      </c>
      <c r="B183" s="7" t="s">
        <v>722</v>
      </c>
      <c r="C183" s="7" t="s">
        <v>723</v>
      </c>
      <c r="D183" s="4">
        <v>3</v>
      </c>
      <c r="E183" s="5" t="s">
        <v>724</v>
      </c>
      <c r="F183" s="7">
        <f ca="1">IFERROR(__xludf.DUMMYFUNCTION("ARRAYFORMULA(SUM(ARRAYFORMULA(IFERROR(VALUE(SPLIT(SUBSTITUTE(E183,""-"","" ""),"" "")),0))))
"),18)</f>
        <v>18</v>
      </c>
      <c r="G183" s="7" t="s">
        <v>5708</v>
      </c>
      <c r="H183" s="7" t="s">
        <v>5732</v>
      </c>
      <c r="I183" s="7" t="s">
        <v>5733</v>
      </c>
      <c r="J183" s="7" t="s">
        <v>5725</v>
      </c>
      <c r="K183" s="7" t="s">
        <v>5725</v>
      </c>
      <c r="L183" s="7" t="s">
        <v>5726</v>
      </c>
      <c r="M183" s="7" t="s">
        <v>5726</v>
      </c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spans="1:37">
      <c r="A184" s="179" t="s">
        <v>725</v>
      </c>
      <c r="B184" s="179" t="s">
        <v>726</v>
      </c>
      <c r="C184" s="179" t="s">
        <v>727</v>
      </c>
      <c r="D184" s="180">
        <v>4</v>
      </c>
      <c r="E184" s="194" t="s">
        <v>728</v>
      </c>
      <c r="F184" s="7">
        <f ca="1">IFERROR(__xludf.DUMMYFUNCTION("ARRAYFORMULA(SUM(ARRAYFORMULA(IFERROR(VALUE(SPLIT(SUBSTITUTE(E184,""-"","" ""),"" "")),0))))
"),20)</f>
        <v>20</v>
      </c>
      <c r="G184" s="7" t="s">
        <v>5734</v>
      </c>
      <c r="H184" s="7" t="s">
        <v>5735</v>
      </c>
      <c r="I184" s="7" t="s">
        <v>5736</v>
      </c>
      <c r="J184" s="7" t="s">
        <v>5726</v>
      </c>
      <c r="K184" s="7" t="s">
        <v>5725</v>
      </c>
      <c r="L184" s="7" t="s">
        <v>5725</v>
      </c>
      <c r="M184" s="7" t="s">
        <v>5725</v>
      </c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spans="1:37">
      <c r="A185" s="7" t="s">
        <v>729</v>
      </c>
      <c r="B185" s="7" t="s">
        <v>730</v>
      </c>
      <c r="C185" s="7" t="s">
        <v>731</v>
      </c>
      <c r="D185" s="4">
        <v>5</v>
      </c>
      <c r="E185" s="5" t="s">
        <v>732</v>
      </c>
      <c r="F185" s="7">
        <f ca="1">IFERROR(__xludf.DUMMYFUNCTION("ARRAYFORMULA(SUM(ARRAYFORMULA(IFERROR(VALUE(SPLIT(SUBSTITUTE(E185,""-"","" ""),"" "")),0))))
"),22)</f>
        <v>22</v>
      </c>
      <c r="G185" s="7" t="s">
        <v>5734</v>
      </c>
      <c r="H185" s="7" t="s">
        <v>5735</v>
      </c>
      <c r="I185" s="7" t="s">
        <v>5736</v>
      </c>
      <c r="J185" s="7" t="s">
        <v>5726</v>
      </c>
      <c r="K185" s="7" t="s">
        <v>5725</v>
      </c>
      <c r="L185" s="7" t="s">
        <v>5725</v>
      </c>
      <c r="M185" s="7" t="s">
        <v>5725</v>
      </c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spans="1:37">
      <c r="A186" s="7" t="s">
        <v>733</v>
      </c>
      <c r="B186" s="7" t="s">
        <v>734</v>
      </c>
      <c r="C186" s="7" t="s">
        <v>735</v>
      </c>
      <c r="D186" s="4">
        <v>5</v>
      </c>
      <c r="E186" s="5" t="s">
        <v>736</v>
      </c>
      <c r="F186" s="7">
        <f ca="1">IFERROR(__xludf.DUMMYFUNCTION("ARRAYFORMULA(SUM(ARRAYFORMULA(IFERROR(VALUE(SPLIT(SUBSTITUTE(E186,""-"","" ""),"" "")),0))))
"),24)</f>
        <v>24</v>
      </c>
      <c r="G186" s="7" t="s">
        <v>5734</v>
      </c>
      <c r="H186" s="7" t="s">
        <v>5735</v>
      </c>
      <c r="I186" s="7" t="s">
        <v>5736</v>
      </c>
      <c r="J186" s="7" t="s">
        <v>5726</v>
      </c>
      <c r="K186" s="7" t="s">
        <v>5725</v>
      </c>
      <c r="L186" s="7" t="s">
        <v>5725</v>
      </c>
      <c r="M186" s="7" t="s">
        <v>5725</v>
      </c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spans="1:37">
      <c r="A187" s="7" t="s">
        <v>737</v>
      </c>
      <c r="B187" s="7" t="s">
        <v>738</v>
      </c>
      <c r="C187" s="7" t="s">
        <v>739</v>
      </c>
      <c r="D187" s="4">
        <v>4</v>
      </c>
      <c r="E187" s="5" t="s">
        <v>740</v>
      </c>
      <c r="F187" s="7">
        <f ca="1">IFERROR(__xludf.DUMMYFUNCTION("ARRAYFORMULA(SUM(ARRAYFORMULA(IFERROR(VALUE(SPLIT(SUBSTITUTE(E187,""-"","" ""),"" "")),0))))
"),22)</f>
        <v>22</v>
      </c>
      <c r="G187" s="7" t="s">
        <v>5734</v>
      </c>
      <c r="H187" s="7" t="s">
        <v>5735</v>
      </c>
      <c r="I187" s="7" t="s">
        <v>5736</v>
      </c>
      <c r="J187" s="7" t="s">
        <v>5726</v>
      </c>
      <c r="K187" s="7" t="s">
        <v>5725</v>
      </c>
      <c r="L187" s="7" t="s">
        <v>5725</v>
      </c>
      <c r="M187" s="7" t="s">
        <v>5725</v>
      </c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spans="1:37">
      <c r="A188" s="7" t="s">
        <v>741</v>
      </c>
      <c r="B188" s="7" t="s">
        <v>742</v>
      </c>
      <c r="C188" s="7" t="s">
        <v>743</v>
      </c>
      <c r="D188" s="4">
        <v>4</v>
      </c>
      <c r="E188" s="5" t="s">
        <v>744</v>
      </c>
      <c r="F188" s="7">
        <f ca="1">IFERROR(__xludf.DUMMYFUNCTION("ARRAYFORMULA(SUM(ARRAYFORMULA(IFERROR(VALUE(SPLIT(SUBSTITUTE(E188,""-"","" ""),"" "")),0))))
"),24)</f>
        <v>24</v>
      </c>
      <c r="G188" s="7" t="s">
        <v>5734</v>
      </c>
      <c r="H188" s="7" t="s">
        <v>5735</v>
      </c>
      <c r="I188" s="7" t="s">
        <v>5736</v>
      </c>
      <c r="J188" s="7" t="s">
        <v>5726</v>
      </c>
      <c r="K188" s="7" t="s">
        <v>5725</v>
      </c>
      <c r="L188" s="7" t="s">
        <v>5725</v>
      </c>
      <c r="M188" s="7" t="s">
        <v>5725</v>
      </c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spans="1:37">
      <c r="A189" s="7" t="s">
        <v>745</v>
      </c>
      <c r="B189" s="7" t="s">
        <v>746</v>
      </c>
      <c r="C189" s="7" t="s">
        <v>747</v>
      </c>
      <c r="D189" s="4">
        <v>4</v>
      </c>
      <c r="E189" s="5" t="s">
        <v>748</v>
      </c>
      <c r="F189" s="7">
        <f ca="1">IFERROR(__xludf.DUMMYFUNCTION("ARRAYFORMULA(SUM(ARRAYFORMULA(IFERROR(VALUE(SPLIT(SUBSTITUTE(E189,""-"","" ""),"" "")),0))))
"),26)</f>
        <v>26</v>
      </c>
      <c r="G189" s="7" t="s">
        <v>5734</v>
      </c>
      <c r="H189" s="7" t="s">
        <v>5735</v>
      </c>
      <c r="I189" s="7" t="s">
        <v>5736</v>
      </c>
      <c r="J189" s="7" t="s">
        <v>5726</v>
      </c>
      <c r="K189" s="7" t="s">
        <v>5725</v>
      </c>
      <c r="L189" s="7" t="s">
        <v>5725</v>
      </c>
      <c r="M189" s="7" t="s">
        <v>5725</v>
      </c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spans="1:37">
      <c r="A190" s="3" t="s">
        <v>749</v>
      </c>
      <c r="B190" s="3" t="s">
        <v>750</v>
      </c>
      <c r="C190" s="3" t="s">
        <v>751</v>
      </c>
      <c r="D190" s="4">
        <v>3</v>
      </c>
      <c r="E190" s="8" t="s">
        <v>752</v>
      </c>
      <c r="F190" s="7">
        <f ca="1">IFERROR(__xludf.DUMMYFUNCTION("ARRAYFORMULA(SUM(ARRAYFORMULA(IFERROR(VALUE(SPLIT(SUBSTITUTE(E190,""-"","" ""),"" "")),0))))
"),20)</f>
        <v>20</v>
      </c>
      <c r="G190" s="7" t="s">
        <v>5708</v>
      </c>
      <c r="H190" s="7" t="s">
        <v>5732</v>
      </c>
      <c r="I190" s="7" t="s">
        <v>5733</v>
      </c>
      <c r="J190" s="7" t="s">
        <v>5725</v>
      </c>
      <c r="K190" s="7" t="s">
        <v>5725</v>
      </c>
      <c r="L190" s="7" t="s">
        <v>5726</v>
      </c>
      <c r="M190" s="7" t="s">
        <v>5726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1:37">
      <c r="A191" s="7" t="s">
        <v>753</v>
      </c>
      <c r="B191" s="7" t="s">
        <v>754</v>
      </c>
      <c r="C191" s="7" t="s">
        <v>755</v>
      </c>
      <c r="D191" s="4">
        <v>4</v>
      </c>
      <c r="E191" s="5" t="s">
        <v>756</v>
      </c>
      <c r="F191" s="7">
        <f ca="1">IFERROR(__xludf.DUMMYFUNCTION("ARRAYFORMULA(SUM(ARRAYFORMULA(IFERROR(VALUE(SPLIT(SUBSTITUTE(E191,""-"","" ""),"" "")),0))))
"),22)</f>
        <v>22</v>
      </c>
      <c r="G191" s="7" t="s">
        <v>5734</v>
      </c>
      <c r="H191" s="7" t="s">
        <v>5735</v>
      </c>
      <c r="I191" s="7" t="s">
        <v>5736</v>
      </c>
      <c r="J191" s="7" t="s">
        <v>5726</v>
      </c>
      <c r="K191" s="7" t="s">
        <v>5725</v>
      </c>
      <c r="L191" s="7" t="s">
        <v>5725</v>
      </c>
      <c r="M191" s="7" t="s">
        <v>5725</v>
      </c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spans="1:37">
      <c r="A192" s="7" t="s">
        <v>757</v>
      </c>
      <c r="B192" s="7" t="s">
        <v>758</v>
      </c>
      <c r="C192" s="7" t="s">
        <v>759</v>
      </c>
      <c r="D192" s="4">
        <v>4</v>
      </c>
      <c r="E192" s="5" t="s">
        <v>760</v>
      </c>
      <c r="F192" s="7">
        <f ca="1">IFERROR(__xludf.DUMMYFUNCTION("ARRAYFORMULA(SUM(ARRAYFORMULA(IFERROR(VALUE(SPLIT(SUBSTITUTE(E192,""-"","" ""),"" "")),0))))
"),24)</f>
        <v>24</v>
      </c>
      <c r="G192" s="7" t="s">
        <v>5734</v>
      </c>
      <c r="H192" s="7" t="s">
        <v>5735</v>
      </c>
      <c r="I192" s="7" t="s">
        <v>5736</v>
      </c>
      <c r="J192" s="7" t="s">
        <v>5726</v>
      </c>
      <c r="K192" s="7" t="s">
        <v>5725</v>
      </c>
      <c r="L192" s="7" t="s">
        <v>5725</v>
      </c>
      <c r="M192" s="7" t="s">
        <v>5725</v>
      </c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spans="1:37">
      <c r="A193" s="7" t="s">
        <v>761</v>
      </c>
      <c r="B193" s="7" t="s">
        <v>762</v>
      </c>
      <c r="C193" s="7" t="s">
        <v>763</v>
      </c>
      <c r="D193" s="4">
        <v>4</v>
      </c>
      <c r="E193" s="5" t="s">
        <v>764</v>
      </c>
      <c r="F193" s="7">
        <f ca="1">IFERROR(__xludf.DUMMYFUNCTION("ARRAYFORMULA(SUM(ARRAYFORMULA(IFERROR(VALUE(SPLIT(SUBSTITUTE(E193,""-"","" ""),"" "")),0))))
"),26)</f>
        <v>26</v>
      </c>
      <c r="G193" s="7" t="s">
        <v>5734</v>
      </c>
      <c r="H193" s="7" t="s">
        <v>5735</v>
      </c>
      <c r="I193" s="7" t="s">
        <v>5736</v>
      </c>
      <c r="J193" s="7" t="s">
        <v>5726</v>
      </c>
      <c r="K193" s="7" t="s">
        <v>5725</v>
      </c>
      <c r="L193" s="7" t="s">
        <v>5725</v>
      </c>
      <c r="M193" s="7" t="s">
        <v>5725</v>
      </c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spans="1:37">
      <c r="A194" s="7" t="s">
        <v>765</v>
      </c>
      <c r="B194" s="7" t="s">
        <v>766</v>
      </c>
      <c r="C194" s="7" t="s">
        <v>767</v>
      </c>
      <c r="D194" s="4">
        <v>5</v>
      </c>
      <c r="E194" s="5" t="s">
        <v>768</v>
      </c>
      <c r="F194" s="7">
        <f ca="1">IFERROR(__xludf.DUMMYFUNCTION("ARRAYFORMULA(SUM(ARRAYFORMULA(IFERROR(VALUE(SPLIT(SUBSTITUTE(E194,""-"","" ""),"" "")),0))))
"),28)</f>
        <v>28</v>
      </c>
      <c r="G194" s="7" t="s">
        <v>5734</v>
      </c>
      <c r="H194" s="7" t="s">
        <v>5735</v>
      </c>
      <c r="I194" s="7" t="s">
        <v>5736</v>
      </c>
      <c r="J194" s="7" t="s">
        <v>5726</v>
      </c>
      <c r="K194" s="7" t="s">
        <v>5725</v>
      </c>
      <c r="L194" s="7" t="s">
        <v>5725</v>
      </c>
      <c r="M194" s="7" t="s">
        <v>5725</v>
      </c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spans="1:37">
      <c r="A195" s="7" t="s">
        <v>769</v>
      </c>
      <c r="B195" s="7" t="s">
        <v>770</v>
      </c>
      <c r="C195" s="7" t="s">
        <v>771</v>
      </c>
      <c r="D195" s="4">
        <v>5</v>
      </c>
      <c r="E195" s="5" t="s">
        <v>772</v>
      </c>
      <c r="F195" s="7">
        <f ca="1">IFERROR(__xludf.DUMMYFUNCTION("ARRAYFORMULA(SUM(ARRAYFORMULA(IFERROR(VALUE(SPLIT(SUBSTITUTE(E195,""-"","" ""),"" "")),0))))
"),30)</f>
        <v>30</v>
      </c>
      <c r="G195" s="7" t="s">
        <v>5734</v>
      </c>
      <c r="H195" s="7" t="s">
        <v>5735</v>
      </c>
      <c r="I195" s="7" t="s">
        <v>5736</v>
      </c>
      <c r="J195" s="7" t="s">
        <v>5726</v>
      </c>
      <c r="K195" s="7" t="s">
        <v>5725</v>
      </c>
      <c r="L195" s="7" t="s">
        <v>5725</v>
      </c>
      <c r="M195" s="7" t="s">
        <v>5725</v>
      </c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spans="1:37">
      <c r="A196" s="7" t="s">
        <v>773</v>
      </c>
      <c r="B196" s="7" t="s">
        <v>774</v>
      </c>
      <c r="C196" s="7" t="s">
        <v>775</v>
      </c>
      <c r="D196" s="4">
        <v>5</v>
      </c>
      <c r="E196" s="5" t="s">
        <v>776</v>
      </c>
      <c r="F196" s="7">
        <f ca="1">IFERROR(__xludf.DUMMYFUNCTION("ARRAYFORMULA(SUM(ARRAYFORMULA(IFERROR(VALUE(SPLIT(SUBSTITUTE(E196,""-"","" ""),"" "")),0))))
"),32)</f>
        <v>32</v>
      </c>
      <c r="G196" s="7" t="s">
        <v>5734</v>
      </c>
      <c r="H196" s="7" t="s">
        <v>5735</v>
      </c>
      <c r="I196" s="7" t="s">
        <v>5736</v>
      </c>
      <c r="J196" s="7" t="s">
        <v>5726</v>
      </c>
      <c r="K196" s="7" t="s">
        <v>5725</v>
      </c>
      <c r="L196" s="7" t="s">
        <v>5725</v>
      </c>
      <c r="M196" s="7" t="s">
        <v>5725</v>
      </c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spans="1:37">
      <c r="A197" s="3" t="s">
        <v>777</v>
      </c>
      <c r="B197" s="3" t="s">
        <v>778</v>
      </c>
      <c r="C197" s="3" t="s">
        <v>779</v>
      </c>
      <c r="D197" s="4">
        <v>3</v>
      </c>
      <c r="E197" s="8" t="s">
        <v>780</v>
      </c>
      <c r="F197" s="7">
        <f ca="1">IFERROR(__xludf.DUMMYFUNCTION("ARRAYFORMULA(SUM(ARRAYFORMULA(IFERROR(VALUE(SPLIT(SUBSTITUTE(E197,""-"","" ""),"" "")),0))))
"),22)</f>
        <v>22</v>
      </c>
      <c r="G197" s="7" t="s">
        <v>5708</v>
      </c>
      <c r="H197" s="7" t="s">
        <v>5732</v>
      </c>
      <c r="I197" s="7" t="s">
        <v>5733</v>
      </c>
      <c r="J197" s="7" t="s">
        <v>5725</v>
      </c>
      <c r="K197" s="7" t="s">
        <v>5725</v>
      </c>
      <c r="L197" s="7" t="s">
        <v>5726</v>
      </c>
      <c r="M197" s="7" t="s">
        <v>5726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1:37">
      <c r="A198" s="7" t="s">
        <v>781</v>
      </c>
      <c r="B198" s="7" t="s">
        <v>782</v>
      </c>
      <c r="C198" s="7" t="s">
        <v>783</v>
      </c>
      <c r="D198" s="4">
        <v>4</v>
      </c>
      <c r="E198" s="5" t="s">
        <v>784</v>
      </c>
      <c r="F198" s="7">
        <f ca="1">IFERROR(__xludf.DUMMYFUNCTION("ARRAYFORMULA(SUM(ARRAYFORMULA(IFERROR(VALUE(SPLIT(SUBSTITUTE(E198,""-"","" ""),"" "")),0))))
"),24)</f>
        <v>24</v>
      </c>
      <c r="G198" s="7" t="s">
        <v>5734</v>
      </c>
      <c r="H198" s="7" t="s">
        <v>5735</v>
      </c>
      <c r="I198" s="7" t="s">
        <v>5736</v>
      </c>
      <c r="J198" s="7" t="s">
        <v>5726</v>
      </c>
      <c r="K198" s="7" t="s">
        <v>5725</v>
      </c>
      <c r="L198" s="7" t="s">
        <v>5725</v>
      </c>
      <c r="M198" s="7" t="s">
        <v>5725</v>
      </c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spans="1:37">
      <c r="A199" s="7" t="s">
        <v>785</v>
      </c>
      <c r="B199" s="7" t="s">
        <v>786</v>
      </c>
      <c r="C199" s="7" t="s">
        <v>787</v>
      </c>
      <c r="D199" s="4">
        <v>5</v>
      </c>
      <c r="E199" s="5" t="s">
        <v>788</v>
      </c>
      <c r="F199" s="7">
        <f ca="1">IFERROR(__xludf.DUMMYFUNCTION("ARRAYFORMULA(SUM(ARRAYFORMULA(IFERROR(VALUE(SPLIT(SUBSTITUTE(E199,""-"","" ""),"" "")),0))))
"),26)</f>
        <v>26</v>
      </c>
      <c r="G199" s="7" t="s">
        <v>5734</v>
      </c>
      <c r="H199" s="7" t="s">
        <v>5735</v>
      </c>
      <c r="I199" s="7" t="s">
        <v>5736</v>
      </c>
      <c r="J199" s="7" t="s">
        <v>5726</v>
      </c>
      <c r="K199" s="7" t="s">
        <v>5725</v>
      </c>
      <c r="L199" s="7" t="s">
        <v>5725</v>
      </c>
      <c r="M199" s="7" t="s">
        <v>5725</v>
      </c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spans="1:37">
      <c r="A200" s="3" t="s">
        <v>789</v>
      </c>
      <c r="B200" s="3" t="s">
        <v>790</v>
      </c>
      <c r="C200" s="3" t="s">
        <v>791</v>
      </c>
      <c r="D200" s="4">
        <v>3</v>
      </c>
      <c r="E200" s="8" t="s">
        <v>792</v>
      </c>
      <c r="F200" s="7">
        <f ca="1">IFERROR(__xludf.DUMMYFUNCTION("ARRAYFORMULA(SUM(ARRAYFORMULA(IFERROR(VALUE(SPLIT(SUBSTITUTE(E200,""-"","" ""),"" "")),0))))
"),24)</f>
        <v>24</v>
      </c>
      <c r="G200" s="7" t="s">
        <v>5708</v>
      </c>
      <c r="H200" s="7" t="s">
        <v>5732</v>
      </c>
      <c r="I200" s="7" t="s">
        <v>5733</v>
      </c>
      <c r="J200" s="7" t="s">
        <v>5725</v>
      </c>
      <c r="K200" s="7" t="s">
        <v>5725</v>
      </c>
      <c r="L200" s="7" t="s">
        <v>5726</v>
      </c>
      <c r="M200" s="7" t="s">
        <v>5726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1:37">
      <c r="A201" s="7" t="s">
        <v>793</v>
      </c>
      <c r="B201" s="7" t="s">
        <v>794</v>
      </c>
      <c r="C201" s="7" t="s">
        <v>795</v>
      </c>
      <c r="D201" s="4">
        <v>4</v>
      </c>
      <c r="E201" s="5" t="s">
        <v>796</v>
      </c>
      <c r="F201" s="7">
        <f ca="1">IFERROR(__xludf.DUMMYFUNCTION("ARRAYFORMULA(SUM(ARRAYFORMULA(IFERROR(VALUE(SPLIT(SUBSTITUTE(E201,""-"","" ""),"" "")),0))))
"),26)</f>
        <v>26</v>
      </c>
      <c r="G201" s="7" t="s">
        <v>5734</v>
      </c>
      <c r="H201" s="7" t="s">
        <v>5735</v>
      </c>
      <c r="I201" s="7" t="s">
        <v>5736</v>
      </c>
      <c r="J201" s="7" t="s">
        <v>5726</v>
      </c>
      <c r="K201" s="7" t="s">
        <v>5725</v>
      </c>
      <c r="L201" s="7" t="s">
        <v>5725</v>
      </c>
      <c r="M201" s="7" t="s">
        <v>5725</v>
      </c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spans="1:37">
      <c r="A202" s="7" t="s">
        <v>797</v>
      </c>
      <c r="B202" s="7" t="s">
        <v>798</v>
      </c>
      <c r="C202" s="7" t="s">
        <v>799</v>
      </c>
      <c r="D202" s="4">
        <v>4</v>
      </c>
      <c r="E202" s="5" t="s">
        <v>800</v>
      </c>
      <c r="F202" s="7">
        <f ca="1">IFERROR(__xludf.DUMMYFUNCTION("ARRAYFORMULA(SUM(ARRAYFORMULA(IFERROR(VALUE(SPLIT(SUBSTITUTE(E202,""-"","" ""),"" "")),0))))
"),28)</f>
        <v>28</v>
      </c>
      <c r="G202" s="7" t="s">
        <v>5734</v>
      </c>
      <c r="H202" s="7" t="s">
        <v>5735</v>
      </c>
      <c r="I202" s="7" t="s">
        <v>5736</v>
      </c>
      <c r="J202" s="7" t="s">
        <v>5726</v>
      </c>
      <c r="K202" s="7" t="s">
        <v>5725</v>
      </c>
      <c r="L202" s="7" t="s">
        <v>5725</v>
      </c>
      <c r="M202" s="7" t="s">
        <v>5725</v>
      </c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spans="1:37">
      <c r="A203" s="7" t="s">
        <v>801</v>
      </c>
      <c r="B203" s="7" t="s">
        <v>802</v>
      </c>
      <c r="C203" s="7" t="s">
        <v>803</v>
      </c>
      <c r="D203" s="4">
        <v>4</v>
      </c>
      <c r="E203" s="5" t="s">
        <v>804</v>
      </c>
      <c r="F203" s="7">
        <f ca="1">IFERROR(__xludf.DUMMYFUNCTION("ARRAYFORMULA(SUM(ARRAYFORMULA(IFERROR(VALUE(SPLIT(SUBSTITUTE(E203,""-"","" ""),"" "")),0))))
"),30)</f>
        <v>30</v>
      </c>
      <c r="G203" s="7" t="s">
        <v>5734</v>
      </c>
      <c r="H203" s="7" t="s">
        <v>5735</v>
      </c>
      <c r="I203" s="7" t="s">
        <v>5736</v>
      </c>
      <c r="J203" s="7" t="s">
        <v>5726</v>
      </c>
      <c r="K203" s="7" t="s">
        <v>5725</v>
      </c>
      <c r="L203" s="7" t="s">
        <v>5725</v>
      </c>
      <c r="M203" s="7" t="s">
        <v>5725</v>
      </c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spans="1:37">
      <c r="A204" s="7" t="s">
        <v>805</v>
      </c>
      <c r="B204" s="7" t="s">
        <v>806</v>
      </c>
      <c r="C204" s="7" t="s">
        <v>807</v>
      </c>
      <c r="D204" s="4">
        <v>4</v>
      </c>
      <c r="E204" s="5" t="s">
        <v>808</v>
      </c>
      <c r="F204" s="7">
        <f ca="1">IFERROR(__xludf.DUMMYFUNCTION("ARRAYFORMULA(SUM(ARRAYFORMULA(IFERROR(VALUE(SPLIT(SUBSTITUTE(E204,""-"","" ""),"" "")),0))))
"),32)</f>
        <v>32</v>
      </c>
      <c r="G204" s="7" t="s">
        <v>5734</v>
      </c>
      <c r="H204" s="7" t="s">
        <v>5735</v>
      </c>
      <c r="I204" s="7" t="s">
        <v>5736</v>
      </c>
      <c r="J204" s="7" t="s">
        <v>5726</v>
      </c>
      <c r="K204" s="7" t="s">
        <v>5725</v>
      </c>
      <c r="L204" s="7" t="s">
        <v>5725</v>
      </c>
      <c r="M204" s="7" t="s">
        <v>5725</v>
      </c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spans="1:37">
      <c r="A205" s="7" t="s">
        <v>809</v>
      </c>
      <c r="B205" s="7" t="s">
        <v>810</v>
      </c>
      <c r="C205" s="7" t="s">
        <v>811</v>
      </c>
      <c r="D205" s="4">
        <v>4</v>
      </c>
      <c r="E205" s="5" t="s">
        <v>812</v>
      </c>
      <c r="F205" s="7">
        <f ca="1">IFERROR(__xludf.DUMMYFUNCTION("ARRAYFORMULA(SUM(ARRAYFORMULA(IFERROR(VALUE(SPLIT(SUBSTITUTE(E205,""-"","" ""),"" "")),0))))
"),34)</f>
        <v>34</v>
      </c>
      <c r="G205" s="7" t="s">
        <v>5734</v>
      </c>
      <c r="H205" s="7" t="s">
        <v>5735</v>
      </c>
      <c r="I205" s="7" t="s">
        <v>5736</v>
      </c>
      <c r="J205" s="7" t="s">
        <v>5726</v>
      </c>
      <c r="K205" s="7" t="s">
        <v>5725</v>
      </c>
      <c r="L205" s="7" t="s">
        <v>5725</v>
      </c>
      <c r="M205" s="7" t="s">
        <v>5725</v>
      </c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spans="1:37">
      <c r="A206" s="3" t="s">
        <v>813</v>
      </c>
      <c r="B206" s="3" t="s">
        <v>814</v>
      </c>
      <c r="C206" s="3" t="s">
        <v>815</v>
      </c>
      <c r="D206" s="4">
        <v>2</v>
      </c>
      <c r="E206" s="8" t="s">
        <v>816</v>
      </c>
      <c r="F206" s="7">
        <f ca="1">IFERROR(__xludf.DUMMYFUNCTION("ARRAYFORMULA(SUM(ARRAYFORMULA(IFERROR(VALUE(SPLIT(SUBSTITUTE(E206,""-"","" ""),"" "")),0))))
"),14)</f>
        <v>14</v>
      </c>
      <c r="G206" s="7" t="s">
        <v>5706</v>
      </c>
      <c r="H206" s="7" t="s">
        <v>5723</v>
      </c>
      <c r="I206" s="7" t="s">
        <v>5724</v>
      </c>
      <c r="J206" s="7" t="s">
        <v>5725</v>
      </c>
      <c r="K206" s="7" t="s">
        <v>5726</v>
      </c>
      <c r="L206" s="7" t="s">
        <v>5726</v>
      </c>
      <c r="M206" s="7" t="s">
        <v>5726</v>
      </c>
      <c r="N206" s="3"/>
      <c r="O206" s="3"/>
      <c r="P206" s="3"/>
      <c r="Q206" s="3"/>
      <c r="R206" s="8" t="s">
        <v>816</v>
      </c>
      <c r="S206" s="3" t="s">
        <v>5744</v>
      </c>
      <c r="T206" s="111" t="s">
        <v>5376</v>
      </c>
      <c r="U206" s="7" t="str">
        <f>T206&amp;"-"&amp;S206</f>
        <v>3E-14-vedações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1:37">
      <c r="A207" s="3" t="s">
        <v>817</v>
      </c>
      <c r="B207" s="3" t="s">
        <v>818</v>
      </c>
      <c r="C207" s="3" t="s">
        <v>819</v>
      </c>
      <c r="D207" s="4">
        <v>3</v>
      </c>
      <c r="E207" s="8" t="s">
        <v>820</v>
      </c>
      <c r="F207" s="7">
        <f ca="1">IFERROR(__xludf.DUMMYFUNCTION("ARRAYFORMULA(SUM(ARRAYFORMULA(IFERROR(VALUE(SPLIT(SUBSTITUTE(E207,""-"","" ""),"" "")),0))))
"),16)</f>
        <v>16</v>
      </c>
      <c r="G207" s="7" t="s">
        <v>5708</v>
      </c>
      <c r="H207" s="7" t="s">
        <v>5732</v>
      </c>
      <c r="I207" s="7" t="s">
        <v>5733</v>
      </c>
      <c r="J207" s="7" t="s">
        <v>5725</v>
      </c>
      <c r="K207" s="7" t="s">
        <v>5725</v>
      </c>
      <c r="L207" s="7" t="s">
        <v>5726</v>
      </c>
      <c r="M207" s="7" t="s">
        <v>5726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1:37">
      <c r="A208" s="7" t="s">
        <v>821</v>
      </c>
      <c r="B208" s="7" t="s">
        <v>822</v>
      </c>
      <c r="C208" s="7" t="s">
        <v>823</v>
      </c>
      <c r="D208" s="4">
        <v>4</v>
      </c>
      <c r="E208" s="5" t="s">
        <v>824</v>
      </c>
      <c r="F208" s="7">
        <f ca="1">IFERROR(__xludf.DUMMYFUNCTION("ARRAYFORMULA(SUM(ARRAYFORMULA(IFERROR(VALUE(SPLIT(SUBSTITUTE(E208,""-"","" ""),"" "")),0))))
"),18)</f>
        <v>18</v>
      </c>
      <c r="G208" s="7" t="s">
        <v>5734</v>
      </c>
      <c r="H208" s="7" t="s">
        <v>5735</v>
      </c>
      <c r="I208" s="7" t="s">
        <v>5736</v>
      </c>
      <c r="J208" s="7" t="s">
        <v>5726</v>
      </c>
      <c r="K208" s="7" t="s">
        <v>5725</v>
      </c>
      <c r="L208" s="7" t="s">
        <v>5725</v>
      </c>
      <c r="M208" s="7" t="s">
        <v>5725</v>
      </c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spans="1:37">
      <c r="A209" s="7" t="s">
        <v>825</v>
      </c>
      <c r="B209" s="7" t="s">
        <v>826</v>
      </c>
      <c r="C209" s="7" t="s">
        <v>827</v>
      </c>
      <c r="D209" s="4">
        <v>4</v>
      </c>
      <c r="E209" s="5" t="s">
        <v>828</v>
      </c>
      <c r="F209" s="7">
        <f ca="1">IFERROR(__xludf.DUMMYFUNCTION("ARRAYFORMULA(SUM(ARRAYFORMULA(IFERROR(VALUE(SPLIT(SUBSTITUTE(E209,""-"","" ""),"" "")),0))))
"),20)</f>
        <v>20</v>
      </c>
      <c r="G209" s="7" t="s">
        <v>5734</v>
      </c>
      <c r="H209" s="7" t="s">
        <v>5735</v>
      </c>
      <c r="I209" s="7" t="s">
        <v>5736</v>
      </c>
      <c r="J209" s="7" t="s">
        <v>5726</v>
      </c>
      <c r="K209" s="7" t="s">
        <v>5725</v>
      </c>
      <c r="L209" s="7" t="s">
        <v>5725</v>
      </c>
      <c r="M209" s="7" t="s">
        <v>5725</v>
      </c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spans="1:37">
      <c r="A210" s="3" t="s">
        <v>829</v>
      </c>
      <c r="B210" s="3" t="s">
        <v>830</v>
      </c>
      <c r="C210" s="3" t="s">
        <v>831</v>
      </c>
      <c r="D210" s="4">
        <v>3</v>
      </c>
      <c r="E210" s="8" t="s">
        <v>832</v>
      </c>
      <c r="F210" s="7">
        <f ca="1">IFERROR(__xludf.DUMMYFUNCTION("ARRAYFORMULA(SUM(ARRAYFORMULA(IFERROR(VALUE(SPLIT(SUBSTITUTE(E210,""-"","" ""),"" "")),0))))
"),18)</f>
        <v>18</v>
      </c>
      <c r="G210" s="7" t="s">
        <v>5708</v>
      </c>
      <c r="H210" s="7" t="s">
        <v>5732</v>
      </c>
      <c r="I210" s="7" t="s">
        <v>5733</v>
      </c>
      <c r="J210" s="7" t="s">
        <v>5725</v>
      </c>
      <c r="K210" s="7" t="s">
        <v>5725</v>
      </c>
      <c r="L210" s="7" t="s">
        <v>5726</v>
      </c>
      <c r="M210" s="7" t="s">
        <v>5726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1:37">
      <c r="A211" s="7" t="s">
        <v>833</v>
      </c>
      <c r="B211" s="7" t="s">
        <v>834</v>
      </c>
      <c r="C211" s="7" t="s">
        <v>835</v>
      </c>
      <c r="D211" s="4">
        <v>4</v>
      </c>
      <c r="E211" s="5" t="s">
        <v>836</v>
      </c>
      <c r="F211" s="7">
        <f ca="1">IFERROR(__xludf.DUMMYFUNCTION("ARRAYFORMULA(SUM(ARRAYFORMULA(IFERROR(VALUE(SPLIT(SUBSTITUTE(E211,""-"","" ""),"" "")),0))))
"),20)</f>
        <v>20</v>
      </c>
      <c r="G211" s="7" t="s">
        <v>5734</v>
      </c>
      <c r="H211" s="7" t="s">
        <v>5735</v>
      </c>
      <c r="I211" s="7" t="s">
        <v>5736</v>
      </c>
      <c r="J211" s="7" t="s">
        <v>5726</v>
      </c>
      <c r="K211" s="7" t="s">
        <v>5725</v>
      </c>
      <c r="L211" s="7" t="s">
        <v>5725</v>
      </c>
      <c r="M211" s="7" t="s">
        <v>5725</v>
      </c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spans="1:37">
      <c r="A212" s="7" t="s">
        <v>837</v>
      </c>
      <c r="B212" s="7" t="s">
        <v>838</v>
      </c>
      <c r="C212" s="7" t="s">
        <v>839</v>
      </c>
      <c r="D212" s="4">
        <v>5</v>
      </c>
      <c r="E212" s="5" t="s">
        <v>840</v>
      </c>
      <c r="F212" s="7">
        <f ca="1">IFERROR(__xludf.DUMMYFUNCTION("ARRAYFORMULA(SUM(ARRAYFORMULA(IFERROR(VALUE(SPLIT(SUBSTITUTE(E212,""-"","" ""),"" "")),0))))
"),22)</f>
        <v>22</v>
      </c>
      <c r="G212" s="7" t="s">
        <v>5734</v>
      </c>
      <c r="H212" s="7" t="s">
        <v>5735</v>
      </c>
      <c r="I212" s="7" t="s">
        <v>5736</v>
      </c>
      <c r="J212" s="7" t="s">
        <v>5726</v>
      </c>
      <c r="K212" s="7" t="s">
        <v>5725</v>
      </c>
      <c r="L212" s="7" t="s">
        <v>5725</v>
      </c>
      <c r="M212" s="7" t="s">
        <v>5725</v>
      </c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spans="1:37">
      <c r="A213" s="7" t="s">
        <v>841</v>
      </c>
      <c r="B213" s="7" t="s">
        <v>842</v>
      </c>
      <c r="C213" s="7" t="s">
        <v>843</v>
      </c>
      <c r="D213" s="4">
        <v>5</v>
      </c>
      <c r="E213" s="5" t="s">
        <v>844</v>
      </c>
      <c r="F213" s="7">
        <f ca="1">IFERROR(__xludf.DUMMYFUNCTION("ARRAYFORMULA(SUM(ARRAYFORMULA(IFERROR(VALUE(SPLIT(SUBSTITUTE(E213,""-"","" ""),"" "")),0))))
"),24)</f>
        <v>24</v>
      </c>
      <c r="G213" s="7" t="s">
        <v>5734</v>
      </c>
      <c r="H213" s="7" t="s">
        <v>5735</v>
      </c>
      <c r="I213" s="7" t="s">
        <v>5736</v>
      </c>
      <c r="J213" s="7" t="s">
        <v>5726</v>
      </c>
      <c r="K213" s="7" t="s">
        <v>5725</v>
      </c>
      <c r="L213" s="7" t="s">
        <v>5725</v>
      </c>
      <c r="M213" s="7" t="s">
        <v>5725</v>
      </c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spans="1:37">
      <c r="A214" s="7" t="s">
        <v>845</v>
      </c>
      <c r="B214" s="7" t="s">
        <v>846</v>
      </c>
      <c r="C214" s="7" t="s">
        <v>847</v>
      </c>
      <c r="D214" s="4">
        <v>5</v>
      </c>
      <c r="E214" s="5" t="s">
        <v>848</v>
      </c>
      <c r="F214" s="7">
        <f ca="1">IFERROR(__xludf.DUMMYFUNCTION("ARRAYFORMULA(SUM(ARRAYFORMULA(IFERROR(VALUE(SPLIT(SUBSTITUTE(E214,""-"","" ""),"" "")),0))))
"),26)</f>
        <v>26</v>
      </c>
      <c r="G214" s="7" t="s">
        <v>5734</v>
      </c>
      <c r="H214" s="7" t="s">
        <v>5735</v>
      </c>
      <c r="I214" s="7" t="s">
        <v>5736</v>
      </c>
      <c r="J214" s="7" t="s">
        <v>5726</v>
      </c>
      <c r="K214" s="7" t="s">
        <v>5725</v>
      </c>
      <c r="L214" s="7" t="s">
        <v>5725</v>
      </c>
      <c r="M214" s="7" t="s">
        <v>5725</v>
      </c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spans="1:37">
      <c r="A215" s="7" t="s">
        <v>849</v>
      </c>
      <c r="B215" s="7" t="s">
        <v>850</v>
      </c>
      <c r="C215" s="7" t="s">
        <v>851</v>
      </c>
      <c r="D215" s="4">
        <v>5</v>
      </c>
      <c r="E215" s="5" t="s">
        <v>852</v>
      </c>
      <c r="F215" s="7">
        <f ca="1">IFERROR(__xludf.DUMMYFUNCTION("ARRAYFORMULA(SUM(ARRAYFORMULA(IFERROR(VALUE(SPLIT(SUBSTITUTE(E215,""-"","" ""),"" "")),0))))
"),28)</f>
        <v>28</v>
      </c>
      <c r="G215" s="7" t="s">
        <v>5734</v>
      </c>
      <c r="H215" s="7" t="s">
        <v>5735</v>
      </c>
      <c r="I215" s="7" t="s">
        <v>5736</v>
      </c>
      <c r="J215" s="7" t="s">
        <v>5726</v>
      </c>
      <c r="K215" s="7" t="s">
        <v>5725</v>
      </c>
      <c r="L215" s="7" t="s">
        <v>5725</v>
      </c>
      <c r="M215" s="7" t="s">
        <v>5725</v>
      </c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spans="1:37">
      <c r="A216" s="7" t="s">
        <v>853</v>
      </c>
      <c r="B216" s="7" t="s">
        <v>854</v>
      </c>
      <c r="C216" s="7" t="s">
        <v>855</v>
      </c>
      <c r="D216" s="4">
        <v>5</v>
      </c>
      <c r="E216" s="5" t="s">
        <v>856</v>
      </c>
      <c r="F216" s="7">
        <f ca="1">IFERROR(__xludf.DUMMYFUNCTION("ARRAYFORMULA(SUM(ARRAYFORMULA(IFERROR(VALUE(SPLIT(SUBSTITUTE(E216,""-"","" ""),"" "")),0))))
"),30)</f>
        <v>30</v>
      </c>
      <c r="G216" s="7" t="s">
        <v>5734</v>
      </c>
      <c r="H216" s="7" t="s">
        <v>5735</v>
      </c>
      <c r="I216" s="7" t="s">
        <v>5736</v>
      </c>
      <c r="J216" s="7" t="s">
        <v>5726</v>
      </c>
      <c r="K216" s="7" t="s">
        <v>5725</v>
      </c>
      <c r="L216" s="7" t="s">
        <v>5725</v>
      </c>
      <c r="M216" s="7" t="s">
        <v>5725</v>
      </c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spans="1:37">
      <c r="A217" s="7" t="s">
        <v>857</v>
      </c>
      <c r="B217" s="7" t="s">
        <v>858</v>
      </c>
      <c r="C217" s="7" t="s">
        <v>859</v>
      </c>
      <c r="D217" s="4">
        <v>5</v>
      </c>
      <c r="E217" s="5" t="s">
        <v>860</v>
      </c>
      <c r="F217" s="7">
        <f ca="1">IFERROR(__xludf.DUMMYFUNCTION("ARRAYFORMULA(SUM(ARRAYFORMULA(IFERROR(VALUE(SPLIT(SUBSTITUTE(E217,""-"","" ""),"" "")),0))))
"),32)</f>
        <v>32</v>
      </c>
      <c r="G217" s="7" t="s">
        <v>5734</v>
      </c>
      <c r="H217" s="7" t="s">
        <v>5735</v>
      </c>
      <c r="I217" s="7" t="s">
        <v>5736</v>
      </c>
      <c r="J217" s="7" t="s">
        <v>5726</v>
      </c>
      <c r="K217" s="7" t="s">
        <v>5725</v>
      </c>
      <c r="L217" s="7" t="s">
        <v>5725</v>
      </c>
      <c r="M217" s="7" t="s">
        <v>5725</v>
      </c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spans="1:37">
      <c r="A218" s="7" t="s">
        <v>861</v>
      </c>
      <c r="B218" s="7" t="s">
        <v>862</v>
      </c>
      <c r="C218" s="7" t="s">
        <v>863</v>
      </c>
      <c r="D218" s="4">
        <v>5</v>
      </c>
      <c r="E218" s="5" t="s">
        <v>864</v>
      </c>
      <c r="F218" s="7">
        <f ca="1">IFERROR(__xludf.DUMMYFUNCTION("ARRAYFORMULA(SUM(ARRAYFORMULA(IFERROR(VALUE(SPLIT(SUBSTITUTE(E218,""-"","" ""),"" "")),0))))
"),34)</f>
        <v>34</v>
      </c>
      <c r="G218" s="7" t="s">
        <v>5734</v>
      </c>
      <c r="H218" s="7" t="s">
        <v>5735</v>
      </c>
      <c r="I218" s="7" t="s">
        <v>5736</v>
      </c>
      <c r="J218" s="7" t="s">
        <v>5726</v>
      </c>
      <c r="K218" s="7" t="s">
        <v>5725</v>
      </c>
      <c r="L218" s="7" t="s">
        <v>5725</v>
      </c>
      <c r="M218" s="7" t="s">
        <v>5725</v>
      </c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spans="1:37">
      <c r="A219" s="3" t="s">
        <v>865</v>
      </c>
      <c r="B219" s="3" t="s">
        <v>866</v>
      </c>
      <c r="C219" s="3" t="s">
        <v>867</v>
      </c>
      <c r="D219" s="4">
        <v>2</v>
      </c>
      <c r="E219" s="8" t="s">
        <v>868</v>
      </c>
      <c r="F219" s="7">
        <f ca="1">IFERROR(__xludf.DUMMYFUNCTION("ARRAYFORMULA(SUM(ARRAYFORMULA(IFERROR(VALUE(SPLIT(SUBSTITUTE(E219,""-"","" ""),"" "")),0))))
"),16)</f>
        <v>16</v>
      </c>
      <c r="G219" s="7" t="s">
        <v>5706</v>
      </c>
      <c r="H219" s="7" t="s">
        <v>5723</v>
      </c>
      <c r="I219" s="7" t="s">
        <v>5724</v>
      </c>
      <c r="J219" s="7" t="s">
        <v>5725</v>
      </c>
      <c r="K219" s="7" t="s">
        <v>5726</v>
      </c>
      <c r="L219" s="7" t="s">
        <v>5726</v>
      </c>
      <c r="M219" s="7" t="s">
        <v>5726</v>
      </c>
      <c r="N219" s="3"/>
      <c r="O219" s="3"/>
      <c r="P219" s="3"/>
      <c r="Q219" s="3"/>
      <c r="R219" s="8" t="s">
        <v>868</v>
      </c>
      <c r="S219" s="3" t="s">
        <v>5745</v>
      </c>
      <c r="T219" s="111" t="s">
        <v>5380</v>
      </c>
      <c r="U219" s="7" t="str">
        <f>T219&amp;"-"&amp;S219</f>
        <v>3E-16-acabamentos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1:37">
      <c r="A220" s="3" t="s">
        <v>869</v>
      </c>
      <c r="B220" s="3" t="s">
        <v>870</v>
      </c>
      <c r="C220" s="3" t="s">
        <v>871</v>
      </c>
      <c r="D220" s="4">
        <v>3</v>
      </c>
      <c r="E220" s="8" t="s">
        <v>872</v>
      </c>
      <c r="F220" s="7">
        <f ca="1">IFERROR(__xludf.DUMMYFUNCTION("ARRAYFORMULA(SUM(ARRAYFORMULA(IFERROR(VALUE(SPLIT(SUBSTITUTE(E220,""-"","" ""),"" "")),0))))
"),18)</f>
        <v>18</v>
      </c>
      <c r="G220" s="7" t="s">
        <v>5708</v>
      </c>
      <c r="H220" s="7" t="s">
        <v>5732</v>
      </c>
      <c r="I220" s="7" t="s">
        <v>5733</v>
      </c>
      <c r="J220" s="7" t="s">
        <v>5725</v>
      </c>
      <c r="K220" s="7" t="s">
        <v>5725</v>
      </c>
      <c r="L220" s="7" t="s">
        <v>5726</v>
      </c>
      <c r="M220" s="7" t="s">
        <v>5726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1:37">
      <c r="A221" s="7" t="s">
        <v>873</v>
      </c>
      <c r="B221" s="7" t="s">
        <v>874</v>
      </c>
      <c r="C221" s="7" t="s">
        <v>875</v>
      </c>
      <c r="D221" s="4">
        <v>4</v>
      </c>
      <c r="E221" s="5" t="s">
        <v>876</v>
      </c>
      <c r="F221" s="7">
        <f ca="1">IFERROR(__xludf.DUMMYFUNCTION("ARRAYFORMULA(SUM(ARRAYFORMULA(IFERROR(VALUE(SPLIT(SUBSTITUTE(E221,""-"","" ""),"" "")),0))))
"),20)</f>
        <v>20</v>
      </c>
      <c r="G221" s="7" t="s">
        <v>5734</v>
      </c>
      <c r="H221" s="7" t="s">
        <v>5735</v>
      </c>
      <c r="I221" s="7" t="s">
        <v>5736</v>
      </c>
      <c r="J221" s="7" t="s">
        <v>5726</v>
      </c>
      <c r="K221" s="7" t="s">
        <v>5725</v>
      </c>
      <c r="L221" s="7" t="s">
        <v>5725</v>
      </c>
      <c r="M221" s="7" t="s">
        <v>5725</v>
      </c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spans="1:37">
      <c r="A222" s="7" t="s">
        <v>877</v>
      </c>
      <c r="B222" s="7" t="s">
        <v>878</v>
      </c>
      <c r="C222" s="7" t="s">
        <v>879</v>
      </c>
      <c r="D222" s="4">
        <v>4</v>
      </c>
      <c r="E222" s="5" t="s">
        <v>880</v>
      </c>
      <c r="F222" s="7">
        <f ca="1">IFERROR(__xludf.DUMMYFUNCTION("ARRAYFORMULA(SUM(ARRAYFORMULA(IFERROR(VALUE(SPLIT(SUBSTITUTE(E222,""-"","" ""),"" "")),0))))
"),22)</f>
        <v>22</v>
      </c>
      <c r="G222" s="7" t="s">
        <v>5734</v>
      </c>
      <c r="H222" s="7" t="s">
        <v>5735</v>
      </c>
      <c r="I222" s="7" t="s">
        <v>5736</v>
      </c>
      <c r="J222" s="7" t="s">
        <v>5726</v>
      </c>
      <c r="K222" s="7" t="s">
        <v>5725</v>
      </c>
      <c r="L222" s="7" t="s">
        <v>5725</v>
      </c>
      <c r="M222" s="7" t="s">
        <v>5725</v>
      </c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spans="1:37">
      <c r="A223" s="7" t="s">
        <v>881</v>
      </c>
      <c r="B223" s="7" t="s">
        <v>882</v>
      </c>
      <c r="C223" s="7" t="s">
        <v>883</v>
      </c>
      <c r="D223" s="4">
        <v>4</v>
      </c>
      <c r="E223" s="5" t="s">
        <v>884</v>
      </c>
      <c r="F223" s="7">
        <f ca="1">IFERROR(__xludf.DUMMYFUNCTION("ARRAYFORMULA(SUM(ARRAYFORMULA(IFERROR(VALUE(SPLIT(SUBSTITUTE(E223,""-"","" ""),"" "")),0))))
"),24)</f>
        <v>24</v>
      </c>
      <c r="G223" s="7" t="s">
        <v>5734</v>
      </c>
      <c r="H223" s="7" t="s">
        <v>5735</v>
      </c>
      <c r="I223" s="7" t="s">
        <v>5736</v>
      </c>
      <c r="J223" s="7" t="s">
        <v>5726</v>
      </c>
      <c r="K223" s="7" t="s">
        <v>5725</v>
      </c>
      <c r="L223" s="7" t="s">
        <v>5725</v>
      </c>
      <c r="M223" s="7" t="s">
        <v>5725</v>
      </c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spans="1:37">
      <c r="A224" s="7" t="s">
        <v>885</v>
      </c>
      <c r="B224" s="7" t="s">
        <v>886</v>
      </c>
      <c r="C224" s="7" t="s">
        <v>887</v>
      </c>
      <c r="D224" s="4">
        <v>4</v>
      </c>
      <c r="E224" s="5" t="s">
        <v>888</v>
      </c>
      <c r="F224" s="7">
        <f ca="1">IFERROR(__xludf.DUMMYFUNCTION("ARRAYFORMULA(SUM(ARRAYFORMULA(IFERROR(VALUE(SPLIT(SUBSTITUTE(E224,""-"","" ""),"" "")),0))))
"),26)</f>
        <v>26</v>
      </c>
      <c r="G224" s="7" t="s">
        <v>5734</v>
      </c>
      <c r="H224" s="7" t="s">
        <v>5735</v>
      </c>
      <c r="I224" s="7" t="s">
        <v>5736</v>
      </c>
      <c r="J224" s="7" t="s">
        <v>5726</v>
      </c>
      <c r="K224" s="7" t="s">
        <v>5725</v>
      </c>
      <c r="L224" s="7" t="s">
        <v>5725</v>
      </c>
      <c r="M224" s="7" t="s">
        <v>5725</v>
      </c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spans="1:37">
      <c r="A225" s="7" t="s">
        <v>889</v>
      </c>
      <c r="B225" s="7" t="s">
        <v>890</v>
      </c>
      <c r="C225" s="7" t="s">
        <v>891</v>
      </c>
      <c r="D225" s="4">
        <v>4</v>
      </c>
      <c r="E225" s="5" t="s">
        <v>892</v>
      </c>
      <c r="F225" s="7">
        <f ca="1">IFERROR(__xludf.DUMMYFUNCTION("ARRAYFORMULA(SUM(ARRAYFORMULA(IFERROR(VALUE(SPLIT(SUBSTITUTE(E225,""-"","" ""),"" "")),0))))
"),28)</f>
        <v>28</v>
      </c>
      <c r="G225" s="7" t="s">
        <v>5734</v>
      </c>
      <c r="H225" s="7" t="s">
        <v>5735</v>
      </c>
      <c r="I225" s="7" t="s">
        <v>5736</v>
      </c>
      <c r="J225" s="7" t="s">
        <v>5726</v>
      </c>
      <c r="K225" s="7" t="s">
        <v>5725</v>
      </c>
      <c r="L225" s="7" t="s">
        <v>5725</v>
      </c>
      <c r="M225" s="7" t="s">
        <v>5725</v>
      </c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spans="1:37">
      <c r="A226" s="3" t="s">
        <v>893</v>
      </c>
      <c r="B226" s="3" t="s">
        <v>894</v>
      </c>
      <c r="C226" s="3" t="s">
        <v>895</v>
      </c>
      <c r="D226" s="4">
        <v>3</v>
      </c>
      <c r="E226" s="8" t="s">
        <v>896</v>
      </c>
      <c r="F226" s="7">
        <f ca="1">IFERROR(__xludf.DUMMYFUNCTION("ARRAYFORMULA(SUM(ARRAYFORMULA(IFERROR(VALUE(SPLIT(SUBSTITUTE(E226,""-"","" ""),"" "")),0))))
"),20)</f>
        <v>20</v>
      </c>
      <c r="G226" s="7" t="s">
        <v>5708</v>
      </c>
      <c r="H226" s="7" t="s">
        <v>5732</v>
      </c>
      <c r="I226" s="7" t="s">
        <v>5733</v>
      </c>
      <c r="J226" s="7" t="s">
        <v>5725</v>
      </c>
      <c r="K226" s="7" t="s">
        <v>5725</v>
      </c>
      <c r="L226" s="7" t="s">
        <v>5726</v>
      </c>
      <c r="M226" s="7" t="s">
        <v>5726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1:37">
      <c r="A227" s="7" t="s">
        <v>897</v>
      </c>
      <c r="B227" s="7" t="s">
        <v>898</v>
      </c>
      <c r="C227" s="7" t="s">
        <v>899</v>
      </c>
      <c r="D227" s="4">
        <v>4</v>
      </c>
      <c r="E227" s="5" t="s">
        <v>900</v>
      </c>
      <c r="F227" s="7">
        <f ca="1">IFERROR(__xludf.DUMMYFUNCTION("ARRAYFORMULA(SUM(ARRAYFORMULA(IFERROR(VALUE(SPLIT(SUBSTITUTE(E227,""-"","" ""),"" "")),0))))
"),22)</f>
        <v>22</v>
      </c>
      <c r="G227" s="7" t="s">
        <v>5734</v>
      </c>
      <c r="H227" s="7" t="s">
        <v>5735</v>
      </c>
      <c r="I227" s="7" t="s">
        <v>5736</v>
      </c>
      <c r="J227" s="7" t="s">
        <v>5726</v>
      </c>
      <c r="K227" s="7" t="s">
        <v>5725</v>
      </c>
      <c r="L227" s="7" t="s">
        <v>5725</v>
      </c>
      <c r="M227" s="7" t="s">
        <v>5725</v>
      </c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spans="1:37">
      <c r="A228" s="7" t="s">
        <v>901</v>
      </c>
      <c r="B228" s="7" t="s">
        <v>902</v>
      </c>
      <c r="C228" s="7" t="s">
        <v>903</v>
      </c>
      <c r="D228" s="4">
        <v>4</v>
      </c>
      <c r="E228" s="5" t="s">
        <v>904</v>
      </c>
      <c r="F228" s="7">
        <f ca="1">IFERROR(__xludf.DUMMYFUNCTION("ARRAYFORMULA(SUM(ARRAYFORMULA(IFERROR(VALUE(SPLIT(SUBSTITUTE(E228,""-"","" ""),"" "")),0))))
"),24)</f>
        <v>24</v>
      </c>
      <c r="G228" s="7" t="s">
        <v>5734</v>
      </c>
      <c r="H228" s="7" t="s">
        <v>5735</v>
      </c>
      <c r="I228" s="7" t="s">
        <v>5736</v>
      </c>
      <c r="J228" s="7" t="s">
        <v>5726</v>
      </c>
      <c r="K228" s="7" t="s">
        <v>5725</v>
      </c>
      <c r="L228" s="7" t="s">
        <v>5725</v>
      </c>
      <c r="M228" s="7" t="s">
        <v>5725</v>
      </c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spans="1:37">
      <c r="A229" s="7" t="s">
        <v>905</v>
      </c>
      <c r="B229" s="7" t="s">
        <v>906</v>
      </c>
      <c r="C229" s="7" t="s">
        <v>907</v>
      </c>
      <c r="D229" s="4">
        <v>4</v>
      </c>
      <c r="E229" s="5" t="s">
        <v>908</v>
      </c>
      <c r="F229" s="7">
        <f ca="1">IFERROR(__xludf.DUMMYFUNCTION("ARRAYFORMULA(SUM(ARRAYFORMULA(IFERROR(VALUE(SPLIT(SUBSTITUTE(E229,""-"","" ""),"" "")),0))))
"),26)</f>
        <v>26</v>
      </c>
      <c r="G229" s="7" t="s">
        <v>5734</v>
      </c>
      <c r="H229" s="7" t="s">
        <v>5735</v>
      </c>
      <c r="I229" s="7" t="s">
        <v>5736</v>
      </c>
      <c r="J229" s="7" t="s">
        <v>5726</v>
      </c>
      <c r="K229" s="7" t="s">
        <v>5725</v>
      </c>
      <c r="L229" s="7" t="s">
        <v>5725</v>
      </c>
      <c r="M229" s="7" t="s">
        <v>5725</v>
      </c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spans="1:37">
      <c r="A230" s="7" t="s">
        <v>909</v>
      </c>
      <c r="B230" s="7" t="s">
        <v>910</v>
      </c>
      <c r="C230" s="7" t="s">
        <v>911</v>
      </c>
      <c r="D230" s="4">
        <v>4</v>
      </c>
      <c r="E230" s="5" t="s">
        <v>912</v>
      </c>
      <c r="F230" s="7">
        <f ca="1">IFERROR(__xludf.DUMMYFUNCTION("ARRAYFORMULA(SUM(ARRAYFORMULA(IFERROR(VALUE(SPLIT(SUBSTITUTE(E230,""-"","" ""),"" "")),0))))
"),28)</f>
        <v>28</v>
      </c>
      <c r="G230" s="7" t="s">
        <v>5734</v>
      </c>
      <c r="H230" s="7" t="s">
        <v>5735</v>
      </c>
      <c r="I230" s="7" t="s">
        <v>5736</v>
      </c>
      <c r="J230" s="7" t="s">
        <v>5726</v>
      </c>
      <c r="K230" s="7" t="s">
        <v>5725</v>
      </c>
      <c r="L230" s="7" t="s">
        <v>5725</v>
      </c>
      <c r="M230" s="7" t="s">
        <v>5725</v>
      </c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spans="1:37">
      <c r="A231" s="3" t="s">
        <v>913</v>
      </c>
      <c r="B231" s="3" t="s">
        <v>914</v>
      </c>
      <c r="C231" s="3" t="s">
        <v>915</v>
      </c>
      <c r="D231" s="4">
        <v>3</v>
      </c>
      <c r="E231" s="8" t="s">
        <v>916</v>
      </c>
      <c r="F231" s="7">
        <f ca="1">IFERROR(__xludf.DUMMYFUNCTION("ARRAYFORMULA(SUM(ARRAYFORMULA(IFERROR(VALUE(SPLIT(SUBSTITUTE(E231,""-"","" ""),"" "")),0))))
"),22)</f>
        <v>22</v>
      </c>
      <c r="G231" s="7" t="s">
        <v>5708</v>
      </c>
      <c r="H231" s="7" t="s">
        <v>5732</v>
      </c>
      <c r="I231" s="7" t="s">
        <v>5733</v>
      </c>
      <c r="J231" s="7" t="s">
        <v>5725</v>
      </c>
      <c r="K231" s="7" t="s">
        <v>5725</v>
      </c>
      <c r="L231" s="7" t="s">
        <v>5726</v>
      </c>
      <c r="M231" s="7" t="s">
        <v>5726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1:37">
      <c r="A232" s="7" t="s">
        <v>917</v>
      </c>
      <c r="B232" s="7" t="s">
        <v>918</v>
      </c>
      <c r="C232" s="7" t="s">
        <v>919</v>
      </c>
      <c r="D232" s="4">
        <v>4</v>
      </c>
      <c r="E232" s="5" t="s">
        <v>920</v>
      </c>
      <c r="F232" s="7">
        <f ca="1">IFERROR(__xludf.DUMMYFUNCTION("ARRAYFORMULA(SUM(ARRAYFORMULA(IFERROR(VALUE(SPLIT(SUBSTITUTE(E232,""-"","" ""),"" "")),0))))
"),24)</f>
        <v>24</v>
      </c>
      <c r="G232" s="7" t="s">
        <v>5734</v>
      </c>
      <c r="H232" s="7" t="s">
        <v>5735</v>
      </c>
      <c r="I232" s="7" t="s">
        <v>5736</v>
      </c>
      <c r="J232" s="7" t="s">
        <v>5726</v>
      </c>
      <c r="K232" s="7" t="s">
        <v>5725</v>
      </c>
      <c r="L232" s="7" t="s">
        <v>5725</v>
      </c>
      <c r="M232" s="7" t="s">
        <v>5725</v>
      </c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spans="1:37">
      <c r="A233" s="7" t="s">
        <v>921</v>
      </c>
      <c r="B233" s="7" t="s">
        <v>922</v>
      </c>
      <c r="C233" s="7" t="s">
        <v>923</v>
      </c>
      <c r="D233" s="4">
        <v>4</v>
      </c>
      <c r="E233" s="5" t="s">
        <v>924</v>
      </c>
      <c r="F233" s="7">
        <f ca="1">IFERROR(__xludf.DUMMYFUNCTION("ARRAYFORMULA(SUM(ARRAYFORMULA(IFERROR(VALUE(SPLIT(SUBSTITUTE(E233,""-"","" ""),"" "")),0))))
"),26)</f>
        <v>26</v>
      </c>
      <c r="G233" s="7" t="s">
        <v>5734</v>
      </c>
      <c r="H233" s="7" t="s">
        <v>5735</v>
      </c>
      <c r="I233" s="7" t="s">
        <v>5736</v>
      </c>
      <c r="J233" s="7" t="s">
        <v>5726</v>
      </c>
      <c r="K233" s="7" t="s">
        <v>5725</v>
      </c>
      <c r="L233" s="7" t="s">
        <v>5725</v>
      </c>
      <c r="M233" s="7" t="s">
        <v>5725</v>
      </c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spans="1:37">
      <c r="A234" s="7" t="s">
        <v>925</v>
      </c>
      <c r="B234" s="7" t="s">
        <v>926</v>
      </c>
      <c r="C234" s="7" t="s">
        <v>927</v>
      </c>
      <c r="D234" s="4">
        <v>4</v>
      </c>
      <c r="E234" s="5" t="s">
        <v>928</v>
      </c>
      <c r="F234" s="7">
        <f ca="1">IFERROR(__xludf.DUMMYFUNCTION("ARRAYFORMULA(SUM(ARRAYFORMULA(IFERROR(VALUE(SPLIT(SUBSTITUTE(E234,""-"","" ""),"" "")),0))))
"),28)</f>
        <v>28</v>
      </c>
      <c r="G234" s="7" t="s">
        <v>5734</v>
      </c>
      <c r="H234" s="7" t="s">
        <v>5735</v>
      </c>
      <c r="I234" s="7" t="s">
        <v>5736</v>
      </c>
      <c r="J234" s="7" t="s">
        <v>5726</v>
      </c>
      <c r="K234" s="7" t="s">
        <v>5725</v>
      </c>
      <c r="L234" s="7" t="s">
        <v>5725</v>
      </c>
      <c r="M234" s="7" t="s">
        <v>5725</v>
      </c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spans="1:37">
      <c r="A235" s="7" t="s">
        <v>929</v>
      </c>
      <c r="B235" s="7" t="s">
        <v>930</v>
      </c>
      <c r="C235" s="7" t="s">
        <v>931</v>
      </c>
      <c r="D235" s="4">
        <v>4</v>
      </c>
      <c r="E235" s="5" t="s">
        <v>932</v>
      </c>
      <c r="F235" s="7">
        <f ca="1">IFERROR(__xludf.DUMMYFUNCTION("ARRAYFORMULA(SUM(ARRAYFORMULA(IFERROR(VALUE(SPLIT(SUBSTITUTE(E235,""-"","" ""),"" "")),0))))
"),30)</f>
        <v>30</v>
      </c>
      <c r="G235" s="7" t="s">
        <v>5734</v>
      </c>
      <c r="H235" s="7" t="s">
        <v>5735</v>
      </c>
      <c r="I235" s="7" t="s">
        <v>5736</v>
      </c>
      <c r="J235" s="7" t="s">
        <v>5726</v>
      </c>
      <c r="K235" s="7" t="s">
        <v>5725</v>
      </c>
      <c r="L235" s="7" t="s">
        <v>5725</v>
      </c>
      <c r="M235" s="7" t="s">
        <v>5725</v>
      </c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spans="1:37">
      <c r="A236" s="3" t="s">
        <v>933</v>
      </c>
      <c r="B236" s="3" t="s">
        <v>934</v>
      </c>
      <c r="C236" s="3" t="s">
        <v>935</v>
      </c>
      <c r="D236" s="4">
        <v>2</v>
      </c>
      <c r="E236" s="8" t="s">
        <v>936</v>
      </c>
      <c r="F236" s="7">
        <f ca="1">IFERROR(__xludf.DUMMYFUNCTION("ARRAYFORMULA(SUM(ARRAYFORMULA(IFERROR(VALUE(SPLIT(SUBSTITUTE(E236,""-"","" ""),"" "")),0))))
"),18)</f>
        <v>18</v>
      </c>
      <c r="G236" s="7" t="s">
        <v>5706</v>
      </c>
      <c r="H236" s="7" t="s">
        <v>5723</v>
      </c>
      <c r="I236" s="7" t="s">
        <v>5724</v>
      </c>
      <c r="J236" s="7" t="s">
        <v>5725</v>
      </c>
      <c r="K236" s="7" t="s">
        <v>5726</v>
      </c>
      <c r="L236" s="7" t="s">
        <v>5726</v>
      </c>
      <c r="M236" s="7" t="s">
        <v>5726</v>
      </c>
      <c r="N236" s="3"/>
      <c r="O236" s="3"/>
      <c r="P236" s="3"/>
      <c r="Q236" s="3"/>
      <c r="R236" s="8" t="s">
        <v>936</v>
      </c>
      <c r="S236" s="3" t="s">
        <v>5746</v>
      </c>
      <c r="T236" s="111" t="s">
        <v>5374</v>
      </c>
      <c r="U236" s="7" t="str">
        <f>T236&amp;"-"&amp;S236</f>
        <v>3E-18-impermeabilização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1:37">
      <c r="A237" s="3" t="s">
        <v>937</v>
      </c>
      <c r="B237" s="3" t="s">
        <v>938</v>
      </c>
      <c r="C237" s="3" t="s">
        <v>939</v>
      </c>
      <c r="D237" s="4">
        <v>3</v>
      </c>
      <c r="E237" s="8" t="s">
        <v>940</v>
      </c>
      <c r="F237" s="7">
        <f ca="1">IFERROR(__xludf.DUMMYFUNCTION("ARRAYFORMULA(SUM(ARRAYFORMULA(IFERROR(VALUE(SPLIT(SUBSTITUTE(E237,""-"","" ""),"" "")),0))))
"),20)</f>
        <v>20</v>
      </c>
      <c r="G237" s="7" t="s">
        <v>5708</v>
      </c>
      <c r="H237" s="7" t="s">
        <v>5732</v>
      </c>
      <c r="I237" s="7" t="s">
        <v>5733</v>
      </c>
      <c r="J237" s="7" t="s">
        <v>5725</v>
      </c>
      <c r="K237" s="7" t="s">
        <v>5725</v>
      </c>
      <c r="L237" s="7" t="s">
        <v>5726</v>
      </c>
      <c r="M237" s="7" t="s">
        <v>5726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1:37">
      <c r="A238" s="3" t="s">
        <v>941</v>
      </c>
      <c r="B238" s="3" t="s">
        <v>942</v>
      </c>
      <c r="C238" s="3" t="s">
        <v>943</v>
      </c>
      <c r="D238" s="4">
        <v>3</v>
      </c>
      <c r="E238" s="8" t="s">
        <v>944</v>
      </c>
      <c r="F238" s="7">
        <f ca="1">IFERROR(__xludf.DUMMYFUNCTION("ARRAYFORMULA(SUM(ARRAYFORMULA(IFERROR(VALUE(SPLIT(SUBSTITUTE(E238,""-"","" ""),"" "")),0))))
"),22)</f>
        <v>22</v>
      </c>
      <c r="G238" s="7" t="s">
        <v>5708</v>
      </c>
      <c r="H238" s="7" t="s">
        <v>5732</v>
      </c>
      <c r="I238" s="7" t="s">
        <v>5733</v>
      </c>
      <c r="J238" s="7" t="s">
        <v>5725</v>
      </c>
      <c r="K238" s="7" t="s">
        <v>5725</v>
      </c>
      <c r="L238" s="7" t="s">
        <v>5726</v>
      </c>
      <c r="M238" s="7" t="s">
        <v>5726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1:37">
      <c r="A239" s="3" t="s">
        <v>945</v>
      </c>
      <c r="B239" s="3" t="s">
        <v>946</v>
      </c>
      <c r="C239" s="3" t="s">
        <v>947</v>
      </c>
      <c r="D239" s="4">
        <v>3</v>
      </c>
      <c r="E239" s="8" t="s">
        <v>948</v>
      </c>
      <c r="F239" s="7">
        <f ca="1">IFERROR(__xludf.DUMMYFUNCTION("ARRAYFORMULA(SUM(ARRAYFORMULA(IFERROR(VALUE(SPLIT(SUBSTITUTE(E239,""-"","" ""),"" "")),0))))
"),24)</f>
        <v>24</v>
      </c>
      <c r="G239" s="7" t="s">
        <v>5708</v>
      </c>
      <c r="H239" s="7" t="s">
        <v>5732</v>
      </c>
      <c r="I239" s="7" t="s">
        <v>5733</v>
      </c>
      <c r="J239" s="7" t="s">
        <v>5725</v>
      </c>
      <c r="K239" s="7" t="s">
        <v>5725</v>
      </c>
      <c r="L239" s="7" t="s">
        <v>5726</v>
      </c>
      <c r="M239" s="7" t="s">
        <v>5726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1:37">
      <c r="A240" s="3" t="s">
        <v>949</v>
      </c>
      <c r="B240" s="3" t="s">
        <v>950</v>
      </c>
      <c r="C240" s="3" t="s">
        <v>951</v>
      </c>
      <c r="D240" s="4">
        <v>3</v>
      </c>
      <c r="E240" s="8" t="s">
        <v>952</v>
      </c>
      <c r="F240" s="7">
        <f ca="1">IFERROR(__xludf.DUMMYFUNCTION("ARRAYFORMULA(SUM(ARRAYFORMULA(IFERROR(VALUE(SPLIT(SUBSTITUTE(E240,""-"","" ""),"" "")),0))))
"),26)</f>
        <v>26</v>
      </c>
      <c r="G240" s="7" t="s">
        <v>5708</v>
      </c>
      <c r="H240" s="7" t="s">
        <v>5732</v>
      </c>
      <c r="I240" s="7" t="s">
        <v>5733</v>
      </c>
      <c r="J240" s="7" t="s">
        <v>5725</v>
      </c>
      <c r="K240" s="7" t="s">
        <v>5725</v>
      </c>
      <c r="L240" s="7" t="s">
        <v>5726</v>
      </c>
      <c r="M240" s="7" t="s">
        <v>5726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1:37">
      <c r="A241" s="3" t="s">
        <v>953</v>
      </c>
      <c r="B241" s="3" t="s">
        <v>954</v>
      </c>
      <c r="C241" s="3" t="s">
        <v>955</v>
      </c>
      <c r="D241" s="4">
        <v>2</v>
      </c>
      <c r="E241" s="8" t="s">
        <v>956</v>
      </c>
      <c r="F241" s="7">
        <f ca="1">IFERROR(__xludf.DUMMYFUNCTION("ARRAYFORMULA(SUM(ARRAYFORMULA(IFERROR(VALUE(SPLIT(SUBSTITUTE(E241,""-"","" ""),"" "")),0))))
"),20)</f>
        <v>20</v>
      </c>
      <c r="G241" s="7" t="s">
        <v>5706</v>
      </c>
      <c r="H241" s="7" t="s">
        <v>5723</v>
      </c>
      <c r="I241" s="7" t="s">
        <v>5724</v>
      </c>
      <c r="J241" s="7" t="s">
        <v>5725</v>
      </c>
      <c r="K241" s="7" t="s">
        <v>5726</v>
      </c>
      <c r="L241" s="7" t="s">
        <v>5726</v>
      </c>
      <c r="M241" s="7" t="s">
        <v>5726</v>
      </c>
      <c r="N241" s="3"/>
      <c r="O241" s="3"/>
      <c r="P241" s="3"/>
      <c r="Q241" s="3"/>
      <c r="R241" s="8" t="s">
        <v>956</v>
      </c>
      <c r="S241" s="3" t="s">
        <v>5747</v>
      </c>
      <c r="T241" s="111" t="s">
        <v>5378</v>
      </c>
      <c r="U241" s="7" t="str">
        <f>T241&amp;"-"&amp;S241</f>
        <v>3E-20-aberturas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1:37">
      <c r="A242" s="3" t="s">
        <v>957</v>
      </c>
      <c r="B242" s="3" t="s">
        <v>958</v>
      </c>
      <c r="C242" s="3" t="s">
        <v>959</v>
      </c>
      <c r="D242" s="4">
        <v>3</v>
      </c>
      <c r="E242" s="8" t="s">
        <v>960</v>
      </c>
      <c r="F242" s="7">
        <f ca="1">IFERROR(__xludf.DUMMYFUNCTION("ARRAYFORMULA(SUM(ARRAYFORMULA(IFERROR(VALUE(SPLIT(SUBSTITUTE(E242,""-"","" ""),"" "")),0))))
"),22)</f>
        <v>22</v>
      </c>
      <c r="G242" s="7" t="s">
        <v>5708</v>
      </c>
      <c r="H242" s="7" t="s">
        <v>5732</v>
      </c>
      <c r="I242" s="7" t="s">
        <v>5733</v>
      </c>
      <c r="J242" s="7" t="s">
        <v>5725</v>
      </c>
      <c r="K242" s="7" t="s">
        <v>5725</v>
      </c>
      <c r="L242" s="7" t="s">
        <v>5726</v>
      </c>
      <c r="M242" s="7" t="s">
        <v>5726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1:37">
      <c r="A243" s="7" t="s">
        <v>961</v>
      </c>
      <c r="B243" s="7" t="s">
        <v>962</v>
      </c>
      <c r="C243" s="7" t="s">
        <v>963</v>
      </c>
      <c r="D243" s="4">
        <v>4</v>
      </c>
      <c r="E243" s="5" t="s">
        <v>964</v>
      </c>
      <c r="F243" s="7">
        <f ca="1">IFERROR(__xludf.DUMMYFUNCTION("ARRAYFORMULA(SUM(ARRAYFORMULA(IFERROR(VALUE(SPLIT(SUBSTITUTE(E243,""-"","" ""),"" "")),0))))
"),24)</f>
        <v>24</v>
      </c>
      <c r="G243" s="7" t="s">
        <v>5734</v>
      </c>
      <c r="H243" s="7" t="s">
        <v>5735</v>
      </c>
      <c r="I243" s="7" t="s">
        <v>5736</v>
      </c>
      <c r="J243" s="7" t="s">
        <v>5726</v>
      </c>
      <c r="K243" s="7" t="s">
        <v>5725</v>
      </c>
      <c r="L243" s="7" t="s">
        <v>5725</v>
      </c>
      <c r="M243" s="7" t="s">
        <v>5725</v>
      </c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spans="1:37">
      <c r="A244" s="7" t="s">
        <v>965</v>
      </c>
      <c r="B244" s="7" t="s">
        <v>966</v>
      </c>
      <c r="C244" s="7" t="s">
        <v>967</v>
      </c>
      <c r="D244" s="4">
        <v>5</v>
      </c>
      <c r="E244" s="5" t="s">
        <v>968</v>
      </c>
      <c r="F244" s="7">
        <f ca="1">IFERROR(__xludf.DUMMYFUNCTION("ARRAYFORMULA(SUM(ARRAYFORMULA(IFERROR(VALUE(SPLIT(SUBSTITUTE(E244,""-"","" ""),"" "")),0))))
"),26)</f>
        <v>26</v>
      </c>
      <c r="G244" s="7" t="s">
        <v>5734</v>
      </c>
      <c r="H244" s="7" t="s">
        <v>5735</v>
      </c>
      <c r="I244" s="7" t="s">
        <v>5736</v>
      </c>
      <c r="J244" s="7" t="s">
        <v>5726</v>
      </c>
      <c r="K244" s="7" t="s">
        <v>5725</v>
      </c>
      <c r="L244" s="7" t="s">
        <v>5725</v>
      </c>
      <c r="M244" s="7" t="s">
        <v>5725</v>
      </c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spans="1:37">
      <c r="A245" s="7" t="s">
        <v>969</v>
      </c>
      <c r="B245" s="7" t="s">
        <v>970</v>
      </c>
      <c r="C245" s="7" t="s">
        <v>971</v>
      </c>
      <c r="D245" s="4">
        <v>5</v>
      </c>
      <c r="E245" s="5" t="s">
        <v>972</v>
      </c>
      <c r="F245" s="7">
        <f ca="1">IFERROR(__xludf.DUMMYFUNCTION("ARRAYFORMULA(SUM(ARRAYFORMULA(IFERROR(VALUE(SPLIT(SUBSTITUTE(E245,""-"","" ""),"" "")),0))))
"),28)</f>
        <v>28</v>
      </c>
      <c r="G245" s="7" t="s">
        <v>5734</v>
      </c>
      <c r="H245" s="7" t="s">
        <v>5735</v>
      </c>
      <c r="I245" s="7" t="s">
        <v>5736</v>
      </c>
      <c r="J245" s="7" t="s">
        <v>5726</v>
      </c>
      <c r="K245" s="7" t="s">
        <v>5725</v>
      </c>
      <c r="L245" s="7" t="s">
        <v>5725</v>
      </c>
      <c r="M245" s="7" t="s">
        <v>5725</v>
      </c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spans="1:37">
      <c r="A246" s="7" t="s">
        <v>973</v>
      </c>
      <c r="B246" s="7" t="s">
        <v>974</v>
      </c>
      <c r="C246" s="7" t="s">
        <v>975</v>
      </c>
      <c r="D246" s="4">
        <v>5</v>
      </c>
      <c r="E246" s="5" t="s">
        <v>976</v>
      </c>
      <c r="F246" s="7">
        <f ca="1">IFERROR(__xludf.DUMMYFUNCTION("ARRAYFORMULA(SUM(ARRAYFORMULA(IFERROR(VALUE(SPLIT(SUBSTITUTE(E246,""-"","" ""),"" "")),0))))
"),30)</f>
        <v>30</v>
      </c>
      <c r="G246" s="7" t="s">
        <v>5734</v>
      </c>
      <c r="H246" s="7" t="s">
        <v>5735</v>
      </c>
      <c r="I246" s="7" t="s">
        <v>5736</v>
      </c>
      <c r="J246" s="7" t="s">
        <v>5726</v>
      </c>
      <c r="K246" s="7" t="s">
        <v>5725</v>
      </c>
      <c r="L246" s="7" t="s">
        <v>5725</v>
      </c>
      <c r="M246" s="7" t="s">
        <v>5725</v>
      </c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spans="1:37">
      <c r="A247" s="7" t="s">
        <v>977</v>
      </c>
      <c r="B247" s="7" t="s">
        <v>978</v>
      </c>
      <c r="C247" s="7" t="s">
        <v>979</v>
      </c>
      <c r="D247" s="4">
        <v>5</v>
      </c>
      <c r="E247" s="5" t="s">
        <v>980</v>
      </c>
      <c r="F247" s="7">
        <f ca="1">IFERROR(__xludf.DUMMYFUNCTION("ARRAYFORMULA(SUM(ARRAYFORMULA(IFERROR(VALUE(SPLIT(SUBSTITUTE(E247,""-"","" ""),"" "")),0))))
"),32)</f>
        <v>32</v>
      </c>
      <c r="G247" s="7" t="s">
        <v>5734</v>
      </c>
      <c r="H247" s="7" t="s">
        <v>5735</v>
      </c>
      <c r="I247" s="7" t="s">
        <v>5736</v>
      </c>
      <c r="J247" s="7" t="s">
        <v>5726</v>
      </c>
      <c r="K247" s="7" t="s">
        <v>5725</v>
      </c>
      <c r="L247" s="7" t="s">
        <v>5725</v>
      </c>
      <c r="M247" s="7" t="s">
        <v>5725</v>
      </c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spans="1:37">
      <c r="A248" s="7" t="s">
        <v>981</v>
      </c>
      <c r="B248" s="7" t="s">
        <v>982</v>
      </c>
      <c r="C248" s="7" t="s">
        <v>983</v>
      </c>
      <c r="D248" s="4">
        <v>5</v>
      </c>
      <c r="E248" s="5" t="s">
        <v>984</v>
      </c>
      <c r="F248" s="7">
        <f ca="1">IFERROR(__xludf.DUMMYFUNCTION("ARRAYFORMULA(SUM(ARRAYFORMULA(IFERROR(VALUE(SPLIT(SUBSTITUTE(E248,""-"","" ""),"" "")),0))))
"),34)</f>
        <v>34</v>
      </c>
      <c r="G248" s="7" t="s">
        <v>5734</v>
      </c>
      <c r="H248" s="7" t="s">
        <v>5735</v>
      </c>
      <c r="I248" s="7" t="s">
        <v>5736</v>
      </c>
      <c r="J248" s="7" t="s">
        <v>5726</v>
      </c>
      <c r="K248" s="7" t="s">
        <v>5725</v>
      </c>
      <c r="L248" s="7" t="s">
        <v>5725</v>
      </c>
      <c r="M248" s="7" t="s">
        <v>5725</v>
      </c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spans="1:37">
      <c r="A249" s="7" t="s">
        <v>985</v>
      </c>
      <c r="B249" s="7" t="s">
        <v>986</v>
      </c>
      <c r="C249" s="7" t="s">
        <v>987</v>
      </c>
      <c r="D249" s="4">
        <v>5</v>
      </c>
      <c r="E249" s="5" t="s">
        <v>988</v>
      </c>
      <c r="F249" s="7">
        <f ca="1">IFERROR(__xludf.DUMMYFUNCTION("ARRAYFORMULA(SUM(ARRAYFORMULA(IFERROR(VALUE(SPLIT(SUBSTITUTE(E249,""-"","" ""),"" "")),0))))
"),36)</f>
        <v>36</v>
      </c>
      <c r="G249" s="7" t="s">
        <v>5734</v>
      </c>
      <c r="H249" s="7" t="s">
        <v>5735</v>
      </c>
      <c r="I249" s="7" t="s">
        <v>5736</v>
      </c>
      <c r="J249" s="7" t="s">
        <v>5726</v>
      </c>
      <c r="K249" s="7" t="s">
        <v>5725</v>
      </c>
      <c r="L249" s="7" t="s">
        <v>5725</v>
      </c>
      <c r="M249" s="7" t="s">
        <v>5725</v>
      </c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spans="1:37">
      <c r="A250" s="7" t="s">
        <v>989</v>
      </c>
      <c r="B250" s="7" t="s">
        <v>990</v>
      </c>
      <c r="C250" s="7" t="s">
        <v>991</v>
      </c>
      <c r="D250" s="4">
        <v>4</v>
      </c>
      <c r="E250" s="5" t="s">
        <v>992</v>
      </c>
      <c r="F250" s="7">
        <f ca="1">IFERROR(__xludf.DUMMYFUNCTION("ARRAYFORMULA(SUM(ARRAYFORMULA(IFERROR(VALUE(SPLIT(SUBSTITUTE(E250,""-"","" ""),"" "")),0))))
"),26)</f>
        <v>26</v>
      </c>
      <c r="G250" s="7" t="s">
        <v>5734</v>
      </c>
      <c r="H250" s="7" t="s">
        <v>5735</v>
      </c>
      <c r="I250" s="7" t="s">
        <v>5736</v>
      </c>
      <c r="J250" s="7" t="s">
        <v>5726</v>
      </c>
      <c r="K250" s="7" t="s">
        <v>5725</v>
      </c>
      <c r="L250" s="7" t="s">
        <v>5725</v>
      </c>
      <c r="M250" s="7" t="s">
        <v>5725</v>
      </c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spans="1:37">
      <c r="A251" s="3" t="s">
        <v>993</v>
      </c>
      <c r="B251" s="3" t="s">
        <v>994</v>
      </c>
      <c r="C251" s="3" t="s">
        <v>995</v>
      </c>
      <c r="D251" s="4">
        <v>3</v>
      </c>
      <c r="E251" s="8" t="s">
        <v>996</v>
      </c>
      <c r="F251" s="7">
        <f ca="1">IFERROR(__xludf.DUMMYFUNCTION("ARRAYFORMULA(SUM(ARRAYFORMULA(IFERROR(VALUE(SPLIT(SUBSTITUTE(E251,""-"","" ""),"" "")),0))))
"),24)</f>
        <v>24</v>
      </c>
      <c r="G251" s="7" t="s">
        <v>5708</v>
      </c>
      <c r="H251" s="7" t="s">
        <v>5732</v>
      </c>
      <c r="I251" s="7" t="s">
        <v>5733</v>
      </c>
      <c r="J251" s="7" t="s">
        <v>5725</v>
      </c>
      <c r="K251" s="7" t="s">
        <v>5725</v>
      </c>
      <c r="L251" s="7" t="s">
        <v>5726</v>
      </c>
      <c r="M251" s="7" t="s">
        <v>5726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1:37">
      <c r="A252" s="7" t="s">
        <v>997</v>
      </c>
      <c r="B252" s="7" t="s">
        <v>998</v>
      </c>
      <c r="C252" s="7" t="s">
        <v>999</v>
      </c>
      <c r="D252" s="4">
        <v>4</v>
      </c>
      <c r="E252" s="5" t="s">
        <v>1000</v>
      </c>
      <c r="F252" s="7">
        <f ca="1">IFERROR(__xludf.DUMMYFUNCTION("ARRAYFORMULA(SUM(ARRAYFORMULA(IFERROR(VALUE(SPLIT(SUBSTITUTE(E252,""-"","" ""),"" "")),0))))
"),26)</f>
        <v>26</v>
      </c>
      <c r="G252" s="7" t="s">
        <v>5734</v>
      </c>
      <c r="H252" s="7" t="s">
        <v>5735</v>
      </c>
      <c r="I252" s="7" t="s">
        <v>5736</v>
      </c>
      <c r="J252" s="7" t="s">
        <v>5726</v>
      </c>
      <c r="K252" s="7" t="s">
        <v>5725</v>
      </c>
      <c r="L252" s="7" t="s">
        <v>5725</v>
      </c>
      <c r="M252" s="7" t="s">
        <v>5725</v>
      </c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spans="1:37">
      <c r="A253" s="7" t="s">
        <v>1001</v>
      </c>
      <c r="B253" s="7" t="s">
        <v>1002</v>
      </c>
      <c r="C253" s="7" t="s">
        <v>1003</v>
      </c>
      <c r="D253" s="4">
        <v>5</v>
      </c>
      <c r="E253" s="5" t="s">
        <v>1004</v>
      </c>
      <c r="F253" s="7">
        <f ca="1">IFERROR(__xludf.DUMMYFUNCTION("ARRAYFORMULA(SUM(ARRAYFORMULA(IFERROR(VALUE(SPLIT(SUBSTITUTE(E253,""-"","" ""),"" "")),0))))
"),28)</f>
        <v>28</v>
      </c>
      <c r="G253" s="7" t="s">
        <v>5734</v>
      </c>
      <c r="H253" s="7" t="s">
        <v>5735</v>
      </c>
      <c r="I253" s="7" t="s">
        <v>5736</v>
      </c>
      <c r="J253" s="7" t="s">
        <v>5726</v>
      </c>
      <c r="K253" s="7" t="s">
        <v>5725</v>
      </c>
      <c r="L253" s="7" t="s">
        <v>5725</v>
      </c>
      <c r="M253" s="7" t="s">
        <v>5725</v>
      </c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spans="1:37">
      <c r="A254" s="7" t="s">
        <v>1005</v>
      </c>
      <c r="B254" s="7" t="s">
        <v>1006</v>
      </c>
      <c r="C254" s="7" t="s">
        <v>1007</v>
      </c>
      <c r="D254" s="4">
        <v>5</v>
      </c>
      <c r="E254" s="5" t="s">
        <v>1008</v>
      </c>
      <c r="F254" s="7">
        <f ca="1">IFERROR(__xludf.DUMMYFUNCTION("ARRAYFORMULA(SUM(ARRAYFORMULA(IFERROR(VALUE(SPLIT(SUBSTITUTE(E254,""-"","" ""),"" "")),0))))
"),30)</f>
        <v>30</v>
      </c>
      <c r="G254" s="7" t="s">
        <v>5734</v>
      </c>
      <c r="H254" s="7" t="s">
        <v>5735</v>
      </c>
      <c r="I254" s="7" t="s">
        <v>5736</v>
      </c>
      <c r="J254" s="7" t="s">
        <v>5726</v>
      </c>
      <c r="K254" s="7" t="s">
        <v>5725</v>
      </c>
      <c r="L254" s="7" t="s">
        <v>5725</v>
      </c>
      <c r="M254" s="7" t="s">
        <v>5725</v>
      </c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spans="1:37">
      <c r="A255" s="7" t="s">
        <v>1009</v>
      </c>
      <c r="B255" s="7" t="s">
        <v>1010</v>
      </c>
      <c r="C255" s="7" t="s">
        <v>1011</v>
      </c>
      <c r="D255" s="4">
        <v>5</v>
      </c>
      <c r="E255" s="5" t="s">
        <v>1012</v>
      </c>
      <c r="F255" s="7">
        <f ca="1">IFERROR(__xludf.DUMMYFUNCTION("ARRAYFORMULA(SUM(ARRAYFORMULA(IFERROR(VALUE(SPLIT(SUBSTITUTE(E255,""-"","" ""),"" "")),0))))
"),32)</f>
        <v>32</v>
      </c>
      <c r="G255" s="7" t="s">
        <v>5734</v>
      </c>
      <c r="H255" s="7" t="s">
        <v>5735</v>
      </c>
      <c r="I255" s="7" t="s">
        <v>5736</v>
      </c>
      <c r="J255" s="7" t="s">
        <v>5726</v>
      </c>
      <c r="K255" s="7" t="s">
        <v>5725</v>
      </c>
      <c r="L255" s="7" t="s">
        <v>5725</v>
      </c>
      <c r="M255" s="7" t="s">
        <v>5725</v>
      </c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spans="1:37">
      <c r="A256" s="7" t="s">
        <v>1013</v>
      </c>
      <c r="B256" s="7" t="s">
        <v>1014</v>
      </c>
      <c r="C256" s="7" t="s">
        <v>1015</v>
      </c>
      <c r="D256" s="4">
        <v>5</v>
      </c>
      <c r="E256" s="5" t="s">
        <v>1016</v>
      </c>
      <c r="F256" s="7">
        <f ca="1">IFERROR(__xludf.DUMMYFUNCTION("ARRAYFORMULA(SUM(ARRAYFORMULA(IFERROR(VALUE(SPLIT(SUBSTITUTE(E256,""-"","" ""),"" "")),0))))
"),34)</f>
        <v>34</v>
      </c>
      <c r="G256" s="7" t="s">
        <v>5734</v>
      </c>
      <c r="H256" s="7" t="s">
        <v>5735</v>
      </c>
      <c r="I256" s="7" t="s">
        <v>5736</v>
      </c>
      <c r="J256" s="7" t="s">
        <v>5726</v>
      </c>
      <c r="K256" s="7" t="s">
        <v>5725</v>
      </c>
      <c r="L256" s="7" t="s">
        <v>5725</v>
      </c>
      <c r="M256" s="7" t="s">
        <v>5725</v>
      </c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spans="1:37">
      <c r="A257" s="7" t="s">
        <v>1017</v>
      </c>
      <c r="B257" s="7" t="s">
        <v>1018</v>
      </c>
      <c r="C257" s="7" t="s">
        <v>1019</v>
      </c>
      <c r="D257" s="4">
        <v>5</v>
      </c>
      <c r="E257" s="5" t="s">
        <v>1020</v>
      </c>
      <c r="F257" s="7">
        <f ca="1">IFERROR(__xludf.DUMMYFUNCTION("ARRAYFORMULA(SUM(ARRAYFORMULA(IFERROR(VALUE(SPLIT(SUBSTITUTE(E257,""-"","" ""),"" "")),0))))
"),36)</f>
        <v>36</v>
      </c>
      <c r="G257" s="7" t="s">
        <v>5734</v>
      </c>
      <c r="H257" s="7" t="s">
        <v>5735</v>
      </c>
      <c r="I257" s="7" t="s">
        <v>5736</v>
      </c>
      <c r="J257" s="7" t="s">
        <v>5726</v>
      </c>
      <c r="K257" s="7" t="s">
        <v>5725</v>
      </c>
      <c r="L257" s="7" t="s">
        <v>5725</v>
      </c>
      <c r="M257" s="7" t="s">
        <v>5725</v>
      </c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spans="1:37">
      <c r="A258" s="7" t="s">
        <v>1021</v>
      </c>
      <c r="B258" s="7" t="s">
        <v>1022</v>
      </c>
      <c r="C258" s="7" t="s">
        <v>1023</v>
      </c>
      <c r="D258" s="4">
        <v>4</v>
      </c>
      <c r="E258" s="5" t="s">
        <v>1024</v>
      </c>
      <c r="F258" s="7">
        <f ca="1">IFERROR(__xludf.DUMMYFUNCTION("ARRAYFORMULA(SUM(ARRAYFORMULA(IFERROR(VALUE(SPLIT(SUBSTITUTE(E258,""-"","" ""),"" "")),0))))
"),28)</f>
        <v>28</v>
      </c>
      <c r="G258" s="7" t="s">
        <v>5734</v>
      </c>
      <c r="H258" s="7" t="s">
        <v>5735</v>
      </c>
      <c r="I258" s="7" t="s">
        <v>5736</v>
      </c>
      <c r="J258" s="7" t="s">
        <v>5726</v>
      </c>
      <c r="K258" s="7" t="s">
        <v>5725</v>
      </c>
      <c r="L258" s="7" t="s">
        <v>5725</v>
      </c>
      <c r="M258" s="7" t="s">
        <v>5725</v>
      </c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spans="1:37">
      <c r="A259" s="7" t="s">
        <v>1025</v>
      </c>
      <c r="B259" s="7" t="s">
        <v>1026</v>
      </c>
      <c r="C259" s="7" t="s">
        <v>1027</v>
      </c>
      <c r="D259" s="4">
        <v>4</v>
      </c>
      <c r="E259" s="5" t="s">
        <v>1028</v>
      </c>
      <c r="F259" s="7">
        <f ca="1">IFERROR(__xludf.DUMMYFUNCTION("ARRAYFORMULA(SUM(ARRAYFORMULA(IFERROR(VALUE(SPLIT(SUBSTITUTE(E259,""-"","" ""),"" "")),0))))
"),30)</f>
        <v>30</v>
      </c>
      <c r="G259" s="7" t="s">
        <v>5734</v>
      </c>
      <c r="H259" s="7" t="s">
        <v>5735</v>
      </c>
      <c r="I259" s="7" t="s">
        <v>5736</v>
      </c>
      <c r="J259" s="7" t="s">
        <v>5726</v>
      </c>
      <c r="K259" s="7" t="s">
        <v>5725</v>
      </c>
      <c r="L259" s="7" t="s">
        <v>5725</v>
      </c>
      <c r="M259" s="7" t="s">
        <v>5725</v>
      </c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spans="1:37">
      <c r="A260" s="7" t="s">
        <v>1029</v>
      </c>
      <c r="B260" s="7" t="s">
        <v>1030</v>
      </c>
      <c r="C260" s="7" t="s">
        <v>1031</v>
      </c>
      <c r="D260" s="4">
        <v>4</v>
      </c>
      <c r="E260" s="5" t="s">
        <v>1032</v>
      </c>
      <c r="F260" s="7">
        <f ca="1">IFERROR(__xludf.DUMMYFUNCTION("ARRAYFORMULA(SUM(ARRAYFORMULA(IFERROR(VALUE(SPLIT(SUBSTITUTE(E260,""-"","" ""),"" "")),0))))
"),32)</f>
        <v>32</v>
      </c>
      <c r="G260" s="7" t="s">
        <v>5734</v>
      </c>
      <c r="H260" s="7" t="s">
        <v>5735</v>
      </c>
      <c r="I260" s="7" t="s">
        <v>5736</v>
      </c>
      <c r="J260" s="7" t="s">
        <v>5726</v>
      </c>
      <c r="K260" s="7" t="s">
        <v>5725</v>
      </c>
      <c r="L260" s="7" t="s">
        <v>5725</v>
      </c>
      <c r="M260" s="7" t="s">
        <v>5725</v>
      </c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spans="1:37">
      <c r="A261" s="7" t="s">
        <v>1033</v>
      </c>
      <c r="B261" s="7" t="s">
        <v>1034</v>
      </c>
      <c r="C261" s="7" t="s">
        <v>1035</v>
      </c>
      <c r="D261" s="4">
        <v>4</v>
      </c>
      <c r="E261" s="5" t="s">
        <v>1036</v>
      </c>
      <c r="F261" s="7">
        <f ca="1">IFERROR(__xludf.DUMMYFUNCTION("ARRAYFORMULA(SUM(ARRAYFORMULA(IFERROR(VALUE(SPLIT(SUBSTITUTE(E261,""-"","" ""),"" "")),0))))
"),34)</f>
        <v>34</v>
      </c>
      <c r="G261" s="7" t="s">
        <v>5734</v>
      </c>
      <c r="H261" s="7" t="s">
        <v>5735</v>
      </c>
      <c r="I261" s="7" t="s">
        <v>5736</v>
      </c>
      <c r="J261" s="7" t="s">
        <v>5726</v>
      </c>
      <c r="K261" s="7" t="s">
        <v>5725</v>
      </c>
      <c r="L261" s="7" t="s">
        <v>5725</v>
      </c>
      <c r="M261" s="7" t="s">
        <v>5725</v>
      </c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spans="1:37">
      <c r="A262" s="7" t="s">
        <v>1037</v>
      </c>
      <c r="B262" s="7" t="s">
        <v>1038</v>
      </c>
      <c r="C262" s="7" t="s">
        <v>1039</v>
      </c>
      <c r="D262" s="4">
        <v>4</v>
      </c>
      <c r="E262" s="5" t="s">
        <v>1040</v>
      </c>
      <c r="F262" s="7">
        <f ca="1">IFERROR(__xludf.DUMMYFUNCTION("ARRAYFORMULA(SUM(ARRAYFORMULA(IFERROR(VALUE(SPLIT(SUBSTITUTE(E262,""-"","" ""),"" "")),0))))
"),36)</f>
        <v>36</v>
      </c>
      <c r="G262" s="7" t="s">
        <v>5734</v>
      </c>
      <c r="H262" s="7" t="s">
        <v>5735</v>
      </c>
      <c r="I262" s="7" t="s">
        <v>5736</v>
      </c>
      <c r="J262" s="7" t="s">
        <v>5726</v>
      </c>
      <c r="K262" s="7" t="s">
        <v>5725</v>
      </c>
      <c r="L262" s="7" t="s">
        <v>5725</v>
      </c>
      <c r="M262" s="7" t="s">
        <v>5725</v>
      </c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spans="1:37">
      <c r="A263" s="7" t="s">
        <v>1041</v>
      </c>
      <c r="B263" s="7" t="s">
        <v>1042</v>
      </c>
      <c r="C263" s="7" t="s">
        <v>1043</v>
      </c>
      <c r="D263" s="4">
        <v>4</v>
      </c>
      <c r="E263" s="5" t="s">
        <v>1044</v>
      </c>
      <c r="F263" s="7">
        <f ca="1">IFERROR(__xludf.DUMMYFUNCTION("ARRAYFORMULA(SUM(ARRAYFORMULA(IFERROR(VALUE(SPLIT(SUBSTITUTE(E263,""-"","" ""),"" "")),0))))
"),38)</f>
        <v>38</v>
      </c>
      <c r="G263" s="7" t="s">
        <v>5734</v>
      </c>
      <c r="H263" s="7" t="s">
        <v>5735</v>
      </c>
      <c r="I263" s="7" t="s">
        <v>5736</v>
      </c>
      <c r="J263" s="7" t="s">
        <v>5726</v>
      </c>
      <c r="K263" s="7" t="s">
        <v>5725</v>
      </c>
      <c r="L263" s="7" t="s">
        <v>5725</v>
      </c>
      <c r="M263" s="7" t="s">
        <v>5725</v>
      </c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spans="1:37">
      <c r="A264" s="3" t="s">
        <v>1045</v>
      </c>
      <c r="B264" s="3" t="s">
        <v>1046</v>
      </c>
      <c r="C264" s="3" t="s">
        <v>1047</v>
      </c>
      <c r="D264" s="4">
        <v>2</v>
      </c>
      <c r="E264" s="8" t="s">
        <v>1048</v>
      </c>
      <c r="F264" s="7">
        <f ca="1">IFERROR(__xludf.DUMMYFUNCTION("ARRAYFORMULA(SUM(ARRAYFORMULA(IFERROR(VALUE(SPLIT(SUBSTITUTE(E264,""-"","" ""),"" "")),0))))
"),22)</f>
        <v>22</v>
      </c>
      <c r="G264" s="7" t="s">
        <v>5706</v>
      </c>
      <c r="H264" s="7" t="s">
        <v>5723</v>
      </c>
      <c r="I264" s="7" t="s">
        <v>5724</v>
      </c>
      <c r="J264" s="7" t="s">
        <v>5725</v>
      </c>
      <c r="K264" s="7" t="s">
        <v>5726</v>
      </c>
      <c r="L264" s="7" t="s">
        <v>5726</v>
      </c>
      <c r="M264" s="7" t="s">
        <v>5726</v>
      </c>
      <c r="N264" s="3"/>
      <c r="O264" s="3"/>
      <c r="P264" s="3"/>
      <c r="Q264" s="3"/>
      <c r="R264" s="8" t="s">
        <v>1048</v>
      </c>
      <c r="S264" s="3" t="s">
        <v>5748</v>
      </c>
      <c r="T264" s="111" t="s">
        <v>5749</v>
      </c>
      <c r="U264" s="7" t="str">
        <f>T264&amp;"-"&amp;S264</f>
        <v>3E-22-acústicos</v>
      </c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1:37">
      <c r="A265" s="3" t="s">
        <v>1049</v>
      </c>
      <c r="B265" s="3" t="s">
        <v>1050</v>
      </c>
      <c r="C265" s="3" t="s">
        <v>1051</v>
      </c>
      <c r="D265" s="4">
        <v>3</v>
      </c>
      <c r="E265" s="8" t="s">
        <v>1052</v>
      </c>
      <c r="F265" s="7">
        <f ca="1">IFERROR(__xludf.DUMMYFUNCTION("ARRAYFORMULA(SUM(ARRAYFORMULA(IFERROR(VALUE(SPLIT(SUBSTITUTE(E265,""-"","" ""),"" "")),0))))
"),24)</f>
        <v>24</v>
      </c>
      <c r="G265" s="7" t="s">
        <v>5708</v>
      </c>
      <c r="H265" s="7" t="s">
        <v>5732</v>
      </c>
      <c r="I265" s="7" t="s">
        <v>5733</v>
      </c>
      <c r="J265" s="7" t="s">
        <v>5725</v>
      </c>
      <c r="K265" s="7" t="s">
        <v>5725</v>
      </c>
      <c r="L265" s="7" t="s">
        <v>5726</v>
      </c>
      <c r="M265" s="7" t="s">
        <v>5726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1:37">
      <c r="A266" s="3" t="s">
        <v>1053</v>
      </c>
      <c r="B266" s="3" t="s">
        <v>1054</v>
      </c>
      <c r="C266" s="3" t="s">
        <v>1055</v>
      </c>
      <c r="D266" s="4">
        <v>3</v>
      </c>
      <c r="E266" s="8" t="s">
        <v>1056</v>
      </c>
      <c r="F266" s="7">
        <f ca="1">IFERROR(__xludf.DUMMYFUNCTION("ARRAYFORMULA(SUM(ARRAYFORMULA(IFERROR(VALUE(SPLIT(SUBSTITUTE(E266,""-"","" ""),"" "")),0))))
"),26)</f>
        <v>26</v>
      </c>
      <c r="G266" s="7" t="s">
        <v>5708</v>
      </c>
      <c r="H266" s="7" t="s">
        <v>5732</v>
      </c>
      <c r="I266" s="7" t="s">
        <v>5733</v>
      </c>
      <c r="J266" s="7" t="s">
        <v>5725</v>
      </c>
      <c r="K266" s="7" t="s">
        <v>5725</v>
      </c>
      <c r="L266" s="7" t="s">
        <v>5726</v>
      </c>
      <c r="M266" s="7" t="s">
        <v>5726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1:37">
      <c r="A267" s="3" t="s">
        <v>1057</v>
      </c>
      <c r="B267" s="3" t="s">
        <v>1058</v>
      </c>
      <c r="C267" s="3" t="s">
        <v>1059</v>
      </c>
      <c r="D267" s="4">
        <v>3</v>
      </c>
      <c r="E267" s="8" t="s">
        <v>1060</v>
      </c>
      <c r="F267" s="7">
        <f ca="1">IFERROR(__xludf.DUMMYFUNCTION("ARRAYFORMULA(SUM(ARRAYFORMULA(IFERROR(VALUE(SPLIT(SUBSTITUTE(E267,""-"","" ""),"" "")),0))))
"),28)</f>
        <v>28</v>
      </c>
      <c r="G267" s="7" t="s">
        <v>5708</v>
      </c>
      <c r="H267" s="7" t="s">
        <v>5732</v>
      </c>
      <c r="I267" s="7" t="s">
        <v>5733</v>
      </c>
      <c r="J267" s="7" t="s">
        <v>5725</v>
      </c>
      <c r="K267" s="7" t="s">
        <v>5725</v>
      </c>
      <c r="L267" s="7" t="s">
        <v>5726</v>
      </c>
      <c r="M267" s="7" t="s">
        <v>5726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1:37">
      <c r="A268" s="3" t="s">
        <v>1061</v>
      </c>
      <c r="B268" s="3" t="s">
        <v>1062</v>
      </c>
      <c r="C268" s="3" t="s">
        <v>1063</v>
      </c>
      <c r="D268" s="4">
        <v>3</v>
      </c>
      <c r="E268" s="8" t="s">
        <v>1064</v>
      </c>
      <c r="F268" s="7">
        <f ca="1">IFERROR(__xludf.DUMMYFUNCTION("ARRAYFORMULA(SUM(ARRAYFORMULA(IFERROR(VALUE(SPLIT(SUBSTITUTE(E268,""-"","" ""),"" "")),0))))
"),30)</f>
        <v>30</v>
      </c>
      <c r="G268" s="7" t="s">
        <v>5708</v>
      </c>
      <c r="H268" s="7" t="s">
        <v>5732</v>
      </c>
      <c r="I268" s="7" t="s">
        <v>5733</v>
      </c>
      <c r="J268" s="7" t="s">
        <v>5725</v>
      </c>
      <c r="K268" s="7" t="s">
        <v>5725</v>
      </c>
      <c r="L268" s="7" t="s">
        <v>5726</v>
      </c>
      <c r="M268" s="7" t="s">
        <v>5726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1:37">
      <c r="A269" s="3" t="s">
        <v>1065</v>
      </c>
      <c r="B269" s="3" t="s">
        <v>1066</v>
      </c>
      <c r="C269" s="3" t="s">
        <v>1067</v>
      </c>
      <c r="D269" s="4">
        <v>2</v>
      </c>
      <c r="E269" s="8" t="s">
        <v>1068</v>
      </c>
      <c r="F269" s="7">
        <f ca="1">IFERROR(__xludf.DUMMYFUNCTION("ARRAYFORMULA(SUM(ARRAYFORMULA(IFERROR(VALUE(SPLIT(SUBSTITUTE(E269,""-"","" ""),"" "")),0))))
"),24)</f>
        <v>24</v>
      </c>
      <c r="G269" s="7" t="s">
        <v>5706</v>
      </c>
      <c r="H269" s="7" t="s">
        <v>5723</v>
      </c>
      <c r="I269" s="7" t="s">
        <v>5724</v>
      </c>
      <c r="J269" s="7" t="s">
        <v>5725</v>
      </c>
      <c r="K269" s="7" t="s">
        <v>5726</v>
      </c>
      <c r="L269" s="7" t="s">
        <v>5726</v>
      </c>
      <c r="M269" s="7" t="s">
        <v>5726</v>
      </c>
      <c r="N269" s="3"/>
      <c r="O269" s="3"/>
      <c r="P269" s="3"/>
      <c r="Q269" s="3"/>
      <c r="R269" s="8" t="s">
        <v>1068</v>
      </c>
      <c r="S269" s="3" t="s">
        <v>5750</v>
      </c>
      <c r="T269" s="111" t="s">
        <v>5751</v>
      </c>
      <c r="U269" s="7" t="str">
        <f>T269&amp;"-"&amp;S269</f>
        <v>3E-24-redes de transmissão de eletricidade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1:37">
      <c r="A270" s="3" t="s">
        <v>1069</v>
      </c>
      <c r="B270" s="3" t="s">
        <v>1070</v>
      </c>
      <c r="C270" s="3" t="s">
        <v>1071</v>
      </c>
      <c r="D270" s="4">
        <v>3</v>
      </c>
      <c r="E270" s="8" t="s">
        <v>1072</v>
      </c>
      <c r="F270" s="7">
        <f ca="1">IFERROR(__xludf.DUMMYFUNCTION("ARRAYFORMULA(SUM(ARRAYFORMULA(IFERROR(VALUE(SPLIT(SUBSTITUTE(E270,""-"","" ""),"" "")),0))))
"),26)</f>
        <v>26</v>
      </c>
      <c r="G270" s="7" t="s">
        <v>5708</v>
      </c>
      <c r="H270" s="7" t="s">
        <v>5732</v>
      </c>
      <c r="I270" s="7" t="s">
        <v>5733</v>
      </c>
      <c r="J270" s="7" t="s">
        <v>5725</v>
      </c>
      <c r="K270" s="7" t="s">
        <v>5725</v>
      </c>
      <c r="L270" s="7" t="s">
        <v>5726</v>
      </c>
      <c r="M270" s="7" t="s">
        <v>5726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1:37">
      <c r="A271" s="3" t="s">
        <v>1073</v>
      </c>
      <c r="B271" s="3" t="s">
        <v>1074</v>
      </c>
      <c r="C271" s="3" t="s">
        <v>1075</v>
      </c>
      <c r="D271" s="4">
        <v>3</v>
      </c>
      <c r="E271" s="8" t="s">
        <v>1076</v>
      </c>
      <c r="F271" s="7">
        <f ca="1">IFERROR(__xludf.DUMMYFUNCTION("ARRAYFORMULA(SUM(ARRAYFORMULA(IFERROR(VALUE(SPLIT(SUBSTITUTE(E271,""-"","" ""),"" "")),0))))
"),28)</f>
        <v>28</v>
      </c>
      <c r="G271" s="7" t="s">
        <v>5708</v>
      </c>
      <c r="H271" s="7" t="s">
        <v>5732</v>
      </c>
      <c r="I271" s="7" t="s">
        <v>5733</v>
      </c>
      <c r="J271" s="7" t="s">
        <v>5725</v>
      </c>
      <c r="K271" s="7" t="s">
        <v>5725</v>
      </c>
      <c r="L271" s="7" t="s">
        <v>5726</v>
      </c>
      <c r="M271" s="7" t="s">
        <v>5726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1:37">
      <c r="A272" s="3" t="s">
        <v>1077</v>
      </c>
      <c r="B272" s="3" t="s">
        <v>1078</v>
      </c>
      <c r="C272" s="3" t="s">
        <v>1079</v>
      </c>
      <c r="D272" s="4">
        <v>3</v>
      </c>
      <c r="E272" s="8" t="s">
        <v>1080</v>
      </c>
      <c r="F272" s="7">
        <f ca="1">IFERROR(__xludf.DUMMYFUNCTION("ARRAYFORMULA(SUM(ARRAYFORMULA(IFERROR(VALUE(SPLIT(SUBSTITUTE(E272,""-"","" ""),"" "")),0))))
"),30)</f>
        <v>30</v>
      </c>
      <c r="G272" s="7" t="s">
        <v>5708</v>
      </c>
      <c r="H272" s="7" t="s">
        <v>5732</v>
      </c>
      <c r="I272" s="7" t="s">
        <v>5733</v>
      </c>
      <c r="J272" s="7" t="s">
        <v>5725</v>
      </c>
      <c r="K272" s="7" t="s">
        <v>5725</v>
      </c>
      <c r="L272" s="7" t="s">
        <v>5726</v>
      </c>
      <c r="M272" s="7" t="s">
        <v>5726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1:37">
      <c r="A273" s="3" t="s">
        <v>1081</v>
      </c>
      <c r="B273" s="3" t="s">
        <v>1082</v>
      </c>
      <c r="C273" s="3" t="s">
        <v>1083</v>
      </c>
      <c r="D273" s="4">
        <v>3</v>
      </c>
      <c r="E273" s="8" t="s">
        <v>1084</v>
      </c>
      <c r="F273" s="7">
        <f ca="1">IFERROR(__xludf.DUMMYFUNCTION("ARRAYFORMULA(SUM(ARRAYFORMULA(IFERROR(VALUE(SPLIT(SUBSTITUTE(E273,""-"","" ""),"" "")),0))))
"),32)</f>
        <v>32</v>
      </c>
      <c r="G273" s="7" t="s">
        <v>5708</v>
      </c>
      <c r="H273" s="7" t="s">
        <v>5732</v>
      </c>
      <c r="I273" s="7" t="s">
        <v>5733</v>
      </c>
      <c r="J273" s="7" t="s">
        <v>5725</v>
      </c>
      <c r="K273" s="7" t="s">
        <v>5725</v>
      </c>
      <c r="L273" s="7" t="s">
        <v>5726</v>
      </c>
      <c r="M273" s="7" t="s">
        <v>5726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1:37">
      <c r="A274" s="3" t="s">
        <v>1085</v>
      </c>
      <c r="B274" s="3" t="s">
        <v>1086</v>
      </c>
      <c r="C274" s="3" t="s">
        <v>1087</v>
      </c>
      <c r="D274" s="4">
        <v>2</v>
      </c>
      <c r="E274" s="8" t="s">
        <v>1088</v>
      </c>
      <c r="F274" s="7">
        <f ca="1">IFERROR(__xludf.DUMMYFUNCTION("ARRAYFORMULA(SUM(ARRAYFORMULA(IFERROR(VALUE(SPLIT(SUBSTITUTE(E274,""-"","" ""),"" "")),0))))
"),26)</f>
        <v>26</v>
      </c>
      <c r="G274" s="7" t="s">
        <v>5706</v>
      </c>
      <c r="H274" s="7" t="s">
        <v>5723</v>
      </c>
      <c r="I274" s="7" t="s">
        <v>5724</v>
      </c>
      <c r="J274" s="7" t="s">
        <v>5725</v>
      </c>
      <c r="K274" s="7" t="s">
        <v>5726</v>
      </c>
      <c r="L274" s="7" t="s">
        <v>5726</v>
      </c>
      <c r="M274" s="7" t="s">
        <v>5726</v>
      </c>
      <c r="N274" s="3"/>
      <c r="O274" s="3"/>
      <c r="P274" s="3"/>
      <c r="Q274" s="3"/>
      <c r="R274" s="8" t="s">
        <v>1088</v>
      </c>
      <c r="S274" s="3" t="s">
        <v>5752</v>
      </c>
      <c r="T274" s="111" t="s">
        <v>5389</v>
      </c>
      <c r="U274" s="7" t="str">
        <f>T274&amp;"-"&amp;S274</f>
        <v>3E-26-instalações prediais de eletricidade</v>
      </c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1:37">
      <c r="A275" s="3" t="s">
        <v>1089</v>
      </c>
      <c r="B275" s="3" t="s">
        <v>1090</v>
      </c>
      <c r="C275" s="3" t="s">
        <v>1091</v>
      </c>
      <c r="D275" s="4">
        <v>3</v>
      </c>
      <c r="E275" s="8" t="s">
        <v>1092</v>
      </c>
      <c r="F275" s="7">
        <f ca="1">IFERROR(__xludf.DUMMYFUNCTION("ARRAYFORMULA(SUM(ARRAYFORMULA(IFERROR(VALUE(SPLIT(SUBSTITUTE(E275,""-"","" ""),"" "")),0))))
"),28)</f>
        <v>28</v>
      </c>
      <c r="G275" s="7" t="s">
        <v>5708</v>
      </c>
      <c r="H275" s="7" t="s">
        <v>5732</v>
      </c>
      <c r="I275" s="7" t="s">
        <v>5733</v>
      </c>
      <c r="J275" s="7" t="s">
        <v>5725</v>
      </c>
      <c r="K275" s="7" t="s">
        <v>5725</v>
      </c>
      <c r="L275" s="7" t="s">
        <v>5726</v>
      </c>
      <c r="M275" s="7" t="s">
        <v>5726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1:37">
      <c r="A276" s="7" t="s">
        <v>1093</v>
      </c>
      <c r="B276" s="7" t="s">
        <v>1094</v>
      </c>
      <c r="C276" s="7" t="s">
        <v>1095</v>
      </c>
      <c r="D276" s="4">
        <v>4</v>
      </c>
      <c r="E276" s="5" t="s">
        <v>1096</v>
      </c>
      <c r="F276" s="7">
        <f ca="1">IFERROR(__xludf.DUMMYFUNCTION("ARRAYFORMULA(SUM(ARRAYFORMULA(IFERROR(VALUE(SPLIT(SUBSTITUTE(E276,""-"","" ""),"" "")),0))))
"),30)</f>
        <v>30</v>
      </c>
      <c r="G276" s="7" t="s">
        <v>5734</v>
      </c>
      <c r="H276" s="7" t="s">
        <v>5735</v>
      </c>
      <c r="I276" s="7" t="s">
        <v>5736</v>
      </c>
      <c r="J276" s="7" t="s">
        <v>5726</v>
      </c>
      <c r="K276" s="7" t="s">
        <v>5725</v>
      </c>
      <c r="L276" s="7" t="s">
        <v>5725</v>
      </c>
      <c r="M276" s="7" t="s">
        <v>5725</v>
      </c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spans="1:37">
      <c r="A277" s="7" t="s">
        <v>1097</v>
      </c>
      <c r="B277" s="7" t="s">
        <v>1098</v>
      </c>
      <c r="C277" s="7" t="s">
        <v>1099</v>
      </c>
      <c r="D277" s="4">
        <v>4</v>
      </c>
      <c r="E277" s="5" t="s">
        <v>1100</v>
      </c>
      <c r="F277" s="7">
        <f ca="1">IFERROR(__xludf.DUMMYFUNCTION("ARRAYFORMULA(SUM(ARRAYFORMULA(IFERROR(VALUE(SPLIT(SUBSTITUTE(E277,""-"","" ""),"" "")),0))))
"),32)</f>
        <v>32</v>
      </c>
      <c r="G277" s="7" t="s">
        <v>5734</v>
      </c>
      <c r="H277" s="7" t="s">
        <v>5735</v>
      </c>
      <c r="I277" s="7" t="s">
        <v>5736</v>
      </c>
      <c r="J277" s="7" t="s">
        <v>5726</v>
      </c>
      <c r="K277" s="7" t="s">
        <v>5725</v>
      </c>
      <c r="L277" s="7" t="s">
        <v>5725</v>
      </c>
      <c r="M277" s="7" t="s">
        <v>5725</v>
      </c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spans="1:37">
      <c r="A278" s="7" t="s">
        <v>1101</v>
      </c>
      <c r="B278" s="7" t="s">
        <v>1102</v>
      </c>
      <c r="C278" s="7" t="s">
        <v>1103</v>
      </c>
      <c r="D278" s="4">
        <v>4</v>
      </c>
      <c r="E278" s="5" t="s">
        <v>1104</v>
      </c>
      <c r="F278" s="7">
        <f ca="1">IFERROR(__xludf.DUMMYFUNCTION("ARRAYFORMULA(SUM(ARRAYFORMULA(IFERROR(VALUE(SPLIT(SUBSTITUTE(E278,""-"","" ""),"" "")),0))))
"),34)</f>
        <v>34</v>
      </c>
      <c r="G278" s="7" t="s">
        <v>5734</v>
      </c>
      <c r="H278" s="7" t="s">
        <v>5735</v>
      </c>
      <c r="I278" s="7" t="s">
        <v>5736</v>
      </c>
      <c r="J278" s="7" t="s">
        <v>5726</v>
      </c>
      <c r="K278" s="7" t="s">
        <v>5725</v>
      </c>
      <c r="L278" s="7" t="s">
        <v>5725</v>
      </c>
      <c r="M278" s="7" t="s">
        <v>5725</v>
      </c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spans="1:37">
      <c r="A279" s="3" t="s">
        <v>1105</v>
      </c>
      <c r="B279" s="3" t="s">
        <v>1106</v>
      </c>
      <c r="C279" s="3" t="s">
        <v>1107</v>
      </c>
      <c r="D279" s="4">
        <v>3</v>
      </c>
      <c r="E279" s="8" t="s">
        <v>1108</v>
      </c>
      <c r="F279" s="7">
        <f ca="1">IFERROR(__xludf.DUMMYFUNCTION("ARRAYFORMULA(SUM(ARRAYFORMULA(IFERROR(VALUE(SPLIT(SUBSTITUTE(E279,""-"","" ""),"" "")),0))))
"),30)</f>
        <v>30</v>
      </c>
      <c r="G279" s="7" t="s">
        <v>5708</v>
      </c>
      <c r="H279" s="7" t="s">
        <v>5732</v>
      </c>
      <c r="I279" s="7" t="s">
        <v>5733</v>
      </c>
      <c r="J279" s="7" t="s">
        <v>5725</v>
      </c>
      <c r="K279" s="7" t="s">
        <v>5725</v>
      </c>
      <c r="L279" s="7" t="s">
        <v>5726</v>
      </c>
      <c r="M279" s="7" t="s">
        <v>5726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1:37">
      <c r="A280" s="7" t="s">
        <v>1109</v>
      </c>
      <c r="B280" s="7" t="s">
        <v>1110</v>
      </c>
      <c r="C280" s="7" t="s">
        <v>1111</v>
      </c>
      <c r="D280" s="4">
        <v>4</v>
      </c>
      <c r="E280" s="5" t="s">
        <v>1112</v>
      </c>
      <c r="F280" s="7">
        <f ca="1">IFERROR(__xludf.DUMMYFUNCTION("ARRAYFORMULA(SUM(ARRAYFORMULA(IFERROR(VALUE(SPLIT(SUBSTITUTE(E280,""-"","" ""),"" "")),0))))
"),32)</f>
        <v>32</v>
      </c>
      <c r="G280" s="7" t="s">
        <v>5734</v>
      </c>
      <c r="H280" s="7" t="s">
        <v>5735</v>
      </c>
      <c r="I280" s="7" t="s">
        <v>5736</v>
      </c>
      <c r="J280" s="7" t="s">
        <v>5726</v>
      </c>
      <c r="K280" s="7" t="s">
        <v>5725</v>
      </c>
      <c r="L280" s="7" t="s">
        <v>5725</v>
      </c>
      <c r="M280" s="7" t="s">
        <v>5725</v>
      </c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spans="1:37">
      <c r="A281" s="7" t="s">
        <v>1113</v>
      </c>
      <c r="B281" s="7" t="s">
        <v>1114</v>
      </c>
      <c r="C281" s="7" t="s">
        <v>1115</v>
      </c>
      <c r="D281" s="4">
        <v>5</v>
      </c>
      <c r="E281" s="5" t="s">
        <v>1116</v>
      </c>
      <c r="F281" s="7">
        <f ca="1">IFERROR(__xludf.DUMMYFUNCTION("ARRAYFORMULA(SUM(ARRAYFORMULA(IFERROR(VALUE(SPLIT(SUBSTITUTE(E281,""-"","" ""),"" "")),0))))
"),34)</f>
        <v>34</v>
      </c>
      <c r="G281" s="7" t="s">
        <v>5734</v>
      </c>
      <c r="H281" s="7" t="s">
        <v>5735</v>
      </c>
      <c r="I281" s="7" t="s">
        <v>5736</v>
      </c>
      <c r="J281" s="7" t="s">
        <v>5726</v>
      </c>
      <c r="K281" s="7" t="s">
        <v>5725</v>
      </c>
      <c r="L281" s="7" t="s">
        <v>5725</v>
      </c>
      <c r="M281" s="7" t="s">
        <v>5725</v>
      </c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spans="1:37">
      <c r="A282" s="7" t="s">
        <v>1117</v>
      </c>
      <c r="B282" s="7" t="s">
        <v>1118</v>
      </c>
      <c r="C282" s="7" t="s">
        <v>1119</v>
      </c>
      <c r="D282" s="4">
        <v>5</v>
      </c>
      <c r="E282" s="5" t="s">
        <v>1120</v>
      </c>
      <c r="F282" s="7">
        <f ca="1">IFERROR(__xludf.DUMMYFUNCTION("ARRAYFORMULA(SUM(ARRAYFORMULA(IFERROR(VALUE(SPLIT(SUBSTITUTE(E282,""-"","" ""),"" "")),0))))
"),36)</f>
        <v>36</v>
      </c>
      <c r="G282" s="7" t="s">
        <v>5734</v>
      </c>
      <c r="H282" s="7" t="s">
        <v>5735</v>
      </c>
      <c r="I282" s="7" t="s">
        <v>5736</v>
      </c>
      <c r="J282" s="7" t="s">
        <v>5726</v>
      </c>
      <c r="K282" s="7" t="s">
        <v>5725</v>
      </c>
      <c r="L282" s="7" t="s">
        <v>5725</v>
      </c>
      <c r="M282" s="7" t="s">
        <v>5725</v>
      </c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spans="1:37">
      <c r="A283" s="7" t="s">
        <v>1121</v>
      </c>
      <c r="B283" s="7" t="s">
        <v>1122</v>
      </c>
      <c r="C283" s="7" t="s">
        <v>1123</v>
      </c>
      <c r="D283" s="4">
        <v>5</v>
      </c>
      <c r="E283" s="5" t="s">
        <v>1124</v>
      </c>
      <c r="F283" s="7">
        <f ca="1">IFERROR(__xludf.DUMMYFUNCTION("ARRAYFORMULA(SUM(ARRAYFORMULA(IFERROR(VALUE(SPLIT(SUBSTITUTE(E283,""-"","" ""),"" "")),0))))
"),38)</f>
        <v>38</v>
      </c>
      <c r="G283" s="7" t="s">
        <v>5734</v>
      </c>
      <c r="H283" s="7" t="s">
        <v>5735</v>
      </c>
      <c r="I283" s="7" t="s">
        <v>5736</v>
      </c>
      <c r="J283" s="7" t="s">
        <v>5726</v>
      </c>
      <c r="K283" s="7" t="s">
        <v>5725</v>
      </c>
      <c r="L283" s="7" t="s">
        <v>5725</v>
      </c>
      <c r="M283" s="7" t="s">
        <v>5725</v>
      </c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spans="1:37">
      <c r="A284" s="7" t="s">
        <v>1125</v>
      </c>
      <c r="B284" s="7" t="s">
        <v>1126</v>
      </c>
      <c r="C284" s="7" t="s">
        <v>1127</v>
      </c>
      <c r="D284" s="4">
        <v>4</v>
      </c>
      <c r="E284" s="5" t="s">
        <v>1128</v>
      </c>
      <c r="F284" s="7">
        <f ca="1">IFERROR(__xludf.DUMMYFUNCTION("ARRAYFORMULA(SUM(ARRAYFORMULA(IFERROR(VALUE(SPLIT(SUBSTITUTE(E284,""-"","" ""),"" "")),0))))
"),34)</f>
        <v>34</v>
      </c>
      <c r="G284" s="7" t="s">
        <v>5734</v>
      </c>
      <c r="H284" s="7" t="s">
        <v>5735</v>
      </c>
      <c r="I284" s="7" t="s">
        <v>5736</v>
      </c>
      <c r="J284" s="7" t="s">
        <v>5726</v>
      </c>
      <c r="K284" s="7" t="s">
        <v>5725</v>
      </c>
      <c r="L284" s="7" t="s">
        <v>5725</v>
      </c>
      <c r="M284" s="7" t="s">
        <v>5725</v>
      </c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spans="1:37">
      <c r="A285" s="7" t="s">
        <v>1129</v>
      </c>
      <c r="B285" s="7" t="s">
        <v>1130</v>
      </c>
      <c r="C285" s="7" t="s">
        <v>1131</v>
      </c>
      <c r="D285" s="4">
        <v>4</v>
      </c>
      <c r="E285" s="5" t="s">
        <v>1132</v>
      </c>
      <c r="F285" s="7">
        <f ca="1">IFERROR(__xludf.DUMMYFUNCTION("ARRAYFORMULA(SUM(ARRAYFORMULA(IFERROR(VALUE(SPLIT(SUBSTITUTE(E285,""-"","" ""),"" "")),0))))
"),36)</f>
        <v>36</v>
      </c>
      <c r="G285" s="7" t="s">
        <v>5734</v>
      </c>
      <c r="H285" s="7" t="s">
        <v>5735</v>
      </c>
      <c r="I285" s="7" t="s">
        <v>5736</v>
      </c>
      <c r="J285" s="7" t="s">
        <v>5726</v>
      </c>
      <c r="K285" s="7" t="s">
        <v>5725</v>
      </c>
      <c r="L285" s="7" t="s">
        <v>5725</v>
      </c>
      <c r="M285" s="7" t="s">
        <v>5725</v>
      </c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spans="1:37">
      <c r="A286" s="3" t="s">
        <v>1133</v>
      </c>
      <c r="B286" s="3" t="s">
        <v>1134</v>
      </c>
      <c r="C286" s="3" t="s">
        <v>1135</v>
      </c>
      <c r="D286" s="4">
        <v>3</v>
      </c>
      <c r="E286" s="8" t="s">
        <v>1136</v>
      </c>
      <c r="F286" s="7">
        <f ca="1">IFERROR(__xludf.DUMMYFUNCTION("ARRAYFORMULA(SUM(ARRAYFORMULA(IFERROR(VALUE(SPLIT(SUBSTITUTE(E286,""-"","" ""),"" "")),0))))
"),32)</f>
        <v>32</v>
      </c>
      <c r="G286" s="7" t="s">
        <v>5708</v>
      </c>
      <c r="H286" s="7" t="s">
        <v>5732</v>
      </c>
      <c r="I286" s="7" t="s">
        <v>5733</v>
      </c>
      <c r="J286" s="7" t="s">
        <v>5725</v>
      </c>
      <c r="K286" s="7" t="s">
        <v>5725</v>
      </c>
      <c r="L286" s="7" t="s">
        <v>5726</v>
      </c>
      <c r="M286" s="7" t="s">
        <v>5726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1:37">
      <c r="A287" s="7" t="s">
        <v>1137</v>
      </c>
      <c r="B287" s="7" t="s">
        <v>1138</v>
      </c>
      <c r="C287" s="7" t="s">
        <v>1139</v>
      </c>
      <c r="D287" s="4">
        <v>4</v>
      </c>
      <c r="E287" s="5" t="s">
        <v>1140</v>
      </c>
      <c r="F287" s="7">
        <f ca="1">IFERROR(__xludf.DUMMYFUNCTION("ARRAYFORMULA(SUM(ARRAYFORMULA(IFERROR(VALUE(SPLIT(SUBSTITUTE(E287,""-"","" ""),"" "")),0))))
"),34)</f>
        <v>34</v>
      </c>
      <c r="G287" s="7" t="s">
        <v>5734</v>
      </c>
      <c r="H287" s="7" t="s">
        <v>5735</v>
      </c>
      <c r="I287" s="7" t="s">
        <v>5736</v>
      </c>
      <c r="J287" s="7" t="s">
        <v>5726</v>
      </c>
      <c r="K287" s="7" t="s">
        <v>5725</v>
      </c>
      <c r="L287" s="7" t="s">
        <v>5725</v>
      </c>
      <c r="M287" s="7" t="s">
        <v>5725</v>
      </c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spans="1:37">
      <c r="A288" s="7" t="s">
        <v>1141</v>
      </c>
      <c r="B288" s="7" t="s">
        <v>1142</v>
      </c>
      <c r="C288" s="7" t="s">
        <v>1143</v>
      </c>
      <c r="D288" s="4">
        <v>4</v>
      </c>
      <c r="E288" s="5" t="s">
        <v>1144</v>
      </c>
      <c r="F288" s="7">
        <f ca="1">IFERROR(__xludf.DUMMYFUNCTION("ARRAYFORMULA(SUM(ARRAYFORMULA(IFERROR(VALUE(SPLIT(SUBSTITUTE(E288,""-"","" ""),"" "")),0))))
"),36)</f>
        <v>36</v>
      </c>
      <c r="G288" s="7" t="s">
        <v>5734</v>
      </c>
      <c r="H288" s="7" t="s">
        <v>5735</v>
      </c>
      <c r="I288" s="7" t="s">
        <v>5736</v>
      </c>
      <c r="J288" s="7" t="s">
        <v>5726</v>
      </c>
      <c r="K288" s="7" t="s">
        <v>5725</v>
      </c>
      <c r="L288" s="7" t="s">
        <v>5725</v>
      </c>
      <c r="M288" s="7" t="s">
        <v>5725</v>
      </c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spans="1:37">
      <c r="A289" s="7" t="s">
        <v>1145</v>
      </c>
      <c r="B289" s="7" t="s">
        <v>1146</v>
      </c>
      <c r="C289" s="7" t="s">
        <v>1147</v>
      </c>
      <c r="D289" s="4">
        <v>4</v>
      </c>
      <c r="E289" s="5" t="s">
        <v>1148</v>
      </c>
      <c r="F289" s="7">
        <f ca="1">IFERROR(__xludf.DUMMYFUNCTION("ARRAYFORMULA(SUM(ARRAYFORMULA(IFERROR(VALUE(SPLIT(SUBSTITUTE(E289,""-"","" ""),"" "")),0))))
"),38)</f>
        <v>38</v>
      </c>
      <c r="G289" s="7" t="s">
        <v>5734</v>
      </c>
      <c r="H289" s="7" t="s">
        <v>5735</v>
      </c>
      <c r="I289" s="7" t="s">
        <v>5736</v>
      </c>
      <c r="J289" s="7" t="s">
        <v>5726</v>
      </c>
      <c r="K289" s="7" t="s">
        <v>5725</v>
      </c>
      <c r="L289" s="7" t="s">
        <v>5725</v>
      </c>
      <c r="M289" s="7" t="s">
        <v>5725</v>
      </c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spans="1:37">
      <c r="A290" s="7" t="s">
        <v>1149</v>
      </c>
      <c r="B290" s="7" t="s">
        <v>1150</v>
      </c>
      <c r="C290" s="7" t="s">
        <v>1151</v>
      </c>
      <c r="D290" s="4">
        <v>4</v>
      </c>
      <c r="E290" s="5" t="s">
        <v>1152</v>
      </c>
      <c r="F290" s="7">
        <f ca="1">IFERROR(__xludf.DUMMYFUNCTION("ARRAYFORMULA(SUM(ARRAYFORMULA(IFERROR(VALUE(SPLIT(SUBSTITUTE(E290,""-"","" ""),"" "")),0))))
"),40)</f>
        <v>40</v>
      </c>
      <c r="G290" s="7" t="s">
        <v>5734</v>
      </c>
      <c r="H290" s="7" t="s">
        <v>5735</v>
      </c>
      <c r="I290" s="7" t="s">
        <v>5736</v>
      </c>
      <c r="J290" s="7" t="s">
        <v>5726</v>
      </c>
      <c r="K290" s="7" t="s">
        <v>5725</v>
      </c>
      <c r="L290" s="7" t="s">
        <v>5725</v>
      </c>
      <c r="M290" s="7" t="s">
        <v>5725</v>
      </c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spans="1:37">
      <c r="A291" s="7" t="s">
        <v>1153</v>
      </c>
      <c r="B291" s="7" t="s">
        <v>1154</v>
      </c>
      <c r="C291" s="7" t="s">
        <v>1155</v>
      </c>
      <c r="D291" s="4">
        <v>4</v>
      </c>
      <c r="E291" s="5" t="s">
        <v>1156</v>
      </c>
      <c r="F291" s="7">
        <f ca="1">IFERROR(__xludf.DUMMYFUNCTION("ARRAYFORMULA(SUM(ARRAYFORMULA(IFERROR(VALUE(SPLIT(SUBSTITUTE(E291,""-"","" ""),"" "")),0))))
"),42)</f>
        <v>42</v>
      </c>
      <c r="G291" s="7" t="s">
        <v>5734</v>
      </c>
      <c r="H291" s="7" t="s">
        <v>5735</v>
      </c>
      <c r="I291" s="7" t="s">
        <v>5736</v>
      </c>
      <c r="J291" s="7" t="s">
        <v>5726</v>
      </c>
      <c r="K291" s="7" t="s">
        <v>5725</v>
      </c>
      <c r="L291" s="7" t="s">
        <v>5725</v>
      </c>
      <c r="M291" s="7" t="s">
        <v>5725</v>
      </c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spans="1:37">
      <c r="A292" s="3" t="s">
        <v>1157</v>
      </c>
      <c r="B292" s="3" t="s">
        <v>1158</v>
      </c>
      <c r="C292" s="3" t="s">
        <v>1159</v>
      </c>
      <c r="D292" s="4">
        <v>3</v>
      </c>
      <c r="E292" s="8" t="s">
        <v>1160</v>
      </c>
      <c r="F292" s="7">
        <f ca="1">IFERROR(__xludf.DUMMYFUNCTION("ARRAYFORMULA(SUM(ARRAYFORMULA(IFERROR(VALUE(SPLIT(SUBSTITUTE(E292,""-"","" ""),"" "")),0))))
"),34)</f>
        <v>34</v>
      </c>
      <c r="G292" s="7" t="s">
        <v>5708</v>
      </c>
      <c r="H292" s="7" t="s">
        <v>5732</v>
      </c>
      <c r="I292" s="7" t="s">
        <v>5733</v>
      </c>
      <c r="J292" s="7" t="s">
        <v>5725</v>
      </c>
      <c r="K292" s="7" t="s">
        <v>5725</v>
      </c>
      <c r="L292" s="7" t="s">
        <v>5726</v>
      </c>
      <c r="M292" s="7" t="s">
        <v>5726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1:37">
      <c r="A293" s="7" t="s">
        <v>1161</v>
      </c>
      <c r="B293" s="7" t="s">
        <v>1162</v>
      </c>
      <c r="C293" s="7" t="s">
        <v>1163</v>
      </c>
      <c r="D293" s="4">
        <v>4</v>
      </c>
      <c r="E293" s="5" t="s">
        <v>1164</v>
      </c>
      <c r="F293" s="7">
        <f ca="1">IFERROR(__xludf.DUMMYFUNCTION("ARRAYFORMULA(SUM(ARRAYFORMULA(IFERROR(VALUE(SPLIT(SUBSTITUTE(E293,""-"","" ""),"" "")),0))))
"),36)</f>
        <v>36</v>
      </c>
      <c r="G293" s="7" t="s">
        <v>5734</v>
      </c>
      <c r="H293" s="7" t="s">
        <v>5735</v>
      </c>
      <c r="I293" s="7" t="s">
        <v>5736</v>
      </c>
      <c r="J293" s="7" t="s">
        <v>5726</v>
      </c>
      <c r="K293" s="7" t="s">
        <v>5725</v>
      </c>
      <c r="L293" s="7" t="s">
        <v>5725</v>
      </c>
      <c r="M293" s="7" t="s">
        <v>5725</v>
      </c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spans="1:37">
      <c r="A294" s="7" t="s">
        <v>1165</v>
      </c>
      <c r="B294" s="7" t="s">
        <v>1166</v>
      </c>
      <c r="C294" s="7" t="s">
        <v>1167</v>
      </c>
      <c r="D294" s="4">
        <v>4</v>
      </c>
      <c r="E294" s="5" t="s">
        <v>1168</v>
      </c>
      <c r="F294" s="7">
        <f ca="1">IFERROR(__xludf.DUMMYFUNCTION("ARRAYFORMULA(SUM(ARRAYFORMULA(IFERROR(VALUE(SPLIT(SUBSTITUTE(E294,""-"","" ""),"" "")),0))))
"),38)</f>
        <v>38</v>
      </c>
      <c r="G294" s="7" t="s">
        <v>5734</v>
      </c>
      <c r="H294" s="7" t="s">
        <v>5735</v>
      </c>
      <c r="I294" s="7" t="s">
        <v>5736</v>
      </c>
      <c r="J294" s="7" t="s">
        <v>5726</v>
      </c>
      <c r="K294" s="7" t="s">
        <v>5725</v>
      </c>
      <c r="L294" s="7" t="s">
        <v>5725</v>
      </c>
      <c r="M294" s="7" t="s">
        <v>5725</v>
      </c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spans="1:37">
      <c r="A295" s="7" t="s">
        <v>1169</v>
      </c>
      <c r="B295" s="7" t="s">
        <v>1170</v>
      </c>
      <c r="C295" s="7" t="s">
        <v>1171</v>
      </c>
      <c r="D295" s="4">
        <v>4</v>
      </c>
      <c r="E295" s="5" t="s">
        <v>1172</v>
      </c>
      <c r="F295" s="7">
        <f ca="1">IFERROR(__xludf.DUMMYFUNCTION("ARRAYFORMULA(SUM(ARRAYFORMULA(IFERROR(VALUE(SPLIT(SUBSTITUTE(E295,""-"","" ""),"" "")),0))))
"),40)</f>
        <v>40</v>
      </c>
      <c r="G295" s="7" t="s">
        <v>5734</v>
      </c>
      <c r="H295" s="7" t="s">
        <v>5735</v>
      </c>
      <c r="I295" s="7" t="s">
        <v>5736</v>
      </c>
      <c r="J295" s="7" t="s">
        <v>5726</v>
      </c>
      <c r="K295" s="7" t="s">
        <v>5725</v>
      </c>
      <c r="L295" s="7" t="s">
        <v>5725</v>
      </c>
      <c r="M295" s="7" t="s">
        <v>5725</v>
      </c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spans="1:37">
      <c r="A296" s="3" t="s">
        <v>1173</v>
      </c>
      <c r="B296" s="3" t="s">
        <v>1174</v>
      </c>
      <c r="C296" s="3" t="s">
        <v>1175</v>
      </c>
      <c r="D296" s="4">
        <v>3</v>
      </c>
      <c r="E296" s="8" t="s">
        <v>1176</v>
      </c>
      <c r="F296" s="7">
        <f ca="1">IFERROR(__xludf.DUMMYFUNCTION("ARRAYFORMULA(SUM(ARRAYFORMULA(IFERROR(VALUE(SPLIT(SUBSTITUTE(E296,""-"","" ""),"" "")),0))))
"),36)</f>
        <v>36</v>
      </c>
      <c r="G296" s="7" t="s">
        <v>5708</v>
      </c>
      <c r="H296" s="7" t="s">
        <v>5732</v>
      </c>
      <c r="I296" s="7" t="s">
        <v>5733</v>
      </c>
      <c r="J296" s="7" t="s">
        <v>5725</v>
      </c>
      <c r="K296" s="7" t="s">
        <v>5725</v>
      </c>
      <c r="L296" s="7" t="s">
        <v>5726</v>
      </c>
      <c r="M296" s="7" t="s">
        <v>5726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>
      <c r="A297" s="7" t="s">
        <v>1177</v>
      </c>
      <c r="B297" s="7" t="s">
        <v>1178</v>
      </c>
      <c r="C297" s="7" t="s">
        <v>1179</v>
      </c>
      <c r="D297" s="4">
        <v>4</v>
      </c>
      <c r="E297" s="5" t="s">
        <v>1180</v>
      </c>
      <c r="F297" s="7">
        <f ca="1">IFERROR(__xludf.DUMMYFUNCTION("ARRAYFORMULA(SUM(ARRAYFORMULA(IFERROR(VALUE(SPLIT(SUBSTITUTE(E297,""-"","" ""),"" "")),0))))
"),38)</f>
        <v>38</v>
      </c>
      <c r="G297" s="7" t="s">
        <v>5734</v>
      </c>
      <c r="H297" s="7" t="s">
        <v>5735</v>
      </c>
      <c r="I297" s="7" t="s">
        <v>5736</v>
      </c>
      <c r="J297" s="7" t="s">
        <v>5726</v>
      </c>
      <c r="K297" s="7" t="s">
        <v>5725</v>
      </c>
      <c r="L297" s="7" t="s">
        <v>5725</v>
      </c>
      <c r="M297" s="7" t="s">
        <v>5725</v>
      </c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spans="1:37">
      <c r="A298" s="7" t="s">
        <v>1181</v>
      </c>
      <c r="B298" s="7" t="s">
        <v>1182</v>
      </c>
      <c r="C298" s="7" t="s">
        <v>1183</v>
      </c>
      <c r="D298" s="4">
        <v>4</v>
      </c>
      <c r="E298" s="5" t="s">
        <v>1184</v>
      </c>
      <c r="F298" s="7">
        <f ca="1">IFERROR(__xludf.DUMMYFUNCTION("ARRAYFORMULA(SUM(ARRAYFORMULA(IFERROR(VALUE(SPLIT(SUBSTITUTE(E298,""-"","" ""),"" "")),0))))
"),40)</f>
        <v>40</v>
      </c>
      <c r="G298" s="7" t="s">
        <v>5734</v>
      </c>
      <c r="H298" s="7" t="s">
        <v>5735</v>
      </c>
      <c r="I298" s="7" t="s">
        <v>5736</v>
      </c>
      <c r="J298" s="7" t="s">
        <v>5726</v>
      </c>
      <c r="K298" s="7" t="s">
        <v>5725</v>
      </c>
      <c r="L298" s="7" t="s">
        <v>5725</v>
      </c>
      <c r="M298" s="7" t="s">
        <v>5725</v>
      </c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spans="1:37">
      <c r="A299" s="7" t="s">
        <v>1185</v>
      </c>
      <c r="B299" s="7" t="s">
        <v>1186</v>
      </c>
      <c r="C299" s="7" t="s">
        <v>1187</v>
      </c>
      <c r="D299" s="4">
        <v>4</v>
      </c>
      <c r="E299" s="5" t="s">
        <v>1188</v>
      </c>
      <c r="F299" s="7">
        <f ca="1">IFERROR(__xludf.DUMMYFUNCTION("ARRAYFORMULA(SUM(ARRAYFORMULA(IFERROR(VALUE(SPLIT(SUBSTITUTE(E299,""-"","" ""),"" "")),0))))
"),42)</f>
        <v>42</v>
      </c>
      <c r="G299" s="7" t="s">
        <v>5734</v>
      </c>
      <c r="H299" s="7" t="s">
        <v>5735</v>
      </c>
      <c r="I299" s="7" t="s">
        <v>5736</v>
      </c>
      <c r="J299" s="7" t="s">
        <v>5726</v>
      </c>
      <c r="K299" s="7" t="s">
        <v>5725</v>
      </c>
      <c r="L299" s="7" t="s">
        <v>5725</v>
      </c>
      <c r="M299" s="7" t="s">
        <v>5725</v>
      </c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spans="1:37">
      <c r="A300" s="7" t="s">
        <v>1189</v>
      </c>
      <c r="B300" s="7" t="s">
        <v>1190</v>
      </c>
      <c r="C300" s="7" t="s">
        <v>1191</v>
      </c>
      <c r="D300" s="4">
        <v>4</v>
      </c>
      <c r="E300" s="5" t="s">
        <v>1192</v>
      </c>
      <c r="F300" s="7">
        <f ca="1">IFERROR(__xludf.DUMMYFUNCTION("ARRAYFORMULA(SUM(ARRAYFORMULA(IFERROR(VALUE(SPLIT(SUBSTITUTE(E300,""-"","" ""),"" "")),0))))
"),44)</f>
        <v>44</v>
      </c>
      <c r="G300" s="7" t="s">
        <v>5734</v>
      </c>
      <c r="H300" s="7" t="s">
        <v>5735</v>
      </c>
      <c r="I300" s="7" t="s">
        <v>5736</v>
      </c>
      <c r="J300" s="7" t="s">
        <v>5726</v>
      </c>
      <c r="K300" s="7" t="s">
        <v>5725</v>
      </c>
      <c r="L300" s="7" t="s">
        <v>5725</v>
      </c>
      <c r="M300" s="7" t="s">
        <v>5725</v>
      </c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spans="1:37">
      <c r="A301" s="7" t="s">
        <v>1193</v>
      </c>
      <c r="B301" s="7" t="s">
        <v>1194</v>
      </c>
      <c r="C301" s="7" t="s">
        <v>1195</v>
      </c>
      <c r="D301" s="4">
        <v>4</v>
      </c>
      <c r="E301" s="5" t="s">
        <v>1196</v>
      </c>
      <c r="F301" s="7">
        <f ca="1">IFERROR(__xludf.DUMMYFUNCTION("ARRAYFORMULA(SUM(ARRAYFORMULA(IFERROR(VALUE(SPLIT(SUBSTITUTE(E301,""-"","" ""),"" "")),0))))
"),46)</f>
        <v>46</v>
      </c>
      <c r="G301" s="7" t="s">
        <v>5734</v>
      </c>
      <c r="H301" s="7" t="s">
        <v>5735</v>
      </c>
      <c r="I301" s="7" t="s">
        <v>5736</v>
      </c>
      <c r="J301" s="7" t="s">
        <v>5726</v>
      </c>
      <c r="K301" s="7" t="s">
        <v>5725</v>
      </c>
      <c r="L301" s="7" t="s">
        <v>5725</v>
      </c>
      <c r="M301" s="7" t="s">
        <v>5725</v>
      </c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spans="1:37">
      <c r="A302" s="7" t="s">
        <v>1197</v>
      </c>
      <c r="B302" s="7" t="s">
        <v>1198</v>
      </c>
      <c r="C302" s="7" t="s">
        <v>1199</v>
      </c>
      <c r="D302" s="4">
        <v>4</v>
      </c>
      <c r="E302" s="5" t="s">
        <v>1200</v>
      </c>
      <c r="F302" s="7">
        <f ca="1">IFERROR(__xludf.DUMMYFUNCTION("ARRAYFORMULA(SUM(ARRAYFORMULA(IFERROR(VALUE(SPLIT(SUBSTITUTE(E302,""-"","" ""),"" "")),0))))
"),48)</f>
        <v>48</v>
      </c>
      <c r="G302" s="7" t="s">
        <v>5734</v>
      </c>
      <c r="H302" s="7" t="s">
        <v>5735</v>
      </c>
      <c r="I302" s="7" t="s">
        <v>5736</v>
      </c>
      <c r="J302" s="7" t="s">
        <v>5726</v>
      </c>
      <c r="K302" s="7" t="s">
        <v>5725</v>
      </c>
      <c r="L302" s="7" t="s">
        <v>5725</v>
      </c>
      <c r="M302" s="7" t="s">
        <v>5725</v>
      </c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spans="1:37">
      <c r="A303" s="7" t="s">
        <v>1201</v>
      </c>
      <c r="B303" s="7" t="s">
        <v>1202</v>
      </c>
      <c r="C303" s="7" t="s">
        <v>1203</v>
      </c>
      <c r="D303" s="4">
        <v>4</v>
      </c>
      <c r="E303" s="5" t="s">
        <v>1204</v>
      </c>
      <c r="F303" s="7">
        <f ca="1">IFERROR(__xludf.DUMMYFUNCTION("ARRAYFORMULA(SUM(ARRAYFORMULA(IFERROR(VALUE(SPLIT(SUBSTITUTE(E303,""-"","" ""),"" "")),0))))
"),50)</f>
        <v>50</v>
      </c>
      <c r="G303" s="7" t="s">
        <v>5734</v>
      </c>
      <c r="H303" s="7" t="s">
        <v>5735</v>
      </c>
      <c r="I303" s="7" t="s">
        <v>5736</v>
      </c>
      <c r="J303" s="7" t="s">
        <v>5726</v>
      </c>
      <c r="K303" s="7" t="s">
        <v>5725</v>
      </c>
      <c r="L303" s="7" t="s">
        <v>5725</v>
      </c>
      <c r="M303" s="7" t="s">
        <v>5725</v>
      </c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spans="1:37">
      <c r="A304" s="7" t="s">
        <v>1205</v>
      </c>
      <c r="B304" s="7" t="s">
        <v>1206</v>
      </c>
      <c r="C304" s="7" t="s">
        <v>1207</v>
      </c>
      <c r="D304" s="4">
        <v>4</v>
      </c>
      <c r="E304" s="5" t="s">
        <v>1208</v>
      </c>
      <c r="F304" s="7">
        <f ca="1">IFERROR(__xludf.DUMMYFUNCTION("ARRAYFORMULA(SUM(ARRAYFORMULA(IFERROR(VALUE(SPLIT(SUBSTITUTE(E304,""-"","" ""),"" "")),0))))
"),52)</f>
        <v>52</v>
      </c>
      <c r="G304" s="7" t="s">
        <v>5734</v>
      </c>
      <c r="H304" s="7" t="s">
        <v>5735</v>
      </c>
      <c r="I304" s="7" t="s">
        <v>5736</v>
      </c>
      <c r="J304" s="7" t="s">
        <v>5726</v>
      </c>
      <c r="K304" s="7" t="s">
        <v>5725</v>
      </c>
      <c r="L304" s="7" t="s">
        <v>5725</v>
      </c>
      <c r="M304" s="7" t="s">
        <v>5725</v>
      </c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spans="1:37">
      <c r="A305" s="7" t="s">
        <v>1209</v>
      </c>
      <c r="B305" s="7" t="s">
        <v>1210</v>
      </c>
      <c r="C305" s="7" t="s">
        <v>1211</v>
      </c>
      <c r="D305" s="4">
        <v>4</v>
      </c>
      <c r="E305" s="5" t="s">
        <v>1212</v>
      </c>
      <c r="F305" s="7">
        <f ca="1">IFERROR(__xludf.DUMMYFUNCTION("ARRAYFORMULA(SUM(ARRAYFORMULA(IFERROR(VALUE(SPLIT(SUBSTITUTE(E305,""-"","" ""),"" "")),0))))
"),54)</f>
        <v>54</v>
      </c>
      <c r="G305" s="7" t="s">
        <v>5734</v>
      </c>
      <c r="H305" s="7" t="s">
        <v>5735</v>
      </c>
      <c r="I305" s="7" t="s">
        <v>5736</v>
      </c>
      <c r="J305" s="7" t="s">
        <v>5726</v>
      </c>
      <c r="K305" s="7" t="s">
        <v>5725</v>
      </c>
      <c r="L305" s="7" t="s">
        <v>5725</v>
      </c>
      <c r="M305" s="7" t="s">
        <v>5725</v>
      </c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spans="1:37">
      <c r="A306" s="7" t="s">
        <v>1213</v>
      </c>
      <c r="B306" s="7" t="s">
        <v>1214</v>
      </c>
      <c r="C306" s="7" t="s">
        <v>1215</v>
      </c>
      <c r="D306" s="4">
        <v>4</v>
      </c>
      <c r="E306" s="5" t="s">
        <v>1216</v>
      </c>
      <c r="F306" s="7">
        <f ca="1">IFERROR(__xludf.DUMMYFUNCTION("ARRAYFORMULA(SUM(ARRAYFORMULA(IFERROR(VALUE(SPLIT(SUBSTITUTE(E306,""-"","" ""),"" "")),0))))
"),56)</f>
        <v>56</v>
      </c>
      <c r="G306" s="7" t="s">
        <v>5734</v>
      </c>
      <c r="H306" s="7" t="s">
        <v>5735</v>
      </c>
      <c r="I306" s="7" t="s">
        <v>5736</v>
      </c>
      <c r="J306" s="7" t="s">
        <v>5726</v>
      </c>
      <c r="K306" s="7" t="s">
        <v>5725</v>
      </c>
      <c r="L306" s="7" t="s">
        <v>5725</v>
      </c>
      <c r="M306" s="7" t="s">
        <v>5725</v>
      </c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spans="1:37">
      <c r="A307" s="7" t="s">
        <v>1217</v>
      </c>
      <c r="B307" s="7" t="s">
        <v>1218</v>
      </c>
      <c r="C307" s="7" t="s">
        <v>1219</v>
      </c>
      <c r="D307" s="4">
        <v>4</v>
      </c>
      <c r="E307" s="5" t="s">
        <v>1220</v>
      </c>
      <c r="F307" s="7">
        <f ca="1">IFERROR(__xludf.DUMMYFUNCTION("ARRAYFORMULA(SUM(ARRAYFORMULA(IFERROR(VALUE(SPLIT(SUBSTITUTE(E307,""-"","" ""),"" "")),0))))
"),58)</f>
        <v>58</v>
      </c>
      <c r="G307" s="7" t="s">
        <v>5734</v>
      </c>
      <c r="H307" s="7" t="s">
        <v>5735</v>
      </c>
      <c r="I307" s="7" t="s">
        <v>5736</v>
      </c>
      <c r="J307" s="7" t="s">
        <v>5726</v>
      </c>
      <c r="K307" s="7" t="s">
        <v>5725</v>
      </c>
      <c r="L307" s="7" t="s">
        <v>5725</v>
      </c>
      <c r="M307" s="7" t="s">
        <v>5725</v>
      </c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spans="1:37">
      <c r="A308" s="7" t="s">
        <v>1221</v>
      </c>
      <c r="B308" s="7" t="s">
        <v>1222</v>
      </c>
      <c r="C308" s="7" t="s">
        <v>1223</v>
      </c>
      <c r="D308" s="4">
        <v>4</v>
      </c>
      <c r="E308" s="5" t="s">
        <v>1224</v>
      </c>
      <c r="F308" s="7">
        <f ca="1">IFERROR(__xludf.DUMMYFUNCTION("ARRAYFORMULA(SUM(ARRAYFORMULA(IFERROR(VALUE(SPLIT(SUBSTITUTE(E308,""-"","" ""),"" "")),0))))
"),60)</f>
        <v>60</v>
      </c>
      <c r="G308" s="7" t="s">
        <v>5734</v>
      </c>
      <c r="H308" s="7" t="s">
        <v>5735</v>
      </c>
      <c r="I308" s="7" t="s">
        <v>5736</v>
      </c>
      <c r="J308" s="7" t="s">
        <v>5726</v>
      </c>
      <c r="K308" s="7" t="s">
        <v>5725</v>
      </c>
      <c r="L308" s="7" t="s">
        <v>5725</v>
      </c>
      <c r="M308" s="7" t="s">
        <v>5725</v>
      </c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spans="1:37">
      <c r="A309" s="7" t="s">
        <v>1225</v>
      </c>
      <c r="B309" s="7" t="s">
        <v>1226</v>
      </c>
      <c r="C309" s="7" t="s">
        <v>1227</v>
      </c>
      <c r="D309" s="4">
        <v>4</v>
      </c>
      <c r="E309" s="5" t="s">
        <v>1228</v>
      </c>
      <c r="F309" s="7">
        <f ca="1">IFERROR(__xludf.DUMMYFUNCTION("ARRAYFORMULA(SUM(ARRAYFORMULA(IFERROR(VALUE(SPLIT(SUBSTITUTE(E309,""-"","" ""),"" "")),0))))
"),62)</f>
        <v>62</v>
      </c>
      <c r="G309" s="7" t="s">
        <v>5734</v>
      </c>
      <c r="H309" s="7" t="s">
        <v>5735</v>
      </c>
      <c r="I309" s="7" t="s">
        <v>5736</v>
      </c>
      <c r="J309" s="7" t="s">
        <v>5726</v>
      </c>
      <c r="K309" s="7" t="s">
        <v>5725</v>
      </c>
      <c r="L309" s="7" t="s">
        <v>5725</v>
      </c>
      <c r="M309" s="7" t="s">
        <v>5725</v>
      </c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spans="1:37">
      <c r="A310" s="3" t="s">
        <v>1229</v>
      </c>
      <c r="B310" s="3" t="s">
        <v>1230</v>
      </c>
      <c r="C310" s="3" t="s">
        <v>1231</v>
      </c>
      <c r="D310" s="4">
        <v>3</v>
      </c>
      <c r="E310" s="8" t="s">
        <v>1232</v>
      </c>
      <c r="F310" s="7">
        <f ca="1">IFERROR(__xludf.DUMMYFUNCTION("ARRAYFORMULA(SUM(ARRAYFORMULA(IFERROR(VALUE(SPLIT(SUBSTITUTE(E310,""-"","" ""),"" "")),0))))
"),38)</f>
        <v>38</v>
      </c>
      <c r="G310" s="7" t="s">
        <v>5708</v>
      </c>
      <c r="H310" s="7" t="s">
        <v>5732</v>
      </c>
      <c r="I310" s="7" t="s">
        <v>5733</v>
      </c>
      <c r="J310" s="7" t="s">
        <v>5725</v>
      </c>
      <c r="K310" s="7" t="s">
        <v>5725</v>
      </c>
      <c r="L310" s="7" t="s">
        <v>5726</v>
      </c>
      <c r="M310" s="7" t="s">
        <v>5726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1:37">
      <c r="A311" s="7" t="s">
        <v>1233</v>
      </c>
      <c r="B311" s="7" t="s">
        <v>1234</v>
      </c>
      <c r="C311" s="7" t="s">
        <v>1235</v>
      </c>
      <c r="D311" s="4">
        <v>4</v>
      </c>
      <c r="E311" s="5" t="s">
        <v>1236</v>
      </c>
      <c r="F311" s="7">
        <f ca="1">IFERROR(__xludf.DUMMYFUNCTION("ARRAYFORMULA(SUM(ARRAYFORMULA(IFERROR(VALUE(SPLIT(SUBSTITUTE(E311,""-"","" ""),"" "")),0))))
"),40)</f>
        <v>40</v>
      </c>
      <c r="G311" s="7" t="s">
        <v>5734</v>
      </c>
      <c r="H311" s="7" t="s">
        <v>5735</v>
      </c>
      <c r="I311" s="7" t="s">
        <v>5736</v>
      </c>
      <c r="J311" s="7" t="s">
        <v>5726</v>
      </c>
      <c r="K311" s="7" t="s">
        <v>5725</v>
      </c>
      <c r="L311" s="7" t="s">
        <v>5725</v>
      </c>
      <c r="M311" s="7" t="s">
        <v>5725</v>
      </c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spans="1:37">
      <c r="A312" s="7" t="s">
        <v>1237</v>
      </c>
      <c r="B312" s="7" t="s">
        <v>1238</v>
      </c>
      <c r="C312" s="7" t="s">
        <v>1239</v>
      </c>
      <c r="D312" s="4">
        <v>5</v>
      </c>
      <c r="E312" s="5" t="s">
        <v>1240</v>
      </c>
      <c r="F312" s="7">
        <f ca="1">IFERROR(__xludf.DUMMYFUNCTION("ARRAYFORMULA(SUM(ARRAYFORMULA(IFERROR(VALUE(SPLIT(SUBSTITUTE(E312,""-"","" ""),"" "")),0))))
"),42)</f>
        <v>42</v>
      </c>
      <c r="G312" s="7" t="s">
        <v>5734</v>
      </c>
      <c r="H312" s="7" t="s">
        <v>5735</v>
      </c>
      <c r="I312" s="7" t="s">
        <v>5736</v>
      </c>
      <c r="J312" s="7" t="s">
        <v>5726</v>
      </c>
      <c r="K312" s="7" t="s">
        <v>5725</v>
      </c>
      <c r="L312" s="7" t="s">
        <v>5725</v>
      </c>
      <c r="M312" s="7" t="s">
        <v>5725</v>
      </c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spans="1:37">
      <c r="A313" s="7" t="s">
        <v>1241</v>
      </c>
      <c r="B313" s="7" t="s">
        <v>1242</v>
      </c>
      <c r="C313" s="7" t="s">
        <v>1243</v>
      </c>
      <c r="D313" s="4">
        <v>5</v>
      </c>
      <c r="E313" s="5" t="s">
        <v>1244</v>
      </c>
      <c r="F313" s="7">
        <f ca="1">IFERROR(__xludf.DUMMYFUNCTION("ARRAYFORMULA(SUM(ARRAYFORMULA(IFERROR(VALUE(SPLIT(SUBSTITUTE(E313,""-"","" ""),"" "")),0))))
"),44)</f>
        <v>44</v>
      </c>
      <c r="G313" s="7" t="s">
        <v>5734</v>
      </c>
      <c r="H313" s="7" t="s">
        <v>5735</v>
      </c>
      <c r="I313" s="7" t="s">
        <v>5736</v>
      </c>
      <c r="J313" s="7" t="s">
        <v>5726</v>
      </c>
      <c r="K313" s="7" t="s">
        <v>5725</v>
      </c>
      <c r="L313" s="7" t="s">
        <v>5725</v>
      </c>
      <c r="M313" s="7" t="s">
        <v>5725</v>
      </c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spans="1:37">
      <c r="A314" s="7" t="s">
        <v>1245</v>
      </c>
      <c r="B314" s="7" t="s">
        <v>1246</v>
      </c>
      <c r="C314" s="7" t="s">
        <v>1247</v>
      </c>
      <c r="D314" s="4">
        <v>5</v>
      </c>
      <c r="E314" s="5" t="s">
        <v>1248</v>
      </c>
      <c r="F314" s="7">
        <f ca="1">IFERROR(__xludf.DUMMYFUNCTION("ARRAYFORMULA(SUM(ARRAYFORMULA(IFERROR(VALUE(SPLIT(SUBSTITUTE(E314,""-"","" ""),"" "")),0))))
"),46)</f>
        <v>46</v>
      </c>
      <c r="G314" s="7" t="s">
        <v>5734</v>
      </c>
      <c r="H314" s="7" t="s">
        <v>5735</v>
      </c>
      <c r="I314" s="7" t="s">
        <v>5736</v>
      </c>
      <c r="J314" s="7" t="s">
        <v>5726</v>
      </c>
      <c r="K314" s="7" t="s">
        <v>5725</v>
      </c>
      <c r="L314" s="7" t="s">
        <v>5725</v>
      </c>
      <c r="M314" s="7" t="s">
        <v>5725</v>
      </c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spans="1:37">
      <c r="A315" s="7" t="s">
        <v>1249</v>
      </c>
      <c r="B315" s="7" t="s">
        <v>1250</v>
      </c>
      <c r="C315" s="7" t="s">
        <v>1251</v>
      </c>
      <c r="D315" s="4">
        <v>5</v>
      </c>
      <c r="E315" s="5" t="s">
        <v>1252</v>
      </c>
      <c r="F315" s="7">
        <f ca="1">IFERROR(__xludf.DUMMYFUNCTION("ARRAYFORMULA(SUM(ARRAYFORMULA(IFERROR(VALUE(SPLIT(SUBSTITUTE(E315,""-"","" ""),"" "")),0))))
"),48)</f>
        <v>48</v>
      </c>
      <c r="G315" s="7" t="s">
        <v>5734</v>
      </c>
      <c r="H315" s="7" t="s">
        <v>5735</v>
      </c>
      <c r="I315" s="7" t="s">
        <v>5736</v>
      </c>
      <c r="J315" s="7" t="s">
        <v>5726</v>
      </c>
      <c r="K315" s="7" t="s">
        <v>5725</v>
      </c>
      <c r="L315" s="7" t="s">
        <v>5725</v>
      </c>
      <c r="M315" s="7" t="s">
        <v>5725</v>
      </c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spans="1:37">
      <c r="A316" s="7" t="s">
        <v>1253</v>
      </c>
      <c r="B316" s="7" t="s">
        <v>1254</v>
      </c>
      <c r="C316" s="7" t="s">
        <v>1255</v>
      </c>
      <c r="D316" s="4">
        <v>5</v>
      </c>
      <c r="E316" s="5" t="s">
        <v>1256</v>
      </c>
      <c r="F316" s="7">
        <f ca="1">IFERROR(__xludf.DUMMYFUNCTION("ARRAYFORMULA(SUM(ARRAYFORMULA(IFERROR(VALUE(SPLIT(SUBSTITUTE(E316,""-"","" ""),"" "")),0))))
"),50)</f>
        <v>50</v>
      </c>
      <c r="G316" s="7" t="s">
        <v>5734</v>
      </c>
      <c r="H316" s="7" t="s">
        <v>5735</v>
      </c>
      <c r="I316" s="7" t="s">
        <v>5736</v>
      </c>
      <c r="J316" s="7" t="s">
        <v>5726</v>
      </c>
      <c r="K316" s="7" t="s">
        <v>5725</v>
      </c>
      <c r="L316" s="7" t="s">
        <v>5725</v>
      </c>
      <c r="M316" s="7" t="s">
        <v>5725</v>
      </c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spans="1:37">
      <c r="A317" s="7" t="s">
        <v>1257</v>
      </c>
      <c r="B317" s="7" t="s">
        <v>1258</v>
      </c>
      <c r="C317" s="7" t="s">
        <v>1259</v>
      </c>
      <c r="D317" s="4">
        <v>5</v>
      </c>
      <c r="E317" s="5" t="s">
        <v>1260</v>
      </c>
      <c r="F317" s="7">
        <f ca="1">IFERROR(__xludf.DUMMYFUNCTION("ARRAYFORMULA(SUM(ARRAYFORMULA(IFERROR(VALUE(SPLIT(SUBSTITUTE(E317,""-"","" ""),"" "")),0))))
"),52)</f>
        <v>52</v>
      </c>
      <c r="G317" s="7" t="s">
        <v>5734</v>
      </c>
      <c r="H317" s="7" t="s">
        <v>5735</v>
      </c>
      <c r="I317" s="7" t="s">
        <v>5736</v>
      </c>
      <c r="J317" s="7" t="s">
        <v>5726</v>
      </c>
      <c r="K317" s="7" t="s">
        <v>5725</v>
      </c>
      <c r="L317" s="7" t="s">
        <v>5725</v>
      </c>
      <c r="M317" s="7" t="s">
        <v>5725</v>
      </c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spans="1:37">
      <c r="A318" s="7" t="s">
        <v>1261</v>
      </c>
      <c r="B318" s="7" t="s">
        <v>1262</v>
      </c>
      <c r="C318" s="7" t="s">
        <v>1263</v>
      </c>
      <c r="D318" s="4">
        <v>5</v>
      </c>
      <c r="E318" s="5" t="s">
        <v>1264</v>
      </c>
      <c r="F318" s="7">
        <f ca="1">IFERROR(__xludf.DUMMYFUNCTION("ARRAYFORMULA(SUM(ARRAYFORMULA(IFERROR(VALUE(SPLIT(SUBSTITUTE(E318,""-"","" ""),"" "")),0))))
"),54)</f>
        <v>54</v>
      </c>
      <c r="G318" s="7" t="s">
        <v>5734</v>
      </c>
      <c r="H318" s="7" t="s">
        <v>5735</v>
      </c>
      <c r="I318" s="7" t="s">
        <v>5736</v>
      </c>
      <c r="J318" s="7" t="s">
        <v>5726</v>
      </c>
      <c r="K318" s="7" t="s">
        <v>5725</v>
      </c>
      <c r="L318" s="7" t="s">
        <v>5725</v>
      </c>
      <c r="M318" s="7" t="s">
        <v>5725</v>
      </c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spans="1:37">
      <c r="A319" s="7" t="s">
        <v>1265</v>
      </c>
      <c r="B319" s="7" t="s">
        <v>1266</v>
      </c>
      <c r="C319" s="7" t="s">
        <v>1267</v>
      </c>
      <c r="D319" s="4">
        <v>4</v>
      </c>
      <c r="E319" s="5" t="s">
        <v>1268</v>
      </c>
      <c r="F319" s="7">
        <f ca="1">IFERROR(__xludf.DUMMYFUNCTION("ARRAYFORMULA(SUM(ARRAYFORMULA(IFERROR(VALUE(SPLIT(SUBSTITUTE(E319,""-"","" ""),"" "")),0))))
"),42)</f>
        <v>42</v>
      </c>
      <c r="G319" s="7" t="s">
        <v>5734</v>
      </c>
      <c r="H319" s="7" t="s">
        <v>5735</v>
      </c>
      <c r="I319" s="7" t="s">
        <v>5736</v>
      </c>
      <c r="J319" s="7" t="s">
        <v>5726</v>
      </c>
      <c r="K319" s="7" t="s">
        <v>5725</v>
      </c>
      <c r="L319" s="7" t="s">
        <v>5725</v>
      </c>
      <c r="M319" s="7" t="s">
        <v>5725</v>
      </c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spans="1:37">
      <c r="A320" s="7" t="s">
        <v>1269</v>
      </c>
      <c r="B320" s="7" t="s">
        <v>1270</v>
      </c>
      <c r="C320" s="7" t="s">
        <v>1271</v>
      </c>
      <c r="D320" s="4">
        <v>4</v>
      </c>
      <c r="E320" s="5" t="s">
        <v>1272</v>
      </c>
      <c r="F320" s="7">
        <f ca="1">IFERROR(__xludf.DUMMYFUNCTION("ARRAYFORMULA(SUM(ARRAYFORMULA(IFERROR(VALUE(SPLIT(SUBSTITUTE(E320,""-"","" ""),"" "")),0))))
"),44)</f>
        <v>44</v>
      </c>
      <c r="G320" s="7" t="s">
        <v>5734</v>
      </c>
      <c r="H320" s="7" t="s">
        <v>5735</v>
      </c>
      <c r="I320" s="7" t="s">
        <v>5736</v>
      </c>
      <c r="J320" s="7" t="s">
        <v>5726</v>
      </c>
      <c r="K320" s="7" t="s">
        <v>5725</v>
      </c>
      <c r="L320" s="7" t="s">
        <v>5725</v>
      </c>
      <c r="M320" s="7" t="s">
        <v>5725</v>
      </c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spans="1:37">
      <c r="A321" s="3" t="s">
        <v>1273</v>
      </c>
      <c r="B321" s="3" t="s">
        <v>1274</v>
      </c>
      <c r="C321" s="3" t="s">
        <v>1275</v>
      </c>
      <c r="D321" s="4">
        <v>3</v>
      </c>
      <c r="E321" s="8" t="s">
        <v>1276</v>
      </c>
      <c r="F321" s="7">
        <f ca="1">IFERROR(__xludf.DUMMYFUNCTION("ARRAYFORMULA(SUM(ARRAYFORMULA(IFERROR(VALUE(SPLIT(SUBSTITUTE(E321,""-"","" ""),"" "")),0))))
"),40)</f>
        <v>40</v>
      </c>
      <c r="G321" s="7" t="s">
        <v>5708</v>
      </c>
      <c r="H321" s="7" t="s">
        <v>5732</v>
      </c>
      <c r="I321" s="7" t="s">
        <v>5733</v>
      </c>
      <c r="J321" s="7" t="s">
        <v>5725</v>
      </c>
      <c r="K321" s="7" t="s">
        <v>5725</v>
      </c>
      <c r="L321" s="7" t="s">
        <v>5726</v>
      </c>
      <c r="M321" s="7" t="s">
        <v>5726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1:37">
      <c r="A322" s="7" t="s">
        <v>1277</v>
      </c>
      <c r="B322" s="7" t="s">
        <v>1278</v>
      </c>
      <c r="C322" s="7" t="s">
        <v>1279</v>
      </c>
      <c r="D322" s="4">
        <v>4</v>
      </c>
      <c r="E322" s="5" t="s">
        <v>1280</v>
      </c>
      <c r="F322" s="7">
        <f ca="1">IFERROR(__xludf.DUMMYFUNCTION("ARRAYFORMULA(SUM(ARRAYFORMULA(IFERROR(VALUE(SPLIT(SUBSTITUTE(E322,""-"","" ""),"" "")),0))))
"),42)</f>
        <v>42</v>
      </c>
      <c r="G322" s="7" t="s">
        <v>5734</v>
      </c>
      <c r="H322" s="7" t="s">
        <v>5735</v>
      </c>
      <c r="I322" s="7" t="s">
        <v>5736</v>
      </c>
      <c r="J322" s="7" t="s">
        <v>5726</v>
      </c>
      <c r="K322" s="7" t="s">
        <v>5725</v>
      </c>
      <c r="L322" s="7" t="s">
        <v>5725</v>
      </c>
      <c r="M322" s="7" t="s">
        <v>5725</v>
      </c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spans="1:37">
      <c r="A323" s="7" t="s">
        <v>1281</v>
      </c>
      <c r="B323" s="7" t="s">
        <v>1282</v>
      </c>
      <c r="C323" s="7" t="s">
        <v>1283</v>
      </c>
      <c r="D323" s="4">
        <v>4</v>
      </c>
      <c r="E323" s="5" t="s">
        <v>1284</v>
      </c>
      <c r="F323" s="7">
        <f ca="1">IFERROR(__xludf.DUMMYFUNCTION("ARRAYFORMULA(SUM(ARRAYFORMULA(IFERROR(VALUE(SPLIT(SUBSTITUTE(E323,""-"","" ""),"" "")),0))))
"),44)</f>
        <v>44</v>
      </c>
      <c r="G323" s="7" t="s">
        <v>5734</v>
      </c>
      <c r="H323" s="7" t="s">
        <v>5735</v>
      </c>
      <c r="I323" s="7" t="s">
        <v>5736</v>
      </c>
      <c r="J323" s="7" t="s">
        <v>5726</v>
      </c>
      <c r="K323" s="7" t="s">
        <v>5725</v>
      </c>
      <c r="L323" s="7" t="s">
        <v>5725</v>
      </c>
      <c r="M323" s="7" t="s">
        <v>5725</v>
      </c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spans="1:37">
      <c r="A324" s="7" t="s">
        <v>1285</v>
      </c>
      <c r="B324" s="7" t="s">
        <v>1286</v>
      </c>
      <c r="C324" s="7" t="s">
        <v>1287</v>
      </c>
      <c r="D324" s="4">
        <v>4</v>
      </c>
      <c r="E324" s="5" t="s">
        <v>1288</v>
      </c>
      <c r="F324" s="7">
        <f ca="1">IFERROR(__xludf.DUMMYFUNCTION("ARRAYFORMULA(SUM(ARRAYFORMULA(IFERROR(VALUE(SPLIT(SUBSTITUTE(E324,""-"","" ""),"" "")),0))))
"),46)</f>
        <v>46</v>
      </c>
      <c r="G324" s="7" t="s">
        <v>5734</v>
      </c>
      <c r="H324" s="7" t="s">
        <v>5735</v>
      </c>
      <c r="I324" s="7" t="s">
        <v>5736</v>
      </c>
      <c r="J324" s="7" t="s">
        <v>5726</v>
      </c>
      <c r="K324" s="7" t="s">
        <v>5725</v>
      </c>
      <c r="L324" s="7" t="s">
        <v>5725</v>
      </c>
      <c r="M324" s="7" t="s">
        <v>5725</v>
      </c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spans="1:37">
      <c r="A325" s="3" t="s">
        <v>1289</v>
      </c>
      <c r="B325" s="3" t="s">
        <v>1290</v>
      </c>
      <c r="C325" s="3" t="s">
        <v>1291</v>
      </c>
      <c r="D325" s="4">
        <v>3</v>
      </c>
      <c r="E325" s="8" t="s">
        <v>1292</v>
      </c>
      <c r="F325" s="7">
        <f ca="1">IFERROR(__xludf.DUMMYFUNCTION("ARRAYFORMULA(SUM(ARRAYFORMULA(IFERROR(VALUE(SPLIT(SUBSTITUTE(E325,""-"","" ""),"" "")),0))))
"),42)</f>
        <v>42</v>
      </c>
      <c r="G325" s="7" t="s">
        <v>5708</v>
      </c>
      <c r="H325" s="7" t="s">
        <v>5732</v>
      </c>
      <c r="I325" s="7" t="s">
        <v>5733</v>
      </c>
      <c r="J325" s="7" t="s">
        <v>5725</v>
      </c>
      <c r="K325" s="7" t="s">
        <v>5725</v>
      </c>
      <c r="L325" s="7" t="s">
        <v>5726</v>
      </c>
      <c r="M325" s="7" t="s">
        <v>5726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1:37">
      <c r="A326" s="7" t="s">
        <v>1293</v>
      </c>
      <c r="B326" s="7" t="s">
        <v>1294</v>
      </c>
      <c r="C326" s="7" t="s">
        <v>1295</v>
      </c>
      <c r="D326" s="4">
        <v>4</v>
      </c>
      <c r="E326" s="5" t="s">
        <v>1296</v>
      </c>
      <c r="F326" s="7">
        <f ca="1">IFERROR(__xludf.DUMMYFUNCTION("ARRAYFORMULA(SUM(ARRAYFORMULA(IFERROR(VALUE(SPLIT(SUBSTITUTE(E326,""-"","" ""),"" "")),0))))
"),44)</f>
        <v>44</v>
      </c>
      <c r="G326" s="7" t="s">
        <v>5734</v>
      </c>
      <c r="H326" s="7" t="s">
        <v>5735</v>
      </c>
      <c r="I326" s="7" t="s">
        <v>5736</v>
      </c>
      <c r="J326" s="7" t="s">
        <v>5726</v>
      </c>
      <c r="K326" s="7" t="s">
        <v>5725</v>
      </c>
      <c r="L326" s="7" t="s">
        <v>5725</v>
      </c>
      <c r="M326" s="7" t="s">
        <v>5725</v>
      </c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spans="1:37">
      <c r="A327" s="7" t="s">
        <v>1297</v>
      </c>
      <c r="B327" s="7" t="s">
        <v>1298</v>
      </c>
      <c r="C327" s="7" t="s">
        <v>1299</v>
      </c>
      <c r="D327" s="4">
        <v>4</v>
      </c>
      <c r="E327" s="5" t="s">
        <v>1300</v>
      </c>
      <c r="F327" s="7">
        <f ca="1">IFERROR(__xludf.DUMMYFUNCTION("ARRAYFORMULA(SUM(ARRAYFORMULA(IFERROR(VALUE(SPLIT(SUBSTITUTE(E327,""-"","" ""),"" "")),0))))
"),46)</f>
        <v>46</v>
      </c>
      <c r="G327" s="7" t="s">
        <v>5734</v>
      </c>
      <c r="H327" s="7" t="s">
        <v>5735</v>
      </c>
      <c r="I327" s="7" t="s">
        <v>5736</v>
      </c>
      <c r="J327" s="7" t="s">
        <v>5726</v>
      </c>
      <c r="K327" s="7" t="s">
        <v>5725</v>
      </c>
      <c r="L327" s="7" t="s">
        <v>5725</v>
      </c>
      <c r="M327" s="7" t="s">
        <v>5725</v>
      </c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spans="1:37">
      <c r="A328" s="3" t="s">
        <v>1301</v>
      </c>
      <c r="B328" s="3" t="s">
        <v>1302</v>
      </c>
      <c r="C328" s="3" t="s">
        <v>1303</v>
      </c>
      <c r="D328" s="4">
        <v>3</v>
      </c>
      <c r="E328" s="8" t="s">
        <v>1304</v>
      </c>
      <c r="F328" s="7">
        <f ca="1">IFERROR(__xludf.DUMMYFUNCTION("ARRAYFORMULA(SUM(ARRAYFORMULA(IFERROR(VALUE(SPLIT(SUBSTITUTE(E328,""-"","" ""),"" "")),0))))
"),44)</f>
        <v>44</v>
      </c>
      <c r="G328" s="7" t="s">
        <v>5708</v>
      </c>
      <c r="H328" s="7" t="s">
        <v>5732</v>
      </c>
      <c r="I328" s="7" t="s">
        <v>5733</v>
      </c>
      <c r="J328" s="7" t="s">
        <v>5725</v>
      </c>
      <c r="K328" s="7" t="s">
        <v>5725</v>
      </c>
      <c r="L328" s="7" t="s">
        <v>5726</v>
      </c>
      <c r="M328" s="7" t="s">
        <v>5726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1:37">
      <c r="A329" s="3" t="s">
        <v>1305</v>
      </c>
      <c r="B329" s="3" t="s">
        <v>1306</v>
      </c>
      <c r="C329" s="3" t="s">
        <v>1307</v>
      </c>
      <c r="D329" s="4">
        <v>3</v>
      </c>
      <c r="E329" s="8" t="s">
        <v>1308</v>
      </c>
      <c r="F329" s="7">
        <f ca="1">IFERROR(__xludf.DUMMYFUNCTION("ARRAYFORMULA(SUM(ARRAYFORMULA(IFERROR(VALUE(SPLIT(SUBSTITUTE(E329,""-"","" ""),"" "")),0))))
"),46)</f>
        <v>46</v>
      </c>
      <c r="G329" s="7" t="s">
        <v>5708</v>
      </c>
      <c r="H329" s="7" t="s">
        <v>5732</v>
      </c>
      <c r="I329" s="7" t="s">
        <v>5733</v>
      </c>
      <c r="J329" s="7" t="s">
        <v>5725</v>
      </c>
      <c r="K329" s="7" t="s">
        <v>5725</v>
      </c>
      <c r="L329" s="7" t="s">
        <v>5726</v>
      </c>
      <c r="M329" s="7" t="s">
        <v>5726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1:37">
      <c r="A330" s="7" t="s">
        <v>1309</v>
      </c>
      <c r="B330" s="7" t="s">
        <v>1310</v>
      </c>
      <c r="C330" s="7" t="s">
        <v>1311</v>
      </c>
      <c r="D330" s="4">
        <v>4</v>
      </c>
      <c r="E330" s="5" t="s">
        <v>1312</v>
      </c>
      <c r="F330" s="7">
        <f ca="1">IFERROR(__xludf.DUMMYFUNCTION("ARRAYFORMULA(SUM(ARRAYFORMULA(IFERROR(VALUE(SPLIT(SUBSTITUTE(E330,""-"","" ""),"" "")),0))))
"),48)</f>
        <v>48</v>
      </c>
      <c r="G330" s="7" t="s">
        <v>5734</v>
      </c>
      <c r="H330" s="7" t="s">
        <v>5735</v>
      </c>
      <c r="I330" s="7" t="s">
        <v>5736</v>
      </c>
      <c r="J330" s="7" t="s">
        <v>5726</v>
      </c>
      <c r="K330" s="7" t="s">
        <v>5725</v>
      </c>
      <c r="L330" s="7" t="s">
        <v>5725</v>
      </c>
      <c r="M330" s="7" t="s">
        <v>5725</v>
      </c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spans="1:37">
      <c r="A331" s="7" t="s">
        <v>1313</v>
      </c>
      <c r="B331" s="7" t="s">
        <v>1314</v>
      </c>
      <c r="C331" s="7" t="s">
        <v>1315</v>
      </c>
      <c r="D331" s="4">
        <v>4</v>
      </c>
      <c r="E331" s="5" t="s">
        <v>1316</v>
      </c>
      <c r="F331" s="7">
        <f ca="1">IFERROR(__xludf.DUMMYFUNCTION("ARRAYFORMULA(SUM(ARRAYFORMULA(IFERROR(VALUE(SPLIT(SUBSTITUTE(E331,""-"","" ""),"" "")),0))))
"),50)</f>
        <v>50</v>
      </c>
      <c r="G331" s="7" t="s">
        <v>5734</v>
      </c>
      <c r="H331" s="7" t="s">
        <v>5735</v>
      </c>
      <c r="I331" s="7" t="s">
        <v>5736</v>
      </c>
      <c r="J331" s="7" t="s">
        <v>5726</v>
      </c>
      <c r="K331" s="7" t="s">
        <v>5725</v>
      </c>
      <c r="L331" s="7" t="s">
        <v>5725</v>
      </c>
      <c r="M331" s="7" t="s">
        <v>5725</v>
      </c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spans="1:37">
      <c r="A332" s="7" t="s">
        <v>1317</v>
      </c>
      <c r="B332" s="7" t="s">
        <v>1318</v>
      </c>
      <c r="C332" s="7" t="s">
        <v>1319</v>
      </c>
      <c r="D332" s="4">
        <v>4</v>
      </c>
      <c r="E332" s="5" t="s">
        <v>1320</v>
      </c>
      <c r="F332" s="7">
        <f ca="1">IFERROR(__xludf.DUMMYFUNCTION("ARRAYFORMULA(SUM(ARRAYFORMULA(IFERROR(VALUE(SPLIT(SUBSTITUTE(E332,""-"","" ""),"" "")),0))))
"),52)</f>
        <v>52</v>
      </c>
      <c r="G332" s="7" t="s">
        <v>5734</v>
      </c>
      <c r="H332" s="7" t="s">
        <v>5735</v>
      </c>
      <c r="I332" s="7" t="s">
        <v>5736</v>
      </c>
      <c r="J332" s="7" t="s">
        <v>5726</v>
      </c>
      <c r="K332" s="7" t="s">
        <v>5725</v>
      </c>
      <c r="L332" s="7" t="s">
        <v>5725</v>
      </c>
      <c r="M332" s="7" t="s">
        <v>5725</v>
      </c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spans="1:37">
      <c r="A333" s="7" t="s">
        <v>1321</v>
      </c>
      <c r="B333" s="7" t="s">
        <v>1322</v>
      </c>
      <c r="C333" s="7" t="s">
        <v>1323</v>
      </c>
      <c r="D333" s="4">
        <v>4</v>
      </c>
      <c r="E333" s="5" t="s">
        <v>1324</v>
      </c>
      <c r="F333" s="7">
        <f ca="1">IFERROR(__xludf.DUMMYFUNCTION("ARRAYFORMULA(SUM(ARRAYFORMULA(IFERROR(VALUE(SPLIT(SUBSTITUTE(E333,""-"","" ""),"" "")),0))))
"),54)</f>
        <v>54</v>
      </c>
      <c r="G333" s="7" t="s">
        <v>5734</v>
      </c>
      <c r="H333" s="7" t="s">
        <v>5735</v>
      </c>
      <c r="I333" s="7" t="s">
        <v>5736</v>
      </c>
      <c r="J333" s="7" t="s">
        <v>5726</v>
      </c>
      <c r="K333" s="7" t="s">
        <v>5725</v>
      </c>
      <c r="L333" s="7" t="s">
        <v>5725</v>
      </c>
      <c r="M333" s="7" t="s">
        <v>5725</v>
      </c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spans="1:37">
      <c r="A334" s="7" t="s">
        <v>1325</v>
      </c>
      <c r="B334" s="7" t="s">
        <v>1326</v>
      </c>
      <c r="C334" s="7" t="s">
        <v>1327</v>
      </c>
      <c r="D334" s="4">
        <v>4</v>
      </c>
      <c r="E334" s="5" t="s">
        <v>1328</v>
      </c>
      <c r="F334" s="7">
        <f ca="1">IFERROR(__xludf.DUMMYFUNCTION("ARRAYFORMULA(SUM(ARRAYFORMULA(IFERROR(VALUE(SPLIT(SUBSTITUTE(E334,""-"","" ""),"" "")),0))))
"),56)</f>
        <v>56</v>
      </c>
      <c r="G334" s="7" t="s">
        <v>5734</v>
      </c>
      <c r="H334" s="7" t="s">
        <v>5735</v>
      </c>
      <c r="I334" s="7" t="s">
        <v>5736</v>
      </c>
      <c r="J334" s="7" t="s">
        <v>5726</v>
      </c>
      <c r="K334" s="7" t="s">
        <v>5725</v>
      </c>
      <c r="L334" s="7" t="s">
        <v>5725</v>
      </c>
      <c r="M334" s="7" t="s">
        <v>5725</v>
      </c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spans="1:37">
      <c r="A335" s="7" t="s">
        <v>1329</v>
      </c>
      <c r="B335" s="7" t="s">
        <v>1330</v>
      </c>
      <c r="C335" s="7" t="s">
        <v>1331</v>
      </c>
      <c r="D335" s="4">
        <v>4</v>
      </c>
      <c r="E335" s="5" t="s">
        <v>1332</v>
      </c>
      <c r="F335" s="7">
        <f ca="1">IFERROR(__xludf.DUMMYFUNCTION("ARRAYFORMULA(SUM(ARRAYFORMULA(IFERROR(VALUE(SPLIT(SUBSTITUTE(E335,""-"","" ""),"" "")),0))))
"),58)</f>
        <v>58</v>
      </c>
      <c r="G335" s="7" t="s">
        <v>5734</v>
      </c>
      <c r="H335" s="7" t="s">
        <v>5735</v>
      </c>
      <c r="I335" s="7" t="s">
        <v>5736</v>
      </c>
      <c r="J335" s="7" t="s">
        <v>5726</v>
      </c>
      <c r="K335" s="7" t="s">
        <v>5725</v>
      </c>
      <c r="L335" s="7" t="s">
        <v>5725</v>
      </c>
      <c r="M335" s="7" t="s">
        <v>5725</v>
      </c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spans="1:37">
      <c r="A336" s="7" t="s">
        <v>1333</v>
      </c>
      <c r="B336" s="7" t="s">
        <v>1334</v>
      </c>
      <c r="C336" s="7" t="s">
        <v>1335</v>
      </c>
      <c r="D336" s="4">
        <v>4</v>
      </c>
      <c r="E336" s="5" t="s">
        <v>1336</v>
      </c>
      <c r="F336" s="7">
        <f ca="1">IFERROR(__xludf.DUMMYFUNCTION("ARRAYFORMULA(SUM(ARRAYFORMULA(IFERROR(VALUE(SPLIT(SUBSTITUTE(E336,""-"","" ""),"" "")),0))))
"),60)</f>
        <v>60</v>
      </c>
      <c r="G336" s="7" t="s">
        <v>5734</v>
      </c>
      <c r="H336" s="7" t="s">
        <v>5735</v>
      </c>
      <c r="I336" s="7" t="s">
        <v>5736</v>
      </c>
      <c r="J336" s="7" t="s">
        <v>5726</v>
      </c>
      <c r="K336" s="7" t="s">
        <v>5725</v>
      </c>
      <c r="L336" s="7" t="s">
        <v>5725</v>
      </c>
      <c r="M336" s="7" t="s">
        <v>5725</v>
      </c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spans="1:37">
      <c r="A337" s="7" t="s">
        <v>1337</v>
      </c>
      <c r="B337" s="7" t="s">
        <v>1338</v>
      </c>
      <c r="C337" s="7" t="s">
        <v>1339</v>
      </c>
      <c r="D337" s="4">
        <v>4</v>
      </c>
      <c r="E337" s="5" t="s">
        <v>1340</v>
      </c>
      <c r="F337" s="7">
        <f ca="1">IFERROR(__xludf.DUMMYFUNCTION("ARRAYFORMULA(SUM(ARRAYFORMULA(IFERROR(VALUE(SPLIT(SUBSTITUTE(E337,""-"","" ""),"" "")),0))))
"),62)</f>
        <v>62</v>
      </c>
      <c r="G337" s="7" t="s">
        <v>5734</v>
      </c>
      <c r="H337" s="7" t="s">
        <v>5735</v>
      </c>
      <c r="I337" s="7" t="s">
        <v>5736</v>
      </c>
      <c r="J337" s="7" t="s">
        <v>5726</v>
      </c>
      <c r="K337" s="7" t="s">
        <v>5725</v>
      </c>
      <c r="L337" s="7" t="s">
        <v>5725</v>
      </c>
      <c r="M337" s="7" t="s">
        <v>5725</v>
      </c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spans="1:37">
      <c r="A338" s="3" t="s">
        <v>1341</v>
      </c>
      <c r="B338" s="3" t="s">
        <v>1342</v>
      </c>
      <c r="C338" s="3" t="s">
        <v>1343</v>
      </c>
      <c r="D338" s="4">
        <v>3</v>
      </c>
      <c r="E338" s="8" t="s">
        <v>1344</v>
      </c>
      <c r="F338" s="7">
        <f ca="1">IFERROR(__xludf.DUMMYFUNCTION("ARRAYFORMULA(SUM(ARRAYFORMULA(IFERROR(VALUE(SPLIT(SUBSTITUTE(E338,""-"","" ""),"" "")),0))))
"),48)</f>
        <v>48</v>
      </c>
      <c r="G338" s="7" t="s">
        <v>5708</v>
      </c>
      <c r="H338" s="7" t="s">
        <v>5732</v>
      </c>
      <c r="I338" s="7" t="s">
        <v>5733</v>
      </c>
      <c r="J338" s="7" t="s">
        <v>5725</v>
      </c>
      <c r="K338" s="7" t="s">
        <v>5725</v>
      </c>
      <c r="L338" s="7" t="s">
        <v>5726</v>
      </c>
      <c r="M338" s="7" t="s">
        <v>5726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1:37">
      <c r="A339" s="7" t="s">
        <v>1345</v>
      </c>
      <c r="B339" s="7" t="s">
        <v>1346</v>
      </c>
      <c r="C339" s="7" t="s">
        <v>1347</v>
      </c>
      <c r="D339" s="4">
        <v>4</v>
      </c>
      <c r="E339" s="5" t="s">
        <v>1348</v>
      </c>
      <c r="F339" s="7">
        <f ca="1">IFERROR(__xludf.DUMMYFUNCTION("ARRAYFORMULA(SUM(ARRAYFORMULA(IFERROR(VALUE(SPLIT(SUBSTITUTE(E339,""-"","" ""),"" "")),0))))
"),50)</f>
        <v>50</v>
      </c>
      <c r="G339" s="7" t="s">
        <v>5734</v>
      </c>
      <c r="H339" s="7" t="s">
        <v>5735</v>
      </c>
      <c r="I339" s="7" t="s">
        <v>5736</v>
      </c>
      <c r="J339" s="7" t="s">
        <v>5726</v>
      </c>
      <c r="K339" s="7" t="s">
        <v>5725</v>
      </c>
      <c r="L339" s="7" t="s">
        <v>5725</v>
      </c>
      <c r="M339" s="7" t="s">
        <v>5725</v>
      </c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spans="1:37">
      <c r="A340" s="7" t="s">
        <v>1349</v>
      </c>
      <c r="B340" s="7" t="s">
        <v>1350</v>
      </c>
      <c r="C340" s="7" t="s">
        <v>1351</v>
      </c>
      <c r="D340" s="4">
        <v>4</v>
      </c>
      <c r="E340" s="5" t="s">
        <v>1352</v>
      </c>
      <c r="F340" s="7">
        <f ca="1">IFERROR(__xludf.DUMMYFUNCTION("ARRAYFORMULA(SUM(ARRAYFORMULA(IFERROR(VALUE(SPLIT(SUBSTITUTE(E340,""-"","" ""),"" "")),0))))
"),52)</f>
        <v>52</v>
      </c>
      <c r="G340" s="7" t="s">
        <v>5734</v>
      </c>
      <c r="H340" s="7" t="s">
        <v>5735</v>
      </c>
      <c r="I340" s="7" t="s">
        <v>5736</v>
      </c>
      <c r="J340" s="7" t="s">
        <v>5726</v>
      </c>
      <c r="K340" s="7" t="s">
        <v>5725</v>
      </c>
      <c r="L340" s="7" t="s">
        <v>5725</v>
      </c>
      <c r="M340" s="7" t="s">
        <v>5725</v>
      </c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spans="1:37">
      <c r="A341" s="7" t="s">
        <v>1353</v>
      </c>
      <c r="B341" s="7" t="s">
        <v>1354</v>
      </c>
      <c r="C341" s="7" t="s">
        <v>1355</v>
      </c>
      <c r="D341" s="4">
        <v>4</v>
      </c>
      <c r="E341" s="5" t="s">
        <v>1356</v>
      </c>
      <c r="F341" s="7">
        <f ca="1">IFERROR(__xludf.DUMMYFUNCTION("ARRAYFORMULA(SUM(ARRAYFORMULA(IFERROR(VALUE(SPLIT(SUBSTITUTE(E341,""-"","" ""),"" "")),0))))
"),54)</f>
        <v>54</v>
      </c>
      <c r="G341" s="7" t="s">
        <v>5734</v>
      </c>
      <c r="H341" s="7" t="s">
        <v>5735</v>
      </c>
      <c r="I341" s="7" t="s">
        <v>5736</v>
      </c>
      <c r="J341" s="7" t="s">
        <v>5726</v>
      </c>
      <c r="K341" s="7" t="s">
        <v>5725</v>
      </c>
      <c r="L341" s="7" t="s">
        <v>5725</v>
      </c>
      <c r="M341" s="7" t="s">
        <v>5725</v>
      </c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spans="1:37">
      <c r="A342" s="7" t="s">
        <v>1357</v>
      </c>
      <c r="B342" s="7" t="s">
        <v>1358</v>
      </c>
      <c r="C342" s="7" t="s">
        <v>1359</v>
      </c>
      <c r="D342" s="4">
        <v>4</v>
      </c>
      <c r="E342" s="5" t="s">
        <v>1360</v>
      </c>
      <c r="F342" s="7">
        <f ca="1">IFERROR(__xludf.DUMMYFUNCTION("ARRAYFORMULA(SUM(ARRAYFORMULA(IFERROR(VALUE(SPLIT(SUBSTITUTE(E342,""-"","" ""),"" "")),0))))
"),56)</f>
        <v>56</v>
      </c>
      <c r="G342" s="7" t="s">
        <v>5734</v>
      </c>
      <c r="H342" s="7" t="s">
        <v>5735</v>
      </c>
      <c r="I342" s="7" t="s">
        <v>5736</v>
      </c>
      <c r="J342" s="7" t="s">
        <v>5726</v>
      </c>
      <c r="K342" s="7" t="s">
        <v>5725</v>
      </c>
      <c r="L342" s="7" t="s">
        <v>5725</v>
      </c>
      <c r="M342" s="7" t="s">
        <v>5725</v>
      </c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spans="1:37">
      <c r="A343" s="7" t="s">
        <v>1361</v>
      </c>
      <c r="B343" s="7" t="s">
        <v>1362</v>
      </c>
      <c r="C343" s="7" t="s">
        <v>1363</v>
      </c>
      <c r="D343" s="4">
        <v>4</v>
      </c>
      <c r="E343" s="5" t="s">
        <v>1364</v>
      </c>
      <c r="F343" s="7">
        <f ca="1">IFERROR(__xludf.DUMMYFUNCTION("ARRAYFORMULA(SUM(ARRAYFORMULA(IFERROR(VALUE(SPLIT(SUBSTITUTE(E343,""-"","" ""),"" "")),0))))
"),58)</f>
        <v>58</v>
      </c>
      <c r="G343" s="7" t="s">
        <v>5734</v>
      </c>
      <c r="H343" s="7" t="s">
        <v>5735</v>
      </c>
      <c r="I343" s="7" t="s">
        <v>5736</v>
      </c>
      <c r="J343" s="7" t="s">
        <v>5726</v>
      </c>
      <c r="K343" s="7" t="s">
        <v>5725</v>
      </c>
      <c r="L343" s="7" t="s">
        <v>5725</v>
      </c>
      <c r="M343" s="7" t="s">
        <v>5725</v>
      </c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spans="1:37">
      <c r="A344" s="7" t="s">
        <v>1365</v>
      </c>
      <c r="B344" s="7" t="s">
        <v>1366</v>
      </c>
      <c r="C344" s="7" t="s">
        <v>1367</v>
      </c>
      <c r="D344" s="4">
        <v>5</v>
      </c>
      <c r="E344" s="5" t="s">
        <v>1368</v>
      </c>
      <c r="F344" s="7">
        <f ca="1">IFERROR(__xludf.DUMMYFUNCTION("ARRAYFORMULA(SUM(ARRAYFORMULA(IFERROR(VALUE(SPLIT(SUBSTITUTE(E344,""-"","" ""),"" "")),0))))
"),60)</f>
        <v>60</v>
      </c>
      <c r="G344" s="7" t="s">
        <v>5734</v>
      </c>
      <c r="H344" s="7" t="s">
        <v>5735</v>
      </c>
      <c r="I344" s="7" t="s">
        <v>5736</v>
      </c>
      <c r="J344" s="7" t="s">
        <v>5726</v>
      </c>
      <c r="K344" s="7" t="s">
        <v>5725</v>
      </c>
      <c r="L344" s="7" t="s">
        <v>5725</v>
      </c>
      <c r="M344" s="7" t="s">
        <v>5725</v>
      </c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spans="1:37">
      <c r="A345" s="7" t="s">
        <v>1369</v>
      </c>
      <c r="B345" s="7" t="s">
        <v>1370</v>
      </c>
      <c r="C345" s="7" t="s">
        <v>1371</v>
      </c>
      <c r="D345" s="4">
        <v>5</v>
      </c>
      <c r="E345" s="5" t="s">
        <v>1372</v>
      </c>
      <c r="F345" s="7">
        <f ca="1">IFERROR(__xludf.DUMMYFUNCTION("ARRAYFORMULA(SUM(ARRAYFORMULA(IFERROR(VALUE(SPLIT(SUBSTITUTE(E345,""-"","" ""),"" "")),0))))
"),62)</f>
        <v>62</v>
      </c>
      <c r="G345" s="7" t="s">
        <v>5734</v>
      </c>
      <c r="H345" s="7" t="s">
        <v>5735</v>
      </c>
      <c r="I345" s="7" t="s">
        <v>5736</v>
      </c>
      <c r="J345" s="7" t="s">
        <v>5726</v>
      </c>
      <c r="K345" s="7" t="s">
        <v>5725</v>
      </c>
      <c r="L345" s="7" t="s">
        <v>5725</v>
      </c>
      <c r="M345" s="7" t="s">
        <v>5725</v>
      </c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spans="1:37">
      <c r="A346" s="7" t="s">
        <v>1373</v>
      </c>
      <c r="B346" s="7" t="s">
        <v>1374</v>
      </c>
      <c r="C346" s="7" t="s">
        <v>1375</v>
      </c>
      <c r="D346" s="4">
        <v>5</v>
      </c>
      <c r="E346" s="5" t="s">
        <v>1376</v>
      </c>
      <c r="F346" s="7">
        <f ca="1">IFERROR(__xludf.DUMMYFUNCTION("ARRAYFORMULA(SUM(ARRAYFORMULA(IFERROR(VALUE(SPLIT(SUBSTITUTE(E346,""-"","" ""),"" "")),0))))
"),64)</f>
        <v>64</v>
      </c>
      <c r="G346" s="7" t="s">
        <v>5734</v>
      </c>
      <c r="H346" s="7" t="s">
        <v>5735</v>
      </c>
      <c r="I346" s="7" t="s">
        <v>5736</v>
      </c>
      <c r="J346" s="7" t="s">
        <v>5726</v>
      </c>
      <c r="K346" s="7" t="s">
        <v>5725</v>
      </c>
      <c r="L346" s="7" t="s">
        <v>5725</v>
      </c>
      <c r="M346" s="7" t="s">
        <v>5725</v>
      </c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spans="1:37">
      <c r="A347" s="3" t="s">
        <v>1377</v>
      </c>
      <c r="B347" s="3" t="s">
        <v>1378</v>
      </c>
      <c r="C347" s="3" t="s">
        <v>1379</v>
      </c>
      <c r="D347" s="4">
        <v>2</v>
      </c>
      <c r="E347" s="8" t="s">
        <v>1380</v>
      </c>
      <c r="F347" s="7">
        <f ca="1">IFERROR(__xludf.DUMMYFUNCTION("ARRAYFORMULA(SUM(ARRAYFORMULA(IFERROR(VALUE(SPLIT(SUBSTITUTE(E347,""-"","" ""),"" "")),0))))
"),28)</f>
        <v>28</v>
      </c>
      <c r="G347" s="7" t="s">
        <v>5706</v>
      </c>
      <c r="H347" s="7" t="s">
        <v>5723</v>
      </c>
      <c r="I347" s="7" t="s">
        <v>5724</v>
      </c>
      <c r="J347" s="7" t="s">
        <v>5725</v>
      </c>
      <c r="K347" s="7" t="s">
        <v>5726</v>
      </c>
      <c r="L347" s="7" t="s">
        <v>5726</v>
      </c>
      <c r="M347" s="7" t="s">
        <v>5726</v>
      </c>
      <c r="N347" s="3"/>
      <c r="O347" s="3"/>
      <c r="P347" s="3"/>
      <c r="Q347" s="3"/>
      <c r="R347" s="8" t="s">
        <v>1380</v>
      </c>
      <c r="S347" s="3" t="s">
        <v>5753</v>
      </c>
      <c r="T347" s="111" t="s">
        <v>5754</v>
      </c>
      <c r="U347" s="7" t="str">
        <f>T347&amp;"-"&amp;S347</f>
        <v>3E-28-iluminação</v>
      </c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>
      <c r="A348" s="3" t="s">
        <v>1381</v>
      </c>
      <c r="B348" s="3" t="s">
        <v>1382</v>
      </c>
      <c r="C348" s="3" t="s">
        <v>1383</v>
      </c>
      <c r="D348" s="4">
        <v>3</v>
      </c>
      <c r="E348" s="8" t="s">
        <v>1384</v>
      </c>
      <c r="F348" s="7">
        <f ca="1">IFERROR(__xludf.DUMMYFUNCTION("ARRAYFORMULA(SUM(ARRAYFORMULA(IFERROR(VALUE(SPLIT(SUBSTITUTE(E348,""-"","" ""),"" "")),0))))
"),30)</f>
        <v>30</v>
      </c>
      <c r="G348" s="7" t="s">
        <v>5708</v>
      </c>
      <c r="H348" s="7" t="s">
        <v>5732</v>
      </c>
      <c r="I348" s="7" t="s">
        <v>5733</v>
      </c>
      <c r="J348" s="7" t="s">
        <v>5725</v>
      </c>
      <c r="K348" s="7" t="s">
        <v>5725</v>
      </c>
      <c r="L348" s="7" t="s">
        <v>5726</v>
      </c>
      <c r="M348" s="7" t="s">
        <v>5726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>
      <c r="A349" s="7" t="s">
        <v>1385</v>
      </c>
      <c r="B349" s="7" t="s">
        <v>1386</v>
      </c>
      <c r="C349" s="7" t="s">
        <v>1387</v>
      </c>
      <c r="D349" s="4">
        <v>4</v>
      </c>
      <c r="E349" s="5" t="s">
        <v>1388</v>
      </c>
      <c r="F349" s="7">
        <f ca="1">IFERROR(__xludf.DUMMYFUNCTION("ARRAYFORMULA(SUM(ARRAYFORMULA(IFERROR(VALUE(SPLIT(SUBSTITUTE(E349,""-"","" ""),"" "")),0))))
"),32)</f>
        <v>32</v>
      </c>
      <c r="G349" s="7" t="s">
        <v>5734</v>
      </c>
      <c r="H349" s="7" t="s">
        <v>5735</v>
      </c>
      <c r="I349" s="7" t="s">
        <v>5736</v>
      </c>
      <c r="J349" s="7" t="s">
        <v>5726</v>
      </c>
      <c r="K349" s="7" t="s">
        <v>5725</v>
      </c>
      <c r="L349" s="7" t="s">
        <v>5725</v>
      </c>
      <c r="M349" s="7" t="s">
        <v>5725</v>
      </c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spans="1:37">
      <c r="A350" s="7" t="s">
        <v>1389</v>
      </c>
      <c r="B350" s="7" t="s">
        <v>1390</v>
      </c>
      <c r="C350" s="7" t="s">
        <v>1391</v>
      </c>
      <c r="D350" s="4">
        <v>4</v>
      </c>
      <c r="E350" s="5" t="s">
        <v>1392</v>
      </c>
      <c r="F350" s="7">
        <f ca="1">IFERROR(__xludf.DUMMYFUNCTION("ARRAYFORMULA(SUM(ARRAYFORMULA(IFERROR(VALUE(SPLIT(SUBSTITUTE(E350,""-"","" ""),"" "")),0))))
"),34)</f>
        <v>34</v>
      </c>
      <c r="G350" s="7" t="s">
        <v>5734</v>
      </c>
      <c r="H350" s="7" t="s">
        <v>5735</v>
      </c>
      <c r="I350" s="7" t="s">
        <v>5736</v>
      </c>
      <c r="J350" s="7" t="s">
        <v>5726</v>
      </c>
      <c r="K350" s="7" t="s">
        <v>5725</v>
      </c>
      <c r="L350" s="7" t="s">
        <v>5725</v>
      </c>
      <c r="M350" s="7" t="s">
        <v>5725</v>
      </c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spans="1:37">
      <c r="A351" s="7" t="s">
        <v>1393</v>
      </c>
      <c r="B351" s="7" t="s">
        <v>1394</v>
      </c>
      <c r="C351" s="7" t="s">
        <v>1395</v>
      </c>
      <c r="D351" s="4">
        <v>4</v>
      </c>
      <c r="E351" s="5" t="s">
        <v>1396</v>
      </c>
      <c r="F351" s="7">
        <f ca="1">IFERROR(__xludf.DUMMYFUNCTION("ARRAYFORMULA(SUM(ARRAYFORMULA(IFERROR(VALUE(SPLIT(SUBSTITUTE(E351,""-"","" ""),"" "")),0))))
"),36)</f>
        <v>36</v>
      </c>
      <c r="G351" s="7" t="s">
        <v>5734</v>
      </c>
      <c r="H351" s="7" t="s">
        <v>5735</v>
      </c>
      <c r="I351" s="7" t="s">
        <v>5736</v>
      </c>
      <c r="J351" s="7" t="s">
        <v>5726</v>
      </c>
      <c r="K351" s="7" t="s">
        <v>5725</v>
      </c>
      <c r="L351" s="7" t="s">
        <v>5725</v>
      </c>
      <c r="M351" s="7" t="s">
        <v>5725</v>
      </c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spans="1:37">
      <c r="A352" s="7" t="s">
        <v>1397</v>
      </c>
      <c r="B352" s="7" t="s">
        <v>1398</v>
      </c>
      <c r="C352" s="7" t="s">
        <v>1399</v>
      </c>
      <c r="D352" s="4">
        <v>4</v>
      </c>
      <c r="E352" s="5" t="s">
        <v>1400</v>
      </c>
      <c r="F352" s="7">
        <f ca="1">IFERROR(__xludf.DUMMYFUNCTION("ARRAYFORMULA(SUM(ARRAYFORMULA(IFERROR(VALUE(SPLIT(SUBSTITUTE(E352,""-"","" ""),"" "")),0))))
"),38)</f>
        <v>38</v>
      </c>
      <c r="G352" s="7" t="s">
        <v>5734</v>
      </c>
      <c r="H352" s="7" t="s">
        <v>5735</v>
      </c>
      <c r="I352" s="7" t="s">
        <v>5736</v>
      </c>
      <c r="J352" s="7" t="s">
        <v>5726</v>
      </c>
      <c r="K352" s="7" t="s">
        <v>5725</v>
      </c>
      <c r="L352" s="7" t="s">
        <v>5725</v>
      </c>
      <c r="M352" s="7" t="s">
        <v>5725</v>
      </c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spans="1:37">
      <c r="A353" s="7" t="s">
        <v>1401</v>
      </c>
      <c r="B353" s="7" t="s">
        <v>1402</v>
      </c>
      <c r="C353" s="7" t="s">
        <v>1403</v>
      </c>
      <c r="D353" s="4">
        <v>4</v>
      </c>
      <c r="E353" s="5" t="s">
        <v>1404</v>
      </c>
      <c r="F353" s="7">
        <f ca="1">IFERROR(__xludf.DUMMYFUNCTION("ARRAYFORMULA(SUM(ARRAYFORMULA(IFERROR(VALUE(SPLIT(SUBSTITUTE(E353,""-"","" ""),"" "")),0))))
"),40)</f>
        <v>40</v>
      </c>
      <c r="G353" s="7" t="s">
        <v>5734</v>
      </c>
      <c r="H353" s="7" t="s">
        <v>5735</v>
      </c>
      <c r="I353" s="7" t="s">
        <v>5736</v>
      </c>
      <c r="J353" s="7" t="s">
        <v>5726</v>
      </c>
      <c r="K353" s="7" t="s">
        <v>5725</v>
      </c>
      <c r="L353" s="7" t="s">
        <v>5725</v>
      </c>
      <c r="M353" s="7" t="s">
        <v>5725</v>
      </c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spans="1:37">
      <c r="A354" s="3" t="s">
        <v>1405</v>
      </c>
      <c r="B354" s="3" t="s">
        <v>1406</v>
      </c>
      <c r="C354" s="3" t="s">
        <v>1407</v>
      </c>
      <c r="D354" s="4">
        <v>3</v>
      </c>
      <c r="E354" s="8" t="s">
        <v>1408</v>
      </c>
      <c r="F354" s="7">
        <f ca="1">IFERROR(__xludf.DUMMYFUNCTION("ARRAYFORMULA(SUM(ARRAYFORMULA(IFERROR(VALUE(SPLIT(SUBSTITUTE(E354,""-"","" ""),"" "")),0))))
"),32)</f>
        <v>32</v>
      </c>
      <c r="G354" s="7" t="s">
        <v>5708</v>
      </c>
      <c r="H354" s="7" t="s">
        <v>5732</v>
      </c>
      <c r="I354" s="7" t="s">
        <v>5733</v>
      </c>
      <c r="J354" s="7" t="s">
        <v>5725</v>
      </c>
      <c r="K354" s="7" t="s">
        <v>5725</v>
      </c>
      <c r="L354" s="7" t="s">
        <v>5726</v>
      </c>
      <c r="M354" s="7" t="s">
        <v>5726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1:37">
      <c r="A355" s="7" t="s">
        <v>1409</v>
      </c>
      <c r="B355" s="7" t="s">
        <v>1410</v>
      </c>
      <c r="C355" s="7" t="s">
        <v>1411</v>
      </c>
      <c r="D355" s="4">
        <v>4</v>
      </c>
      <c r="E355" s="5" t="s">
        <v>1412</v>
      </c>
      <c r="F355" s="7">
        <f ca="1">IFERROR(__xludf.DUMMYFUNCTION("ARRAYFORMULA(SUM(ARRAYFORMULA(IFERROR(VALUE(SPLIT(SUBSTITUTE(E355,""-"","" ""),"" "")),0))))
"),34)</f>
        <v>34</v>
      </c>
      <c r="G355" s="7" t="s">
        <v>5734</v>
      </c>
      <c r="H355" s="7" t="s">
        <v>5735</v>
      </c>
      <c r="I355" s="7" t="s">
        <v>5736</v>
      </c>
      <c r="J355" s="7" t="s">
        <v>5726</v>
      </c>
      <c r="K355" s="7" t="s">
        <v>5725</v>
      </c>
      <c r="L355" s="7" t="s">
        <v>5725</v>
      </c>
      <c r="M355" s="7" t="s">
        <v>5725</v>
      </c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spans="1:37">
      <c r="A356" s="7" t="s">
        <v>1413</v>
      </c>
      <c r="B356" s="7" t="s">
        <v>1414</v>
      </c>
      <c r="C356" s="7" t="s">
        <v>1415</v>
      </c>
      <c r="D356" s="4">
        <v>4</v>
      </c>
      <c r="E356" s="5" t="s">
        <v>1416</v>
      </c>
      <c r="F356" s="7">
        <f ca="1">IFERROR(__xludf.DUMMYFUNCTION("ARRAYFORMULA(SUM(ARRAYFORMULA(IFERROR(VALUE(SPLIT(SUBSTITUTE(E356,""-"","" ""),"" "")),0))))
"),36)</f>
        <v>36</v>
      </c>
      <c r="G356" s="7" t="s">
        <v>5734</v>
      </c>
      <c r="H356" s="7" t="s">
        <v>5735</v>
      </c>
      <c r="I356" s="7" t="s">
        <v>5736</v>
      </c>
      <c r="J356" s="7" t="s">
        <v>5726</v>
      </c>
      <c r="K356" s="7" t="s">
        <v>5725</v>
      </c>
      <c r="L356" s="7" t="s">
        <v>5725</v>
      </c>
      <c r="M356" s="7" t="s">
        <v>5725</v>
      </c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spans="1:37">
      <c r="A357" s="7" t="s">
        <v>1417</v>
      </c>
      <c r="B357" s="7" t="s">
        <v>1418</v>
      </c>
      <c r="C357" s="7" t="s">
        <v>1419</v>
      </c>
      <c r="D357" s="4">
        <v>4</v>
      </c>
      <c r="E357" s="5" t="s">
        <v>1420</v>
      </c>
      <c r="F357" s="7">
        <f ca="1">IFERROR(__xludf.DUMMYFUNCTION("ARRAYFORMULA(SUM(ARRAYFORMULA(IFERROR(VALUE(SPLIT(SUBSTITUTE(E357,""-"","" ""),"" "")),0))))
"),38)</f>
        <v>38</v>
      </c>
      <c r="G357" s="7" t="s">
        <v>5734</v>
      </c>
      <c r="H357" s="7" t="s">
        <v>5735</v>
      </c>
      <c r="I357" s="7" t="s">
        <v>5736</v>
      </c>
      <c r="J357" s="7" t="s">
        <v>5726</v>
      </c>
      <c r="K357" s="7" t="s">
        <v>5725</v>
      </c>
      <c r="L357" s="7" t="s">
        <v>5725</v>
      </c>
      <c r="M357" s="7" t="s">
        <v>5725</v>
      </c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spans="1:37">
      <c r="A358" s="7" t="s">
        <v>1421</v>
      </c>
      <c r="B358" s="7" t="s">
        <v>1422</v>
      </c>
      <c r="C358" s="7" t="s">
        <v>1423</v>
      </c>
      <c r="D358" s="4">
        <v>4</v>
      </c>
      <c r="E358" s="5" t="s">
        <v>1424</v>
      </c>
      <c r="F358" s="7">
        <f ca="1">IFERROR(__xludf.DUMMYFUNCTION("ARRAYFORMULA(SUM(ARRAYFORMULA(IFERROR(VALUE(SPLIT(SUBSTITUTE(E358,""-"","" ""),"" "")),0))))
"),40)</f>
        <v>40</v>
      </c>
      <c r="G358" s="7" t="s">
        <v>5734</v>
      </c>
      <c r="H358" s="7" t="s">
        <v>5735</v>
      </c>
      <c r="I358" s="7" t="s">
        <v>5736</v>
      </c>
      <c r="J358" s="7" t="s">
        <v>5726</v>
      </c>
      <c r="K358" s="7" t="s">
        <v>5725</v>
      </c>
      <c r="L358" s="7" t="s">
        <v>5725</v>
      </c>
      <c r="M358" s="7" t="s">
        <v>5725</v>
      </c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spans="1:37">
      <c r="A359" s="7" t="s">
        <v>1425</v>
      </c>
      <c r="B359" s="7" t="s">
        <v>1426</v>
      </c>
      <c r="C359" s="7" t="s">
        <v>1427</v>
      </c>
      <c r="D359" s="4">
        <v>4</v>
      </c>
      <c r="E359" s="5" t="s">
        <v>1428</v>
      </c>
      <c r="F359" s="7">
        <f ca="1">IFERROR(__xludf.DUMMYFUNCTION("ARRAYFORMULA(SUM(ARRAYFORMULA(IFERROR(VALUE(SPLIT(SUBSTITUTE(E359,""-"","" ""),"" "")),0))))
"),42)</f>
        <v>42</v>
      </c>
      <c r="G359" s="7" t="s">
        <v>5734</v>
      </c>
      <c r="H359" s="7" t="s">
        <v>5735</v>
      </c>
      <c r="I359" s="7" t="s">
        <v>5736</v>
      </c>
      <c r="J359" s="7" t="s">
        <v>5726</v>
      </c>
      <c r="K359" s="7" t="s">
        <v>5725</v>
      </c>
      <c r="L359" s="7" t="s">
        <v>5725</v>
      </c>
      <c r="M359" s="7" t="s">
        <v>5725</v>
      </c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spans="1:37">
      <c r="A360" s="3" t="s">
        <v>1429</v>
      </c>
      <c r="B360" s="3" t="s">
        <v>1430</v>
      </c>
      <c r="C360" s="3" t="s">
        <v>1431</v>
      </c>
      <c r="D360" s="4">
        <v>3</v>
      </c>
      <c r="E360" s="8" t="s">
        <v>1432</v>
      </c>
      <c r="F360" s="7">
        <f ca="1">IFERROR(__xludf.DUMMYFUNCTION("ARRAYFORMULA(SUM(ARRAYFORMULA(IFERROR(VALUE(SPLIT(SUBSTITUTE(E360,""-"","" ""),"" "")),0))))
"),34)</f>
        <v>34</v>
      </c>
      <c r="G360" s="7" t="s">
        <v>5708</v>
      </c>
      <c r="H360" s="7" t="s">
        <v>5732</v>
      </c>
      <c r="I360" s="7" t="s">
        <v>5733</v>
      </c>
      <c r="J360" s="7" t="s">
        <v>5725</v>
      </c>
      <c r="K360" s="7" t="s">
        <v>5725</v>
      </c>
      <c r="L360" s="7" t="s">
        <v>5726</v>
      </c>
      <c r="M360" s="7" t="s">
        <v>5726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1:37">
      <c r="A361" s="3" t="s">
        <v>1433</v>
      </c>
      <c r="B361" s="3" t="s">
        <v>1434</v>
      </c>
      <c r="C361" s="3" t="s">
        <v>1435</v>
      </c>
      <c r="D361" s="4">
        <v>2</v>
      </c>
      <c r="E361" s="8" t="s">
        <v>1436</v>
      </c>
      <c r="F361" s="7">
        <f ca="1">IFERROR(__xludf.DUMMYFUNCTION("ARRAYFORMULA(SUM(ARRAYFORMULA(IFERROR(VALUE(SPLIT(SUBSTITUTE(E361,""-"","" ""),"" "")),0))))
"),30)</f>
        <v>30</v>
      </c>
      <c r="G361" s="7" t="s">
        <v>5706</v>
      </c>
      <c r="H361" s="7" t="s">
        <v>5723</v>
      </c>
      <c r="I361" s="7" t="s">
        <v>5724</v>
      </c>
      <c r="J361" s="7" t="s">
        <v>5725</v>
      </c>
      <c r="K361" s="7" t="s">
        <v>5726</v>
      </c>
      <c r="L361" s="7" t="s">
        <v>5726</v>
      </c>
      <c r="M361" s="7" t="s">
        <v>5726</v>
      </c>
      <c r="N361" s="3"/>
      <c r="O361" s="3"/>
      <c r="P361" s="3"/>
      <c r="Q361" s="3"/>
      <c r="R361" s="8" t="s">
        <v>1436</v>
      </c>
      <c r="S361" s="3" t="s">
        <v>5755</v>
      </c>
      <c r="T361" s="111" t="s">
        <v>5756</v>
      </c>
      <c r="U361" s="7" t="str">
        <f>T361&amp;"-"&amp;S361</f>
        <v>3E-30-ventilação e exaustão</v>
      </c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1:37">
      <c r="A362" s="3" t="s">
        <v>1437</v>
      </c>
      <c r="B362" s="3" t="s">
        <v>1438</v>
      </c>
      <c r="C362" s="3" t="s">
        <v>1439</v>
      </c>
      <c r="D362" s="4">
        <v>3</v>
      </c>
      <c r="E362" s="8" t="s">
        <v>1440</v>
      </c>
      <c r="F362" s="7">
        <f ca="1">IFERROR(__xludf.DUMMYFUNCTION("ARRAYFORMULA(SUM(ARRAYFORMULA(IFERROR(VALUE(SPLIT(SUBSTITUTE(E362,""-"","" ""),"" "")),0))))
"),32)</f>
        <v>32</v>
      </c>
      <c r="G362" s="7" t="s">
        <v>5708</v>
      </c>
      <c r="H362" s="7" t="s">
        <v>5732</v>
      </c>
      <c r="I362" s="7" t="s">
        <v>5733</v>
      </c>
      <c r="J362" s="7" t="s">
        <v>5725</v>
      </c>
      <c r="K362" s="7" t="s">
        <v>5725</v>
      </c>
      <c r="L362" s="7" t="s">
        <v>5726</v>
      </c>
      <c r="M362" s="7" t="s">
        <v>5726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1:37">
      <c r="A363" s="7" t="s">
        <v>1441</v>
      </c>
      <c r="B363" s="7" t="s">
        <v>1442</v>
      </c>
      <c r="C363" s="7" t="s">
        <v>1443</v>
      </c>
      <c r="D363" s="4">
        <v>4</v>
      </c>
      <c r="E363" s="5" t="s">
        <v>1444</v>
      </c>
      <c r="F363" s="7">
        <f ca="1">IFERROR(__xludf.DUMMYFUNCTION("ARRAYFORMULA(SUM(ARRAYFORMULA(IFERROR(VALUE(SPLIT(SUBSTITUTE(E363,""-"","" ""),"" "")),0))))
"),34)</f>
        <v>34</v>
      </c>
      <c r="G363" s="7" t="s">
        <v>5734</v>
      </c>
      <c r="H363" s="7" t="s">
        <v>5735</v>
      </c>
      <c r="I363" s="7" t="s">
        <v>5736</v>
      </c>
      <c r="J363" s="7" t="s">
        <v>5726</v>
      </c>
      <c r="K363" s="7" t="s">
        <v>5725</v>
      </c>
      <c r="L363" s="7" t="s">
        <v>5725</v>
      </c>
      <c r="M363" s="7" t="s">
        <v>5725</v>
      </c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spans="1:37">
      <c r="A364" s="7" t="s">
        <v>1445</v>
      </c>
      <c r="B364" s="7" t="s">
        <v>1446</v>
      </c>
      <c r="C364" s="7" t="s">
        <v>1447</v>
      </c>
      <c r="D364" s="4">
        <v>4</v>
      </c>
      <c r="E364" s="5" t="s">
        <v>1448</v>
      </c>
      <c r="F364" s="7">
        <f ca="1">IFERROR(__xludf.DUMMYFUNCTION("ARRAYFORMULA(SUM(ARRAYFORMULA(IFERROR(VALUE(SPLIT(SUBSTITUTE(E364,""-"","" ""),"" "")),0))))
"),36)</f>
        <v>36</v>
      </c>
      <c r="G364" s="7" t="s">
        <v>5734</v>
      </c>
      <c r="H364" s="7" t="s">
        <v>5735</v>
      </c>
      <c r="I364" s="7" t="s">
        <v>5736</v>
      </c>
      <c r="J364" s="7" t="s">
        <v>5726</v>
      </c>
      <c r="K364" s="7" t="s">
        <v>5725</v>
      </c>
      <c r="L364" s="7" t="s">
        <v>5725</v>
      </c>
      <c r="M364" s="7" t="s">
        <v>5725</v>
      </c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spans="1:37">
      <c r="A365" s="3" t="s">
        <v>1449</v>
      </c>
      <c r="B365" s="3" t="s">
        <v>1450</v>
      </c>
      <c r="C365" s="3" t="s">
        <v>1451</v>
      </c>
      <c r="D365" s="4">
        <v>3</v>
      </c>
      <c r="E365" s="8" t="s">
        <v>1452</v>
      </c>
      <c r="F365" s="7">
        <f ca="1">IFERROR(__xludf.DUMMYFUNCTION("ARRAYFORMULA(SUM(ARRAYFORMULA(IFERROR(VALUE(SPLIT(SUBSTITUTE(E365,""-"","" ""),"" "")),0))))
"),34)</f>
        <v>34</v>
      </c>
      <c r="G365" s="7" t="s">
        <v>5708</v>
      </c>
      <c r="H365" s="7" t="s">
        <v>5732</v>
      </c>
      <c r="I365" s="7" t="s">
        <v>5733</v>
      </c>
      <c r="J365" s="7" t="s">
        <v>5725</v>
      </c>
      <c r="K365" s="7" t="s">
        <v>5725</v>
      </c>
      <c r="L365" s="7" t="s">
        <v>5726</v>
      </c>
      <c r="M365" s="7" t="s">
        <v>5726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1:37">
      <c r="A366" s="7" t="s">
        <v>1453</v>
      </c>
      <c r="B366" s="7" t="s">
        <v>1454</v>
      </c>
      <c r="C366" s="7" t="s">
        <v>1455</v>
      </c>
      <c r="D366" s="4">
        <v>4</v>
      </c>
      <c r="E366" s="5" t="s">
        <v>1456</v>
      </c>
      <c r="F366" s="7">
        <f ca="1">IFERROR(__xludf.DUMMYFUNCTION("ARRAYFORMULA(SUM(ARRAYFORMULA(IFERROR(VALUE(SPLIT(SUBSTITUTE(E366,""-"","" ""),"" "")),0))))
"),36)</f>
        <v>36</v>
      </c>
      <c r="G366" s="7" t="s">
        <v>5734</v>
      </c>
      <c r="H366" s="7" t="s">
        <v>5735</v>
      </c>
      <c r="I366" s="7" t="s">
        <v>5736</v>
      </c>
      <c r="J366" s="7" t="s">
        <v>5726</v>
      </c>
      <c r="K366" s="7" t="s">
        <v>5725</v>
      </c>
      <c r="L366" s="7" t="s">
        <v>5725</v>
      </c>
      <c r="M366" s="7" t="s">
        <v>5725</v>
      </c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spans="1:37">
      <c r="A367" s="7" t="s">
        <v>1457</v>
      </c>
      <c r="B367" s="7" t="s">
        <v>1458</v>
      </c>
      <c r="C367" s="7" t="s">
        <v>1459</v>
      </c>
      <c r="D367" s="4">
        <v>4</v>
      </c>
      <c r="E367" s="5" t="s">
        <v>1460</v>
      </c>
      <c r="F367" s="7">
        <f ca="1">IFERROR(__xludf.DUMMYFUNCTION("ARRAYFORMULA(SUM(ARRAYFORMULA(IFERROR(VALUE(SPLIT(SUBSTITUTE(E367,""-"","" ""),"" "")),0))))
"),38)</f>
        <v>38</v>
      </c>
      <c r="G367" s="7" t="s">
        <v>5734</v>
      </c>
      <c r="H367" s="7" t="s">
        <v>5735</v>
      </c>
      <c r="I367" s="7" t="s">
        <v>5736</v>
      </c>
      <c r="J367" s="7" t="s">
        <v>5726</v>
      </c>
      <c r="K367" s="7" t="s">
        <v>5725</v>
      </c>
      <c r="L367" s="7" t="s">
        <v>5725</v>
      </c>
      <c r="M367" s="7" t="s">
        <v>5725</v>
      </c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spans="1:37">
      <c r="A368" s="7" t="s">
        <v>1461</v>
      </c>
      <c r="B368" s="7" t="s">
        <v>1462</v>
      </c>
      <c r="C368" s="7" t="s">
        <v>1463</v>
      </c>
      <c r="D368" s="4">
        <v>4</v>
      </c>
      <c r="E368" s="5" t="s">
        <v>1464</v>
      </c>
      <c r="F368" s="7">
        <f ca="1">IFERROR(__xludf.DUMMYFUNCTION("ARRAYFORMULA(SUM(ARRAYFORMULA(IFERROR(VALUE(SPLIT(SUBSTITUTE(E368,""-"","" ""),"" "")),0))))
"),40)</f>
        <v>40</v>
      </c>
      <c r="G368" s="7" t="s">
        <v>5734</v>
      </c>
      <c r="H368" s="7" t="s">
        <v>5735</v>
      </c>
      <c r="I368" s="7" t="s">
        <v>5736</v>
      </c>
      <c r="J368" s="7" t="s">
        <v>5726</v>
      </c>
      <c r="K368" s="7" t="s">
        <v>5725</v>
      </c>
      <c r="L368" s="7" t="s">
        <v>5725</v>
      </c>
      <c r="M368" s="7" t="s">
        <v>5725</v>
      </c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spans="1:37">
      <c r="A369" s="7" t="s">
        <v>1465</v>
      </c>
      <c r="B369" s="7" t="s">
        <v>1466</v>
      </c>
      <c r="C369" s="7" t="s">
        <v>1467</v>
      </c>
      <c r="D369" s="4">
        <v>4</v>
      </c>
      <c r="E369" s="5" t="s">
        <v>1468</v>
      </c>
      <c r="F369" s="7">
        <f ca="1">IFERROR(__xludf.DUMMYFUNCTION("ARRAYFORMULA(SUM(ARRAYFORMULA(IFERROR(VALUE(SPLIT(SUBSTITUTE(E369,""-"","" ""),"" "")),0))))
"),42)</f>
        <v>42</v>
      </c>
      <c r="G369" s="7" t="s">
        <v>5734</v>
      </c>
      <c r="H369" s="7" t="s">
        <v>5735</v>
      </c>
      <c r="I369" s="7" t="s">
        <v>5736</v>
      </c>
      <c r="J369" s="7" t="s">
        <v>5726</v>
      </c>
      <c r="K369" s="7" t="s">
        <v>5725</v>
      </c>
      <c r="L369" s="7" t="s">
        <v>5725</v>
      </c>
      <c r="M369" s="7" t="s">
        <v>5725</v>
      </c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spans="1:37">
      <c r="A370" s="3" t="s">
        <v>1469</v>
      </c>
      <c r="B370" s="3" t="s">
        <v>1470</v>
      </c>
      <c r="C370" s="3" t="s">
        <v>1471</v>
      </c>
      <c r="D370" s="4">
        <v>2</v>
      </c>
      <c r="E370" s="8" t="s">
        <v>1472</v>
      </c>
      <c r="F370" s="7">
        <f ca="1">IFERROR(__xludf.DUMMYFUNCTION("ARRAYFORMULA(SUM(ARRAYFORMULA(IFERROR(VALUE(SPLIT(SUBSTITUTE(E370,""-"","" ""),"" "")),0))))
"),32)</f>
        <v>32</v>
      </c>
      <c r="G370" s="7" t="s">
        <v>5706</v>
      </c>
      <c r="H370" s="7" t="s">
        <v>5723</v>
      </c>
      <c r="I370" s="7" t="s">
        <v>5724</v>
      </c>
      <c r="J370" s="7" t="s">
        <v>5725</v>
      </c>
      <c r="K370" s="7" t="s">
        <v>5726</v>
      </c>
      <c r="L370" s="7" t="s">
        <v>5726</v>
      </c>
      <c r="M370" s="7" t="s">
        <v>5726</v>
      </c>
      <c r="N370" s="3"/>
      <c r="O370" s="3"/>
      <c r="P370" s="3"/>
      <c r="Q370" s="3"/>
      <c r="R370" s="8" t="s">
        <v>1472</v>
      </c>
      <c r="S370" s="3" t="s">
        <v>5757</v>
      </c>
      <c r="T370" s="111" t="s">
        <v>5758</v>
      </c>
      <c r="U370" s="7" t="str">
        <f>T370&amp;"-"&amp;S370</f>
        <v>3E-32-rede de distribuição de telecomunicações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1:37">
      <c r="A371" s="3" t="s">
        <v>1473</v>
      </c>
      <c r="B371" s="3" t="s">
        <v>1474</v>
      </c>
      <c r="C371" s="3" t="s">
        <v>1475</v>
      </c>
      <c r="D371" s="4">
        <v>3</v>
      </c>
      <c r="E371" s="8" t="s">
        <v>1476</v>
      </c>
      <c r="F371" s="7">
        <f ca="1">IFERROR(__xludf.DUMMYFUNCTION("ARRAYFORMULA(SUM(ARRAYFORMULA(IFERROR(VALUE(SPLIT(SUBSTITUTE(E371,""-"","" ""),"" "")),0))))
"),34)</f>
        <v>34</v>
      </c>
      <c r="G371" s="7" t="s">
        <v>5708</v>
      </c>
      <c r="H371" s="7" t="s">
        <v>5732</v>
      </c>
      <c r="I371" s="7" t="s">
        <v>5733</v>
      </c>
      <c r="J371" s="7" t="s">
        <v>5725</v>
      </c>
      <c r="K371" s="7" t="s">
        <v>5725</v>
      </c>
      <c r="L371" s="7" t="s">
        <v>5726</v>
      </c>
      <c r="M371" s="7" t="s">
        <v>5726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1:37">
      <c r="A372" s="7" t="s">
        <v>1477</v>
      </c>
      <c r="B372" s="7" t="s">
        <v>1478</v>
      </c>
      <c r="C372" s="7" t="s">
        <v>1479</v>
      </c>
      <c r="D372" s="4">
        <v>4</v>
      </c>
      <c r="E372" s="5" t="s">
        <v>1480</v>
      </c>
      <c r="F372" s="7">
        <f ca="1">IFERROR(__xludf.DUMMYFUNCTION("ARRAYFORMULA(SUM(ARRAYFORMULA(IFERROR(VALUE(SPLIT(SUBSTITUTE(E372,""-"","" ""),"" "")),0))))
"),36)</f>
        <v>36</v>
      </c>
      <c r="G372" s="7" t="s">
        <v>5734</v>
      </c>
      <c r="H372" s="7" t="s">
        <v>5735</v>
      </c>
      <c r="I372" s="7" t="s">
        <v>5736</v>
      </c>
      <c r="J372" s="7" t="s">
        <v>5726</v>
      </c>
      <c r="K372" s="7" t="s">
        <v>5725</v>
      </c>
      <c r="L372" s="7" t="s">
        <v>5725</v>
      </c>
      <c r="M372" s="7" t="s">
        <v>5725</v>
      </c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spans="1:37">
      <c r="A373" s="7" t="s">
        <v>1481</v>
      </c>
      <c r="B373" s="7" t="s">
        <v>1482</v>
      </c>
      <c r="C373" s="7" t="s">
        <v>1483</v>
      </c>
      <c r="D373" s="4">
        <v>4</v>
      </c>
      <c r="E373" s="5" t="s">
        <v>1484</v>
      </c>
      <c r="F373" s="7">
        <f ca="1">IFERROR(__xludf.DUMMYFUNCTION("ARRAYFORMULA(SUM(ARRAYFORMULA(IFERROR(VALUE(SPLIT(SUBSTITUTE(E373,""-"","" ""),"" "")),0))))
"),38)</f>
        <v>38</v>
      </c>
      <c r="G373" s="7" t="s">
        <v>5734</v>
      </c>
      <c r="H373" s="7" t="s">
        <v>5735</v>
      </c>
      <c r="I373" s="7" t="s">
        <v>5736</v>
      </c>
      <c r="J373" s="7" t="s">
        <v>5726</v>
      </c>
      <c r="K373" s="7" t="s">
        <v>5725</v>
      </c>
      <c r="L373" s="7" t="s">
        <v>5725</v>
      </c>
      <c r="M373" s="7" t="s">
        <v>5725</v>
      </c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spans="1:37">
      <c r="A374" s="3" t="s">
        <v>1485</v>
      </c>
      <c r="B374" s="3" t="s">
        <v>1486</v>
      </c>
      <c r="C374" s="3" t="s">
        <v>1487</v>
      </c>
      <c r="D374" s="4">
        <v>3</v>
      </c>
      <c r="E374" s="8" t="s">
        <v>1488</v>
      </c>
      <c r="F374" s="7">
        <f ca="1">IFERROR(__xludf.DUMMYFUNCTION("ARRAYFORMULA(SUM(ARRAYFORMULA(IFERROR(VALUE(SPLIT(SUBSTITUTE(E374,""-"","" ""),"" "")),0))))
"),36)</f>
        <v>36</v>
      </c>
      <c r="G374" s="7" t="s">
        <v>5708</v>
      </c>
      <c r="H374" s="7" t="s">
        <v>5732</v>
      </c>
      <c r="I374" s="7" t="s">
        <v>5733</v>
      </c>
      <c r="J374" s="7" t="s">
        <v>5725</v>
      </c>
      <c r="K374" s="7" t="s">
        <v>5725</v>
      </c>
      <c r="L374" s="7" t="s">
        <v>5726</v>
      </c>
      <c r="M374" s="7" t="s">
        <v>5726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1:37">
      <c r="A375" s="3" t="s">
        <v>1489</v>
      </c>
      <c r="B375" s="3" t="s">
        <v>1490</v>
      </c>
      <c r="C375" s="3" t="s">
        <v>1491</v>
      </c>
      <c r="D375" s="4">
        <v>3</v>
      </c>
      <c r="E375" s="8" t="s">
        <v>1492</v>
      </c>
      <c r="F375" s="7">
        <f ca="1">IFERROR(__xludf.DUMMYFUNCTION("ARRAYFORMULA(SUM(ARRAYFORMULA(IFERROR(VALUE(SPLIT(SUBSTITUTE(E375,""-"","" ""),"" "")),0))))
"),38)</f>
        <v>38</v>
      </c>
      <c r="G375" s="7" t="s">
        <v>5708</v>
      </c>
      <c r="H375" s="7" t="s">
        <v>5732</v>
      </c>
      <c r="I375" s="7" t="s">
        <v>5733</v>
      </c>
      <c r="J375" s="7" t="s">
        <v>5725</v>
      </c>
      <c r="K375" s="7" t="s">
        <v>5725</v>
      </c>
      <c r="L375" s="7" t="s">
        <v>5726</v>
      </c>
      <c r="M375" s="7" t="s">
        <v>5726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1:37">
      <c r="A376" s="3" t="s">
        <v>1493</v>
      </c>
      <c r="B376" s="3" t="s">
        <v>1494</v>
      </c>
      <c r="C376" s="3" t="s">
        <v>1495</v>
      </c>
      <c r="D376" s="4">
        <v>3</v>
      </c>
      <c r="E376" s="8" t="s">
        <v>1496</v>
      </c>
      <c r="F376" s="7">
        <f ca="1">IFERROR(__xludf.DUMMYFUNCTION("ARRAYFORMULA(SUM(ARRAYFORMULA(IFERROR(VALUE(SPLIT(SUBSTITUTE(E376,""-"","" ""),"" "")),0))))
"),40)</f>
        <v>40</v>
      </c>
      <c r="G376" s="7" t="s">
        <v>5708</v>
      </c>
      <c r="H376" s="7" t="s">
        <v>5732</v>
      </c>
      <c r="I376" s="7" t="s">
        <v>5733</v>
      </c>
      <c r="J376" s="7" t="s">
        <v>5725</v>
      </c>
      <c r="K376" s="7" t="s">
        <v>5725</v>
      </c>
      <c r="L376" s="7" t="s">
        <v>5726</v>
      </c>
      <c r="M376" s="7" t="s">
        <v>5726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1:37">
      <c r="A377" s="3" t="s">
        <v>1497</v>
      </c>
      <c r="B377" s="3" t="s">
        <v>1498</v>
      </c>
      <c r="C377" s="3" t="s">
        <v>1499</v>
      </c>
      <c r="D377" s="4">
        <v>2</v>
      </c>
      <c r="E377" s="8" t="s">
        <v>1500</v>
      </c>
      <c r="F377" s="7">
        <f ca="1">IFERROR(__xludf.DUMMYFUNCTION("ARRAYFORMULA(SUM(ARRAYFORMULA(IFERROR(VALUE(SPLIT(SUBSTITUTE(E377,""-"","" ""),"" "")),0))))
"),34)</f>
        <v>34</v>
      </c>
      <c r="G377" s="7" t="s">
        <v>5706</v>
      </c>
      <c r="H377" s="7" t="s">
        <v>5723</v>
      </c>
      <c r="I377" s="7" t="s">
        <v>5724</v>
      </c>
      <c r="J377" s="7" t="s">
        <v>5725</v>
      </c>
      <c r="K377" s="7" t="s">
        <v>5726</v>
      </c>
      <c r="L377" s="7" t="s">
        <v>5726</v>
      </c>
      <c r="M377" s="7" t="s">
        <v>5726</v>
      </c>
      <c r="N377" s="3"/>
      <c r="O377" s="3"/>
      <c r="P377" s="3"/>
      <c r="Q377" s="3"/>
      <c r="R377" s="8" t="s">
        <v>1500</v>
      </c>
      <c r="S377" s="3" t="s">
        <v>5759</v>
      </c>
      <c r="T377" s="111" t="s">
        <v>5760</v>
      </c>
      <c r="U377" s="7" t="str">
        <f>T377&amp;"-"&amp;S377</f>
        <v>3E-34-instalações prediais de telecomunicações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1:37">
      <c r="A378" s="3" t="s">
        <v>1501</v>
      </c>
      <c r="B378" s="3" t="s">
        <v>1502</v>
      </c>
      <c r="C378" s="3" t="s">
        <v>1503</v>
      </c>
      <c r="D378" s="4">
        <v>3</v>
      </c>
      <c r="E378" s="8" t="s">
        <v>1504</v>
      </c>
      <c r="F378" s="7">
        <f ca="1">IFERROR(__xludf.DUMMYFUNCTION("ARRAYFORMULA(SUM(ARRAYFORMULA(IFERROR(VALUE(SPLIT(SUBSTITUTE(E378,""-"","" ""),"" "")),0))))
"),36)</f>
        <v>36</v>
      </c>
      <c r="G378" s="7" t="s">
        <v>5708</v>
      </c>
      <c r="H378" s="7" t="s">
        <v>5732</v>
      </c>
      <c r="I378" s="7" t="s">
        <v>5733</v>
      </c>
      <c r="J378" s="7" t="s">
        <v>5725</v>
      </c>
      <c r="K378" s="7" t="s">
        <v>5725</v>
      </c>
      <c r="L378" s="7" t="s">
        <v>5726</v>
      </c>
      <c r="M378" s="7" t="s">
        <v>5726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1:37">
      <c r="A379" s="7" t="s">
        <v>1505</v>
      </c>
      <c r="B379" s="7" t="s">
        <v>1506</v>
      </c>
      <c r="C379" s="7" t="s">
        <v>1507</v>
      </c>
      <c r="D379" s="4">
        <v>4</v>
      </c>
      <c r="E379" s="5" t="s">
        <v>1508</v>
      </c>
      <c r="F379" s="7">
        <f ca="1">IFERROR(__xludf.DUMMYFUNCTION("ARRAYFORMULA(SUM(ARRAYFORMULA(IFERROR(VALUE(SPLIT(SUBSTITUTE(E379,""-"","" ""),"" "")),0))))
"),38)</f>
        <v>38</v>
      </c>
      <c r="G379" s="7" t="s">
        <v>5734</v>
      </c>
      <c r="H379" s="7" t="s">
        <v>5735</v>
      </c>
      <c r="I379" s="7" t="s">
        <v>5736</v>
      </c>
      <c r="J379" s="7" t="s">
        <v>5726</v>
      </c>
      <c r="K379" s="7" t="s">
        <v>5725</v>
      </c>
      <c r="L379" s="7" t="s">
        <v>5725</v>
      </c>
      <c r="M379" s="7" t="s">
        <v>5725</v>
      </c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spans="1:37">
      <c r="A380" s="7" t="s">
        <v>1509</v>
      </c>
      <c r="B380" s="7" t="s">
        <v>1510</v>
      </c>
      <c r="C380" s="7" t="s">
        <v>1511</v>
      </c>
      <c r="D380" s="4">
        <v>4</v>
      </c>
      <c r="E380" s="5" t="s">
        <v>1512</v>
      </c>
      <c r="F380" s="7">
        <f ca="1">IFERROR(__xludf.DUMMYFUNCTION("ARRAYFORMULA(SUM(ARRAYFORMULA(IFERROR(VALUE(SPLIT(SUBSTITUTE(E380,""-"","" ""),"" "")),0))))
"),40)</f>
        <v>40</v>
      </c>
      <c r="G380" s="7" t="s">
        <v>5734</v>
      </c>
      <c r="H380" s="7" t="s">
        <v>5735</v>
      </c>
      <c r="I380" s="7" t="s">
        <v>5736</v>
      </c>
      <c r="J380" s="7" t="s">
        <v>5726</v>
      </c>
      <c r="K380" s="7" t="s">
        <v>5725</v>
      </c>
      <c r="L380" s="7" t="s">
        <v>5725</v>
      </c>
      <c r="M380" s="7" t="s">
        <v>5725</v>
      </c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spans="1:37">
      <c r="A381" s="7" t="s">
        <v>1513</v>
      </c>
      <c r="B381" s="7" t="s">
        <v>1514</v>
      </c>
      <c r="C381" s="7" t="s">
        <v>1515</v>
      </c>
      <c r="D381" s="4">
        <v>4</v>
      </c>
      <c r="E381" s="5" t="s">
        <v>1516</v>
      </c>
      <c r="F381" s="7">
        <f ca="1">IFERROR(__xludf.DUMMYFUNCTION("ARRAYFORMULA(SUM(ARRAYFORMULA(IFERROR(VALUE(SPLIT(SUBSTITUTE(E381,""-"","" ""),"" "")),0))))
"),42)</f>
        <v>42</v>
      </c>
      <c r="G381" s="7" t="s">
        <v>5734</v>
      </c>
      <c r="H381" s="7" t="s">
        <v>5735</v>
      </c>
      <c r="I381" s="7" t="s">
        <v>5736</v>
      </c>
      <c r="J381" s="7" t="s">
        <v>5726</v>
      </c>
      <c r="K381" s="7" t="s">
        <v>5725</v>
      </c>
      <c r="L381" s="7" t="s">
        <v>5725</v>
      </c>
      <c r="M381" s="7" t="s">
        <v>5725</v>
      </c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spans="1:37">
      <c r="A382" s="3" t="s">
        <v>1517</v>
      </c>
      <c r="B382" s="3" t="s">
        <v>1518</v>
      </c>
      <c r="C382" s="3" t="s">
        <v>1519</v>
      </c>
      <c r="D382" s="4">
        <v>3</v>
      </c>
      <c r="E382" s="8" t="s">
        <v>1520</v>
      </c>
      <c r="F382" s="7">
        <f ca="1">IFERROR(__xludf.DUMMYFUNCTION("ARRAYFORMULA(SUM(ARRAYFORMULA(IFERROR(VALUE(SPLIT(SUBSTITUTE(E382,""-"","" ""),"" "")),0))))
"),38)</f>
        <v>38</v>
      </c>
      <c r="G382" s="7" t="s">
        <v>5708</v>
      </c>
      <c r="H382" s="7" t="s">
        <v>5732</v>
      </c>
      <c r="I382" s="7" t="s">
        <v>5733</v>
      </c>
      <c r="J382" s="7" t="s">
        <v>5725</v>
      </c>
      <c r="K382" s="7" t="s">
        <v>5725</v>
      </c>
      <c r="L382" s="7" t="s">
        <v>5726</v>
      </c>
      <c r="M382" s="7" t="s">
        <v>5726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1:37">
      <c r="A383" s="3" t="s">
        <v>1521</v>
      </c>
      <c r="B383" s="3" t="s">
        <v>1522</v>
      </c>
      <c r="C383" s="3" t="s">
        <v>1523</v>
      </c>
      <c r="D383" s="4">
        <v>3</v>
      </c>
      <c r="E383" s="8" t="s">
        <v>1524</v>
      </c>
      <c r="F383" s="7">
        <f ca="1">IFERROR(__xludf.DUMMYFUNCTION("ARRAYFORMULA(SUM(ARRAYFORMULA(IFERROR(VALUE(SPLIT(SUBSTITUTE(E383,""-"","" ""),"" "")),0))))
"),40)</f>
        <v>40</v>
      </c>
      <c r="G383" s="7" t="s">
        <v>5708</v>
      </c>
      <c r="H383" s="7" t="s">
        <v>5732</v>
      </c>
      <c r="I383" s="7" t="s">
        <v>5733</v>
      </c>
      <c r="J383" s="7" t="s">
        <v>5725</v>
      </c>
      <c r="K383" s="7" t="s">
        <v>5725</v>
      </c>
      <c r="L383" s="7" t="s">
        <v>5726</v>
      </c>
      <c r="M383" s="7" t="s">
        <v>5726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1:37">
      <c r="A384" s="3" t="s">
        <v>1525</v>
      </c>
      <c r="B384" s="3" t="s">
        <v>1526</v>
      </c>
      <c r="C384" s="3" t="s">
        <v>1527</v>
      </c>
      <c r="D384" s="4">
        <v>3</v>
      </c>
      <c r="E384" s="8" t="s">
        <v>1528</v>
      </c>
      <c r="F384" s="7">
        <f ca="1">IFERROR(__xludf.DUMMYFUNCTION("ARRAYFORMULA(SUM(ARRAYFORMULA(IFERROR(VALUE(SPLIT(SUBSTITUTE(E384,""-"","" ""),"" "")),0))))
"),42)</f>
        <v>42</v>
      </c>
      <c r="G384" s="7" t="s">
        <v>5708</v>
      </c>
      <c r="H384" s="7" t="s">
        <v>5732</v>
      </c>
      <c r="I384" s="7" t="s">
        <v>5733</v>
      </c>
      <c r="J384" s="7" t="s">
        <v>5725</v>
      </c>
      <c r="K384" s="7" t="s">
        <v>5725</v>
      </c>
      <c r="L384" s="7" t="s">
        <v>5726</v>
      </c>
      <c r="M384" s="7" t="s">
        <v>5726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1:37">
      <c r="A385" s="3" t="s">
        <v>1529</v>
      </c>
      <c r="B385" s="3" t="s">
        <v>1530</v>
      </c>
      <c r="C385" s="3" t="s">
        <v>1531</v>
      </c>
      <c r="D385" s="4">
        <v>2</v>
      </c>
      <c r="E385" s="8" t="s">
        <v>1532</v>
      </c>
      <c r="F385" s="7">
        <f ca="1">IFERROR(__xludf.DUMMYFUNCTION("ARRAYFORMULA(SUM(ARRAYFORMULA(IFERROR(VALUE(SPLIT(SUBSTITUTE(E385,""-"","" ""),"" "")),0))))
"),36)</f>
        <v>36</v>
      </c>
      <c r="G385" s="7" t="s">
        <v>5706</v>
      </c>
      <c r="H385" s="7" t="s">
        <v>5723</v>
      </c>
      <c r="I385" s="7" t="s">
        <v>5724</v>
      </c>
      <c r="J385" s="7" t="s">
        <v>5725</v>
      </c>
      <c r="K385" s="7" t="s">
        <v>5726</v>
      </c>
      <c r="L385" s="7" t="s">
        <v>5726</v>
      </c>
      <c r="M385" s="7" t="s">
        <v>5726</v>
      </c>
      <c r="N385" s="3"/>
      <c r="O385" s="3"/>
      <c r="P385" s="3"/>
      <c r="Q385" s="3"/>
      <c r="R385" s="8" t="s">
        <v>1532</v>
      </c>
      <c r="S385" s="3" t="s">
        <v>5761</v>
      </c>
      <c r="T385" s="111" t="s">
        <v>5762</v>
      </c>
      <c r="U385" s="7" t="str">
        <f>T385&amp;"-"&amp;S385</f>
        <v>3E-36-sistemas de abastecimento de água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1:37">
      <c r="A386" s="3" t="s">
        <v>1533</v>
      </c>
      <c r="B386" s="3" t="s">
        <v>1534</v>
      </c>
      <c r="C386" s="3" t="s">
        <v>1535</v>
      </c>
      <c r="D386" s="4">
        <v>3</v>
      </c>
      <c r="E386" s="8" t="s">
        <v>1536</v>
      </c>
      <c r="F386" s="7">
        <f ca="1">IFERROR(__xludf.DUMMYFUNCTION("ARRAYFORMULA(SUM(ARRAYFORMULA(IFERROR(VALUE(SPLIT(SUBSTITUTE(E386,""-"","" ""),"" "")),0))))
"),38)</f>
        <v>38</v>
      </c>
      <c r="G386" s="7" t="s">
        <v>5708</v>
      </c>
      <c r="H386" s="7" t="s">
        <v>5732</v>
      </c>
      <c r="I386" s="7" t="s">
        <v>5733</v>
      </c>
      <c r="J386" s="7" t="s">
        <v>5725</v>
      </c>
      <c r="K386" s="7" t="s">
        <v>5725</v>
      </c>
      <c r="L386" s="7" t="s">
        <v>5726</v>
      </c>
      <c r="M386" s="7" t="s">
        <v>5726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1:37">
      <c r="A387" s="3" t="s">
        <v>1537</v>
      </c>
      <c r="B387" s="3" t="s">
        <v>1538</v>
      </c>
      <c r="C387" s="3" t="s">
        <v>1539</v>
      </c>
      <c r="D387" s="4">
        <v>3</v>
      </c>
      <c r="E387" s="8" t="s">
        <v>1540</v>
      </c>
      <c r="F387" s="7">
        <f ca="1">IFERROR(__xludf.DUMMYFUNCTION("ARRAYFORMULA(SUM(ARRAYFORMULA(IFERROR(VALUE(SPLIT(SUBSTITUTE(E387,""-"","" ""),"" "")),0))))
"),40)</f>
        <v>40</v>
      </c>
      <c r="G387" s="7" t="s">
        <v>5708</v>
      </c>
      <c r="H387" s="7" t="s">
        <v>5732</v>
      </c>
      <c r="I387" s="7" t="s">
        <v>5733</v>
      </c>
      <c r="J387" s="7" t="s">
        <v>5725</v>
      </c>
      <c r="K387" s="7" t="s">
        <v>5725</v>
      </c>
      <c r="L387" s="7" t="s">
        <v>5726</v>
      </c>
      <c r="M387" s="7" t="s">
        <v>5726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1:37">
      <c r="A388" s="3" t="s">
        <v>1541</v>
      </c>
      <c r="B388" s="3" t="s">
        <v>1542</v>
      </c>
      <c r="C388" s="3" t="s">
        <v>1543</v>
      </c>
      <c r="D388" s="4">
        <v>3</v>
      </c>
      <c r="E388" s="8" t="s">
        <v>1544</v>
      </c>
      <c r="F388" s="7">
        <f ca="1">IFERROR(__xludf.DUMMYFUNCTION("ARRAYFORMULA(SUM(ARRAYFORMULA(IFERROR(VALUE(SPLIT(SUBSTITUTE(E388,""-"","" ""),"" "")),0))))
"),42)</f>
        <v>42</v>
      </c>
      <c r="G388" s="7" t="s">
        <v>5708</v>
      </c>
      <c r="H388" s="7" t="s">
        <v>5732</v>
      </c>
      <c r="I388" s="7" t="s">
        <v>5733</v>
      </c>
      <c r="J388" s="7" t="s">
        <v>5725</v>
      </c>
      <c r="K388" s="7" t="s">
        <v>5725</v>
      </c>
      <c r="L388" s="7" t="s">
        <v>5726</v>
      </c>
      <c r="M388" s="7" t="s">
        <v>5726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1:37">
      <c r="A389" s="3" t="s">
        <v>1545</v>
      </c>
      <c r="B389" s="3" t="s">
        <v>1546</v>
      </c>
      <c r="C389" s="3" t="s">
        <v>1547</v>
      </c>
      <c r="D389" s="4">
        <v>3</v>
      </c>
      <c r="E389" s="8" t="s">
        <v>1548</v>
      </c>
      <c r="F389" s="7">
        <f ca="1">IFERROR(__xludf.DUMMYFUNCTION("ARRAYFORMULA(SUM(ARRAYFORMULA(IFERROR(VALUE(SPLIT(SUBSTITUTE(E389,""-"","" ""),"" "")),0))))
"),44)</f>
        <v>44</v>
      </c>
      <c r="G389" s="7" t="s">
        <v>5708</v>
      </c>
      <c r="H389" s="7" t="s">
        <v>5732</v>
      </c>
      <c r="I389" s="7" t="s">
        <v>5733</v>
      </c>
      <c r="J389" s="7" t="s">
        <v>5725</v>
      </c>
      <c r="K389" s="7" t="s">
        <v>5725</v>
      </c>
      <c r="L389" s="7" t="s">
        <v>5726</v>
      </c>
      <c r="M389" s="7" t="s">
        <v>5726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1:37">
      <c r="A390" s="3" t="s">
        <v>1549</v>
      </c>
      <c r="B390" s="3" t="s">
        <v>1550</v>
      </c>
      <c r="C390" s="3" t="s">
        <v>1551</v>
      </c>
      <c r="D390" s="4">
        <v>3</v>
      </c>
      <c r="E390" s="8" t="s">
        <v>1552</v>
      </c>
      <c r="F390" s="7">
        <f ca="1">IFERROR(__xludf.DUMMYFUNCTION("ARRAYFORMULA(SUM(ARRAYFORMULA(IFERROR(VALUE(SPLIT(SUBSTITUTE(E390,""-"","" ""),"" "")),0))))
"),46)</f>
        <v>46</v>
      </c>
      <c r="G390" s="7" t="s">
        <v>5708</v>
      </c>
      <c r="H390" s="7" t="s">
        <v>5732</v>
      </c>
      <c r="I390" s="7" t="s">
        <v>5733</v>
      </c>
      <c r="J390" s="7" t="s">
        <v>5725</v>
      </c>
      <c r="K390" s="7" t="s">
        <v>5725</v>
      </c>
      <c r="L390" s="7" t="s">
        <v>5726</v>
      </c>
      <c r="M390" s="7" t="s">
        <v>5726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1:37">
      <c r="A391" s="3" t="s">
        <v>1553</v>
      </c>
      <c r="B391" s="3" t="s">
        <v>1554</v>
      </c>
      <c r="C391" s="3" t="s">
        <v>1555</v>
      </c>
      <c r="D391" s="4">
        <v>3</v>
      </c>
      <c r="E391" s="8" t="s">
        <v>1556</v>
      </c>
      <c r="F391" s="7">
        <f ca="1">IFERROR(__xludf.DUMMYFUNCTION("ARRAYFORMULA(SUM(ARRAYFORMULA(IFERROR(VALUE(SPLIT(SUBSTITUTE(E391,""-"","" ""),"" "")),0))))
"),48)</f>
        <v>48</v>
      </c>
      <c r="G391" s="7" t="s">
        <v>5708</v>
      </c>
      <c r="H391" s="7" t="s">
        <v>5732</v>
      </c>
      <c r="I391" s="7" t="s">
        <v>5733</v>
      </c>
      <c r="J391" s="7" t="s">
        <v>5725</v>
      </c>
      <c r="K391" s="7" t="s">
        <v>5725</v>
      </c>
      <c r="L391" s="7" t="s">
        <v>5726</v>
      </c>
      <c r="M391" s="7" t="s">
        <v>5726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1:37">
      <c r="A392" s="3" t="s">
        <v>1557</v>
      </c>
      <c r="B392" s="3" t="s">
        <v>1558</v>
      </c>
      <c r="C392" s="3" t="s">
        <v>1559</v>
      </c>
      <c r="D392" s="4">
        <v>3</v>
      </c>
      <c r="E392" s="8" t="s">
        <v>1560</v>
      </c>
      <c r="F392" s="7">
        <f ca="1">IFERROR(__xludf.DUMMYFUNCTION("ARRAYFORMULA(SUM(ARRAYFORMULA(IFERROR(VALUE(SPLIT(SUBSTITUTE(E392,""-"","" ""),"" "")),0))))
"),50)</f>
        <v>50</v>
      </c>
      <c r="G392" s="7" t="s">
        <v>5708</v>
      </c>
      <c r="H392" s="7" t="s">
        <v>5732</v>
      </c>
      <c r="I392" s="7" t="s">
        <v>5733</v>
      </c>
      <c r="J392" s="7" t="s">
        <v>5725</v>
      </c>
      <c r="K392" s="7" t="s">
        <v>5725</v>
      </c>
      <c r="L392" s="7" t="s">
        <v>5726</v>
      </c>
      <c r="M392" s="7" t="s">
        <v>5726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1:37">
      <c r="A393" s="7" t="s">
        <v>1561</v>
      </c>
      <c r="B393" s="7" t="s">
        <v>1562</v>
      </c>
      <c r="C393" s="7" t="s">
        <v>1563</v>
      </c>
      <c r="D393" s="4">
        <v>4</v>
      </c>
      <c r="E393" s="7" t="s">
        <v>1564</v>
      </c>
      <c r="F393" s="7">
        <f ca="1">IFERROR(__xludf.DUMMYFUNCTION("ARRAYFORMULA(SUM(ARRAYFORMULA(IFERROR(VALUE(SPLIT(SUBSTITUTE(E393,""-"","" ""),"" "")),0))))
"),52)</f>
        <v>52</v>
      </c>
      <c r="G393" s="7" t="s">
        <v>5734</v>
      </c>
      <c r="H393" s="7" t="s">
        <v>5735</v>
      </c>
      <c r="I393" s="7" t="s">
        <v>5736</v>
      </c>
      <c r="J393" s="7" t="s">
        <v>5726</v>
      </c>
      <c r="K393" s="7" t="s">
        <v>5725</v>
      </c>
      <c r="L393" s="7" t="s">
        <v>5725</v>
      </c>
      <c r="M393" s="7" t="s">
        <v>5725</v>
      </c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spans="1:37">
      <c r="A394" s="7" t="s">
        <v>1565</v>
      </c>
      <c r="B394" s="7" t="s">
        <v>1566</v>
      </c>
      <c r="C394" s="7" t="s">
        <v>1567</v>
      </c>
      <c r="D394" s="4">
        <v>4</v>
      </c>
      <c r="E394" s="5" t="s">
        <v>1568</v>
      </c>
      <c r="F394" s="7">
        <f ca="1">IFERROR(__xludf.DUMMYFUNCTION("ARRAYFORMULA(SUM(ARRAYFORMULA(IFERROR(VALUE(SPLIT(SUBSTITUTE(E394,""-"","" ""),"" "")),0))))
"),54)</f>
        <v>54</v>
      </c>
      <c r="G394" s="7" t="s">
        <v>5734</v>
      </c>
      <c r="H394" s="7" t="s">
        <v>5735</v>
      </c>
      <c r="I394" s="7" t="s">
        <v>5736</v>
      </c>
      <c r="J394" s="7" t="s">
        <v>5726</v>
      </c>
      <c r="K394" s="7" t="s">
        <v>5725</v>
      </c>
      <c r="L394" s="7" t="s">
        <v>5725</v>
      </c>
      <c r="M394" s="7" t="s">
        <v>5725</v>
      </c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spans="1:37">
      <c r="A395" s="7" t="s">
        <v>1569</v>
      </c>
      <c r="B395" s="7" t="s">
        <v>1570</v>
      </c>
      <c r="C395" s="7" t="s">
        <v>1571</v>
      </c>
      <c r="D395" s="4">
        <v>5</v>
      </c>
      <c r="E395" s="5" t="s">
        <v>1572</v>
      </c>
      <c r="F395" s="7">
        <f ca="1">IFERROR(__xludf.DUMMYFUNCTION("ARRAYFORMULA(SUM(ARRAYFORMULA(IFERROR(VALUE(SPLIT(SUBSTITUTE(E395,""-"","" ""),"" "")),0))))
"),56)</f>
        <v>56</v>
      </c>
      <c r="G395" s="7" t="s">
        <v>5734</v>
      </c>
      <c r="H395" s="7" t="s">
        <v>5735</v>
      </c>
      <c r="I395" s="7" t="s">
        <v>5736</v>
      </c>
      <c r="J395" s="7" t="s">
        <v>5726</v>
      </c>
      <c r="K395" s="7" t="s">
        <v>5725</v>
      </c>
      <c r="L395" s="7" t="s">
        <v>5725</v>
      </c>
      <c r="M395" s="7" t="s">
        <v>5725</v>
      </c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spans="1:37">
      <c r="A396" s="7" t="s">
        <v>1573</v>
      </c>
      <c r="B396" s="7" t="s">
        <v>1574</v>
      </c>
      <c r="C396" s="7" t="s">
        <v>1575</v>
      </c>
      <c r="D396" s="4">
        <v>5</v>
      </c>
      <c r="E396" s="5" t="s">
        <v>1576</v>
      </c>
      <c r="F396" s="7">
        <f ca="1">IFERROR(__xludf.DUMMYFUNCTION("ARRAYFORMULA(SUM(ARRAYFORMULA(IFERROR(VALUE(SPLIT(SUBSTITUTE(E396,""-"","" ""),"" "")),0))))
"),58)</f>
        <v>58</v>
      </c>
      <c r="G396" s="7" t="s">
        <v>5734</v>
      </c>
      <c r="H396" s="7" t="s">
        <v>5735</v>
      </c>
      <c r="I396" s="7" t="s">
        <v>5736</v>
      </c>
      <c r="J396" s="7" t="s">
        <v>5726</v>
      </c>
      <c r="K396" s="7" t="s">
        <v>5725</v>
      </c>
      <c r="L396" s="7" t="s">
        <v>5725</v>
      </c>
      <c r="M396" s="7" t="s">
        <v>5725</v>
      </c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spans="1:37">
      <c r="A397" s="7" t="s">
        <v>1577</v>
      </c>
      <c r="B397" s="7" t="s">
        <v>1578</v>
      </c>
      <c r="C397" s="7" t="s">
        <v>1579</v>
      </c>
      <c r="D397" s="4">
        <v>4</v>
      </c>
      <c r="E397" s="5" t="s">
        <v>1580</v>
      </c>
      <c r="F397" s="7">
        <f ca="1">IFERROR(__xludf.DUMMYFUNCTION("ARRAYFORMULA(SUM(ARRAYFORMULA(IFERROR(VALUE(SPLIT(SUBSTITUTE(E397,""-"","" ""),"" "")),0))))
"),56)</f>
        <v>56</v>
      </c>
      <c r="G397" s="7" t="s">
        <v>5734</v>
      </c>
      <c r="H397" s="7" t="s">
        <v>5735</v>
      </c>
      <c r="I397" s="7" t="s">
        <v>5736</v>
      </c>
      <c r="J397" s="7" t="s">
        <v>5726</v>
      </c>
      <c r="K397" s="7" t="s">
        <v>5725</v>
      </c>
      <c r="L397" s="7" t="s">
        <v>5725</v>
      </c>
      <c r="M397" s="7" t="s">
        <v>5725</v>
      </c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spans="1:37">
      <c r="A398" s="7" t="s">
        <v>1581</v>
      </c>
      <c r="B398" s="7" t="s">
        <v>1582</v>
      </c>
      <c r="C398" s="7" t="s">
        <v>1583</v>
      </c>
      <c r="D398" s="4">
        <v>4</v>
      </c>
      <c r="E398" s="5" t="s">
        <v>1584</v>
      </c>
      <c r="F398" s="7">
        <f ca="1">IFERROR(__xludf.DUMMYFUNCTION("ARRAYFORMULA(SUM(ARRAYFORMULA(IFERROR(VALUE(SPLIT(SUBSTITUTE(E398,""-"","" ""),"" "")),0))))
"),58)</f>
        <v>58</v>
      </c>
      <c r="G398" s="7" t="s">
        <v>5734</v>
      </c>
      <c r="H398" s="7" t="s">
        <v>5735</v>
      </c>
      <c r="I398" s="7" t="s">
        <v>5736</v>
      </c>
      <c r="J398" s="7" t="s">
        <v>5726</v>
      </c>
      <c r="K398" s="7" t="s">
        <v>5725</v>
      </c>
      <c r="L398" s="7" t="s">
        <v>5725</v>
      </c>
      <c r="M398" s="7" t="s">
        <v>5725</v>
      </c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spans="1:37">
      <c r="A399" s="3" t="s">
        <v>1585</v>
      </c>
      <c r="B399" s="3" t="s">
        <v>1586</v>
      </c>
      <c r="C399" s="3" t="s">
        <v>1587</v>
      </c>
      <c r="D399" s="4">
        <v>2</v>
      </c>
      <c r="E399" s="8" t="s">
        <v>1588</v>
      </c>
      <c r="F399" s="7">
        <f ca="1">IFERROR(__xludf.DUMMYFUNCTION("ARRAYFORMULA(SUM(ARRAYFORMULA(IFERROR(VALUE(SPLIT(SUBSTITUTE(E399,""-"","" ""),"" "")),0))))
"),38)</f>
        <v>38</v>
      </c>
      <c r="G399" s="7" t="s">
        <v>5706</v>
      </c>
      <c r="H399" s="7" t="s">
        <v>5723</v>
      </c>
      <c r="I399" s="7" t="s">
        <v>5724</v>
      </c>
      <c r="J399" s="7" t="s">
        <v>5725</v>
      </c>
      <c r="K399" s="7" t="s">
        <v>5726</v>
      </c>
      <c r="L399" s="7" t="s">
        <v>5726</v>
      </c>
      <c r="M399" s="7" t="s">
        <v>5726</v>
      </c>
      <c r="N399" s="3"/>
      <c r="O399" s="3"/>
      <c r="P399" s="3"/>
      <c r="Q399" s="3"/>
      <c r="R399" s="8" t="s">
        <v>1588</v>
      </c>
      <c r="S399" s="3" t="s">
        <v>5763</v>
      </c>
      <c r="T399" s="111" t="s">
        <v>5395</v>
      </c>
      <c r="U399" s="7" t="str">
        <f>T399&amp;"-"&amp;S399</f>
        <v>3E-38-instalações hidráulicas</v>
      </c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>
      <c r="A400" s="3" t="s">
        <v>1589</v>
      </c>
      <c r="B400" s="3" t="s">
        <v>1590</v>
      </c>
      <c r="C400" s="3" t="s">
        <v>1591</v>
      </c>
      <c r="D400" s="4">
        <v>3</v>
      </c>
      <c r="E400" s="8" t="s">
        <v>1592</v>
      </c>
      <c r="F400" s="7">
        <f ca="1">IFERROR(__xludf.DUMMYFUNCTION("ARRAYFORMULA(SUM(ARRAYFORMULA(IFERROR(VALUE(SPLIT(SUBSTITUTE(E400,""-"","" ""),"" "")),0))))
"),40)</f>
        <v>40</v>
      </c>
      <c r="G400" s="7" t="s">
        <v>5708</v>
      </c>
      <c r="H400" s="7" t="s">
        <v>5732</v>
      </c>
      <c r="I400" s="7" t="s">
        <v>5733</v>
      </c>
      <c r="J400" s="7" t="s">
        <v>5725</v>
      </c>
      <c r="K400" s="7" t="s">
        <v>5725</v>
      </c>
      <c r="L400" s="7" t="s">
        <v>5726</v>
      </c>
      <c r="M400" s="7" t="s">
        <v>5726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1:37">
      <c r="A401" s="7" t="s">
        <v>1593</v>
      </c>
      <c r="B401" s="7" t="s">
        <v>1594</v>
      </c>
      <c r="C401" s="7" t="s">
        <v>1595</v>
      </c>
      <c r="D401" s="4">
        <v>4</v>
      </c>
      <c r="E401" s="5" t="s">
        <v>1596</v>
      </c>
      <c r="F401" s="7">
        <f ca="1">IFERROR(__xludf.DUMMYFUNCTION("ARRAYFORMULA(SUM(ARRAYFORMULA(IFERROR(VALUE(SPLIT(SUBSTITUTE(E401,""-"","" ""),"" "")),0))))
"),42)</f>
        <v>42</v>
      </c>
      <c r="G401" s="7" t="s">
        <v>5734</v>
      </c>
      <c r="H401" s="7" t="s">
        <v>5735</v>
      </c>
      <c r="I401" s="7" t="s">
        <v>5736</v>
      </c>
      <c r="J401" s="7" t="s">
        <v>5726</v>
      </c>
      <c r="K401" s="7" t="s">
        <v>5725</v>
      </c>
      <c r="L401" s="7" t="s">
        <v>5725</v>
      </c>
      <c r="M401" s="7" t="s">
        <v>5725</v>
      </c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spans="1:37">
      <c r="A402" s="7" t="s">
        <v>1597</v>
      </c>
      <c r="B402" s="7" t="s">
        <v>1598</v>
      </c>
      <c r="C402" s="7" t="s">
        <v>1599</v>
      </c>
      <c r="D402" s="4">
        <v>4</v>
      </c>
      <c r="E402" s="5" t="s">
        <v>1600</v>
      </c>
      <c r="F402" s="7">
        <f ca="1">IFERROR(__xludf.DUMMYFUNCTION("ARRAYFORMULA(SUM(ARRAYFORMULA(IFERROR(VALUE(SPLIT(SUBSTITUTE(E402,""-"","" ""),"" "")),0))))
"),44)</f>
        <v>44</v>
      </c>
      <c r="G402" s="7" t="s">
        <v>5734</v>
      </c>
      <c r="H402" s="7" t="s">
        <v>5735</v>
      </c>
      <c r="I402" s="7" t="s">
        <v>5736</v>
      </c>
      <c r="J402" s="7" t="s">
        <v>5726</v>
      </c>
      <c r="K402" s="7" t="s">
        <v>5725</v>
      </c>
      <c r="L402" s="7" t="s">
        <v>5725</v>
      </c>
      <c r="M402" s="7" t="s">
        <v>5725</v>
      </c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spans="1:37">
      <c r="A403" s="7" t="s">
        <v>1601</v>
      </c>
      <c r="B403" s="7" t="s">
        <v>1602</v>
      </c>
      <c r="C403" s="7" t="s">
        <v>1603</v>
      </c>
      <c r="D403" s="4">
        <v>4</v>
      </c>
      <c r="E403" s="5" t="s">
        <v>1604</v>
      </c>
      <c r="F403" s="7">
        <f ca="1">IFERROR(__xludf.DUMMYFUNCTION("ARRAYFORMULA(SUM(ARRAYFORMULA(IFERROR(VALUE(SPLIT(SUBSTITUTE(E403,""-"","" ""),"" "")),0))))
"),46)</f>
        <v>46</v>
      </c>
      <c r="G403" s="7" t="s">
        <v>5734</v>
      </c>
      <c r="H403" s="7" t="s">
        <v>5735</v>
      </c>
      <c r="I403" s="7" t="s">
        <v>5736</v>
      </c>
      <c r="J403" s="7" t="s">
        <v>5726</v>
      </c>
      <c r="K403" s="7" t="s">
        <v>5725</v>
      </c>
      <c r="L403" s="7" t="s">
        <v>5725</v>
      </c>
      <c r="M403" s="7" t="s">
        <v>5725</v>
      </c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spans="1:37">
      <c r="A404" s="7" t="s">
        <v>1605</v>
      </c>
      <c r="B404" s="7" t="s">
        <v>1606</v>
      </c>
      <c r="C404" s="7" t="s">
        <v>1607</v>
      </c>
      <c r="D404" s="4">
        <v>4</v>
      </c>
      <c r="E404" s="5" t="s">
        <v>1608</v>
      </c>
      <c r="F404" s="7">
        <f ca="1">IFERROR(__xludf.DUMMYFUNCTION("ARRAYFORMULA(SUM(ARRAYFORMULA(IFERROR(VALUE(SPLIT(SUBSTITUTE(E404,""-"","" ""),"" "")),0))))
"),48)</f>
        <v>48</v>
      </c>
      <c r="G404" s="7" t="s">
        <v>5734</v>
      </c>
      <c r="H404" s="7" t="s">
        <v>5735</v>
      </c>
      <c r="I404" s="7" t="s">
        <v>5736</v>
      </c>
      <c r="J404" s="7" t="s">
        <v>5726</v>
      </c>
      <c r="K404" s="7" t="s">
        <v>5725</v>
      </c>
      <c r="L404" s="7" t="s">
        <v>5725</v>
      </c>
      <c r="M404" s="7" t="s">
        <v>5725</v>
      </c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spans="1:37">
      <c r="A405" s="7" t="s">
        <v>1609</v>
      </c>
      <c r="B405" s="7" t="s">
        <v>1610</v>
      </c>
      <c r="C405" s="7" t="s">
        <v>1611</v>
      </c>
      <c r="D405" s="4">
        <v>4</v>
      </c>
      <c r="E405" s="5" t="s">
        <v>1612</v>
      </c>
      <c r="F405" s="7">
        <f ca="1">IFERROR(__xludf.DUMMYFUNCTION("ARRAYFORMULA(SUM(ARRAYFORMULA(IFERROR(VALUE(SPLIT(SUBSTITUTE(E405,""-"","" ""),"" "")),0))))
"),50)</f>
        <v>50</v>
      </c>
      <c r="G405" s="7" t="s">
        <v>5734</v>
      </c>
      <c r="H405" s="7" t="s">
        <v>5735</v>
      </c>
      <c r="I405" s="7" t="s">
        <v>5736</v>
      </c>
      <c r="J405" s="7" t="s">
        <v>5726</v>
      </c>
      <c r="K405" s="7" t="s">
        <v>5725</v>
      </c>
      <c r="L405" s="7" t="s">
        <v>5725</v>
      </c>
      <c r="M405" s="7" t="s">
        <v>5725</v>
      </c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spans="1:37">
      <c r="A406" s="7" t="s">
        <v>1613</v>
      </c>
      <c r="B406" s="7" t="s">
        <v>1614</v>
      </c>
      <c r="C406" s="7" t="s">
        <v>1615</v>
      </c>
      <c r="D406" s="4">
        <v>4</v>
      </c>
      <c r="E406" s="5" t="s">
        <v>1616</v>
      </c>
      <c r="F406" s="7">
        <f ca="1">IFERROR(__xludf.DUMMYFUNCTION("ARRAYFORMULA(SUM(ARRAYFORMULA(IFERROR(VALUE(SPLIT(SUBSTITUTE(E406,""-"","" ""),"" "")),0))))
"),52)</f>
        <v>52</v>
      </c>
      <c r="G406" s="7" t="s">
        <v>5734</v>
      </c>
      <c r="H406" s="7" t="s">
        <v>5735</v>
      </c>
      <c r="I406" s="7" t="s">
        <v>5736</v>
      </c>
      <c r="J406" s="7" t="s">
        <v>5726</v>
      </c>
      <c r="K406" s="7" t="s">
        <v>5725</v>
      </c>
      <c r="L406" s="7" t="s">
        <v>5725</v>
      </c>
      <c r="M406" s="7" t="s">
        <v>5725</v>
      </c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spans="1:37">
      <c r="A407" s="7" t="s">
        <v>1617</v>
      </c>
      <c r="B407" s="7" t="s">
        <v>1618</v>
      </c>
      <c r="C407" s="7" t="s">
        <v>1619</v>
      </c>
      <c r="D407" s="4">
        <v>4</v>
      </c>
      <c r="E407" s="5" t="s">
        <v>1620</v>
      </c>
      <c r="F407" s="7">
        <f ca="1">IFERROR(__xludf.DUMMYFUNCTION("ARRAYFORMULA(SUM(ARRAYFORMULA(IFERROR(VALUE(SPLIT(SUBSTITUTE(E407,""-"","" ""),"" "")),0))))
"),54)</f>
        <v>54</v>
      </c>
      <c r="G407" s="7" t="s">
        <v>5734</v>
      </c>
      <c r="H407" s="7" t="s">
        <v>5735</v>
      </c>
      <c r="I407" s="7" t="s">
        <v>5736</v>
      </c>
      <c r="J407" s="7" t="s">
        <v>5726</v>
      </c>
      <c r="K407" s="7" t="s">
        <v>5725</v>
      </c>
      <c r="L407" s="7" t="s">
        <v>5725</v>
      </c>
      <c r="M407" s="7" t="s">
        <v>5725</v>
      </c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spans="1:37">
      <c r="A408" s="3" t="s">
        <v>1621</v>
      </c>
      <c r="B408" s="3" t="s">
        <v>1622</v>
      </c>
      <c r="C408" s="3" t="s">
        <v>1623</v>
      </c>
      <c r="D408" s="4">
        <v>3</v>
      </c>
      <c r="E408" s="8" t="s">
        <v>1624</v>
      </c>
      <c r="F408" s="7">
        <f ca="1">IFERROR(__xludf.DUMMYFUNCTION("ARRAYFORMULA(SUM(ARRAYFORMULA(IFERROR(VALUE(SPLIT(SUBSTITUTE(E408,""-"","" ""),"" "")),0))))
"),42)</f>
        <v>42</v>
      </c>
      <c r="G408" s="7" t="s">
        <v>5708</v>
      </c>
      <c r="H408" s="7" t="s">
        <v>5732</v>
      </c>
      <c r="I408" s="7" t="s">
        <v>5733</v>
      </c>
      <c r="J408" s="7" t="s">
        <v>5725</v>
      </c>
      <c r="K408" s="7" t="s">
        <v>5725</v>
      </c>
      <c r="L408" s="7" t="s">
        <v>5726</v>
      </c>
      <c r="M408" s="7" t="s">
        <v>5726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1:37">
      <c r="A409" s="7" t="s">
        <v>1625</v>
      </c>
      <c r="B409" s="7" t="s">
        <v>1626</v>
      </c>
      <c r="C409" s="7" t="s">
        <v>1627</v>
      </c>
      <c r="D409" s="4">
        <v>4</v>
      </c>
      <c r="E409" s="5" t="s">
        <v>1628</v>
      </c>
      <c r="F409" s="7">
        <f ca="1">IFERROR(__xludf.DUMMYFUNCTION("ARRAYFORMULA(SUM(ARRAYFORMULA(IFERROR(VALUE(SPLIT(SUBSTITUTE(E409,""-"","" ""),"" "")),0))))
"),44)</f>
        <v>44</v>
      </c>
      <c r="G409" s="7" t="s">
        <v>5734</v>
      </c>
      <c r="H409" s="7" t="s">
        <v>5735</v>
      </c>
      <c r="I409" s="7" t="s">
        <v>5736</v>
      </c>
      <c r="J409" s="7" t="s">
        <v>5726</v>
      </c>
      <c r="K409" s="7" t="s">
        <v>5725</v>
      </c>
      <c r="L409" s="7" t="s">
        <v>5725</v>
      </c>
      <c r="M409" s="7" t="s">
        <v>5725</v>
      </c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spans="1:37">
      <c r="A410" s="7" t="s">
        <v>1629</v>
      </c>
      <c r="B410" s="7" t="s">
        <v>1630</v>
      </c>
      <c r="C410" s="7" t="s">
        <v>1631</v>
      </c>
      <c r="D410" s="4">
        <v>4</v>
      </c>
      <c r="E410" s="5" t="s">
        <v>1632</v>
      </c>
      <c r="F410" s="7">
        <f ca="1">IFERROR(__xludf.DUMMYFUNCTION("ARRAYFORMULA(SUM(ARRAYFORMULA(IFERROR(VALUE(SPLIT(SUBSTITUTE(E410,""-"","" ""),"" "")),0))))
"),46)</f>
        <v>46</v>
      </c>
      <c r="G410" s="7" t="s">
        <v>5734</v>
      </c>
      <c r="H410" s="7" t="s">
        <v>5735</v>
      </c>
      <c r="I410" s="7" t="s">
        <v>5736</v>
      </c>
      <c r="J410" s="7" t="s">
        <v>5726</v>
      </c>
      <c r="K410" s="7" t="s">
        <v>5725</v>
      </c>
      <c r="L410" s="7" t="s">
        <v>5725</v>
      </c>
      <c r="M410" s="7" t="s">
        <v>5725</v>
      </c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spans="1:37">
      <c r="A411" s="3" t="s">
        <v>1633</v>
      </c>
      <c r="B411" s="3" t="s">
        <v>1634</v>
      </c>
      <c r="C411" s="3" t="s">
        <v>1635</v>
      </c>
      <c r="D411" s="4">
        <v>3</v>
      </c>
      <c r="E411" s="8" t="s">
        <v>1636</v>
      </c>
      <c r="F411" s="7">
        <f ca="1">IFERROR(__xludf.DUMMYFUNCTION("ARRAYFORMULA(SUM(ARRAYFORMULA(IFERROR(VALUE(SPLIT(SUBSTITUTE(E411,""-"","" ""),"" "")),0))))
"),44)</f>
        <v>44</v>
      </c>
      <c r="G411" s="7" t="s">
        <v>5708</v>
      </c>
      <c r="H411" s="7" t="s">
        <v>5732</v>
      </c>
      <c r="I411" s="7" t="s">
        <v>5733</v>
      </c>
      <c r="J411" s="7" t="s">
        <v>5725</v>
      </c>
      <c r="K411" s="7" t="s">
        <v>5725</v>
      </c>
      <c r="L411" s="7" t="s">
        <v>5726</v>
      </c>
      <c r="M411" s="7" t="s">
        <v>5726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1:37">
      <c r="A412" s="7" t="s">
        <v>1637</v>
      </c>
      <c r="B412" s="7" t="s">
        <v>1638</v>
      </c>
      <c r="C412" s="7" t="s">
        <v>1639</v>
      </c>
      <c r="D412" s="4">
        <v>4</v>
      </c>
      <c r="E412" s="5" t="s">
        <v>1640</v>
      </c>
      <c r="F412" s="7">
        <f ca="1">IFERROR(__xludf.DUMMYFUNCTION("ARRAYFORMULA(SUM(ARRAYFORMULA(IFERROR(VALUE(SPLIT(SUBSTITUTE(E412,""-"","" ""),"" "")),0))))
"),46)</f>
        <v>46</v>
      </c>
      <c r="G412" s="7" t="s">
        <v>5734</v>
      </c>
      <c r="H412" s="7" t="s">
        <v>5735</v>
      </c>
      <c r="I412" s="7" t="s">
        <v>5736</v>
      </c>
      <c r="J412" s="7" t="s">
        <v>5726</v>
      </c>
      <c r="K412" s="7" t="s">
        <v>5725</v>
      </c>
      <c r="L412" s="7" t="s">
        <v>5725</v>
      </c>
      <c r="M412" s="7" t="s">
        <v>5725</v>
      </c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spans="1:37">
      <c r="A413" s="7" t="s">
        <v>1641</v>
      </c>
      <c r="B413" s="7" t="s">
        <v>1642</v>
      </c>
      <c r="C413" s="7" t="s">
        <v>1643</v>
      </c>
      <c r="D413" s="4">
        <v>5</v>
      </c>
      <c r="E413" s="5" t="s">
        <v>1644</v>
      </c>
      <c r="F413" s="7">
        <f ca="1">IFERROR(__xludf.DUMMYFUNCTION("ARRAYFORMULA(SUM(ARRAYFORMULA(IFERROR(VALUE(SPLIT(SUBSTITUTE(E413,""-"","" ""),"" "")),0))))
"),48)</f>
        <v>48</v>
      </c>
      <c r="G413" s="7" t="s">
        <v>5734</v>
      </c>
      <c r="H413" s="7" t="s">
        <v>5735</v>
      </c>
      <c r="I413" s="7" t="s">
        <v>5736</v>
      </c>
      <c r="J413" s="7" t="s">
        <v>5726</v>
      </c>
      <c r="K413" s="7" t="s">
        <v>5725</v>
      </c>
      <c r="L413" s="7" t="s">
        <v>5725</v>
      </c>
      <c r="M413" s="7" t="s">
        <v>5725</v>
      </c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spans="1:37">
      <c r="A414" s="7" t="s">
        <v>1645</v>
      </c>
      <c r="B414" s="7" t="s">
        <v>1646</v>
      </c>
      <c r="C414" s="7" t="s">
        <v>1647</v>
      </c>
      <c r="D414" s="4">
        <v>5</v>
      </c>
      <c r="E414" s="5" t="s">
        <v>1648</v>
      </c>
      <c r="F414" s="7">
        <f ca="1">IFERROR(__xludf.DUMMYFUNCTION("ARRAYFORMULA(SUM(ARRAYFORMULA(IFERROR(VALUE(SPLIT(SUBSTITUTE(E414,""-"","" ""),"" "")),0))))
"),50)</f>
        <v>50</v>
      </c>
      <c r="G414" s="7" t="s">
        <v>5734</v>
      </c>
      <c r="H414" s="7" t="s">
        <v>5735</v>
      </c>
      <c r="I414" s="7" t="s">
        <v>5736</v>
      </c>
      <c r="J414" s="7" t="s">
        <v>5726</v>
      </c>
      <c r="K414" s="7" t="s">
        <v>5725</v>
      </c>
      <c r="L414" s="7" t="s">
        <v>5725</v>
      </c>
      <c r="M414" s="7" t="s">
        <v>5725</v>
      </c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spans="1:37">
      <c r="A415" s="7" t="s">
        <v>1649</v>
      </c>
      <c r="B415" s="7" t="s">
        <v>1650</v>
      </c>
      <c r="C415" s="7" t="s">
        <v>1651</v>
      </c>
      <c r="D415" s="4">
        <v>4</v>
      </c>
      <c r="E415" s="5" t="s">
        <v>1652</v>
      </c>
      <c r="F415" s="7">
        <f ca="1">IFERROR(__xludf.DUMMYFUNCTION("ARRAYFORMULA(SUM(ARRAYFORMULA(IFERROR(VALUE(SPLIT(SUBSTITUTE(E415,""-"","" ""),"" "")),0))))
"),48)</f>
        <v>48</v>
      </c>
      <c r="G415" s="7" t="s">
        <v>5734</v>
      </c>
      <c r="H415" s="7" t="s">
        <v>5735</v>
      </c>
      <c r="I415" s="7" t="s">
        <v>5736</v>
      </c>
      <c r="J415" s="7" t="s">
        <v>5726</v>
      </c>
      <c r="K415" s="7" t="s">
        <v>5725</v>
      </c>
      <c r="L415" s="7" t="s">
        <v>5725</v>
      </c>
      <c r="M415" s="7" t="s">
        <v>5725</v>
      </c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spans="1:37">
      <c r="A416" s="7" t="s">
        <v>1653</v>
      </c>
      <c r="B416" s="7" t="s">
        <v>1654</v>
      </c>
      <c r="C416" s="7" t="s">
        <v>1655</v>
      </c>
      <c r="D416" s="4">
        <v>4</v>
      </c>
      <c r="E416" s="5" t="s">
        <v>1656</v>
      </c>
      <c r="F416" s="7">
        <f ca="1">IFERROR(__xludf.DUMMYFUNCTION("ARRAYFORMULA(SUM(ARRAYFORMULA(IFERROR(VALUE(SPLIT(SUBSTITUTE(E416,""-"","" ""),"" "")),0))))
"),50)</f>
        <v>50</v>
      </c>
      <c r="G416" s="7" t="s">
        <v>5734</v>
      </c>
      <c r="H416" s="7" t="s">
        <v>5735</v>
      </c>
      <c r="I416" s="7" t="s">
        <v>5736</v>
      </c>
      <c r="J416" s="7" t="s">
        <v>5726</v>
      </c>
      <c r="K416" s="7" t="s">
        <v>5725</v>
      </c>
      <c r="L416" s="7" t="s">
        <v>5725</v>
      </c>
      <c r="M416" s="7" t="s">
        <v>5725</v>
      </c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spans="1:37">
      <c r="A417" s="7" t="s">
        <v>1657</v>
      </c>
      <c r="B417" s="7" t="s">
        <v>1658</v>
      </c>
      <c r="C417" s="7" t="s">
        <v>1659</v>
      </c>
      <c r="D417" s="4">
        <v>4</v>
      </c>
      <c r="E417" s="5" t="s">
        <v>1660</v>
      </c>
      <c r="F417" s="7">
        <f ca="1">IFERROR(__xludf.DUMMYFUNCTION("ARRAYFORMULA(SUM(ARRAYFORMULA(IFERROR(VALUE(SPLIT(SUBSTITUTE(E417,""-"","" ""),"" "")),0))))
"),52)</f>
        <v>52</v>
      </c>
      <c r="G417" s="7" t="s">
        <v>5734</v>
      </c>
      <c r="H417" s="7" t="s">
        <v>5735</v>
      </c>
      <c r="I417" s="7" t="s">
        <v>5736</v>
      </c>
      <c r="J417" s="7" t="s">
        <v>5726</v>
      </c>
      <c r="K417" s="7" t="s">
        <v>5725</v>
      </c>
      <c r="L417" s="7" t="s">
        <v>5725</v>
      </c>
      <c r="M417" s="7" t="s">
        <v>5725</v>
      </c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spans="1:37">
      <c r="A418" s="7" t="s">
        <v>1661</v>
      </c>
      <c r="B418" s="7" t="s">
        <v>1662</v>
      </c>
      <c r="C418" s="7" t="s">
        <v>1663</v>
      </c>
      <c r="D418" s="4">
        <v>4</v>
      </c>
      <c r="E418" s="5" t="s">
        <v>1664</v>
      </c>
      <c r="F418" s="7">
        <f ca="1">IFERROR(__xludf.DUMMYFUNCTION("ARRAYFORMULA(SUM(ARRAYFORMULA(IFERROR(VALUE(SPLIT(SUBSTITUTE(E418,""-"","" ""),"" "")),0))))
"),54)</f>
        <v>54</v>
      </c>
      <c r="G418" s="7" t="s">
        <v>5734</v>
      </c>
      <c r="H418" s="7" t="s">
        <v>5735</v>
      </c>
      <c r="I418" s="7" t="s">
        <v>5736</v>
      </c>
      <c r="J418" s="7" t="s">
        <v>5726</v>
      </c>
      <c r="K418" s="7" t="s">
        <v>5725</v>
      </c>
      <c r="L418" s="7" t="s">
        <v>5725</v>
      </c>
      <c r="M418" s="7" t="s">
        <v>5725</v>
      </c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spans="1:37">
      <c r="A419" s="3" t="s">
        <v>1665</v>
      </c>
      <c r="B419" s="3" t="s">
        <v>1666</v>
      </c>
      <c r="C419" s="3" t="s">
        <v>1667</v>
      </c>
      <c r="D419" s="4">
        <v>3</v>
      </c>
      <c r="E419" s="8" t="s">
        <v>1668</v>
      </c>
      <c r="F419" s="7">
        <f ca="1">IFERROR(__xludf.DUMMYFUNCTION("ARRAYFORMULA(SUM(ARRAYFORMULA(IFERROR(VALUE(SPLIT(SUBSTITUTE(E419,""-"","" ""),"" "")),0))))
"),46)</f>
        <v>46</v>
      </c>
      <c r="G419" s="7" t="s">
        <v>5708</v>
      </c>
      <c r="H419" s="7" t="s">
        <v>5732</v>
      </c>
      <c r="I419" s="7" t="s">
        <v>5733</v>
      </c>
      <c r="J419" s="7" t="s">
        <v>5725</v>
      </c>
      <c r="K419" s="7" t="s">
        <v>5725</v>
      </c>
      <c r="L419" s="7" t="s">
        <v>5726</v>
      </c>
      <c r="M419" s="7" t="s">
        <v>5726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1:37">
      <c r="A420" s="3" t="s">
        <v>1669</v>
      </c>
      <c r="B420" s="3" t="s">
        <v>1670</v>
      </c>
      <c r="C420" s="3" t="s">
        <v>1671</v>
      </c>
      <c r="D420" s="4">
        <v>3</v>
      </c>
      <c r="E420" s="8" t="s">
        <v>1672</v>
      </c>
      <c r="F420" s="7">
        <f ca="1">IFERROR(__xludf.DUMMYFUNCTION("ARRAYFORMULA(SUM(ARRAYFORMULA(IFERROR(VALUE(SPLIT(SUBSTITUTE(E420,""-"","" ""),"" "")),0))))
"),48)</f>
        <v>48</v>
      </c>
      <c r="G420" s="7" t="s">
        <v>5708</v>
      </c>
      <c r="H420" s="7" t="s">
        <v>5732</v>
      </c>
      <c r="I420" s="7" t="s">
        <v>5733</v>
      </c>
      <c r="J420" s="7" t="s">
        <v>5725</v>
      </c>
      <c r="K420" s="7" t="s">
        <v>5725</v>
      </c>
      <c r="L420" s="7" t="s">
        <v>5726</v>
      </c>
      <c r="M420" s="7" t="s">
        <v>5726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1:37">
      <c r="A421" s="7" t="s">
        <v>1673</v>
      </c>
      <c r="B421" s="7" t="s">
        <v>1674</v>
      </c>
      <c r="C421" s="7" t="s">
        <v>1675</v>
      </c>
      <c r="D421" s="4">
        <v>4</v>
      </c>
      <c r="E421" s="5" t="s">
        <v>1676</v>
      </c>
      <c r="F421" s="7">
        <f ca="1">IFERROR(__xludf.DUMMYFUNCTION("ARRAYFORMULA(SUM(ARRAYFORMULA(IFERROR(VALUE(SPLIT(SUBSTITUTE(E421,""-"","" ""),"" "")),0))))
"),50)</f>
        <v>50</v>
      </c>
      <c r="G421" s="7" t="s">
        <v>5734</v>
      </c>
      <c r="H421" s="7" t="s">
        <v>5735</v>
      </c>
      <c r="I421" s="7" t="s">
        <v>5736</v>
      </c>
      <c r="J421" s="7" t="s">
        <v>5726</v>
      </c>
      <c r="K421" s="7" t="s">
        <v>5725</v>
      </c>
      <c r="L421" s="7" t="s">
        <v>5725</v>
      </c>
      <c r="M421" s="7" t="s">
        <v>5725</v>
      </c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spans="1:37">
      <c r="A422" s="7" t="s">
        <v>1677</v>
      </c>
      <c r="B422" s="7" t="s">
        <v>1678</v>
      </c>
      <c r="C422" s="7" t="s">
        <v>1679</v>
      </c>
      <c r="D422" s="4">
        <v>5</v>
      </c>
      <c r="E422" s="5" t="s">
        <v>1680</v>
      </c>
      <c r="F422" s="7">
        <f ca="1">IFERROR(__xludf.DUMMYFUNCTION("ARRAYFORMULA(SUM(ARRAYFORMULA(IFERROR(VALUE(SPLIT(SUBSTITUTE(E422,""-"","" ""),"" "")),0))))
"),52)</f>
        <v>52</v>
      </c>
      <c r="G422" s="7" t="s">
        <v>5734</v>
      </c>
      <c r="H422" s="7" t="s">
        <v>5735</v>
      </c>
      <c r="I422" s="7" t="s">
        <v>5736</v>
      </c>
      <c r="J422" s="7" t="s">
        <v>5726</v>
      </c>
      <c r="K422" s="7" t="s">
        <v>5725</v>
      </c>
      <c r="L422" s="7" t="s">
        <v>5725</v>
      </c>
      <c r="M422" s="7" t="s">
        <v>5725</v>
      </c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spans="1:37">
      <c r="A423" s="7" t="s">
        <v>1681</v>
      </c>
      <c r="B423" s="7" t="s">
        <v>1682</v>
      </c>
      <c r="C423" s="7" t="s">
        <v>1683</v>
      </c>
      <c r="D423" s="4">
        <v>5</v>
      </c>
      <c r="E423" s="5" t="s">
        <v>1684</v>
      </c>
      <c r="F423" s="7">
        <f ca="1">IFERROR(__xludf.DUMMYFUNCTION("ARRAYFORMULA(SUM(ARRAYFORMULA(IFERROR(VALUE(SPLIT(SUBSTITUTE(E423,""-"","" ""),"" "")),0))))
"),54)</f>
        <v>54</v>
      </c>
      <c r="G423" s="7" t="s">
        <v>5734</v>
      </c>
      <c r="H423" s="7" t="s">
        <v>5735</v>
      </c>
      <c r="I423" s="7" t="s">
        <v>5736</v>
      </c>
      <c r="J423" s="7" t="s">
        <v>5726</v>
      </c>
      <c r="K423" s="7" t="s">
        <v>5725</v>
      </c>
      <c r="L423" s="7" t="s">
        <v>5725</v>
      </c>
      <c r="M423" s="7" t="s">
        <v>5725</v>
      </c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spans="1:37">
      <c r="A424" s="7" t="s">
        <v>1685</v>
      </c>
      <c r="B424" s="7" t="s">
        <v>1686</v>
      </c>
      <c r="C424" s="7" t="s">
        <v>1687</v>
      </c>
      <c r="D424" s="4">
        <v>4</v>
      </c>
      <c r="E424" s="5" t="s">
        <v>1688</v>
      </c>
      <c r="F424" s="7">
        <f ca="1">IFERROR(__xludf.DUMMYFUNCTION("ARRAYFORMULA(SUM(ARRAYFORMULA(IFERROR(VALUE(SPLIT(SUBSTITUTE(E424,""-"","" ""),"" "")),0))))
"),52)</f>
        <v>52</v>
      </c>
      <c r="G424" s="7" t="s">
        <v>5734</v>
      </c>
      <c r="H424" s="7" t="s">
        <v>5735</v>
      </c>
      <c r="I424" s="7" t="s">
        <v>5736</v>
      </c>
      <c r="J424" s="7" t="s">
        <v>5726</v>
      </c>
      <c r="K424" s="7" t="s">
        <v>5725</v>
      </c>
      <c r="L424" s="7" t="s">
        <v>5725</v>
      </c>
      <c r="M424" s="7" t="s">
        <v>5725</v>
      </c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spans="1:37">
      <c r="A425" s="7" t="s">
        <v>1689</v>
      </c>
      <c r="B425" s="7" t="s">
        <v>1690</v>
      </c>
      <c r="C425" s="7" t="s">
        <v>1691</v>
      </c>
      <c r="D425" s="4">
        <v>5</v>
      </c>
      <c r="E425" s="5" t="s">
        <v>1692</v>
      </c>
      <c r="F425" s="7">
        <f ca="1">IFERROR(__xludf.DUMMYFUNCTION("ARRAYFORMULA(SUM(ARRAYFORMULA(IFERROR(VALUE(SPLIT(SUBSTITUTE(E425,""-"","" ""),"" "")),0))))
"),54)</f>
        <v>54</v>
      </c>
      <c r="G425" s="7" t="s">
        <v>5734</v>
      </c>
      <c r="H425" s="7" t="s">
        <v>5735</v>
      </c>
      <c r="I425" s="7" t="s">
        <v>5736</v>
      </c>
      <c r="J425" s="7" t="s">
        <v>5726</v>
      </c>
      <c r="K425" s="7" t="s">
        <v>5725</v>
      </c>
      <c r="L425" s="7" t="s">
        <v>5725</v>
      </c>
      <c r="M425" s="7" t="s">
        <v>5725</v>
      </c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spans="1:37">
      <c r="A426" s="7" t="s">
        <v>1693</v>
      </c>
      <c r="B426" s="7" t="s">
        <v>1694</v>
      </c>
      <c r="C426" s="7" t="s">
        <v>1695</v>
      </c>
      <c r="D426" s="4">
        <v>5</v>
      </c>
      <c r="E426" s="5" t="s">
        <v>1696</v>
      </c>
      <c r="F426" s="7">
        <f ca="1">IFERROR(__xludf.DUMMYFUNCTION("ARRAYFORMULA(SUM(ARRAYFORMULA(IFERROR(VALUE(SPLIT(SUBSTITUTE(E426,""-"","" ""),"" "")),0))))
"),56)</f>
        <v>56</v>
      </c>
      <c r="G426" s="7" t="s">
        <v>5734</v>
      </c>
      <c r="H426" s="7" t="s">
        <v>5735</v>
      </c>
      <c r="I426" s="7" t="s">
        <v>5736</v>
      </c>
      <c r="J426" s="7" t="s">
        <v>5726</v>
      </c>
      <c r="K426" s="7" t="s">
        <v>5725</v>
      </c>
      <c r="L426" s="7" t="s">
        <v>5725</v>
      </c>
      <c r="M426" s="7" t="s">
        <v>5725</v>
      </c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spans="1:37">
      <c r="A427" s="3" t="s">
        <v>1697</v>
      </c>
      <c r="B427" s="3" t="s">
        <v>1698</v>
      </c>
      <c r="C427" s="3" t="s">
        <v>1699</v>
      </c>
      <c r="D427" s="4">
        <v>3</v>
      </c>
      <c r="E427" s="8" t="s">
        <v>1700</v>
      </c>
      <c r="F427" s="7">
        <f ca="1">IFERROR(__xludf.DUMMYFUNCTION("ARRAYFORMULA(SUM(ARRAYFORMULA(IFERROR(VALUE(SPLIT(SUBSTITUTE(E427,""-"","" ""),"" "")),0))))
"),50)</f>
        <v>50</v>
      </c>
      <c r="G427" s="7" t="s">
        <v>5708</v>
      </c>
      <c r="H427" s="7" t="s">
        <v>5732</v>
      </c>
      <c r="I427" s="7" t="s">
        <v>5733</v>
      </c>
      <c r="J427" s="7" t="s">
        <v>5725</v>
      </c>
      <c r="K427" s="7" t="s">
        <v>5725</v>
      </c>
      <c r="L427" s="7" t="s">
        <v>5726</v>
      </c>
      <c r="M427" s="7" t="s">
        <v>5726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1:37">
      <c r="A428" s="9" t="s">
        <v>1701</v>
      </c>
      <c r="B428" s="9" t="s">
        <v>1702</v>
      </c>
      <c r="C428" s="3" t="s">
        <v>1703</v>
      </c>
      <c r="D428" s="4">
        <v>3</v>
      </c>
      <c r="E428" s="8" t="s">
        <v>1704</v>
      </c>
      <c r="F428" s="7">
        <f ca="1">IFERROR(__xludf.DUMMYFUNCTION("ARRAYFORMULA(SUM(ARRAYFORMULA(IFERROR(VALUE(SPLIT(SUBSTITUTE(E428,""-"","" ""),"" "")),0))))
"),52)</f>
        <v>52</v>
      </c>
      <c r="G428" s="7" t="s">
        <v>5708</v>
      </c>
      <c r="H428" s="7" t="s">
        <v>5732</v>
      </c>
      <c r="I428" s="7" t="s">
        <v>5733</v>
      </c>
      <c r="J428" s="7" t="s">
        <v>5725</v>
      </c>
      <c r="K428" s="7" t="s">
        <v>5725</v>
      </c>
      <c r="L428" s="7" t="s">
        <v>5726</v>
      </c>
      <c r="M428" s="7" t="s">
        <v>5726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1:37">
      <c r="A429" s="3" t="s">
        <v>1705</v>
      </c>
      <c r="B429" s="3" t="s">
        <v>1706</v>
      </c>
      <c r="C429" s="3" t="s">
        <v>1707</v>
      </c>
      <c r="D429" s="4">
        <v>3</v>
      </c>
      <c r="E429" s="8" t="s">
        <v>1708</v>
      </c>
      <c r="F429" s="7">
        <f ca="1">IFERROR(__xludf.DUMMYFUNCTION("ARRAYFORMULA(SUM(ARRAYFORMULA(IFERROR(VALUE(SPLIT(SUBSTITUTE(E429,""-"","" ""),"" "")),0))))
"),54)</f>
        <v>54</v>
      </c>
      <c r="G429" s="7" t="s">
        <v>5708</v>
      </c>
      <c r="H429" s="7" t="s">
        <v>5732</v>
      </c>
      <c r="I429" s="7" t="s">
        <v>5733</v>
      </c>
      <c r="J429" s="7" t="s">
        <v>5725</v>
      </c>
      <c r="K429" s="7" t="s">
        <v>5725</v>
      </c>
      <c r="L429" s="7" t="s">
        <v>5726</v>
      </c>
      <c r="M429" s="7" t="s">
        <v>5726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1:37">
      <c r="A430" s="3" t="s">
        <v>1709</v>
      </c>
      <c r="B430" s="3" t="s">
        <v>1710</v>
      </c>
      <c r="C430" s="3" t="s">
        <v>1711</v>
      </c>
      <c r="D430" s="4">
        <v>2</v>
      </c>
      <c r="E430" s="8" t="s">
        <v>1712</v>
      </c>
      <c r="F430" s="7">
        <f ca="1">IFERROR(__xludf.DUMMYFUNCTION("ARRAYFORMULA(SUM(ARRAYFORMULA(IFERROR(VALUE(SPLIT(SUBSTITUTE(E430,""-"","" ""),"" "")),0))))
"),40)</f>
        <v>40</v>
      </c>
      <c r="G430" s="7" t="s">
        <v>5706</v>
      </c>
      <c r="H430" s="7" t="s">
        <v>5723</v>
      </c>
      <c r="I430" s="7" t="s">
        <v>5724</v>
      </c>
      <c r="J430" s="7" t="s">
        <v>5725</v>
      </c>
      <c r="K430" s="7" t="s">
        <v>5726</v>
      </c>
      <c r="L430" s="7" t="s">
        <v>5726</v>
      </c>
      <c r="M430" s="7" t="s">
        <v>5726</v>
      </c>
      <c r="N430" s="3"/>
      <c r="O430" s="3"/>
      <c r="P430" s="3"/>
      <c r="Q430" s="3"/>
      <c r="R430" s="8" t="s">
        <v>1712</v>
      </c>
      <c r="S430" s="3" t="s">
        <v>5764</v>
      </c>
      <c r="T430" s="111" t="s">
        <v>5765</v>
      </c>
      <c r="U430" s="7" t="str">
        <f>T430&amp;"-"&amp;S430</f>
        <v>3E-40-instalações de água pluvial</v>
      </c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1:37">
      <c r="A431" s="3" t="s">
        <v>1713</v>
      </c>
      <c r="B431" s="3" t="s">
        <v>1714</v>
      </c>
      <c r="C431" s="3" t="s">
        <v>1715</v>
      </c>
      <c r="D431" s="4">
        <v>3</v>
      </c>
      <c r="E431" s="8" t="s">
        <v>1716</v>
      </c>
      <c r="F431" s="7">
        <f ca="1">IFERROR(__xludf.DUMMYFUNCTION("ARRAYFORMULA(SUM(ARRAYFORMULA(IFERROR(VALUE(SPLIT(SUBSTITUTE(E431,""-"","" ""),"" "")),0))))
"),42)</f>
        <v>42</v>
      </c>
      <c r="G431" s="7" t="s">
        <v>5708</v>
      </c>
      <c r="H431" s="7" t="s">
        <v>5732</v>
      </c>
      <c r="I431" s="7" t="s">
        <v>5733</v>
      </c>
      <c r="J431" s="7" t="s">
        <v>5725</v>
      </c>
      <c r="K431" s="7" t="s">
        <v>5725</v>
      </c>
      <c r="L431" s="7" t="s">
        <v>5726</v>
      </c>
      <c r="M431" s="7" t="s">
        <v>5726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1:37">
      <c r="A432" s="3" t="s">
        <v>1717</v>
      </c>
      <c r="B432" s="3" t="s">
        <v>1718</v>
      </c>
      <c r="C432" s="3" t="s">
        <v>1719</v>
      </c>
      <c r="D432" s="4">
        <v>3</v>
      </c>
      <c r="E432" s="8" t="s">
        <v>1720</v>
      </c>
      <c r="F432" s="7">
        <f ca="1">IFERROR(__xludf.DUMMYFUNCTION("ARRAYFORMULA(SUM(ARRAYFORMULA(IFERROR(VALUE(SPLIT(SUBSTITUTE(E432,""-"","" ""),"" "")),0))))
"),44)</f>
        <v>44</v>
      </c>
      <c r="G432" s="7" t="s">
        <v>5708</v>
      </c>
      <c r="H432" s="7" t="s">
        <v>5732</v>
      </c>
      <c r="I432" s="7" t="s">
        <v>5733</v>
      </c>
      <c r="J432" s="7" t="s">
        <v>5725</v>
      </c>
      <c r="K432" s="7" t="s">
        <v>5725</v>
      </c>
      <c r="L432" s="7" t="s">
        <v>5726</v>
      </c>
      <c r="M432" s="7" t="s">
        <v>5726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1:37">
      <c r="A433" s="3" t="s">
        <v>1721</v>
      </c>
      <c r="B433" s="3" t="s">
        <v>1722</v>
      </c>
      <c r="C433" s="3" t="s">
        <v>1723</v>
      </c>
      <c r="D433" s="4">
        <v>3</v>
      </c>
      <c r="E433" s="8" t="s">
        <v>1724</v>
      </c>
      <c r="F433" s="7">
        <f ca="1">IFERROR(__xludf.DUMMYFUNCTION("ARRAYFORMULA(SUM(ARRAYFORMULA(IFERROR(VALUE(SPLIT(SUBSTITUTE(E433,""-"","" ""),"" "")),0))))
"),46)</f>
        <v>46</v>
      </c>
      <c r="G433" s="7" t="s">
        <v>5708</v>
      </c>
      <c r="H433" s="7" t="s">
        <v>5732</v>
      </c>
      <c r="I433" s="7" t="s">
        <v>5733</v>
      </c>
      <c r="J433" s="7" t="s">
        <v>5725</v>
      </c>
      <c r="K433" s="7" t="s">
        <v>5725</v>
      </c>
      <c r="L433" s="7" t="s">
        <v>5726</v>
      </c>
      <c r="M433" s="7" t="s">
        <v>5726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1:37">
      <c r="A434" s="7" t="s">
        <v>1725</v>
      </c>
      <c r="B434" s="7" t="s">
        <v>1726</v>
      </c>
      <c r="C434" s="7" t="s">
        <v>1727</v>
      </c>
      <c r="D434" s="4">
        <v>4</v>
      </c>
      <c r="E434" s="5" t="s">
        <v>1728</v>
      </c>
      <c r="F434" s="7">
        <f ca="1">IFERROR(__xludf.DUMMYFUNCTION("ARRAYFORMULA(SUM(ARRAYFORMULA(IFERROR(VALUE(SPLIT(SUBSTITUTE(E434,""-"","" ""),"" "")),0))))
"),48)</f>
        <v>48</v>
      </c>
      <c r="G434" s="7" t="s">
        <v>5734</v>
      </c>
      <c r="H434" s="7" t="s">
        <v>5735</v>
      </c>
      <c r="I434" s="7" t="s">
        <v>5736</v>
      </c>
      <c r="J434" s="7" t="s">
        <v>5726</v>
      </c>
      <c r="K434" s="7" t="s">
        <v>5725</v>
      </c>
      <c r="L434" s="7" t="s">
        <v>5725</v>
      </c>
      <c r="M434" s="7" t="s">
        <v>5725</v>
      </c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spans="1:37">
      <c r="A435" s="7" t="s">
        <v>1729</v>
      </c>
      <c r="B435" s="7" t="s">
        <v>1730</v>
      </c>
      <c r="C435" s="7" t="s">
        <v>1731</v>
      </c>
      <c r="D435" s="4">
        <v>4</v>
      </c>
      <c r="E435" s="5" t="s">
        <v>1732</v>
      </c>
      <c r="F435" s="7">
        <f ca="1">IFERROR(__xludf.DUMMYFUNCTION("ARRAYFORMULA(SUM(ARRAYFORMULA(IFERROR(VALUE(SPLIT(SUBSTITUTE(E435,""-"","" ""),"" "")),0))))
"),50)</f>
        <v>50</v>
      </c>
      <c r="G435" s="7" t="s">
        <v>5734</v>
      </c>
      <c r="H435" s="7" t="s">
        <v>5735</v>
      </c>
      <c r="I435" s="7" t="s">
        <v>5736</v>
      </c>
      <c r="J435" s="7" t="s">
        <v>5726</v>
      </c>
      <c r="K435" s="7" t="s">
        <v>5725</v>
      </c>
      <c r="L435" s="7" t="s">
        <v>5725</v>
      </c>
      <c r="M435" s="7" t="s">
        <v>5725</v>
      </c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spans="1:37">
      <c r="A436" s="7" t="s">
        <v>1733</v>
      </c>
      <c r="B436" s="7" t="s">
        <v>1734</v>
      </c>
      <c r="C436" s="7" t="s">
        <v>1735</v>
      </c>
      <c r="D436" s="4">
        <v>4</v>
      </c>
      <c r="E436" s="5" t="s">
        <v>1736</v>
      </c>
      <c r="F436" s="7">
        <f ca="1">IFERROR(__xludf.DUMMYFUNCTION("ARRAYFORMULA(SUM(ARRAYFORMULA(IFERROR(VALUE(SPLIT(SUBSTITUTE(E436,""-"","" ""),"" "")),0))))
"),52)</f>
        <v>52</v>
      </c>
      <c r="G436" s="7" t="s">
        <v>5734</v>
      </c>
      <c r="H436" s="7" t="s">
        <v>5735</v>
      </c>
      <c r="I436" s="7" t="s">
        <v>5736</v>
      </c>
      <c r="J436" s="7" t="s">
        <v>5726</v>
      </c>
      <c r="K436" s="7" t="s">
        <v>5725</v>
      </c>
      <c r="L436" s="7" t="s">
        <v>5725</v>
      </c>
      <c r="M436" s="7" t="s">
        <v>5725</v>
      </c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spans="1:37">
      <c r="A437" s="7" t="s">
        <v>1737</v>
      </c>
      <c r="B437" s="7" t="s">
        <v>1738</v>
      </c>
      <c r="C437" s="7" t="s">
        <v>1739</v>
      </c>
      <c r="D437" s="4">
        <v>4</v>
      </c>
      <c r="E437" s="5" t="s">
        <v>1740</v>
      </c>
      <c r="F437" s="7">
        <f ca="1">IFERROR(__xludf.DUMMYFUNCTION("ARRAYFORMULA(SUM(ARRAYFORMULA(IFERROR(VALUE(SPLIT(SUBSTITUTE(E437,""-"","" ""),"" "")),0))))
"),54)</f>
        <v>54</v>
      </c>
      <c r="G437" s="7" t="s">
        <v>5734</v>
      </c>
      <c r="H437" s="7" t="s">
        <v>5735</v>
      </c>
      <c r="I437" s="7" t="s">
        <v>5736</v>
      </c>
      <c r="J437" s="7" t="s">
        <v>5726</v>
      </c>
      <c r="K437" s="7" t="s">
        <v>5725</v>
      </c>
      <c r="L437" s="7" t="s">
        <v>5725</v>
      </c>
      <c r="M437" s="7" t="s">
        <v>5725</v>
      </c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spans="1:37">
      <c r="A438" s="7" t="s">
        <v>1741</v>
      </c>
      <c r="B438" s="7" t="s">
        <v>1742</v>
      </c>
      <c r="C438" s="7" t="s">
        <v>1743</v>
      </c>
      <c r="D438" s="4">
        <v>4</v>
      </c>
      <c r="E438" s="5" t="s">
        <v>1744</v>
      </c>
      <c r="F438" s="7">
        <f ca="1">IFERROR(__xludf.DUMMYFUNCTION("ARRAYFORMULA(SUM(ARRAYFORMULA(IFERROR(VALUE(SPLIT(SUBSTITUTE(E438,""-"","" ""),"" "")),0))))
"),56)</f>
        <v>56</v>
      </c>
      <c r="G438" s="7" t="s">
        <v>5734</v>
      </c>
      <c r="H438" s="7" t="s">
        <v>5735</v>
      </c>
      <c r="I438" s="7" t="s">
        <v>5736</v>
      </c>
      <c r="J438" s="7" t="s">
        <v>5726</v>
      </c>
      <c r="K438" s="7" t="s">
        <v>5725</v>
      </c>
      <c r="L438" s="7" t="s">
        <v>5725</v>
      </c>
      <c r="M438" s="7" t="s">
        <v>5725</v>
      </c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spans="1:37">
      <c r="A439" s="7" t="s">
        <v>1745</v>
      </c>
      <c r="B439" s="7" t="s">
        <v>1746</v>
      </c>
      <c r="C439" s="7" t="s">
        <v>1747</v>
      </c>
      <c r="D439" s="4">
        <v>4</v>
      </c>
      <c r="E439" s="5" t="s">
        <v>1748</v>
      </c>
      <c r="F439" s="7">
        <f ca="1">IFERROR(__xludf.DUMMYFUNCTION("ARRAYFORMULA(SUM(ARRAYFORMULA(IFERROR(VALUE(SPLIT(SUBSTITUTE(E439,""-"","" ""),"" "")),0))))
"),58)</f>
        <v>58</v>
      </c>
      <c r="G439" s="7" t="s">
        <v>5734</v>
      </c>
      <c r="H439" s="7" t="s">
        <v>5735</v>
      </c>
      <c r="I439" s="7" t="s">
        <v>5736</v>
      </c>
      <c r="J439" s="7" t="s">
        <v>5726</v>
      </c>
      <c r="K439" s="7" t="s">
        <v>5725</v>
      </c>
      <c r="L439" s="7" t="s">
        <v>5725</v>
      </c>
      <c r="M439" s="7" t="s">
        <v>5725</v>
      </c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spans="1:37">
      <c r="A440" s="7" t="s">
        <v>1749</v>
      </c>
      <c r="B440" s="7" t="s">
        <v>1750</v>
      </c>
      <c r="C440" s="7" t="s">
        <v>1751</v>
      </c>
      <c r="D440" s="4">
        <v>4</v>
      </c>
      <c r="E440" s="5" t="s">
        <v>1752</v>
      </c>
      <c r="F440" s="7">
        <f ca="1">IFERROR(__xludf.DUMMYFUNCTION("ARRAYFORMULA(SUM(ARRAYFORMULA(IFERROR(VALUE(SPLIT(SUBSTITUTE(E440,""-"","" ""),"" "")),0))))
"),60)</f>
        <v>60</v>
      </c>
      <c r="G440" s="7" t="s">
        <v>5734</v>
      </c>
      <c r="H440" s="7" t="s">
        <v>5735</v>
      </c>
      <c r="I440" s="7" t="s">
        <v>5736</v>
      </c>
      <c r="J440" s="7" t="s">
        <v>5726</v>
      </c>
      <c r="K440" s="7" t="s">
        <v>5725</v>
      </c>
      <c r="L440" s="7" t="s">
        <v>5725</v>
      </c>
      <c r="M440" s="7" t="s">
        <v>5725</v>
      </c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spans="1:37">
      <c r="A441" s="3" t="s">
        <v>1753</v>
      </c>
      <c r="B441" s="3" t="s">
        <v>1754</v>
      </c>
      <c r="C441" s="3" t="s">
        <v>1755</v>
      </c>
      <c r="D441" s="4">
        <v>3</v>
      </c>
      <c r="E441" s="8" t="s">
        <v>1756</v>
      </c>
      <c r="F441" s="7">
        <f ca="1">IFERROR(__xludf.DUMMYFUNCTION("ARRAYFORMULA(SUM(ARRAYFORMULA(IFERROR(VALUE(SPLIT(SUBSTITUTE(E441,""-"","" ""),"" "")),0))))
"),48)</f>
        <v>48</v>
      </c>
      <c r="G441" s="7" t="s">
        <v>5708</v>
      </c>
      <c r="H441" s="7" t="s">
        <v>5732</v>
      </c>
      <c r="I441" s="7" t="s">
        <v>5733</v>
      </c>
      <c r="J441" s="7" t="s">
        <v>5725</v>
      </c>
      <c r="K441" s="7" t="s">
        <v>5725</v>
      </c>
      <c r="L441" s="7" t="s">
        <v>5726</v>
      </c>
      <c r="M441" s="7" t="s">
        <v>5726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1:37">
      <c r="A442" s="3" t="s">
        <v>1757</v>
      </c>
      <c r="B442" s="3" t="s">
        <v>1758</v>
      </c>
      <c r="C442" s="3" t="s">
        <v>1759</v>
      </c>
      <c r="D442" s="4">
        <v>2</v>
      </c>
      <c r="E442" s="8" t="s">
        <v>1760</v>
      </c>
      <c r="F442" s="7">
        <f ca="1">IFERROR(__xludf.DUMMYFUNCTION("ARRAYFORMULA(SUM(ARRAYFORMULA(IFERROR(VALUE(SPLIT(SUBSTITUTE(E442,""-"","" ""),"" "")),0))))
"),42)</f>
        <v>42</v>
      </c>
      <c r="G442" s="7" t="s">
        <v>5706</v>
      </c>
      <c r="H442" s="7" t="s">
        <v>5723</v>
      </c>
      <c r="I442" s="7" t="s">
        <v>5724</v>
      </c>
      <c r="J442" s="7" t="s">
        <v>5725</v>
      </c>
      <c r="K442" s="7" t="s">
        <v>5726</v>
      </c>
      <c r="L442" s="7" t="s">
        <v>5726</v>
      </c>
      <c r="M442" s="7" t="s">
        <v>5726</v>
      </c>
      <c r="N442" s="3"/>
      <c r="O442" s="3"/>
      <c r="P442" s="3"/>
      <c r="Q442" s="3"/>
      <c r="R442" s="8" t="s">
        <v>1760</v>
      </c>
      <c r="S442" s="3" t="s">
        <v>5766</v>
      </c>
      <c r="T442" s="111" t="s">
        <v>5767</v>
      </c>
      <c r="U442" s="7" t="str">
        <f>T442&amp;"-"&amp;S442</f>
        <v>3E-42-instalações sanitárias</v>
      </c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1:37">
      <c r="A443" s="3" t="s">
        <v>1761</v>
      </c>
      <c r="B443" s="3" t="s">
        <v>1762</v>
      </c>
      <c r="C443" s="3" t="s">
        <v>1763</v>
      </c>
      <c r="D443" s="4">
        <v>3</v>
      </c>
      <c r="E443" s="8" t="s">
        <v>1764</v>
      </c>
      <c r="F443" s="7">
        <f ca="1">IFERROR(__xludf.DUMMYFUNCTION("ARRAYFORMULA(SUM(ARRAYFORMULA(IFERROR(VALUE(SPLIT(SUBSTITUTE(E443,""-"","" ""),"" "")),0))))
"),44)</f>
        <v>44</v>
      </c>
      <c r="G443" s="7" t="s">
        <v>5708</v>
      </c>
      <c r="H443" s="7" t="s">
        <v>5732</v>
      </c>
      <c r="I443" s="7" t="s">
        <v>5733</v>
      </c>
      <c r="J443" s="7" t="s">
        <v>5725</v>
      </c>
      <c r="K443" s="7" t="s">
        <v>5725</v>
      </c>
      <c r="L443" s="7" t="s">
        <v>5726</v>
      </c>
      <c r="M443" s="7" t="s">
        <v>5726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1:37">
      <c r="A444" s="7" t="s">
        <v>1765</v>
      </c>
      <c r="B444" s="7" t="s">
        <v>1766</v>
      </c>
      <c r="C444" s="7" t="s">
        <v>1767</v>
      </c>
      <c r="D444" s="4">
        <v>4</v>
      </c>
      <c r="E444" s="5" t="s">
        <v>1768</v>
      </c>
      <c r="F444" s="7">
        <f ca="1">IFERROR(__xludf.DUMMYFUNCTION("ARRAYFORMULA(SUM(ARRAYFORMULA(IFERROR(VALUE(SPLIT(SUBSTITUTE(E444,""-"","" ""),"" "")),0))))
"),46)</f>
        <v>46</v>
      </c>
      <c r="G444" s="7" t="s">
        <v>5734</v>
      </c>
      <c r="H444" s="7" t="s">
        <v>5735</v>
      </c>
      <c r="I444" s="7" t="s">
        <v>5736</v>
      </c>
      <c r="J444" s="7" t="s">
        <v>5726</v>
      </c>
      <c r="K444" s="7" t="s">
        <v>5725</v>
      </c>
      <c r="L444" s="7" t="s">
        <v>5725</v>
      </c>
      <c r="M444" s="7" t="s">
        <v>5725</v>
      </c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spans="1:37">
      <c r="A445" s="7" t="s">
        <v>1769</v>
      </c>
      <c r="B445" s="7" t="s">
        <v>1770</v>
      </c>
      <c r="C445" s="7" t="s">
        <v>1771</v>
      </c>
      <c r="D445" s="4">
        <v>5</v>
      </c>
      <c r="E445" s="5" t="s">
        <v>1772</v>
      </c>
      <c r="F445" s="7">
        <f ca="1">IFERROR(__xludf.DUMMYFUNCTION("ARRAYFORMULA(SUM(ARRAYFORMULA(IFERROR(VALUE(SPLIT(SUBSTITUTE(E445,""-"","" ""),"" "")),0))))
"),48)</f>
        <v>48</v>
      </c>
      <c r="G445" s="7" t="s">
        <v>5734</v>
      </c>
      <c r="H445" s="7" t="s">
        <v>5735</v>
      </c>
      <c r="I445" s="7" t="s">
        <v>5736</v>
      </c>
      <c r="J445" s="7" t="s">
        <v>5726</v>
      </c>
      <c r="K445" s="7" t="s">
        <v>5725</v>
      </c>
      <c r="L445" s="7" t="s">
        <v>5725</v>
      </c>
      <c r="M445" s="7" t="s">
        <v>5725</v>
      </c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spans="1:37">
      <c r="A446" s="7" t="s">
        <v>1773</v>
      </c>
      <c r="B446" s="7" t="s">
        <v>1774</v>
      </c>
      <c r="C446" s="7" t="s">
        <v>1775</v>
      </c>
      <c r="D446" s="4">
        <v>5</v>
      </c>
      <c r="E446" s="5" t="s">
        <v>1776</v>
      </c>
      <c r="F446" s="7">
        <f ca="1">IFERROR(__xludf.DUMMYFUNCTION("ARRAYFORMULA(SUM(ARRAYFORMULA(IFERROR(VALUE(SPLIT(SUBSTITUTE(E446,""-"","" ""),"" "")),0))))
"),50)</f>
        <v>50</v>
      </c>
      <c r="G446" s="7" t="s">
        <v>5734</v>
      </c>
      <c r="H446" s="7" t="s">
        <v>5735</v>
      </c>
      <c r="I446" s="7" t="s">
        <v>5736</v>
      </c>
      <c r="J446" s="7" t="s">
        <v>5726</v>
      </c>
      <c r="K446" s="7" t="s">
        <v>5725</v>
      </c>
      <c r="L446" s="7" t="s">
        <v>5725</v>
      </c>
      <c r="M446" s="7" t="s">
        <v>5725</v>
      </c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spans="1:37">
      <c r="A447" s="7" t="s">
        <v>1777</v>
      </c>
      <c r="B447" s="7" t="s">
        <v>1778</v>
      </c>
      <c r="C447" s="7" t="s">
        <v>1779</v>
      </c>
      <c r="D447" s="4">
        <v>4</v>
      </c>
      <c r="E447" s="5" t="s">
        <v>1780</v>
      </c>
      <c r="F447" s="7">
        <f ca="1">IFERROR(__xludf.DUMMYFUNCTION("ARRAYFORMULA(SUM(ARRAYFORMULA(IFERROR(VALUE(SPLIT(SUBSTITUTE(E447,""-"","" ""),"" "")),0))))
"),48)</f>
        <v>48</v>
      </c>
      <c r="G447" s="7" t="s">
        <v>5734</v>
      </c>
      <c r="H447" s="7" t="s">
        <v>5735</v>
      </c>
      <c r="I447" s="7" t="s">
        <v>5736</v>
      </c>
      <c r="J447" s="7" t="s">
        <v>5726</v>
      </c>
      <c r="K447" s="7" t="s">
        <v>5725</v>
      </c>
      <c r="L447" s="7" t="s">
        <v>5725</v>
      </c>
      <c r="M447" s="7" t="s">
        <v>5725</v>
      </c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spans="1:37">
      <c r="A448" s="7" t="s">
        <v>1781</v>
      </c>
      <c r="B448" s="7" t="s">
        <v>1782</v>
      </c>
      <c r="C448" s="7" t="s">
        <v>1783</v>
      </c>
      <c r="D448" s="4">
        <v>5</v>
      </c>
      <c r="E448" s="5" t="s">
        <v>1784</v>
      </c>
      <c r="F448" s="7">
        <f ca="1">IFERROR(__xludf.DUMMYFUNCTION("ARRAYFORMULA(SUM(ARRAYFORMULA(IFERROR(VALUE(SPLIT(SUBSTITUTE(E448,""-"","" ""),"" "")),0))))
"),50)</f>
        <v>50</v>
      </c>
      <c r="G448" s="7" t="s">
        <v>5734</v>
      </c>
      <c r="H448" s="7" t="s">
        <v>5735</v>
      </c>
      <c r="I448" s="7" t="s">
        <v>5736</v>
      </c>
      <c r="J448" s="7" t="s">
        <v>5726</v>
      </c>
      <c r="K448" s="7" t="s">
        <v>5725</v>
      </c>
      <c r="L448" s="7" t="s">
        <v>5725</v>
      </c>
      <c r="M448" s="7" t="s">
        <v>5725</v>
      </c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spans="1:37">
      <c r="A449" s="7" t="s">
        <v>1785</v>
      </c>
      <c r="B449" s="7" t="s">
        <v>1786</v>
      </c>
      <c r="C449" s="7" t="s">
        <v>1787</v>
      </c>
      <c r="D449" s="4">
        <v>5</v>
      </c>
      <c r="E449" s="5" t="s">
        <v>1788</v>
      </c>
      <c r="F449" s="7">
        <f ca="1">IFERROR(__xludf.DUMMYFUNCTION("ARRAYFORMULA(SUM(ARRAYFORMULA(IFERROR(VALUE(SPLIT(SUBSTITUTE(E449,""-"","" ""),"" "")),0))))
"),52)</f>
        <v>52</v>
      </c>
      <c r="G449" s="7" t="s">
        <v>5734</v>
      </c>
      <c r="H449" s="7" t="s">
        <v>5735</v>
      </c>
      <c r="I449" s="7" t="s">
        <v>5736</v>
      </c>
      <c r="J449" s="7" t="s">
        <v>5726</v>
      </c>
      <c r="K449" s="7" t="s">
        <v>5725</v>
      </c>
      <c r="L449" s="7" t="s">
        <v>5725</v>
      </c>
      <c r="M449" s="7" t="s">
        <v>5725</v>
      </c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spans="1:37">
      <c r="A450" s="7" t="s">
        <v>1789</v>
      </c>
      <c r="B450" s="7" t="s">
        <v>1790</v>
      </c>
      <c r="C450" s="7" t="s">
        <v>1791</v>
      </c>
      <c r="D450" s="4">
        <v>5</v>
      </c>
      <c r="E450" s="5" t="s">
        <v>1792</v>
      </c>
      <c r="F450" s="7">
        <f ca="1">IFERROR(__xludf.DUMMYFUNCTION("ARRAYFORMULA(SUM(ARRAYFORMULA(IFERROR(VALUE(SPLIT(SUBSTITUTE(E450,""-"","" ""),"" "")),0))))
"),54)</f>
        <v>54</v>
      </c>
      <c r="G450" s="7" t="s">
        <v>5734</v>
      </c>
      <c r="H450" s="7" t="s">
        <v>5735</v>
      </c>
      <c r="I450" s="7" t="s">
        <v>5736</v>
      </c>
      <c r="J450" s="7" t="s">
        <v>5726</v>
      </c>
      <c r="K450" s="7" t="s">
        <v>5725</v>
      </c>
      <c r="L450" s="7" t="s">
        <v>5725</v>
      </c>
      <c r="M450" s="7" t="s">
        <v>5725</v>
      </c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spans="1:37">
      <c r="A451" s="3" t="s">
        <v>1793</v>
      </c>
      <c r="B451" s="3" t="s">
        <v>1794</v>
      </c>
      <c r="C451" s="3" t="s">
        <v>1795</v>
      </c>
      <c r="D451" s="4">
        <v>3</v>
      </c>
      <c r="E451" s="8" t="s">
        <v>1796</v>
      </c>
      <c r="F451" s="7">
        <f ca="1">IFERROR(__xludf.DUMMYFUNCTION("ARRAYFORMULA(SUM(ARRAYFORMULA(IFERROR(VALUE(SPLIT(SUBSTITUTE(E451,""-"","" ""),"" "")),0))))
"),46)</f>
        <v>46</v>
      </c>
      <c r="G451" s="7" t="s">
        <v>5708</v>
      </c>
      <c r="H451" s="7" t="s">
        <v>5732</v>
      </c>
      <c r="I451" s="7" t="s">
        <v>5733</v>
      </c>
      <c r="J451" s="7" t="s">
        <v>5725</v>
      </c>
      <c r="K451" s="7" t="s">
        <v>5725</v>
      </c>
      <c r="L451" s="7" t="s">
        <v>5726</v>
      </c>
      <c r="M451" s="7" t="s">
        <v>5726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1:37">
      <c r="A452" s="7" t="s">
        <v>1797</v>
      </c>
      <c r="B452" s="7" t="s">
        <v>1798</v>
      </c>
      <c r="C452" s="7" t="s">
        <v>1799</v>
      </c>
      <c r="D452" s="4">
        <v>4</v>
      </c>
      <c r="E452" s="5" t="s">
        <v>1800</v>
      </c>
      <c r="F452" s="7">
        <f ca="1">IFERROR(__xludf.DUMMYFUNCTION("ARRAYFORMULA(SUM(ARRAYFORMULA(IFERROR(VALUE(SPLIT(SUBSTITUTE(E452,""-"","" ""),"" "")),0))))
"),48)</f>
        <v>48</v>
      </c>
      <c r="G452" s="7" t="s">
        <v>5734</v>
      </c>
      <c r="H452" s="7" t="s">
        <v>5735</v>
      </c>
      <c r="I452" s="7" t="s">
        <v>5736</v>
      </c>
      <c r="J452" s="7" t="s">
        <v>5726</v>
      </c>
      <c r="K452" s="7" t="s">
        <v>5725</v>
      </c>
      <c r="L452" s="7" t="s">
        <v>5725</v>
      </c>
      <c r="M452" s="7" t="s">
        <v>5725</v>
      </c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spans="1:37">
      <c r="A453" s="7" t="s">
        <v>1801</v>
      </c>
      <c r="B453" s="7" t="s">
        <v>1802</v>
      </c>
      <c r="C453" s="7" t="s">
        <v>1803</v>
      </c>
      <c r="D453" s="4">
        <v>4</v>
      </c>
      <c r="E453" s="5" t="s">
        <v>1804</v>
      </c>
      <c r="F453" s="7">
        <f ca="1">IFERROR(__xludf.DUMMYFUNCTION("ARRAYFORMULA(SUM(ARRAYFORMULA(IFERROR(VALUE(SPLIT(SUBSTITUTE(E453,""-"","" ""),"" "")),0))))
"),50)</f>
        <v>50</v>
      </c>
      <c r="G453" s="7" t="s">
        <v>5734</v>
      </c>
      <c r="H453" s="7" t="s">
        <v>5735</v>
      </c>
      <c r="I453" s="7" t="s">
        <v>5736</v>
      </c>
      <c r="J453" s="7" t="s">
        <v>5726</v>
      </c>
      <c r="K453" s="7" t="s">
        <v>5725</v>
      </c>
      <c r="L453" s="7" t="s">
        <v>5725</v>
      </c>
      <c r="M453" s="7" t="s">
        <v>5725</v>
      </c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spans="1:37">
      <c r="A454" s="3" t="s">
        <v>1805</v>
      </c>
      <c r="B454" s="3" t="s">
        <v>1806</v>
      </c>
      <c r="C454" s="3" t="s">
        <v>1807</v>
      </c>
      <c r="D454" s="4">
        <v>3</v>
      </c>
      <c r="E454" s="8" t="s">
        <v>1808</v>
      </c>
      <c r="F454" s="7">
        <f ca="1">IFERROR(__xludf.DUMMYFUNCTION("ARRAYFORMULA(SUM(ARRAYFORMULA(IFERROR(VALUE(SPLIT(SUBSTITUTE(E454,""-"","" ""),"" "")),0))))
"),48)</f>
        <v>48</v>
      </c>
      <c r="G454" s="7" t="s">
        <v>5708</v>
      </c>
      <c r="H454" s="7" t="s">
        <v>5732</v>
      </c>
      <c r="I454" s="7" t="s">
        <v>5733</v>
      </c>
      <c r="J454" s="7" t="s">
        <v>5725</v>
      </c>
      <c r="K454" s="7" t="s">
        <v>5725</v>
      </c>
      <c r="L454" s="7" t="s">
        <v>5726</v>
      </c>
      <c r="M454" s="7" t="s">
        <v>5726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1:37">
      <c r="A455" s="7" t="s">
        <v>1809</v>
      </c>
      <c r="B455" s="7" t="s">
        <v>1810</v>
      </c>
      <c r="C455" s="7" t="s">
        <v>1811</v>
      </c>
      <c r="D455" s="4">
        <v>4</v>
      </c>
      <c r="E455" s="5" t="s">
        <v>1812</v>
      </c>
      <c r="F455" s="7">
        <f ca="1">IFERROR(__xludf.DUMMYFUNCTION("ARRAYFORMULA(SUM(ARRAYFORMULA(IFERROR(VALUE(SPLIT(SUBSTITUTE(E455,""-"","" ""),"" "")),0))))
"),50)</f>
        <v>50</v>
      </c>
      <c r="G455" s="7" t="s">
        <v>5734</v>
      </c>
      <c r="H455" s="7" t="s">
        <v>5735</v>
      </c>
      <c r="I455" s="7" t="s">
        <v>5736</v>
      </c>
      <c r="J455" s="7" t="s">
        <v>5726</v>
      </c>
      <c r="K455" s="7" t="s">
        <v>5725</v>
      </c>
      <c r="L455" s="7" t="s">
        <v>5725</v>
      </c>
      <c r="M455" s="7" t="s">
        <v>5725</v>
      </c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spans="1:37">
      <c r="A456" s="7" t="s">
        <v>1813</v>
      </c>
      <c r="B456" s="7" t="s">
        <v>1814</v>
      </c>
      <c r="C456" s="7" t="s">
        <v>1815</v>
      </c>
      <c r="D456" s="4">
        <v>4</v>
      </c>
      <c r="E456" s="5" t="s">
        <v>1816</v>
      </c>
      <c r="F456" s="7">
        <f ca="1">IFERROR(__xludf.DUMMYFUNCTION("ARRAYFORMULA(SUM(ARRAYFORMULA(IFERROR(VALUE(SPLIT(SUBSTITUTE(E456,""-"","" ""),"" "")),0))))
"),52)</f>
        <v>52</v>
      </c>
      <c r="G456" s="7" t="s">
        <v>5734</v>
      </c>
      <c r="H456" s="7" t="s">
        <v>5735</v>
      </c>
      <c r="I456" s="7" t="s">
        <v>5736</v>
      </c>
      <c r="J456" s="7" t="s">
        <v>5726</v>
      </c>
      <c r="K456" s="7" t="s">
        <v>5725</v>
      </c>
      <c r="L456" s="7" t="s">
        <v>5725</v>
      </c>
      <c r="M456" s="7" t="s">
        <v>5725</v>
      </c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spans="1:37">
      <c r="A457" s="7" t="s">
        <v>1817</v>
      </c>
      <c r="B457" s="7" t="s">
        <v>1818</v>
      </c>
      <c r="C457" s="7" t="s">
        <v>1819</v>
      </c>
      <c r="D457" s="4">
        <v>4</v>
      </c>
      <c r="E457" s="5" t="s">
        <v>1820</v>
      </c>
      <c r="F457" s="7">
        <f ca="1">IFERROR(__xludf.DUMMYFUNCTION("ARRAYFORMULA(SUM(ARRAYFORMULA(IFERROR(VALUE(SPLIT(SUBSTITUTE(E457,""-"","" ""),"" "")),0))))
"),54)</f>
        <v>54</v>
      </c>
      <c r="G457" s="7" t="s">
        <v>5734</v>
      </c>
      <c r="H457" s="7" t="s">
        <v>5735</v>
      </c>
      <c r="I457" s="7" t="s">
        <v>5736</v>
      </c>
      <c r="J457" s="7" t="s">
        <v>5726</v>
      </c>
      <c r="K457" s="7" t="s">
        <v>5725</v>
      </c>
      <c r="L457" s="7" t="s">
        <v>5725</v>
      </c>
      <c r="M457" s="7" t="s">
        <v>5725</v>
      </c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spans="1:37">
      <c r="A458" s="7" t="s">
        <v>1821</v>
      </c>
      <c r="B458" s="7" t="s">
        <v>1822</v>
      </c>
      <c r="C458" s="7" t="s">
        <v>1823</v>
      </c>
      <c r="D458" s="4">
        <v>4</v>
      </c>
      <c r="E458" s="5" t="s">
        <v>1824</v>
      </c>
      <c r="F458" s="7">
        <f ca="1">IFERROR(__xludf.DUMMYFUNCTION("ARRAYFORMULA(SUM(ARRAYFORMULA(IFERROR(VALUE(SPLIT(SUBSTITUTE(E458,""-"","" ""),"" "")),0))))
"),56)</f>
        <v>56</v>
      </c>
      <c r="G458" s="7" t="s">
        <v>5734</v>
      </c>
      <c r="H458" s="7" t="s">
        <v>5735</v>
      </c>
      <c r="I458" s="7" t="s">
        <v>5736</v>
      </c>
      <c r="J458" s="7" t="s">
        <v>5726</v>
      </c>
      <c r="K458" s="7" t="s">
        <v>5725</v>
      </c>
      <c r="L458" s="7" t="s">
        <v>5725</v>
      </c>
      <c r="M458" s="7" t="s">
        <v>5725</v>
      </c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spans="1:37">
      <c r="A459" s="7" t="s">
        <v>1825</v>
      </c>
      <c r="B459" s="7" t="s">
        <v>1826</v>
      </c>
      <c r="C459" s="7" t="s">
        <v>1827</v>
      </c>
      <c r="D459" s="4">
        <v>4</v>
      </c>
      <c r="E459" s="5" t="s">
        <v>1828</v>
      </c>
      <c r="F459" s="7">
        <f ca="1">IFERROR(__xludf.DUMMYFUNCTION("ARRAYFORMULA(SUM(ARRAYFORMULA(IFERROR(VALUE(SPLIT(SUBSTITUTE(E459,""-"","" ""),"" "")),0))))
"),58)</f>
        <v>58</v>
      </c>
      <c r="G459" s="7" t="s">
        <v>5734</v>
      </c>
      <c r="H459" s="7" t="s">
        <v>5735</v>
      </c>
      <c r="I459" s="7" t="s">
        <v>5736</v>
      </c>
      <c r="J459" s="7" t="s">
        <v>5726</v>
      </c>
      <c r="K459" s="7" t="s">
        <v>5725</v>
      </c>
      <c r="L459" s="7" t="s">
        <v>5725</v>
      </c>
      <c r="M459" s="7" t="s">
        <v>5725</v>
      </c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spans="1:37">
      <c r="A460" s="7" t="s">
        <v>1829</v>
      </c>
      <c r="B460" s="7" t="s">
        <v>1830</v>
      </c>
      <c r="C460" s="7" t="s">
        <v>1831</v>
      </c>
      <c r="D460" s="4">
        <v>4</v>
      </c>
      <c r="E460" s="5" t="s">
        <v>1832</v>
      </c>
      <c r="F460" s="7">
        <f ca="1">IFERROR(__xludf.DUMMYFUNCTION("ARRAYFORMULA(SUM(ARRAYFORMULA(IFERROR(VALUE(SPLIT(SUBSTITUTE(E460,""-"","" ""),"" "")),0))))
"),60)</f>
        <v>60</v>
      </c>
      <c r="G460" s="7" t="s">
        <v>5734</v>
      </c>
      <c r="H460" s="7" t="s">
        <v>5735</v>
      </c>
      <c r="I460" s="7" t="s">
        <v>5736</v>
      </c>
      <c r="J460" s="7" t="s">
        <v>5726</v>
      </c>
      <c r="K460" s="7" t="s">
        <v>5725</v>
      </c>
      <c r="L460" s="7" t="s">
        <v>5725</v>
      </c>
      <c r="M460" s="7" t="s">
        <v>5725</v>
      </c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spans="1:37">
      <c r="A461" s="3" t="s">
        <v>1833</v>
      </c>
      <c r="B461" s="3" t="s">
        <v>1834</v>
      </c>
      <c r="C461" s="3" t="s">
        <v>1835</v>
      </c>
      <c r="D461" s="4">
        <v>3</v>
      </c>
      <c r="E461" s="8" t="s">
        <v>1836</v>
      </c>
      <c r="F461" s="7">
        <f ca="1">IFERROR(__xludf.DUMMYFUNCTION("ARRAYFORMULA(SUM(ARRAYFORMULA(IFERROR(VALUE(SPLIT(SUBSTITUTE(E461,""-"","" ""),"" "")),0))))
"),50)</f>
        <v>50</v>
      </c>
      <c r="G461" s="7" t="s">
        <v>5708</v>
      </c>
      <c r="H461" s="7" t="s">
        <v>5732</v>
      </c>
      <c r="I461" s="7" t="s">
        <v>5733</v>
      </c>
      <c r="J461" s="7" t="s">
        <v>5725</v>
      </c>
      <c r="K461" s="7" t="s">
        <v>5725</v>
      </c>
      <c r="L461" s="7" t="s">
        <v>5726</v>
      </c>
      <c r="M461" s="7" t="s">
        <v>5726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1:37">
      <c r="A462" s="3" t="s">
        <v>1837</v>
      </c>
      <c r="B462" s="3" t="s">
        <v>1838</v>
      </c>
      <c r="C462" s="3" t="s">
        <v>1839</v>
      </c>
      <c r="D462" s="4">
        <v>3</v>
      </c>
      <c r="E462" s="8" t="s">
        <v>1840</v>
      </c>
      <c r="F462" s="7">
        <f ca="1">IFERROR(__xludf.DUMMYFUNCTION("ARRAYFORMULA(SUM(ARRAYFORMULA(IFERROR(VALUE(SPLIT(SUBSTITUTE(E462,""-"","" ""),"" "")),0))))
"),52)</f>
        <v>52</v>
      </c>
      <c r="G462" s="7" t="s">
        <v>5708</v>
      </c>
      <c r="H462" s="7" t="s">
        <v>5732</v>
      </c>
      <c r="I462" s="7" t="s">
        <v>5733</v>
      </c>
      <c r="J462" s="7" t="s">
        <v>5725</v>
      </c>
      <c r="K462" s="7" t="s">
        <v>5725</v>
      </c>
      <c r="L462" s="7" t="s">
        <v>5726</v>
      </c>
      <c r="M462" s="7" t="s">
        <v>5726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1:37">
      <c r="A463" s="7" t="s">
        <v>1841</v>
      </c>
      <c r="B463" s="7" t="s">
        <v>1842</v>
      </c>
      <c r="C463" s="7" t="s">
        <v>1843</v>
      </c>
      <c r="D463" s="4">
        <v>4</v>
      </c>
      <c r="E463" s="5" t="s">
        <v>1844</v>
      </c>
      <c r="F463" s="7">
        <f ca="1">IFERROR(__xludf.DUMMYFUNCTION("ARRAYFORMULA(SUM(ARRAYFORMULA(IFERROR(VALUE(SPLIT(SUBSTITUTE(E463,""-"","" ""),"" "")),0))))
"),54)</f>
        <v>54</v>
      </c>
      <c r="G463" s="7" t="s">
        <v>5734</v>
      </c>
      <c r="H463" s="7" t="s">
        <v>5735</v>
      </c>
      <c r="I463" s="7" t="s">
        <v>5736</v>
      </c>
      <c r="J463" s="7" t="s">
        <v>5726</v>
      </c>
      <c r="K463" s="7" t="s">
        <v>5725</v>
      </c>
      <c r="L463" s="7" t="s">
        <v>5725</v>
      </c>
      <c r="M463" s="7" t="s">
        <v>5725</v>
      </c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spans="1:37">
      <c r="A464" s="7" t="s">
        <v>1845</v>
      </c>
      <c r="B464" s="7" t="s">
        <v>1846</v>
      </c>
      <c r="C464" s="7" t="s">
        <v>1847</v>
      </c>
      <c r="D464" s="4">
        <v>4</v>
      </c>
      <c r="E464" s="5" t="s">
        <v>1848</v>
      </c>
      <c r="F464" s="7">
        <f ca="1">IFERROR(__xludf.DUMMYFUNCTION("ARRAYFORMULA(SUM(ARRAYFORMULA(IFERROR(VALUE(SPLIT(SUBSTITUTE(E464,""-"","" ""),"" "")),0))))
"),56)</f>
        <v>56</v>
      </c>
      <c r="G464" s="7" t="s">
        <v>5734</v>
      </c>
      <c r="H464" s="7" t="s">
        <v>5735</v>
      </c>
      <c r="I464" s="7" t="s">
        <v>5736</v>
      </c>
      <c r="J464" s="7" t="s">
        <v>5726</v>
      </c>
      <c r="K464" s="7" t="s">
        <v>5725</v>
      </c>
      <c r="L464" s="7" t="s">
        <v>5725</v>
      </c>
      <c r="M464" s="7" t="s">
        <v>5725</v>
      </c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spans="1:37">
      <c r="A465" s="7" t="s">
        <v>1849</v>
      </c>
      <c r="B465" s="7" t="s">
        <v>1850</v>
      </c>
      <c r="C465" s="7" t="s">
        <v>1851</v>
      </c>
      <c r="D465" s="4">
        <v>4</v>
      </c>
      <c r="E465" s="5" t="s">
        <v>1852</v>
      </c>
      <c r="F465" s="7">
        <f ca="1">IFERROR(__xludf.DUMMYFUNCTION("ARRAYFORMULA(SUM(ARRAYFORMULA(IFERROR(VALUE(SPLIT(SUBSTITUTE(E465,""-"","" ""),"" "")),0))))
"),58)</f>
        <v>58</v>
      </c>
      <c r="G465" s="7" t="s">
        <v>5734</v>
      </c>
      <c r="H465" s="7" t="s">
        <v>5735</v>
      </c>
      <c r="I465" s="7" t="s">
        <v>5736</v>
      </c>
      <c r="J465" s="7" t="s">
        <v>5726</v>
      </c>
      <c r="K465" s="7" t="s">
        <v>5725</v>
      </c>
      <c r="L465" s="7" t="s">
        <v>5725</v>
      </c>
      <c r="M465" s="7" t="s">
        <v>5725</v>
      </c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spans="1:37">
      <c r="A466" s="7" t="s">
        <v>1853</v>
      </c>
      <c r="B466" s="7" t="s">
        <v>1854</v>
      </c>
      <c r="C466" s="7" t="s">
        <v>1855</v>
      </c>
      <c r="D466" s="4">
        <v>4</v>
      </c>
      <c r="E466" s="5" t="s">
        <v>1856</v>
      </c>
      <c r="F466" s="7">
        <f ca="1">IFERROR(__xludf.DUMMYFUNCTION("ARRAYFORMULA(SUM(ARRAYFORMULA(IFERROR(VALUE(SPLIT(SUBSTITUTE(E466,""-"","" ""),"" "")),0))))
"),60)</f>
        <v>60</v>
      </c>
      <c r="G466" s="7" t="s">
        <v>5734</v>
      </c>
      <c r="H466" s="7" t="s">
        <v>5735</v>
      </c>
      <c r="I466" s="7" t="s">
        <v>5736</v>
      </c>
      <c r="J466" s="7" t="s">
        <v>5726</v>
      </c>
      <c r="K466" s="7" t="s">
        <v>5725</v>
      </c>
      <c r="L466" s="7" t="s">
        <v>5725</v>
      </c>
      <c r="M466" s="7" t="s">
        <v>5725</v>
      </c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spans="1:37">
      <c r="A467" s="3" t="s">
        <v>1857</v>
      </c>
      <c r="B467" s="3" t="s">
        <v>1858</v>
      </c>
      <c r="C467" s="3" t="s">
        <v>1859</v>
      </c>
      <c r="D467" s="4">
        <v>3</v>
      </c>
      <c r="E467" s="8" t="s">
        <v>1860</v>
      </c>
      <c r="F467" s="7">
        <f ca="1">IFERROR(__xludf.DUMMYFUNCTION("ARRAYFORMULA(SUM(ARRAYFORMULA(IFERROR(VALUE(SPLIT(SUBSTITUTE(E467,""-"","" ""),"" "")),0))))
"),54)</f>
        <v>54</v>
      </c>
      <c r="G467" s="7" t="s">
        <v>5708</v>
      </c>
      <c r="H467" s="7" t="s">
        <v>5732</v>
      </c>
      <c r="I467" s="7" t="s">
        <v>5733</v>
      </c>
      <c r="J467" s="7" t="s">
        <v>5725</v>
      </c>
      <c r="K467" s="7" t="s">
        <v>5725</v>
      </c>
      <c r="L467" s="7" t="s">
        <v>5726</v>
      </c>
      <c r="M467" s="7" t="s">
        <v>5726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1:37">
      <c r="A468" s="3" t="s">
        <v>1861</v>
      </c>
      <c r="B468" s="3" t="s">
        <v>1862</v>
      </c>
      <c r="C468" s="3" t="s">
        <v>1863</v>
      </c>
      <c r="D468" s="4">
        <v>3</v>
      </c>
      <c r="E468" s="8" t="s">
        <v>1864</v>
      </c>
      <c r="F468" s="7">
        <f ca="1">IFERROR(__xludf.DUMMYFUNCTION("ARRAYFORMULA(SUM(ARRAYFORMULA(IFERROR(VALUE(SPLIT(SUBSTITUTE(E468,""-"","" ""),"" "")),0))))
"),56)</f>
        <v>56</v>
      </c>
      <c r="G468" s="7" t="s">
        <v>5708</v>
      </c>
      <c r="H468" s="7" t="s">
        <v>5732</v>
      </c>
      <c r="I468" s="7" t="s">
        <v>5733</v>
      </c>
      <c r="J468" s="7" t="s">
        <v>5725</v>
      </c>
      <c r="K468" s="7" t="s">
        <v>5725</v>
      </c>
      <c r="L468" s="7" t="s">
        <v>5726</v>
      </c>
      <c r="M468" s="7" t="s">
        <v>5726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1:37">
      <c r="A469" s="7" t="s">
        <v>1865</v>
      </c>
      <c r="B469" s="7" t="s">
        <v>1866</v>
      </c>
      <c r="C469" s="7" t="s">
        <v>1867</v>
      </c>
      <c r="D469" s="4">
        <v>4</v>
      </c>
      <c r="E469" s="5" t="s">
        <v>1868</v>
      </c>
      <c r="F469" s="7">
        <f ca="1">IFERROR(__xludf.DUMMYFUNCTION("ARRAYFORMULA(SUM(ARRAYFORMULA(IFERROR(VALUE(SPLIT(SUBSTITUTE(E469,""-"","" ""),"" "")),0))))
"),58)</f>
        <v>58</v>
      </c>
      <c r="G469" s="7" t="s">
        <v>5734</v>
      </c>
      <c r="H469" s="7" t="s">
        <v>5735</v>
      </c>
      <c r="I469" s="7" t="s">
        <v>5736</v>
      </c>
      <c r="J469" s="7" t="s">
        <v>5726</v>
      </c>
      <c r="K469" s="7" t="s">
        <v>5725</v>
      </c>
      <c r="L469" s="7" t="s">
        <v>5725</v>
      </c>
      <c r="M469" s="7" t="s">
        <v>5725</v>
      </c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spans="1:37">
      <c r="A470" s="7" t="s">
        <v>1869</v>
      </c>
      <c r="B470" s="7" t="s">
        <v>1870</v>
      </c>
      <c r="C470" s="7" t="s">
        <v>1871</v>
      </c>
      <c r="D470" s="4">
        <v>4</v>
      </c>
      <c r="E470" s="5" t="s">
        <v>1872</v>
      </c>
      <c r="F470" s="7">
        <f ca="1">IFERROR(__xludf.DUMMYFUNCTION("ARRAYFORMULA(SUM(ARRAYFORMULA(IFERROR(VALUE(SPLIT(SUBSTITUTE(E470,""-"","" ""),"" "")),0))))
"),60)</f>
        <v>60</v>
      </c>
      <c r="G470" s="7" t="s">
        <v>5734</v>
      </c>
      <c r="H470" s="7" t="s">
        <v>5735</v>
      </c>
      <c r="I470" s="7" t="s">
        <v>5736</v>
      </c>
      <c r="J470" s="7" t="s">
        <v>5726</v>
      </c>
      <c r="K470" s="7" t="s">
        <v>5725</v>
      </c>
      <c r="L470" s="7" t="s">
        <v>5725</v>
      </c>
      <c r="M470" s="7" t="s">
        <v>5725</v>
      </c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spans="1:37">
      <c r="A471" s="7" t="s">
        <v>1873</v>
      </c>
      <c r="B471" s="7" t="s">
        <v>1874</v>
      </c>
      <c r="C471" s="7" t="s">
        <v>1875</v>
      </c>
      <c r="D471" s="4">
        <v>4</v>
      </c>
      <c r="E471" s="5" t="s">
        <v>1876</v>
      </c>
      <c r="F471" s="7">
        <f ca="1">IFERROR(__xludf.DUMMYFUNCTION("ARRAYFORMULA(SUM(ARRAYFORMULA(IFERROR(VALUE(SPLIT(SUBSTITUTE(E471,""-"","" ""),"" "")),0))))
"),62)</f>
        <v>62</v>
      </c>
      <c r="G471" s="7" t="s">
        <v>5734</v>
      </c>
      <c r="H471" s="7" t="s">
        <v>5735</v>
      </c>
      <c r="I471" s="7" t="s">
        <v>5736</v>
      </c>
      <c r="J471" s="7" t="s">
        <v>5726</v>
      </c>
      <c r="K471" s="7" t="s">
        <v>5725</v>
      </c>
      <c r="L471" s="7" t="s">
        <v>5725</v>
      </c>
      <c r="M471" s="7" t="s">
        <v>5725</v>
      </c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spans="1:37">
      <c r="A472" s="7" t="s">
        <v>1877</v>
      </c>
      <c r="B472" s="7" t="s">
        <v>1878</v>
      </c>
      <c r="C472" s="7" t="s">
        <v>1879</v>
      </c>
      <c r="D472" s="4">
        <v>4</v>
      </c>
      <c r="E472" s="5" t="s">
        <v>1880</v>
      </c>
      <c r="F472" s="7">
        <f ca="1">IFERROR(__xludf.DUMMYFUNCTION("ARRAYFORMULA(SUM(ARRAYFORMULA(IFERROR(VALUE(SPLIT(SUBSTITUTE(E472,""-"","" ""),"" "")),0))))
"),64)</f>
        <v>64</v>
      </c>
      <c r="G472" s="7" t="s">
        <v>5734</v>
      </c>
      <c r="H472" s="7" t="s">
        <v>5735</v>
      </c>
      <c r="I472" s="7" t="s">
        <v>5736</v>
      </c>
      <c r="J472" s="7" t="s">
        <v>5726</v>
      </c>
      <c r="K472" s="7" t="s">
        <v>5725</v>
      </c>
      <c r="L472" s="7" t="s">
        <v>5725</v>
      </c>
      <c r="M472" s="7" t="s">
        <v>5725</v>
      </c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spans="1:37">
      <c r="A473" s="3" t="s">
        <v>1881</v>
      </c>
      <c r="B473" s="3" t="s">
        <v>1882</v>
      </c>
      <c r="C473" s="3" t="s">
        <v>1883</v>
      </c>
      <c r="D473" s="4">
        <v>3</v>
      </c>
      <c r="E473" s="8" t="s">
        <v>1884</v>
      </c>
      <c r="F473" s="7">
        <f ca="1">IFERROR(__xludf.DUMMYFUNCTION("ARRAYFORMULA(SUM(ARRAYFORMULA(IFERROR(VALUE(SPLIT(SUBSTITUTE(E473,""-"","" ""),"" "")),0))))
"),58)</f>
        <v>58</v>
      </c>
      <c r="G473" s="7" t="s">
        <v>5708</v>
      </c>
      <c r="H473" s="7" t="s">
        <v>5732</v>
      </c>
      <c r="I473" s="7" t="s">
        <v>5733</v>
      </c>
      <c r="J473" s="7" t="s">
        <v>5725</v>
      </c>
      <c r="K473" s="7" t="s">
        <v>5725</v>
      </c>
      <c r="L473" s="7" t="s">
        <v>5726</v>
      </c>
      <c r="M473" s="7" t="s">
        <v>5726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1:37">
      <c r="A474" s="7" t="s">
        <v>1885</v>
      </c>
      <c r="B474" s="7" t="s">
        <v>1886</v>
      </c>
      <c r="C474" s="7" t="s">
        <v>1887</v>
      </c>
      <c r="D474" s="4">
        <v>4</v>
      </c>
      <c r="E474" s="5" t="s">
        <v>1888</v>
      </c>
      <c r="F474" s="7">
        <f ca="1">IFERROR(__xludf.DUMMYFUNCTION("ARRAYFORMULA(SUM(ARRAYFORMULA(IFERROR(VALUE(SPLIT(SUBSTITUTE(E474,""-"","" ""),"" "")),0))))
"),60)</f>
        <v>60</v>
      </c>
      <c r="G474" s="7" t="s">
        <v>5734</v>
      </c>
      <c r="H474" s="7" t="s">
        <v>5735</v>
      </c>
      <c r="I474" s="7" t="s">
        <v>5736</v>
      </c>
      <c r="J474" s="7" t="s">
        <v>5726</v>
      </c>
      <c r="K474" s="7" t="s">
        <v>5725</v>
      </c>
      <c r="L474" s="7" t="s">
        <v>5725</v>
      </c>
      <c r="M474" s="7" t="s">
        <v>5725</v>
      </c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spans="1:37">
      <c r="A475" s="7" t="s">
        <v>1889</v>
      </c>
      <c r="B475" s="7" t="s">
        <v>1890</v>
      </c>
      <c r="C475" s="7" t="s">
        <v>1891</v>
      </c>
      <c r="D475" s="4">
        <v>5</v>
      </c>
      <c r="E475" s="5" t="s">
        <v>1892</v>
      </c>
      <c r="F475" s="7">
        <f ca="1">IFERROR(__xludf.DUMMYFUNCTION("ARRAYFORMULA(SUM(ARRAYFORMULA(IFERROR(VALUE(SPLIT(SUBSTITUTE(E475,""-"","" ""),"" "")),0))))
"),62)</f>
        <v>62</v>
      </c>
      <c r="G475" s="7" t="s">
        <v>5734</v>
      </c>
      <c r="H475" s="7" t="s">
        <v>5735</v>
      </c>
      <c r="I475" s="7" t="s">
        <v>5736</v>
      </c>
      <c r="J475" s="7" t="s">
        <v>5726</v>
      </c>
      <c r="K475" s="7" t="s">
        <v>5725</v>
      </c>
      <c r="L475" s="7" t="s">
        <v>5725</v>
      </c>
      <c r="M475" s="7" t="s">
        <v>5725</v>
      </c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spans="1:37">
      <c r="A476" s="7" t="s">
        <v>1893</v>
      </c>
      <c r="B476" s="7" t="s">
        <v>1894</v>
      </c>
      <c r="C476" s="7" t="s">
        <v>1895</v>
      </c>
      <c r="D476" s="4">
        <v>5</v>
      </c>
      <c r="E476" s="5" t="s">
        <v>1896</v>
      </c>
      <c r="F476" s="7">
        <f ca="1">IFERROR(__xludf.DUMMYFUNCTION("ARRAYFORMULA(SUM(ARRAYFORMULA(IFERROR(VALUE(SPLIT(SUBSTITUTE(E476,""-"","" ""),"" "")),0))))
"),64)</f>
        <v>64</v>
      </c>
      <c r="G476" s="7" t="s">
        <v>5734</v>
      </c>
      <c r="H476" s="7" t="s">
        <v>5735</v>
      </c>
      <c r="I476" s="7" t="s">
        <v>5736</v>
      </c>
      <c r="J476" s="7" t="s">
        <v>5726</v>
      </c>
      <c r="K476" s="7" t="s">
        <v>5725</v>
      </c>
      <c r="L476" s="7" t="s">
        <v>5725</v>
      </c>
      <c r="M476" s="7" t="s">
        <v>5725</v>
      </c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spans="1:37">
      <c r="A477" s="7" t="s">
        <v>1897</v>
      </c>
      <c r="B477" s="7" t="s">
        <v>1898</v>
      </c>
      <c r="C477" s="7" t="s">
        <v>1899</v>
      </c>
      <c r="D477" s="4">
        <v>5</v>
      </c>
      <c r="E477" s="5" t="s">
        <v>1900</v>
      </c>
      <c r="F477" s="7">
        <f ca="1">IFERROR(__xludf.DUMMYFUNCTION("ARRAYFORMULA(SUM(ARRAYFORMULA(IFERROR(VALUE(SPLIT(SUBSTITUTE(E477,""-"","" ""),"" "")),0))))
"),66)</f>
        <v>66</v>
      </c>
      <c r="G477" s="7" t="s">
        <v>5734</v>
      </c>
      <c r="H477" s="7" t="s">
        <v>5735</v>
      </c>
      <c r="I477" s="7" t="s">
        <v>5736</v>
      </c>
      <c r="J477" s="7" t="s">
        <v>5726</v>
      </c>
      <c r="K477" s="7" t="s">
        <v>5725</v>
      </c>
      <c r="L477" s="7" t="s">
        <v>5725</v>
      </c>
      <c r="M477" s="7" t="s">
        <v>5725</v>
      </c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spans="1:37">
      <c r="A478" s="7" t="s">
        <v>1901</v>
      </c>
      <c r="B478" s="7" t="s">
        <v>1902</v>
      </c>
      <c r="C478" s="7" t="s">
        <v>1903</v>
      </c>
      <c r="D478" s="4">
        <v>5</v>
      </c>
      <c r="E478" s="5" t="s">
        <v>1904</v>
      </c>
      <c r="F478" s="7">
        <f ca="1">IFERROR(__xludf.DUMMYFUNCTION("ARRAYFORMULA(SUM(ARRAYFORMULA(IFERROR(VALUE(SPLIT(SUBSTITUTE(E478,""-"","" ""),"" "")),0))))
"),68)</f>
        <v>68</v>
      </c>
      <c r="G478" s="7" t="s">
        <v>5734</v>
      </c>
      <c r="H478" s="7" t="s">
        <v>5735</v>
      </c>
      <c r="I478" s="7" t="s">
        <v>5736</v>
      </c>
      <c r="J478" s="7" t="s">
        <v>5726</v>
      </c>
      <c r="K478" s="7" t="s">
        <v>5725</v>
      </c>
      <c r="L478" s="7" t="s">
        <v>5725</v>
      </c>
      <c r="M478" s="7" t="s">
        <v>5725</v>
      </c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spans="1:37">
      <c r="A479" s="7" t="s">
        <v>1885</v>
      </c>
      <c r="B479" s="7" t="s">
        <v>1886</v>
      </c>
      <c r="C479" s="7" t="s">
        <v>1905</v>
      </c>
      <c r="D479" s="4">
        <v>4</v>
      </c>
      <c r="E479" s="5" t="s">
        <v>1906</v>
      </c>
      <c r="F479" s="7">
        <f ca="1">IFERROR(__xludf.DUMMYFUNCTION("ARRAYFORMULA(SUM(ARRAYFORMULA(IFERROR(VALUE(SPLIT(SUBSTITUTE(E479,""-"","" ""),"" "")),0))))
"),60)</f>
        <v>60</v>
      </c>
      <c r="G479" s="7" t="s">
        <v>5734</v>
      </c>
      <c r="H479" s="7" t="s">
        <v>5735</v>
      </c>
      <c r="I479" s="7" t="s">
        <v>5736</v>
      </c>
      <c r="J479" s="7" t="s">
        <v>5726</v>
      </c>
      <c r="K479" s="7" t="s">
        <v>5725</v>
      </c>
      <c r="L479" s="7" t="s">
        <v>5725</v>
      </c>
      <c r="M479" s="7" t="s">
        <v>5725</v>
      </c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spans="1:37">
      <c r="A480" s="7" t="s">
        <v>1885</v>
      </c>
      <c r="B480" s="7" t="s">
        <v>1886</v>
      </c>
      <c r="C480" s="7" t="s">
        <v>1907</v>
      </c>
      <c r="D480" s="4">
        <v>4</v>
      </c>
      <c r="E480" s="5" t="s">
        <v>1908</v>
      </c>
      <c r="F480" s="7">
        <f ca="1">IFERROR(__xludf.DUMMYFUNCTION("ARRAYFORMULA(SUM(ARRAYFORMULA(IFERROR(VALUE(SPLIT(SUBSTITUTE(E480,""-"","" ""),"" "")),0))))
"),60)</f>
        <v>60</v>
      </c>
      <c r="G480" s="7" t="s">
        <v>5734</v>
      </c>
      <c r="H480" s="7" t="s">
        <v>5735</v>
      </c>
      <c r="I480" s="7" t="s">
        <v>5736</v>
      </c>
      <c r="J480" s="7" t="s">
        <v>5726</v>
      </c>
      <c r="K480" s="7" t="s">
        <v>5725</v>
      </c>
      <c r="L480" s="7" t="s">
        <v>5725</v>
      </c>
      <c r="M480" s="7" t="s">
        <v>5725</v>
      </c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spans="1:37">
      <c r="A481" s="3" t="s">
        <v>1909</v>
      </c>
      <c r="B481" s="3" t="s">
        <v>1910</v>
      </c>
      <c r="C481" s="3" t="s">
        <v>1911</v>
      </c>
      <c r="D481" s="4">
        <v>3</v>
      </c>
      <c r="E481" s="8" t="s">
        <v>1912</v>
      </c>
      <c r="F481" s="7">
        <f ca="1">IFERROR(__xludf.DUMMYFUNCTION("ARRAYFORMULA(SUM(ARRAYFORMULA(IFERROR(VALUE(SPLIT(SUBSTITUTE(E481,""-"","" ""),"" "")),0))))
"),60)</f>
        <v>60</v>
      </c>
      <c r="G481" s="7" t="s">
        <v>5708</v>
      </c>
      <c r="H481" s="7" t="s">
        <v>5732</v>
      </c>
      <c r="I481" s="7" t="s">
        <v>5733</v>
      </c>
      <c r="J481" s="7" t="s">
        <v>5725</v>
      </c>
      <c r="K481" s="7" t="s">
        <v>5725</v>
      </c>
      <c r="L481" s="7" t="s">
        <v>5726</v>
      </c>
      <c r="M481" s="7" t="s">
        <v>5726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1:37">
      <c r="A482" s="7" t="s">
        <v>1913</v>
      </c>
      <c r="B482" s="7" t="s">
        <v>1914</v>
      </c>
      <c r="C482" s="7" t="s">
        <v>1915</v>
      </c>
      <c r="D482" s="4">
        <v>4</v>
      </c>
      <c r="E482" s="5" t="s">
        <v>1916</v>
      </c>
      <c r="F482" s="7">
        <f ca="1">IFERROR(__xludf.DUMMYFUNCTION("ARRAYFORMULA(SUM(ARRAYFORMULA(IFERROR(VALUE(SPLIT(SUBSTITUTE(E482,""-"","" ""),"" "")),0))))
"),62)</f>
        <v>62</v>
      </c>
      <c r="G482" s="7" t="s">
        <v>5734</v>
      </c>
      <c r="H482" s="7" t="s">
        <v>5735</v>
      </c>
      <c r="I482" s="7" t="s">
        <v>5736</v>
      </c>
      <c r="J482" s="7" t="s">
        <v>5726</v>
      </c>
      <c r="K482" s="7" t="s">
        <v>5725</v>
      </c>
      <c r="L482" s="7" t="s">
        <v>5725</v>
      </c>
      <c r="M482" s="7" t="s">
        <v>5725</v>
      </c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spans="1:37">
      <c r="A483" s="7" t="s">
        <v>1917</v>
      </c>
      <c r="B483" s="7" t="s">
        <v>1918</v>
      </c>
      <c r="C483" s="7" t="s">
        <v>1919</v>
      </c>
      <c r="D483" s="4">
        <v>4</v>
      </c>
      <c r="E483" s="5" t="s">
        <v>1920</v>
      </c>
      <c r="F483" s="7">
        <f ca="1">IFERROR(__xludf.DUMMYFUNCTION("ARRAYFORMULA(SUM(ARRAYFORMULA(IFERROR(VALUE(SPLIT(SUBSTITUTE(E483,""-"","" ""),"" "")),0))))
"),64)</f>
        <v>64</v>
      </c>
      <c r="G483" s="7" t="s">
        <v>5734</v>
      </c>
      <c r="H483" s="7" t="s">
        <v>5735</v>
      </c>
      <c r="I483" s="7" t="s">
        <v>5736</v>
      </c>
      <c r="J483" s="7" t="s">
        <v>5726</v>
      </c>
      <c r="K483" s="7" t="s">
        <v>5725</v>
      </c>
      <c r="L483" s="7" t="s">
        <v>5725</v>
      </c>
      <c r="M483" s="7" t="s">
        <v>5725</v>
      </c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spans="1:37">
      <c r="A484" s="7" t="s">
        <v>1921</v>
      </c>
      <c r="B484" s="7" t="s">
        <v>1922</v>
      </c>
      <c r="C484" s="7" t="s">
        <v>1923</v>
      </c>
      <c r="D484" s="4">
        <v>4</v>
      </c>
      <c r="E484" s="5" t="s">
        <v>1924</v>
      </c>
      <c r="F484" s="7">
        <f ca="1">IFERROR(__xludf.DUMMYFUNCTION("ARRAYFORMULA(SUM(ARRAYFORMULA(IFERROR(VALUE(SPLIT(SUBSTITUTE(E484,""-"","" ""),"" "")),0))))
"),66)</f>
        <v>66</v>
      </c>
      <c r="G484" s="7" t="s">
        <v>5734</v>
      </c>
      <c r="H484" s="7" t="s">
        <v>5735</v>
      </c>
      <c r="I484" s="7" t="s">
        <v>5736</v>
      </c>
      <c r="J484" s="7" t="s">
        <v>5726</v>
      </c>
      <c r="K484" s="7" t="s">
        <v>5725</v>
      </c>
      <c r="L484" s="7" t="s">
        <v>5725</v>
      </c>
      <c r="M484" s="7" t="s">
        <v>5725</v>
      </c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spans="1:37">
      <c r="A485" s="3" t="s">
        <v>1925</v>
      </c>
      <c r="B485" s="3" t="s">
        <v>1926</v>
      </c>
      <c r="C485" s="3" t="s">
        <v>1927</v>
      </c>
      <c r="D485" s="4">
        <v>2</v>
      </c>
      <c r="E485" s="8" t="s">
        <v>1928</v>
      </c>
      <c r="F485" s="7">
        <f ca="1">IFERROR(__xludf.DUMMYFUNCTION("ARRAYFORMULA(SUM(ARRAYFORMULA(IFERROR(VALUE(SPLIT(SUBSTITUTE(E485,""-"","" ""),"" "")),0))))
"),44)</f>
        <v>44</v>
      </c>
      <c r="G485" s="7" t="s">
        <v>5706</v>
      </c>
      <c r="H485" s="7" t="s">
        <v>5723</v>
      </c>
      <c r="I485" s="7" t="s">
        <v>5724</v>
      </c>
      <c r="J485" s="7" t="s">
        <v>5725</v>
      </c>
      <c r="K485" s="7" t="s">
        <v>5726</v>
      </c>
      <c r="L485" s="7" t="s">
        <v>5726</v>
      </c>
      <c r="M485" s="7" t="s">
        <v>5726</v>
      </c>
      <c r="N485" s="3"/>
      <c r="O485" s="3"/>
      <c r="P485" s="3"/>
      <c r="Q485" s="3"/>
      <c r="R485" s="8" t="s">
        <v>1928</v>
      </c>
      <c r="S485" s="3" t="s">
        <v>5768</v>
      </c>
      <c r="T485" s="111" t="s">
        <v>5769</v>
      </c>
      <c r="U485" s="7" t="str">
        <f>T485&amp;"-"&amp;S485</f>
        <v>3E-44-rede de esgotamento sanitário</v>
      </c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1:37">
      <c r="A486" s="3" t="s">
        <v>1929</v>
      </c>
      <c r="B486" s="3" t="s">
        <v>1930</v>
      </c>
      <c r="C486" s="3" t="s">
        <v>1931</v>
      </c>
      <c r="D486" s="4">
        <v>3</v>
      </c>
      <c r="E486" s="8" t="s">
        <v>1932</v>
      </c>
      <c r="F486" s="7">
        <f ca="1">IFERROR(__xludf.DUMMYFUNCTION("ARRAYFORMULA(SUM(ARRAYFORMULA(IFERROR(VALUE(SPLIT(SUBSTITUTE(E486,""-"","" ""),"" "")),0))))
"),46)</f>
        <v>46</v>
      </c>
      <c r="G486" s="7" t="s">
        <v>5708</v>
      </c>
      <c r="H486" s="7" t="s">
        <v>5732</v>
      </c>
      <c r="I486" s="7" t="s">
        <v>5733</v>
      </c>
      <c r="J486" s="7" t="s">
        <v>5725</v>
      </c>
      <c r="K486" s="7" t="s">
        <v>5725</v>
      </c>
      <c r="L486" s="7" t="s">
        <v>5726</v>
      </c>
      <c r="M486" s="7" t="s">
        <v>5726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1:37">
      <c r="A487" s="7" t="s">
        <v>1933</v>
      </c>
      <c r="B487" s="7" t="s">
        <v>1934</v>
      </c>
      <c r="C487" s="7" t="s">
        <v>1935</v>
      </c>
      <c r="D487" s="4">
        <v>4</v>
      </c>
      <c r="E487" s="5" t="s">
        <v>1936</v>
      </c>
      <c r="F487" s="7">
        <f ca="1">IFERROR(__xludf.DUMMYFUNCTION("ARRAYFORMULA(SUM(ARRAYFORMULA(IFERROR(VALUE(SPLIT(SUBSTITUTE(E487,""-"","" ""),"" "")),0))))
"),48)</f>
        <v>48</v>
      </c>
      <c r="G487" s="7" t="s">
        <v>5734</v>
      </c>
      <c r="H487" s="7" t="s">
        <v>5735</v>
      </c>
      <c r="I487" s="7" t="s">
        <v>5736</v>
      </c>
      <c r="J487" s="7" t="s">
        <v>5726</v>
      </c>
      <c r="K487" s="7" t="s">
        <v>5725</v>
      </c>
      <c r="L487" s="7" t="s">
        <v>5725</v>
      </c>
      <c r="M487" s="7" t="s">
        <v>5725</v>
      </c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spans="1:37">
      <c r="A488" s="7" t="s">
        <v>1937</v>
      </c>
      <c r="B488" s="7" t="s">
        <v>1938</v>
      </c>
      <c r="C488" s="7" t="s">
        <v>1939</v>
      </c>
      <c r="D488" s="4">
        <v>4</v>
      </c>
      <c r="E488" s="5" t="s">
        <v>1940</v>
      </c>
      <c r="F488" s="7">
        <f ca="1">IFERROR(__xludf.DUMMYFUNCTION("ARRAYFORMULA(SUM(ARRAYFORMULA(IFERROR(VALUE(SPLIT(SUBSTITUTE(E488,""-"","" ""),"" "")),0))))
"),50)</f>
        <v>50</v>
      </c>
      <c r="G488" s="7" t="s">
        <v>5734</v>
      </c>
      <c r="H488" s="7" t="s">
        <v>5735</v>
      </c>
      <c r="I488" s="7" t="s">
        <v>5736</v>
      </c>
      <c r="J488" s="7" t="s">
        <v>5726</v>
      </c>
      <c r="K488" s="7" t="s">
        <v>5725</v>
      </c>
      <c r="L488" s="7" t="s">
        <v>5725</v>
      </c>
      <c r="M488" s="7" t="s">
        <v>5725</v>
      </c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spans="1:37">
      <c r="A489" s="7" t="s">
        <v>1941</v>
      </c>
      <c r="B489" s="7" t="s">
        <v>1942</v>
      </c>
      <c r="C489" s="7" t="s">
        <v>1943</v>
      </c>
      <c r="D489" s="4">
        <v>5</v>
      </c>
      <c r="E489" s="5" t="s">
        <v>1944</v>
      </c>
      <c r="F489" s="7">
        <f ca="1">IFERROR(__xludf.DUMMYFUNCTION("ARRAYFORMULA(SUM(ARRAYFORMULA(IFERROR(VALUE(SPLIT(SUBSTITUTE(E489,""-"","" ""),"" "")),0))))
"),52)</f>
        <v>52</v>
      </c>
      <c r="G489" s="7" t="s">
        <v>5734</v>
      </c>
      <c r="H489" s="7" t="s">
        <v>5735</v>
      </c>
      <c r="I489" s="7" t="s">
        <v>5736</v>
      </c>
      <c r="J489" s="7" t="s">
        <v>5726</v>
      </c>
      <c r="K489" s="7" t="s">
        <v>5725</v>
      </c>
      <c r="L489" s="7" t="s">
        <v>5725</v>
      </c>
      <c r="M489" s="7" t="s">
        <v>5725</v>
      </c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spans="1:37">
      <c r="A490" s="7" t="s">
        <v>1945</v>
      </c>
      <c r="B490" s="7" t="s">
        <v>1946</v>
      </c>
      <c r="C490" s="7" t="s">
        <v>1947</v>
      </c>
      <c r="D490" s="4">
        <v>5</v>
      </c>
      <c r="E490" s="5" t="s">
        <v>1948</v>
      </c>
      <c r="F490" s="7">
        <f ca="1">IFERROR(__xludf.DUMMYFUNCTION("ARRAYFORMULA(SUM(ARRAYFORMULA(IFERROR(VALUE(SPLIT(SUBSTITUTE(E490,""-"","" ""),"" "")),0))))
"),54)</f>
        <v>54</v>
      </c>
      <c r="G490" s="7" t="s">
        <v>5734</v>
      </c>
      <c r="H490" s="7" t="s">
        <v>5735</v>
      </c>
      <c r="I490" s="7" t="s">
        <v>5736</v>
      </c>
      <c r="J490" s="7" t="s">
        <v>5726</v>
      </c>
      <c r="K490" s="7" t="s">
        <v>5725</v>
      </c>
      <c r="L490" s="7" t="s">
        <v>5725</v>
      </c>
      <c r="M490" s="7" t="s">
        <v>5725</v>
      </c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spans="1:37">
      <c r="A491" s="7" t="s">
        <v>1949</v>
      </c>
      <c r="B491" s="7" t="s">
        <v>1950</v>
      </c>
      <c r="C491" s="7" t="s">
        <v>1951</v>
      </c>
      <c r="D491" s="4">
        <v>5</v>
      </c>
      <c r="E491" s="5" t="s">
        <v>1952</v>
      </c>
      <c r="F491" s="7">
        <f ca="1">IFERROR(__xludf.DUMMYFUNCTION("ARRAYFORMULA(SUM(ARRAYFORMULA(IFERROR(VALUE(SPLIT(SUBSTITUTE(E491,""-"","" ""),"" "")),0))))
"),56)</f>
        <v>56</v>
      </c>
      <c r="G491" s="7" t="s">
        <v>5734</v>
      </c>
      <c r="H491" s="7" t="s">
        <v>5735</v>
      </c>
      <c r="I491" s="7" t="s">
        <v>5736</v>
      </c>
      <c r="J491" s="7" t="s">
        <v>5726</v>
      </c>
      <c r="K491" s="7" t="s">
        <v>5725</v>
      </c>
      <c r="L491" s="7" t="s">
        <v>5725</v>
      </c>
      <c r="M491" s="7" t="s">
        <v>5725</v>
      </c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spans="1:37">
      <c r="A492" s="7" t="s">
        <v>1953</v>
      </c>
      <c r="B492" s="7" t="s">
        <v>1954</v>
      </c>
      <c r="C492" s="7" t="s">
        <v>1955</v>
      </c>
      <c r="D492" s="4">
        <v>5</v>
      </c>
      <c r="E492" s="5" t="s">
        <v>1956</v>
      </c>
      <c r="F492" s="7">
        <f ca="1">IFERROR(__xludf.DUMMYFUNCTION("ARRAYFORMULA(SUM(ARRAYFORMULA(IFERROR(VALUE(SPLIT(SUBSTITUTE(E492,""-"","" ""),"" "")),0))))
"),58)</f>
        <v>58</v>
      </c>
      <c r="G492" s="7" t="s">
        <v>5734</v>
      </c>
      <c r="H492" s="7" t="s">
        <v>5735</v>
      </c>
      <c r="I492" s="7" t="s">
        <v>5736</v>
      </c>
      <c r="J492" s="7" t="s">
        <v>5726</v>
      </c>
      <c r="K492" s="7" t="s">
        <v>5725</v>
      </c>
      <c r="L492" s="7" t="s">
        <v>5725</v>
      </c>
      <c r="M492" s="7" t="s">
        <v>5725</v>
      </c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spans="1:37">
      <c r="A493" s="7" t="s">
        <v>1957</v>
      </c>
      <c r="B493" s="7" t="s">
        <v>1958</v>
      </c>
      <c r="C493" s="7" t="s">
        <v>1959</v>
      </c>
      <c r="D493" s="4">
        <v>5</v>
      </c>
      <c r="E493" s="5" t="s">
        <v>1960</v>
      </c>
      <c r="F493" s="7">
        <f ca="1">IFERROR(__xludf.DUMMYFUNCTION("ARRAYFORMULA(SUM(ARRAYFORMULA(IFERROR(VALUE(SPLIT(SUBSTITUTE(E493,""-"","" ""),"" "")),0))))
"),1050)</f>
        <v>1050</v>
      </c>
      <c r="G493" s="7" t="s">
        <v>5734</v>
      </c>
      <c r="H493" s="7" t="s">
        <v>5735</v>
      </c>
      <c r="I493" s="7" t="s">
        <v>5736</v>
      </c>
      <c r="J493" s="7" t="s">
        <v>5726</v>
      </c>
      <c r="K493" s="7" t="s">
        <v>5725</v>
      </c>
      <c r="L493" s="7" t="s">
        <v>5725</v>
      </c>
      <c r="M493" s="7" t="s">
        <v>5725</v>
      </c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spans="1:37">
      <c r="A494" s="3" t="s">
        <v>1961</v>
      </c>
      <c r="B494" s="3" t="s">
        <v>1962</v>
      </c>
      <c r="C494" s="3" t="s">
        <v>1963</v>
      </c>
      <c r="D494" s="4">
        <v>3</v>
      </c>
      <c r="E494" s="8" t="s">
        <v>1964</v>
      </c>
      <c r="F494" s="7">
        <f ca="1">IFERROR(__xludf.DUMMYFUNCTION("ARRAYFORMULA(SUM(ARRAYFORMULA(IFERROR(VALUE(SPLIT(SUBSTITUTE(E494,""-"","" ""),"" "")),0))))
"),48)</f>
        <v>48</v>
      </c>
      <c r="G494" s="7" t="s">
        <v>5708</v>
      </c>
      <c r="H494" s="7" t="s">
        <v>5732</v>
      </c>
      <c r="I494" s="7" t="s">
        <v>5733</v>
      </c>
      <c r="J494" s="7" t="s">
        <v>5725</v>
      </c>
      <c r="K494" s="7" t="s">
        <v>5725</v>
      </c>
      <c r="L494" s="7" t="s">
        <v>5726</v>
      </c>
      <c r="M494" s="7" t="s">
        <v>5726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1:37">
      <c r="A495" s="7" t="s">
        <v>1965</v>
      </c>
      <c r="B495" s="7" t="s">
        <v>1966</v>
      </c>
      <c r="C495" s="7" t="s">
        <v>1967</v>
      </c>
      <c r="D495" s="4">
        <v>4</v>
      </c>
      <c r="E495" s="5" t="s">
        <v>1968</v>
      </c>
      <c r="F495" s="7">
        <f ca="1">IFERROR(__xludf.DUMMYFUNCTION("ARRAYFORMULA(SUM(ARRAYFORMULA(IFERROR(VALUE(SPLIT(SUBSTITUTE(E495,""-"","" ""),"" "")),0))))
"),50)</f>
        <v>50</v>
      </c>
      <c r="G495" s="7" t="s">
        <v>5734</v>
      </c>
      <c r="H495" s="7" t="s">
        <v>5735</v>
      </c>
      <c r="I495" s="7" t="s">
        <v>5736</v>
      </c>
      <c r="J495" s="7" t="s">
        <v>5726</v>
      </c>
      <c r="K495" s="7" t="s">
        <v>5725</v>
      </c>
      <c r="L495" s="7" t="s">
        <v>5725</v>
      </c>
      <c r="M495" s="7" t="s">
        <v>5725</v>
      </c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spans="1:37">
      <c r="A496" s="7" t="s">
        <v>1969</v>
      </c>
      <c r="B496" s="7" t="s">
        <v>1970</v>
      </c>
      <c r="C496" s="7" t="s">
        <v>1971</v>
      </c>
      <c r="D496" s="4">
        <v>4</v>
      </c>
      <c r="E496" s="5" t="s">
        <v>1972</v>
      </c>
      <c r="F496" s="7">
        <f ca="1">IFERROR(__xludf.DUMMYFUNCTION("ARRAYFORMULA(SUM(ARRAYFORMULA(IFERROR(VALUE(SPLIT(SUBSTITUTE(E496,""-"","" ""),"" "")),0))))
"),52)</f>
        <v>52</v>
      </c>
      <c r="G496" s="7" t="s">
        <v>5734</v>
      </c>
      <c r="H496" s="7" t="s">
        <v>5735</v>
      </c>
      <c r="I496" s="7" t="s">
        <v>5736</v>
      </c>
      <c r="J496" s="7" t="s">
        <v>5726</v>
      </c>
      <c r="K496" s="7" t="s">
        <v>5725</v>
      </c>
      <c r="L496" s="7" t="s">
        <v>5725</v>
      </c>
      <c r="M496" s="7" t="s">
        <v>5725</v>
      </c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spans="1:37">
      <c r="A497" s="7" t="s">
        <v>1973</v>
      </c>
      <c r="B497" s="7" t="s">
        <v>1974</v>
      </c>
      <c r="C497" s="7" t="s">
        <v>1975</v>
      </c>
      <c r="D497" s="4">
        <v>4</v>
      </c>
      <c r="E497" s="5" t="s">
        <v>1976</v>
      </c>
      <c r="F497" s="7">
        <f ca="1">IFERROR(__xludf.DUMMYFUNCTION("ARRAYFORMULA(SUM(ARRAYFORMULA(IFERROR(VALUE(SPLIT(SUBSTITUTE(E497,""-"","" ""),"" "")),0))))
"),54)</f>
        <v>54</v>
      </c>
      <c r="G497" s="7" t="s">
        <v>5734</v>
      </c>
      <c r="H497" s="7" t="s">
        <v>5735</v>
      </c>
      <c r="I497" s="7" t="s">
        <v>5736</v>
      </c>
      <c r="J497" s="7" t="s">
        <v>5726</v>
      </c>
      <c r="K497" s="7" t="s">
        <v>5725</v>
      </c>
      <c r="L497" s="7" t="s">
        <v>5725</v>
      </c>
      <c r="M497" s="7" t="s">
        <v>5725</v>
      </c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spans="1:37">
      <c r="A498" s="7" t="s">
        <v>1977</v>
      </c>
      <c r="B498" s="7" t="s">
        <v>1978</v>
      </c>
      <c r="C498" s="7" t="s">
        <v>1979</v>
      </c>
      <c r="D498" s="4">
        <v>4</v>
      </c>
      <c r="E498" s="5" t="s">
        <v>1980</v>
      </c>
      <c r="F498" s="7">
        <f ca="1">IFERROR(__xludf.DUMMYFUNCTION("ARRAYFORMULA(SUM(ARRAYFORMULA(IFERROR(VALUE(SPLIT(SUBSTITUTE(E498,""-"","" ""),"" "")),0))))
"),56)</f>
        <v>56</v>
      </c>
      <c r="G498" s="7" t="s">
        <v>5734</v>
      </c>
      <c r="H498" s="7" t="s">
        <v>5735</v>
      </c>
      <c r="I498" s="7" t="s">
        <v>5736</v>
      </c>
      <c r="J498" s="7" t="s">
        <v>5726</v>
      </c>
      <c r="K498" s="7" t="s">
        <v>5725</v>
      </c>
      <c r="L498" s="7" t="s">
        <v>5725</v>
      </c>
      <c r="M498" s="7" t="s">
        <v>5725</v>
      </c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spans="1:37">
      <c r="A499" s="7" t="s">
        <v>1981</v>
      </c>
      <c r="B499" s="7" t="s">
        <v>1982</v>
      </c>
      <c r="C499" s="7" t="s">
        <v>1983</v>
      </c>
      <c r="D499" s="4">
        <v>4</v>
      </c>
      <c r="E499" s="5" t="s">
        <v>1984</v>
      </c>
      <c r="F499" s="7">
        <f ca="1">IFERROR(__xludf.DUMMYFUNCTION("ARRAYFORMULA(SUM(ARRAYFORMULA(IFERROR(VALUE(SPLIT(SUBSTITUTE(E499,""-"","" ""),"" "")),0))))
"),58)</f>
        <v>58</v>
      </c>
      <c r="G499" s="7" t="s">
        <v>5734</v>
      </c>
      <c r="H499" s="7" t="s">
        <v>5735</v>
      </c>
      <c r="I499" s="7" t="s">
        <v>5736</v>
      </c>
      <c r="J499" s="7" t="s">
        <v>5726</v>
      </c>
      <c r="K499" s="7" t="s">
        <v>5725</v>
      </c>
      <c r="L499" s="7" t="s">
        <v>5725</v>
      </c>
      <c r="M499" s="7" t="s">
        <v>5725</v>
      </c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spans="1:37">
      <c r="A500" s="7" t="s">
        <v>1985</v>
      </c>
      <c r="B500" s="7" t="s">
        <v>1986</v>
      </c>
      <c r="C500" s="7" t="s">
        <v>1987</v>
      </c>
      <c r="D500" s="4">
        <v>4</v>
      </c>
      <c r="E500" s="5" t="s">
        <v>1988</v>
      </c>
      <c r="F500" s="7">
        <f ca="1">IFERROR(__xludf.DUMMYFUNCTION("ARRAYFORMULA(SUM(ARRAYFORMULA(IFERROR(VALUE(SPLIT(SUBSTITUTE(E500,""-"","" ""),"" "")),0))))
"),60)</f>
        <v>60</v>
      </c>
      <c r="G500" s="7" t="s">
        <v>5734</v>
      </c>
      <c r="H500" s="7" t="s">
        <v>5735</v>
      </c>
      <c r="I500" s="7" t="s">
        <v>5736</v>
      </c>
      <c r="J500" s="7" t="s">
        <v>5726</v>
      </c>
      <c r="K500" s="7" t="s">
        <v>5725</v>
      </c>
      <c r="L500" s="7" t="s">
        <v>5725</v>
      </c>
      <c r="M500" s="7" t="s">
        <v>5725</v>
      </c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spans="1:37">
      <c r="A501" s="7" t="s">
        <v>1989</v>
      </c>
      <c r="B501" s="7" t="s">
        <v>1990</v>
      </c>
      <c r="C501" s="7" t="s">
        <v>1991</v>
      </c>
      <c r="D501" s="4">
        <v>4</v>
      </c>
      <c r="E501" s="5" t="s">
        <v>1992</v>
      </c>
      <c r="F501" s="7">
        <f ca="1">IFERROR(__xludf.DUMMYFUNCTION("ARRAYFORMULA(SUM(ARRAYFORMULA(IFERROR(VALUE(SPLIT(SUBSTITUTE(E501,""-"","" ""),"" "")),0))))
"),62)</f>
        <v>62</v>
      </c>
      <c r="G501" s="7" t="s">
        <v>5734</v>
      </c>
      <c r="H501" s="7" t="s">
        <v>5735</v>
      </c>
      <c r="I501" s="7" t="s">
        <v>5736</v>
      </c>
      <c r="J501" s="7" t="s">
        <v>5726</v>
      </c>
      <c r="K501" s="7" t="s">
        <v>5725</v>
      </c>
      <c r="L501" s="7" t="s">
        <v>5725</v>
      </c>
      <c r="M501" s="7" t="s">
        <v>5725</v>
      </c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spans="1:37">
      <c r="A502" s="3" t="s">
        <v>1993</v>
      </c>
      <c r="B502" s="3" t="s">
        <v>1994</v>
      </c>
      <c r="C502" s="3" t="s">
        <v>1995</v>
      </c>
      <c r="D502" s="4">
        <v>2</v>
      </c>
      <c r="E502" s="8" t="s">
        <v>1996</v>
      </c>
      <c r="F502" s="7">
        <f ca="1">IFERROR(__xludf.DUMMYFUNCTION("ARRAYFORMULA(SUM(ARRAYFORMULA(IFERROR(VALUE(SPLIT(SUBSTITUTE(E502,""-"","" ""),"" "")),0))))
"),48)</f>
        <v>48</v>
      </c>
      <c r="G502" s="7" t="s">
        <v>5706</v>
      </c>
      <c r="H502" s="7" t="s">
        <v>5723</v>
      </c>
      <c r="I502" s="7" t="s">
        <v>5724</v>
      </c>
      <c r="J502" s="7" t="s">
        <v>5725</v>
      </c>
      <c r="K502" s="7" t="s">
        <v>5726</v>
      </c>
      <c r="L502" s="7" t="s">
        <v>5726</v>
      </c>
      <c r="M502" s="7" t="s">
        <v>5726</v>
      </c>
      <c r="N502" s="3"/>
      <c r="O502" s="3"/>
      <c r="P502" s="3"/>
      <c r="Q502" s="3"/>
      <c r="R502" s="8" t="s">
        <v>1996</v>
      </c>
      <c r="S502" s="3" t="s">
        <v>5770</v>
      </c>
      <c r="T502" s="111" t="s">
        <v>5771</v>
      </c>
      <c r="U502" s="7" t="str">
        <f>T502&amp;"-"&amp;S502</f>
        <v>3E-48-tratamento de resíduos sólidos</v>
      </c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1:37">
      <c r="A503" s="3" t="s">
        <v>1997</v>
      </c>
      <c r="B503" s="3" t="s">
        <v>1998</v>
      </c>
      <c r="C503" s="3" t="s">
        <v>1999</v>
      </c>
      <c r="D503" s="4">
        <v>3</v>
      </c>
      <c r="E503" s="8" t="s">
        <v>2000</v>
      </c>
      <c r="F503" s="7">
        <f ca="1">IFERROR(__xludf.DUMMYFUNCTION("ARRAYFORMULA(SUM(ARRAYFORMULA(IFERROR(VALUE(SPLIT(SUBSTITUTE(E503,""-"","" ""),"" "")),0))))
"),50)</f>
        <v>50</v>
      </c>
      <c r="G503" s="7" t="s">
        <v>5708</v>
      </c>
      <c r="H503" s="7" t="s">
        <v>5732</v>
      </c>
      <c r="I503" s="7" t="s">
        <v>5733</v>
      </c>
      <c r="J503" s="7" t="s">
        <v>5725</v>
      </c>
      <c r="K503" s="7" t="s">
        <v>5725</v>
      </c>
      <c r="L503" s="7" t="s">
        <v>5726</v>
      </c>
      <c r="M503" s="7" t="s">
        <v>5726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1:37">
      <c r="A504" s="3" t="s">
        <v>2001</v>
      </c>
      <c r="B504" s="3" t="s">
        <v>2002</v>
      </c>
      <c r="C504" s="3" t="s">
        <v>2003</v>
      </c>
      <c r="D504" s="4">
        <v>3</v>
      </c>
      <c r="E504" s="8" t="s">
        <v>2004</v>
      </c>
      <c r="F504" s="7">
        <f ca="1">IFERROR(__xludf.DUMMYFUNCTION("ARRAYFORMULA(SUM(ARRAYFORMULA(IFERROR(VALUE(SPLIT(SUBSTITUTE(E504,""-"","" ""),"" "")),0))))
"),52)</f>
        <v>52</v>
      </c>
      <c r="G504" s="7" t="s">
        <v>5708</v>
      </c>
      <c r="H504" s="7" t="s">
        <v>5732</v>
      </c>
      <c r="I504" s="7" t="s">
        <v>5733</v>
      </c>
      <c r="J504" s="7" t="s">
        <v>5725</v>
      </c>
      <c r="K504" s="7" t="s">
        <v>5725</v>
      </c>
      <c r="L504" s="7" t="s">
        <v>5726</v>
      </c>
      <c r="M504" s="7" t="s">
        <v>5726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1:37">
      <c r="A505" s="7" t="s">
        <v>2005</v>
      </c>
      <c r="B505" s="7" t="s">
        <v>2006</v>
      </c>
      <c r="C505" s="7" t="s">
        <v>2007</v>
      </c>
      <c r="D505" s="4">
        <v>4</v>
      </c>
      <c r="E505" s="5" t="s">
        <v>2008</v>
      </c>
      <c r="F505" s="7">
        <f ca="1">IFERROR(__xludf.DUMMYFUNCTION("ARRAYFORMULA(SUM(ARRAYFORMULA(IFERROR(VALUE(SPLIT(SUBSTITUTE(E505,""-"","" ""),"" "")),0))))
"),54)</f>
        <v>54</v>
      </c>
      <c r="G505" s="7" t="s">
        <v>5734</v>
      </c>
      <c r="H505" s="7" t="s">
        <v>5735</v>
      </c>
      <c r="I505" s="7" t="s">
        <v>5736</v>
      </c>
      <c r="J505" s="7" t="s">
        <v>5726</v>
      </c>
      <c r="K505" s="7" t="s">
        <v>5725</v>
      </c>
      <c r="L505" s="7" t="s">
        <v>5725</v>
      </c>
      <c r="M505" s="7" t="s">
        <v>5725</v>
      </c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spans="1:37">
      <c r="A506" s="3" t="s">
        <v>2009</v>
      </c>
      <c r="B506" s="3" t="s">
        <v>2010</v>
      </c>
      <c r="C506" s="3" t="s">
        <v>2011</v>
      </c>
      <c r="D506" s="4">
        <v>3</v>
      </c>
      <c r="E506" s="8" t="s">
        <v>2012</v>
      </c>
      <c r="F506" s="7">
        <f ca="1">IFERROR(__xludf.DUMMYFUNCTION("ARRAYFORMULA(SUM(ARRAYFORMULA(IFERROR(VALUE(SPLIT(SUBSTITUTE(E506,""-"","" ""),"" "")),0))))
"),54)</f>
        <v>54</v>
      </c>
      <c r="G506" s="7" t="s">
        <v>5708</v>
      </c>
      <c r="H506" s="7" t="s">
        <v>5732</v>
      </c>
      <c r="I506" s="7" t="s">
        <v>5733</v>
      </c>
      <c r="J506" s="7" t="s">
        <v>5725</v>
      </c>
      <c r="K506" s="7" t="s">
        <v>5725</v>
      </c>
      <c r="L506" s="7" t="s">
        <v>5726</v>
      </c>
      <c r="M506" s="7" t="s">
        <v>5726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1:37">
      <c r="A507" s="7" t="s">
        <v>2013</v>
      </c>
      <c r="B507" s="7" t="s">
        <v>2014</v>
      </c>
      <c r="C507" s="7" t="s">
        <v>2015</v>
      </c>
      <c r="D507" s="4">
        <v>4</v>
      </c>
      <c r="E507" s="5" t="s">
        <v>2016</v>
      </c>
      <c r="F507" s="7">
        <f ca="1">IFERROR(__xludf.DUMMYFUNCTION("ARRAYFORMULA(SUM(ARRAYFORMULA(IFERROR(VALUE(SPLIT(SUBSTITUTE(E507,""-"","" ""),"" "")),0))))
"),56)</f>
        <v>56</v>
      </c>
      <c r="G507" s="7" t="s">
        <v>5734</v>
      </c>
      <c r="H507" s="7" t="s">
        <v>5735</v>
      </c>
      <c r="I507" s="7" t="s">
        <v>5736</v>
      </c>
      <c r="J507" s="7" t="s">
        <v>5726</v>
      </c>
      <c r="K507" s="7" t="s">
        <v>5725</v>
      </c>
      <c r="L507" s="7" t="s">
        <v>5725</v>
      </c>
      <c r="M507" s="7" t="s">
        <v>5725</v>
      </c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spans="1:37">
      <c r="A508" s="3" t="s">
        <v>2017</v>
      </c>
      <c r="B508" s="3" t="s">
        <v>2018</v>
      </c>
      <c r="C508" s="3" t="s">
        <v>2019</v>
      </c>
      <c r="D508" s="4">
        <v>3</v>
      </c>
      <c r="E508" s="8" t="s">
        <v>2020</v>
      </c>
      <c r="F508" s="7">
        <f ca="1">IFERROR(__xludf.DUMMYFUNCTION("ARRAYFORMULA(SUM(ARRAYFORMULA(IFERROR(VALUE(SPLIT(SUBSTITUTE(E508,""-"","" ""),"" "")),0))))
"),56)</f>
        <v>56</v>
      </c>
      <c r="G508" s="7" t="s">
        <v>5708</v>
      </c>
      <c r="H508" s="7" t="s">
        <v>5732</v>
      </c>
      <c r="I508" s="7" t="s">
        <v>5733</v>
      </c>
      <c r="J508" s="7" t="s">
        <v>5725</v>
      </c>
      <c r="K508" s="7" t="s">
        <v>5725</v>
      </c>
      <c r="L508" s="7" t="s">
        <v>5726</v>
      </c>
      <c r="M508" s="7" t="s">
        <v>5726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1:37">
      <c r="A509" s="7" t="s">
        <v>2021</v>
      </c>
      <c r="B509" s="7" t="s">
        <v>2022</v>
      </c>
      <c r="C509" s="7" t="s">
        <v>2023</v>
      </c>
      <c r="D509" s="4">
        <v>4</v>
      </c>
      <c r="E509" s="5" t="s">
        <v>2024</v>
      </c>
      <c r="F509" s="7">
        <f ca="1">IFERROR(__xludf.DUMMYFUNCTION("ARRAYFORMULA(SUM(ARRAYFORMULA(IFERROR(VALUE(SPLIT(SUBSTITUTE(E509,""-"","" ""),"" "")),0))))
"),58)</f>
        <v>58</v>
      </c>
      <c r="G509" s="7" t="s">
        <v>5734</v>
      </c>
      <c r="H509" s="7" t="s">
        <v>5735</v>
      </c>
      <c r="I509" s="7" t="s">
        <v>5736</v>
      </c>
      <c r="J509" s="7" t="s">
        <v>5726</v>
      </c>
      <c r="K509" s="7" t="s">
        <v>5725</v>
      </c>
      <c r="L509" s="7" t="s">
        <v>5725</v>
      </c>
      <c r="M509" s="7" t="s">
        <v>5725</v>
      </c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spans="1:37">
      <c r="A510" s="3" t="s">
        <v>2025</v>
      </c>
      <c r="B510" s="3" t="s">
        <v>2026</v>
      </c>
      <c r="C510" s="3" t="s">
        <v>2027</v>
      </c>
      <c r="D510" s="4">
        <v>3</v>
      </c>
      <c r="E510" s="8" t="s">
        <v>2028</v>
      </c>
      <c r="F510" s="7">
        <f ca="1">IFERROR(__xludf.DUMMYFUNCTION("ARRAYFORMULA(SUM(ARRAYFORMULA(IFERROR(VALUE(SPLIT(SUBSTITUTE(E510,""-"","" ""),"" "")),0))))
"),58)</f>
        <v>58</v>
      </c>
      <c r="G510" s="7" t="s">
        <v>5708</v>
      </c>
      <c r="H510" s="7" t="s">
        <v>5732</v>
      </c>
      <c r="I510" s="7" t="s">
        <v>5733</v>
      </c>
      <c r="J510" s="7" t="s">
        <v>5725</v>
      </c>
      <c r="K510" s="7" t="s">
        <v>5725</v>
      </c>
      <c r="L510" s="7" t="s">
        <v>5726</v>
      </c>
      <c r="M510" s="7" t="s">
        <v>5726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1:37">
      <c r="A511" s="3" t="s">
        <v>2029</v>
      </c>
      <c r="B511" s="3" t="s">
        <v>2030</v>
      </c>
      <c r="C511" s="3" t="s">
        <v>2031</v>
      </c>
      <c r="D511" s="4">
        <v>2</v>
      </c>
      <c r="E511" s="8" t="s">
        <v>2032</v>
      </c>
      <c r="F511" s="7">
        <f ca="1">IFERROR(__xludf.DUMMYFUNCTION("ARRAYFORMULA(SUM(ARRAYFORMULA(IFERROR(VALUE(SPLIT(SUBSTITUTE(E511,""-"","" ""),"" "")),0))))
"),50)</f>
        <v>50</v>
      </c>
      <c r="G511" s="7" t="s">
        <v>5706</v>
      </c>
      <c r="H511" s="7" t="s">
        <v>5723</v>
      </c>
      <c r="I511" s="7" t="s">
        <v>5724</v>
      </c>
      <c r="J511" s="7" t="s">
        <v>5725</v>
      </c>
      <c r="K511" s="7" t="s">
        <v>5726</v>
      </c>
      <c r="L511" s="7" t="s">
        <v>5726</v>
      </c>
      <c r="M511" s="7" t="s">
        <v>5726</v>
      </c>
      <c r="N511" s="3"/>
      <c r="O511" s="3"/>
      <c r="P511" s="3"/>
      <c r="Q511" s="3"/>
      <c r="R511" s="8" t="s">
        <v>2032</v>
      </c>
      <c r="S511" s="3" t="s">
        <v>5772</v>
      </c>
      <c r="T511" s="111" t="s">
        <v>5401</v>
      </c>
      <c r="U511" s="7" t="str">
        <f>T511&amp;"-"&amp;S511</f>
        <v>3E-50-sistemas de refrigeração</v>
      </c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1:37">
      <c r="A512" s="3" t="s">
        <v>2033</v>
      </c>
      <c r="B512" s="3" t="s">
        <v>2034</v>
      </c>
      <c r="C512" s="3" t="s">
        <v>2035</v>
      </c>
      <c r="D512" s="4">
        <v>3</v>
      </c>
      <c r="E512" s="8" t="s">
        <v>2036</v>
      </c>
      <c r="F512" s="7">
        <f ca="1">IFERROR(__xludf.DUMMYFUNCTION("ARRAYFORMULA(SUM(ARRAYFORMULA(IFERROR(VALUE(SPLIT(SUBSTITUTE(E512,""-"","" ""),"" "")),0))))
"),52)</f>
        <v>52</v>
      </c>
      <c r="G512" s="7" t="s">
        <v>5708</v>
      </c>
      <c r="H512" s="7" t="s">
        <v>5732</v>
      </c>
      <c r="I512" s="7" t="s">
        <v>5733</v>
      </c>
      <c r="J512" s="7" t="s">
        <v>5725</v>
      </c>
      <c r="K512" s="7" t="s">
        <v>5725</v>
      </c>
      <c r="L512" s="7" t="s">
        <v>5726</v>
      </c>
      <c r="M512" s="7" t="s">
        <v>5726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1:37">
      <c r="A513" s="7" t="s">
        <v>2037</v>
      </c>
      <c r="B513" s="7" t="s">
        <v>2038</v>
      </c>
      <c r="C513" s="7" t="s">
        <v>2039</v>
      </c>
      <c r="D513" s="4">
        <v>4</v>
      </c>
      <c r="E513" s="5" t="s">
        <v>2040</v>
      </c>
      <c r="F513" s="7">
        <f ca="1">IFERROR(__xludf.DUMMYFUNCTION("ARRAYFORMULA(SUM(ARRAYFORMULA(IFERROR(VALUE(SPLIT(SUBSTITUTE(E513,""-"","" ""),"" "")),0))))
"),54)</f>
        <v>54</v>
      </c>
      <c r="G513" s="7" t="s">
        <v>5734</v>
      </c>
      <c r="H513" s="7" t="s">
        <v>5735</v>
      </c>
      <c r="I513" s="7" t="s">
        <v>5736</v>
      </c>
      <c r="J513" s="7" t="s">
        <v>5726</v>
      </c>
      <c r="K513" s="7" t="s">
        <v>5725</v>
      </c>
      <c r="L513" s="7" t="s">
        <v>5725</v>
      </c>
      <c r="M513" s="7" t="s">
        <v>5725</v>
      </c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</row>
    <row r="514" spans="1:37">
      <c r="A514" s="7" t="s">
        <v>2041</v>
      </c>
      <c r="B514" s="7" t="s">
        <v>2042</v>
      </c>
      <c r="C514" s="7" t="s">
        <v>2043</v>
      </c>
      <c r="D514" s="4">
        <v>4</v>
      </c>
      <c r="E514" s="5" t="s">
        <v>2044</v>
      </c>
      <c r="F514" s="7">
        <f ca="1">IFERROR(__xludf.DUMMYFUNCTION("ARRAYFORMULA(SUM(ARRAYFORMULA(IFERROR(VALUE(SPLIT(SUBSTITUTE(E514,""-"","" ""),"" "")),0))))
"),56)</f>
        <v>56</v>
      </c>
      <c r="G514" s="7" t="s">
        <v>5734</v>
      </c>
      <c r="H514" s="7" t="s">
        <v>5735</v>
      </c>
      <c r="I514" s="7" t="s">
        <v>5736</v>
      </c>
      <c r="J514" s="7" t="s">
        <v>5726</v>
      </c>
      <c r="K514" s="7" t="s">
        <v>5725</v>
      </c>
      <c r="L514" s="7" t="s">
        <v>5725</v>
      </c>
      <c r="M514" s="7" t="s">
        <v>5725</v>
      </c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</row>
    <row r="515" spans="1:37">
      <c r="A515" s="7" t="s">
        <v>2045</v>
      </c>
      <c r="B515" s="7" t="s">
        <v>2046</v>
      </c>
      <c r="C515" s="7" t="s">
        <v>2047</v>
      </c>
      <c r="D515" s="4">
        <v>4</v>
      </c>
      <c r="E515" s="5" t="s">
        <v>2048</v>
      </c>
      <c r="F515" s="7">
        <f ca="1">IFERROR(__xludf.DUMMYFUNCTION("ARRAYFORMULA(SUM(ARRAYFORMULA(IFERROR(VALUE(SPLIT(SUBSTITUTE(E515,""-"","" ""),"" "")),0))))
"),58)</f>
        <v>58</v>
      </c>
      <c r="G515" s="7" t="s">
        <v>5734</v>
      </c>
      <c r="H515" s="7" t="s">
        <v>5735</v>
      </c>
      <c r="I515" s="7" t="s">
        <v>5736</v>
      </c>
      <c r="J515" s="7" t="s">
        <v>5726</v>
      </c>
      <c r="K515" s="7" t="s">
        <v>5725</v>
      </c>
      <c r="L515" s="7" t="s">
        <v>5725</v>
      </c>
      <c r="M515" s="7" t="s">
        <v>5725</v>
      </c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</row>
    <row r="516" spans="1:37">
      <c r="A516" s="7" t="s">
        <v>2049</v>
      </c>
      <c r="B516" s="7" t="s">
        <v>2050</v>
      </c>
      <c r="C516" s="7" t="s">
        <v>2051</v>
      </c>
      <c r="D516" s="4">
        <v>4</v>
      </c>
      <c r="E516" s="5" t="s">
        <v>2052</v>
      </c>
      <c r="F516" s="7">
        <f ca="1">IFERROR(__xludf.DUMMYFUNCTION("ARRAYFORMULA(SUM(ARRAYFORMULA(IFERROR(VALUE(SPLIT(SUBSTITUTE(E516,""-"","" ""),"" "")),0))))
"),60)</f>
        <v>60</v>
      </c>
      <c r="G516" s="7" t="s">
        <v>5734</v>
      </c>
      <c r="H516" s="7" t="s">
        <v>5735</v>
      </c>
      <c r="I516" s="7" t="s">
        <v>5736</v>
      </c>
      <c r="J516" s="7" t="s">
        <v>5726</v>
      </c>
      <c r="K516" s="7" t="s">
        <v>5725</v>
      </c>
      <c r="L516" s="7" t="s">
        <v>5725</v>
      </c>
      <c r="M516" s="7" t="s">
        <v>5725</v>
      </c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</row>
    <row r="517" spans="1:37">
      <c r="A517" s="3" t="s">
        <v>2053</v>
      </c>
      <c r="B517" s="3" t="s">
        <v>2054</v>
      </c>
      <c r="C517" s="3" t="s">
        <v>2055</v>
      </c>
      <c r="D517" s="4">
        <v>3</v>
      </c>
      <c r="E517" s="8" t="s">
        <v>2056</v>
      </c>
      <c r="F517" s="7">
        <f ca="1">IFERROR(__xludf.DUMMYFUNCTION("ARRAYFORMULA(SUM(ARRAYFORMULA(IFERROR(VALUE(SPLIT(SUBSTITUTE(E517,""-"","" ""),"" "")),0))))
"),54)</f>
        <v>54</v>
      </c>
      <c r="G517" s="7" t="s">
        <v>5708</v>
      </c>
      <c r="H517" s="7" t="s">
        <v>5732</v>
      </c>
      <c r="I517" s="7" t="s">
        <v>5733</v>
      </c>
      <c r="J517" s="7" t="s">
        <v>5725</v>
      </c>
      <c r="K517" s="7" t="s">
        <v>5725</v>
      </c>
      <c r="L517" s="7" t="s">
        <v>5726</v>
      </c>
      <c r="M517" s="7" t="s">
        <v>5726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1:37">
      <c r="A518" s="7" t="s">
        <v>2057</v>
      </c>
      <c r="B518" s="7" t="s">
        <v>2058</v>
      </c>
      <c r="C518" s="7" t="s">
        <v>2059</v>
      </c>
      <c r="D518" s="4">
        <v>4</v>
      </c>
      <c r="E518" s="5" t="s">
        <v>2060</v>
      </c>
      <c r="F518" s="7">
        <f ca="1">IFERROR(__xludf.DUMMYFUNCTION("ARRAYFORMULA(SUM(ARRAYFORMULA(IFERROR(VALUE(SPLIT(SUBSTITUTE(E518,""-"","" ""),"" "")),0))))
"),56)</f>
        <v>56</v>
      </c>
      <c r="G518" s="7" t="s">
        <v>5734</v>
      </c>
      <c r="H518" s="7" t="s">
        <v>5735</v>
      </c>
      <c r="I518" s="7" t="s">
        <v>5736</v>
      </c>
      <c r="J518" s="7" t="s">
        <v>5726</v>
      </c>
      <c r="K518" s="7" t="s">
        <v>5725</v>
      </c>
      <c r="L518" s="7" t="s">
        <v>5725</v>
      </c>
      <c r="M518" s="7" t="s">
        <v>5725</v>
      </c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</row>
    <row r="519" spans="1:37">
      <c r="A519" s="7" t="s">
        <v>2061</v>
      </c>
      <c r="B519" s="7" t="s">
        <v>2062</v>
      </c>
      <c r="C519" s="7" t="s">
        <v>2063</v>
      </c>
      <c r="D519" s="4">
        <v>4</v>
      </c>
      <c r="E519" s="5" t="s">
        <v>2064</v>
      </c>
      <c r="F519" s="7">
        <f ca="1">IFERROR(__xludf.DUMMYFUNCTION("ARRAYFORMULA(SUM(ARRAYFORMULA(IFERROR(VALUE(SPLIT(SUBSTITUTE(E519,""-"","" ""),"" "")),0))))
"),58)</f>
        <v>58</v>
      </c>
      <c r="G519" s="7" t="s">
        <v>5734</v>
      </c>
      <c r="H519" s="7" t="s">
        <v>5735</v>
      </c>
      <c r="I519" s="7" t="s">
        <v>5736</v>
      </c>
      <c r="J519" s="7" t="s">
        <v>5726</v>
      </c>
      <c r="K519" s="7" t="s">
        <v>5725</v>
      </c>
      <c r="L519" s="7" t="s">
        <v>5725</v>
      </c>
      <c r="M519" s="7" t="s">
        <v>5725</v>
      </c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</row>
    <row r="520" spans="1:37">
      <c r="A520" s="7" t="s">
        <v>2065</v>
      </c>
      <c r="B520" s="7" t="s">
        <v>2066</v>
      </c>
      <c r="C520" s="7" t="s">
        <v>2067</v>
      </c>
      <c r="D520" s="4">
        <v>4</v>
      </c>
      <c r="E520" s="5" t="s">
        <v>2068</v>
      </c>
      <c r="F520" s="7">
        <f ca="1">IFERROR(__xludf.DUMMYFUNCTION("ARRAYFORMULA(SUM(ARRAYFORMULA(IFERROR(VALUE(SPLIT(SUBSTITUTE(E520,""-"","" ""),"" "")),0))))
"),60)</f>
        <v>60</v>
      </c>
      <c r="G520" s="7" t="s">
        <v>5734</v>
      </c>
      <c r="H520" s="7" t="s">
        <v>5735</v>
      </c>
      <c r="I520" s="7" t="s">
        <v>5736</v>
      </c>
      <c r="J520" s="7" t="s">
        <v>5726</v>
      </c>
      <c r="K520" s="7" t="s">
        <v>5725</v>
      </c>
      <c r="L520" s="7" t="s">
        <v>5725</v>
      </c>
      <c r="M520" s="7" t="s">
        <v>5725</v>
      </c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</row>
    <row r="521" spans="1:37">
      <c r="A521" s="7" t="s">
        <v>2069</v>
      </c>
      <c r="B521" s="7" t="s">
        <v>2070</v>
      </c>
      <c r="C521" s="7" t="s">
        <v>2071</v>
      </c>
      <c r="D521" s="4">
        <v>4</v>
      </c>
      <c r="E521" s="5" t="s">
        <v>2072</v>
      </c>
      <c r="F521" s="7">
        <f ca="1">IFERROR(__xludf.DUMMYFUNCTION("ARRAYFORMULA(SUM(ARRAYFORMULA(IFERROR(VALUE(SPLIT(SUBSTITUTE(E521,""-"","" ""),"" "")),0))))
"),62)</f>
        <v>62</v>
      </c>
      <c r="G521" s="7" t="s">
        <v>5734</v>
      </c>
      <c r="H521" s="7" t="s">
        <v>5735</v>
      </c>
      <c r="I521" s="7" t="s">
        <v>5736</v>
      </c>
      <c r="J521" s="7" t="s">
        <v>5726</v>
      </c>
      <c r="K521" s="7" t="s">
        <v>5725</v>
      </c>
      <c r="L521" s="7" t="s">
        <v>5725</v>
      </c>
      <c r="M521" s="7" t="s">
        <v>5725</v>
      </c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</row>
    <row r="522" spans="1:37">
      <c r="A522" s="7" t="s">
        <v>2073</v>
      </c>
      <c r="B522" s="7" t="s">
        <v>2074</v>
      </c>
      <c r="C522" s="7" t="s">
        <v>2075</v>
      </c>
      <c r="D522" s="4">
        <v>4</v>
      </c>
      <c r="E522" s="5" t="s">
        <v>2076</v>
      </c>
      <c r="F522" s="7">
        <f ca="1">IFERROR(__xludf.DUMMYFUNCTION("ARRAYFORMULA(SUM(ARRAYFORMULA(IFERROR(VALUE(SPLIT(SUBSTITUTE(E522,""-"","" ""),"" "")),0))))
"),64)</f>
        <v>64</v>
      </c>
      <c r="G522" s="7" t="s">
        <v>5734</v>
      </c>
      <c r="H522" s="7" t="s">
        <v>5735</v>
      </c>
      <c r="I522" s="7" t="s">
        <v>5736</v>
      </c>
      <c r="J522" s="7" t="s">
        <v>5726</v>
      </c>
      <c r="K522" s="7" t="s">
        <v>5725</v>
      </c>
      <c r="L522" s="7" t="s">
        <v>5725</v>
      </c>
      <c r="M522" s="7" t="s">
        <v>5725</v>
      </c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</row>
    <row r="523" spans="1:37">
      <c r="A523" s="7" t="s">
        <v>2077</v>
      </c>
      <c r="B523" s="7" t="s">
        <v>2078</v>
      </c>
      <c r="C523" s="7" t="s">
        <v>2079</v>
      </c>
      <c r="D523" s="4">
        <v>4</v>
      </c>
      <c r="E523" s="5" t="s">
        <v>2080</v>
      </c>
      <c r="F523" s="7">
        <f ca="1">IFERROR(__xludf.DUMMYFUNCTION("ARRAYFORMULA(SUM(ARRAYFORMULA(IFERROR(VALUE(SPLIT(SUBSTITUTE(E523,""-"","" ""),"" "")),0))))
"),66)</f>
        <v>66</v>
      </c>
      <c r="G523" s="7" t="s">
        <v>5734</v>
      </c>
      <c r="H523" s="7" t="s">
        <v>5735</v>
      </c>
      <c r="I523" s="7" t="s">
        <v>5736</v>
      </c>
      <c r="J523" s="7" t="s">
        <v>5726</v>
      </c>
      <c r="K523" s="7" t="s">
        <v>5725</v>
      </c>
      <c r="L523" s="7" t="s">
        <v>5725</v>
      </c>
      <c r="M523" s="7" t="s">
        <v>5725</v>
      </c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</row>
    <row r="524" spans="1:37">
      <c r="A524" s="7" t="s">
        <v>2081</v>
      </c>
      <c r="B524" s="7" t="s">
        <v>2082</v>
      </c>
      <c r="C524" s="7" t="s">
        <v>2083</v>
      </c>
      <c r="D524" s="4">
        <v>4</v>
      </c>
      <c r="E524" s="5" t="s">
        <v>2084</v>
      </c>
      <c r="F524" s="7">
        <f ca="1">IFERROR(__xludf.DUMMYFUNCTION("ARRAYFORMULA(SUM(ARRAYFORMULA(IFERROR(VALUE(SPLIT(SUBSTITUTE(E524,""-"","" ""),"" "")),0))))
"),68)</f>
        <v>68</v>
      </c>
      <c r="G524" s="7" t="s">
        <v>5734</v>
      </c>
      <c r="H524" s="7" t="s">
        <v>5735</v>
      </c>
      <c r="I524" s="7" t="s">
        <v>5736</v>
      </c>
      <c r="J524" s="7" t="s">
        <v>5726</v>
      </c>
      <c r="K524" s="7" t="s">
        <v>5725</v>
      </c>
      <c r="L524" s="7" t="s">
        <v>5725</v>
      </c>
      <c r="M524" s="7" t="s">
        <v>5725</v>
      </c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</row>
    <row r="525" spans="1:37">
      <c r="A525" s="3" t="s">
        <v>2085</v>
      </c>
      <c r="B525" s="3" t="s">
        <v>2086</v>
      </c>
      <c r="C525" s="3" t="s">
        <v>2087</v>
      </c>
      <c r="D525" s="4">
        <v>3</v>
      </c>
      <c r="E525" s="8" t="s">
        <v>2088</v>
      </c>
      <c r="F525" s="7">
        <f ca="1">IFERROR(__xludf.DUMMYFUNCTION("ARRAYFORMULA(SUM(ARRAYFORMULA(IFERROR(VALUE(SPLIT(SUBSTITUTE(E525,""-"","" ""),"" "")),0))))
"),56)</f>
        <v>56</v>
      </c>
      <c r="G525" s="7" t="s">
        <v>5708</v>
      </c>
      <c r="H525" s="7" t="s">
        <v>5732</v>
      </c>
      <c r="I525" s="7" t="s">
        <v>5733</v>
      </c>
      <c r="J525" s="7" t="s">
        <v>5725</v>
      </c>
      <c r="K525" s="7" t="s">
        <v>5725</v>
      </c>
      <c r="L525" s="7" t="s">
        <v>5726</v>
      </c>
      <c r="M525" s="7" t="s">
        <v>5726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1:37">
      <c r="A526" s="7" t="s">
        <v>2089</v>
      </c>
      <c r="B526" s="7" t="s">
        <v>2090</v>
      </c>
      <c r="C526" s="7" t="s">
        <v>2091</v>
      </c>
      <c r="D526" s="4">
        <v>4</v>
      </c>
      <c r="E526" s="5" t="s">
        <v>2092</v>
      </c>
      <c r="F526" s="7">
        <f ca="1">IFERROR(__xludf.DUMMYFUNCTION("ARRAYFORMULA(SUM(ARRAYFORMULA(IFERROR(VALUE(SPLIT(SUBSTITUTE(E526,""-"","" ""),"" "")),0))))
"),58)</f>
        <v>58</v>
      </c>
      <c r="G526" s="7" t="s">
        <v>5734</v>
      </c>
      <c r="H526" s="7" t="s">
        <v>5735</v>
      </c>
      <c r="I526" s="7" t="s">
        <v>5736</v>
      </c>
      <c r="J526" s="7" t="s">
        <v>5726</v>
      </c>
      <c r="K526" s="7" t="s">
        <v>5725</v>
      </c>
      <c r="L526" s="7" t="s">
        <v>5725</v>
      </c>
      <c r="M526" s="7" t="s">
        <v>5725</v>
      </c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</row>
    <row r="527" spans="1:37">
      <c r="A527" s="7" t="s">
        <v>2093</v>
      </c>
      <c r="B527" s="7" t="s">
        <v>2094</v>
      </c>
      <c r="C527" s="7" t="s">
        <v>2095</v>
      </c>
      <c r="D527" s="4">
        <v>4</v>
      </c>
      <c r="E527" s="5" t="s">
        <v>2096</v>
      </c>
      <c r="F527" s="7">
        <f ca="1">IFERROR(__xludf.DUMMYFUNCTION("ARRAYFORMULA(SUM(ARRAYFORMULA(IFERROR(VALUE(SPLIT(SUBSTITUTE(E527,""-"","" ""),"" "")),0))))
"),60)</f>
        <v>60</v>
      </c>
      <c r="G527" s="7" t="s">
        <v>5734</v>
      </c>
      <c r="H527" s="7" t="s">
        <v>5735</v>
      </c>
      <c r="I527" s="7" t="s">
        <v>5736</v>
      </c>
      <c r="J527" s="7" t="s">
        <v>5726</v>
      </c>
      <c r="K527" s="7" t="s">
        <v>5725</v>
      </c>
      <c r="L527" s="7" t="s">
        <v>5725</v>
      </c>
      <c r="M527" s="7" t="s">
        <v>5725</v>
      </c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</row>
    <row r="528" spans="1:37">
      <c r="A528" s="3" t="s">
        <v>2097</v>
      </c>
      <c r="B528" s="3" t="s">
        <v>2098</v>
      </c>
      <c r="C528" s="3" t="s">
        <v>2099</v>
      </c>
      <c r="D528" s="4">
        <v>3</v>
      </c>
      <c r="E528" s="8" t="s">
        <v>2100</v>
      </c>
      <c r="F528" s="7">
        <f ca="1">IFERROR(__xludf.DUMMYFUNCTION("ARRAYFORMULA(SUM(ARRAYFORMULA(IFERROR(VALUE(SPLIT(SUBSTITUTE(E528,""-"","" ""),"" "")),0))))
"),58)</f>
        <v>58</v>
      </c>
      <c r="G528" s="7" t="s">
        <v>5708</v>
      </c>
      <c r="H528" s="7" t="s">
        <v>5732</v>
      </c>
      <c r="I528" s="7" t="s">
        <v>5733</v>
      </c>
      <c r="J528" s="7" t="s">
        <v>5725</v>
      </c>
      <c r="K528" s="7" t="s">
        <v>5725</v>
      </c>
      <c r="L528" s="7" t="s">
        <v>5726</v>
      </c>
      <c r="M528" s="7" t="s">
        <v>5726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1:37">
      <c r="A529" s="7" t="s">
        <v>2101</v>
      </c>
      <c r="B529" s="7" t="s">
        <v>2102</v>
      </c>
      <c r="C529" s="7" t="s">
        <v>2103</v>
      </c>
      <c r="D529" s="4">
        <v>4</v>
      </c>
      <c r="E529" s="5" t="s">
        <v>2104</v>
      </c>
      <c r="F529" s="7">
        <f ca="1">IFERROR(__xludf.DUMMYFUNCTION("ARRAYFORMULA(SUM(ARRAYFORMULA(IFERROR(VALUE(SPLIT(SUBSTITUTE(E529,""-"","" ""),"" "")),0))))
"),60)</f>
        <v>60</v>
      </c>
      <c r="G529" s="7" t="s">
        <v>5734</v>
      </c>
      <c r="H529" s="7" t="s">
        <v>5735</v>
      </c>
      <c r="I529" s="7" t="s">
        <v>5736</v>
      </c>
      <c r="J529" s="7" t="s">
        <v>5726</v>
      </c>
      <c r="K529" s="7" t="s">
        <v>5725</v>
      </c>
      <c r="L529" s="7" t="s">
        <v>5725</v>
      </c>
      <c r="M529" s="7" t="s">
        <v>5725</v>
      </c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</row>
    <row r="530" spans="1:37">
      <c r="A530" s="7" t="s">
        <v>2105</v>
      </c>
      <c r="B530" s="7" t="s">
        <v>2106</v>
      </c>
      <c r="C530" s="7" t="s">
        <v>2107</v>
      </c>
      <c r="D530" s="4">
        <v>4</v>
      </c>
      <c r="E530" s="5" t="s">
        <v>2108</v>
      </c>
      <c r="F530" s="7">
        <f ca="1">IFERROR(__xludf.DUMMYFUNCTION("ARRAYFORMULA(SUM(ARRAYFORMULA(IFERROR(VALUE(SPLIT(SUBSTITUTE(E530,""-"","" ""),"" "")),0))))
"),62)</f>
        <v>62</v>
      </c>
      <c r="G530" s="7" t="s">
        <v>5734</v>
      </c>
      <c r="H530" s="7" t="s">
        <v>5735</v>
      </c>
      <c r="I530" s="7" t="s">
        <v>5736</v>
      </c>
      <c r="J530" s="7" t="s">
        <v>5726</v>
      </c>
      <c r="K530" s="7" t="s">
        <v>5725</v>
      </c>
      <c r="L530" s="7" t="s">
        <v>5725</v>
      </c>
      <c r="M530" s="7" t="s">
        <v>5725</v>
      </c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</row>
    <row r="531" spans="1:37">
      <c r="A531" s="7" t="s">
        <v>2109</v>
      </c>
      <c r="B531" s="7" t="s">
        <v>2110</v>
      </c>
      <c r="C531" s="7" t="s">
        <v>2111</v>
      </c>
      <c r="D531" s="4">
        <v>4</v>
      </c>
      <c r="E531" s="5" t="s">
        <v>2112</v>
      </c>
      <c r="F531" s="7">
        <f ca="1">IFERROR(__xludf.DUMMYFUNCTION("ARRAYFORMULA(SUM(ARRAYFORMULA(IFERROR(VALUE(SPLIT(SUBSTITUTE(E531,""-"","" ""),"" "")),0))))
"),64)</f>
        <v>64</v>
      </c>
      <c r="G531" s="7" t="s">
        <v>5734</v>
      </c>
      <c r="H531" s="7" t="s">
        <v>5735</v>
      </c>
      <c r="I531" s="7" t="s">
        <v>5736</v>
      </c>
      <c r="J531" s="7" t="s">
        <v>5726</v>
      </c>
      <c r="K531" s="7" t="s">
        <v>5725</v>
      </c>
      <c r="L531" s="7" t="s">
        <v>5725</v>
      </c>
      <c r="M531" s="7" t="s">
        <v>5725</v>
      </c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</row>
    <row r="532" spans="1:37">
      <c r="A532" s="7" t="s">
        <v>2113</v>
      </c>
      <c r="B532" s="7" t="s">
        <v>2114</v>
      </c>
      <c r="C532" s="7" t="s">
        <v>2115</v>
      </c>
      <c r="D532" s="4">
        <v>4</v>
      </c>
      <c r="E532" s="5" t="s">
        <v>2116</v>
      </c>
      <c r="F532" s="7">
        <f ca="1">IFERROR(__xludf.DUMMYFUNCTION("ARRAYFORMULA(SUM(ARRAYFORMULA(IFERROR(VALUE(SPLIT(SUBSTITUTE(E532,""-"","" ""),"" "")),0))))
"),66)</f>
        <v>66</v>
      </c>
      <c r="G532" s="7" t="s">
        <v>5734</v>
      </c>
      <c r="H532" s="7" t="s">
        <v>5735</v>
      </c>
      <c r="I532" s="7" t="s">
        <v>5736</v>
      </c>
      <c r="J532" s="7" t="s">
        <v>5726</v>
      </c>
      <c r="K532" s="7" t="s">
        <v>5725</v>
      </c>
      <c r="L532" s="7" t="s">
        <v>5725</v>
      </c>
      <c r="M532" s="7" t="s">
        <v>5725</v>
      </c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</row>
    <row r="533" spans="1:37">
      <c r="A533" s="7" t="s">
        <v>2117</v>
      </c>
      <c r="B533" s="7" t="s">
        <v>2118</v>
      </c>
      <c r="C533" s="7" t="s">
        <v>2119</v>
      </c>
      <c r="D533" s="4">
        <v>4</v>
      </c>
      <c r="E533" s="5" t="s">
        <v>2120</v>
      </c>
      <c r="F533" s="7">
        <f ca="1">IFERROR(__xludf.DUMMYFUNCTION("ARRAYFORMULA(SUM(ARRAYFORMULA(IFERROR(VALUE(SPLIT(SUBSTITUTE(E533,""-"","" ""),"" "")),0))))
"),68)</f>
        <v>68</v>
      </c>
      <c r="G533" s="7" t="s">
        <v>5734</v>
      </c>
      <c r="H533" s="7" t="s">
        <v>5735</v>
      </c>
      <c r="I533" s="7" t="s">
        <v>5736</v>
      </c>
      <c r="J533" s="7" t="s">
        <v>5726</v>
      </c>
      <c r="K533" s="7" t="s">
        <v>5725</v>
      </c>
      <c r="L533" s="7" t="s">
        <v>5725</v>
      </c>
      <c r="M533" s="7" t="s">
        <v>5725</v>
      </c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</row>
    <row r="534" spans="1:37">
      <c r="A534" s="3" t="s">
        <v>2121</v>
      </c>
      <c r="B534" s="3" t="s">
        <v>2122</v>
      </c>
      <c r="C534" s="3" t="s">
        <v>2123</v>
      </c>
      <c r="D534" s="4">
        <v>3</v>
      </c>
      <c r="E534" s="8" t="s">
        <v>2124</v>
      </c>
      <c r="F534" s="7">
        <f ca="1">IFERROR(__xludf.DUMMYFUNCTION("ARRAYFORMULA(SUM(ARRAYFORMULA(IFERROR(VALUE(SPLIT(SUBSTITUTE(E534,""-"","" ""),"" "")),0))))
"),60)</f>
        <v>60</v>
      </c>
      <c r="G534" s="7" t="s">
        <v>5708</v>
      </c>
      <c r="H534" s="7" t="s">
        <v>5732</v>
      </c>
      <c r="I534" s="7" t="s">
        <v>5733</v>
      </c>
      <c r="J534" s="7" t="s">
        <v>5725</v>
      </c>
      <c r="K534" s="7" t="s">
        <v>5725</v>
      </c>
      <c r="L534" s="7" t="s">
        <v>5726</v>
      </c>
      <c r="M534" s="7" t="s">
        <v>5726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1:37">
      <c r="A535" s="7" t="s">
        <v>2125</v>
      </c>
      <c r="B535" s="7" t="s">
        <v>2126</v>
      </c>
      <c r="C535" s="7" t="s">
        <v>2127</v>
      </c>
      <c r="D535" s="4">
        <v>4</v>
      </c>
      <c r="E535" s="5" t="s">
        <v>2128</v>
      </c>
      <c r="F535" s="7">
        <f ca="1">IFERROR(__xludf.DUMMYFUNCTION("ARRAYFORMULA(SUM(ARRAYFORMULA(IFERROR(VALUE(SPLIT(SUBSTITUTE(E535,""-"","" ""),"" "")),0))))
"),62)</f>
        <v>62</v>
      </c>
      <c r="G535" s="7" t="s">
        <v>5734</v>
      </c>
      <c r="H535" s="7" t="s">
        <v>5735</v>
      </c>
      <c r="I535" s="7" t="s">
        <v>5736</v>
      </c>
      <c r="J535" s="7" t="s">
        <v>5726</v>
      </c>
      <c r="K535" s="7" t="s">
        <v>5725</v>
      </c>
      <c r="L535" s="7" t="s">
        <v>5725</v>
      </c>
      <c r="M535" s="7" t="s">
        <v>5725</v>
      </c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</row>
    <row r="536" spans="1:37">
      <c r="A536" s="7" t="s">
        <v>2129</v>
      </c>
      <c r="B536" s="7" t="s">
        <v>2130</v>
      </c>
      <c r="C536" s="7" t="s">
        <v>2131</v>
      </c>
      <c r="D536" s="4">
        <v>4</v>
      </c>
      <c r="E536" s="5" t="s">
        <v>2132</v>
      </c>
      <c r="F536" s="7">
        <f ca="1">IFERROR(__xludf.DUMMYFUNCTION("ARRAYFORMULA(SUM(ARRAYFORMULA(IFERROR(VALUE(SPLIT(SUBSTITUTE(E536,""-"","" ""),"" "")),0))))
"),64)</f>
        <v>64</v>
      </c>
      <c r="G536" s="7" t="s">
        <v>5734</v>
      </c>
      <c r="H536" s="7" t="s">
        <v>5735</v>
      </c>
      <c r="I536" s="7" t="s">
        <v>5736</v>
      </c>
      <c r="J536" s="7" t="s">
        <v>5726</v>
      </c>
      <c r="K536" s="7" t="s">
        <v>5725</v>
      </c>
      <c r="L536" s="7" t="s">
        <v>5725</v>
      </c>
      <c r="M536" s="7" t="s">
        <v>5725</v>
      </c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</row>
    <row r="537" spans="1:37">
      <c r="A537" s="7" t="s">
        <v>2133</v>
      </c>
      <c r="B537" s="7" t="s">
        <v>2134</v>
      </c>
      <c r="C537" s="7" t="s">
        <v>2135</v>
      </c>
      <c r="D537" s="4">
        <v>4</v>
      </c>
      <c r="E537" s="5" t="s">
        <v>2136</v>
      </c>
      <c r="F537" s="7">
        <f ca="1">IFERROR(__xludf.DUMMYFUNCTION("ARRAYFORMULA(SUM(ARRAYFORMULA(IFERROR(VALUE(SPLIT(SUBSTITUTE(E537,""-"","" ""),"" "")),0))))
"),66)</f>
        <v>66</v>
      </c>
      <c r="G537" s="7" t="s">
        <v>5734</v>
      </c>
      <c r="H537" s="7" t="s">
        <v>5735</v>
      </c>
      <c r="I537" s="7" t="s">
        <v>5736</v>
      </c>
      <c r="J537" s="7" t="s">
        <v>5726</v>
      </c>
      <c r="K537" s="7" t="s">
        <v>5725</v>
      </c>
      <c r="L537" s="7" t="s">
        <v>5725</v>
      </c>
      <c r="M537" s="7" t="s">
        <v>5725</v>
      </c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</row>
    <row r="538" spans="1:37">
      <c r="A538" s="7" t="s">
        <v>2137</v>
      </c>
      <c r="B538" s="7" t="s">
        <v>2138</v>
      </c>
      <c r="C538" s="7" t="s">
        <v>2139</v>
      </c>
      <c r="D538" s="4">
        <v>4</v>
      </c>
      <c r="E538" s="5" t="s">
        <v>2140</v>
      </c>
      <c r="F538" s="7">
        <f ca="1">IFERROR(__xludf.DUMMYFUNCTION("ARRAYFORMULA(SUM(ARRAYFORMULA(IFERROR(VALUE(SPLIT(SUBSTITUTE(E538,""-"","" ""),"" "")),0))))
"),68)</f>
        <v>68</v>
      </c>
      <c r="G538" s="7" t="s">
        <v>5734</v>
      </c>
      <c r="H538" s="7" t="s">
        <v>5735</v>
      </c>
      <c r="I538" s="7" t="s">
        <v>5736</v>
      </c>
      <c r="J538" s="7" t="s">
        <v>5726</v>
      </c>
      <c r="K538" s="7" t="s">
        <v>5725</v>
      </c>
      <c r="L538" s="7" t="s">
        <v>5725</v>
      </c>
      <c r="M538" s="7" t="s">
        <v>5725</v>
      </c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</row>
    <row r="539" spans="1:37">
      <c r="A539" s="7" t="s">
        <v>2141</v>
      </c>
      <c r="B539" s="7" t="s">
        <v>2142</v>
      </c>
      <c r="C539" s="7" t="s">
        <v>2143</v>
      </c>
      <c r="D539" s="4">
        <v>4</v>
      </c>
      <c r="E539" s="5" t="s">
        <v>2144</v>
      </c>
      <c r="F539" s="7">
        <f ca="1">IFERROR(__xludf.DUMMYFUNCTION("ARRAYFORMULA(SUM(ARRAYFORMULA(IFERROR(VALUE(SPLIT(SUBSTITUTE(E539,""-"","" ""),"" "")),0))))
"),70)</f>
        <v>70</v>
      </c>
      <c r="G539" s="7" t="s">
        <v>5734</v>
      </c>
      <c r="H539" s="7" t="s">
        <v>5735</v>
      </c>
      <c r="I539" s="7" t="s">
        <v>5736</v>
      </c>
      <c r="J539" s="7" t="s">
        <v>5726</v>
      </c>
      <c r="K539" s="7" t="s">
        <v>5725</v>
      </c>
      <c r="L539" s="7" t="s">
        <v>5725</v>
      </c>
      <c r="M539" s="7" t="s">
        <v>5725</v>
      </c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</row>
    <row r="540" spans="1:37">
      <c r="A540" s="7" t="s">
        <v>2145</v>
      </c>
      <c r="B540" s="7" t="s">
        <v>2146</v>
      </c>
      <c r="C540" s="7" t="s">
        <v>2147</v>
      </c>
      <c r="D540" s="4">
        <v>4</v>
      </c>
      <c r="E540" s="5" t="s">
        <v>2148</v>
      </c>
      <c r="F540" s="7">
        <f ca="1">IFERROR(__xludf.DUMMYFUNCTION("ARRAYFORMULA(SUM(ARRAYFORMULA(IFERROR(VALUE(SPLIT(SUBSTITUTE(E540,""-"","" ""),"" "")),0))))
"),72)</f>
        <v>72</v>
      </c>
      <c r="G540" s="7" t="s">
        <v>5734</v>
      </c>
      <c r="H540" s="7" t="s">
        <v>5735</v>
      </c>
      <c r="I540" s="7" t="s">
        <v>5736</v>
      </c>
      <c r="J540" s="7" t="s">
        <v>5726</v>
      </c>
      <c r="K540" s="7" t="s">
        <v>5725</v>
      </c>
      <c r="L540" s="7" t="s">
        <v>5725</v>
      </c>
      <c r="M540" s="7" t="s">
        <v>5725</v>
      </c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</row>
    <row r="541" spans="1:37">
      <c r="A541" s="7" t="s">
        <v>2149</v>
      </c>
      <c r="B541" s="7" t="s">
        <v>2150</v>
      </c>
      <c r="C541" s="7" t="s">
        <v>2151</v>
      </c>
      <c r="D541" s="4">
        <v>4</v>
      </c>
      <c r="E541" s="5" t="s">
        <v>2152</v>
      </c>
      <c r="F541" s="7">
        <f ca="1">IFERROR(__xludf.DUMMYFUNCTION("ARRAYFORMULA(SUM(ARRAYFORMULA(IFERROR(VALUE(SPLIT(SUBSTITUTE(E541,""-"","" ""),"" "")),0))))
"),74)</f>
        <v>74</v>
      </c>
      <c r="G541" s="7" t="s">
        <v>5734</v>
      </c>
      <c r="H541" s="7" t="s">
        <v>5735</v>
      </c>
      <c r="I541" s="7" t="s">
        <v>5736</v>
      </c>
      <c r="J541" s="7" t="s">
        <v>5726</v>
      </c>
      <c r="K541" s="7" t="s">
        <v>5725</v>
      </c>
      <c r="L541" s="7" t="s">
        <v>5725</v>
      </c>
      <c r="M541" s="7" t="s">
        <v>5725</v>
      </c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</row>
    <row r="542" spans="1:37">
      <c r="A542" s="7" t="s">
        <v>2153</v>
      </c>
      <c r="B542" s="7" t="s">
        <v>2154</v>
      </c>
      <c r="C542" s="7" t="s">
        <v>2155</v>
      </c>
      <c r="D542" s="4">
        <v>5</v>
      </c>
      <c r="E542" s="5" t="s">
        <v>2156</v>
      </c>
      <c r="F542" s="7">
        <f ca="1">IFERROR(__xludf.DUMMYFUNCTION("ARRAYFORMULA(SUM(ARRAYFORMULA(IFERROR(VALUE(SPLIT(SUBSTITUTE(E542,""-"","" ""),"" "")),0))))
"),76)</f>
        <v>76</v>
      </c>
      <c r="G542" s="7" t="s">
        <v>5734</v>
      </c>
      <c r="H542" s="7" t="s">
        <v>5735</v>
      </c>
      <c r="I542" s="7" t="s">
        <v>5736</v>
      </c>
      <c r="J542" s="7" t="s">
        <v>5726</v>
      </c>
      <c r="K542" s="7" t="s">
        <v>5725</v>
      </c>
      <c r="L542" s="7" t="s">
        <v>5725</v>
      </c>
      <c r="M542" s="7" t="s">
        <v>5725</v>
      </c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</row>
    <row r="543" spans="1:37">
      <c r="A543" s="7" t="s">
        <v>2157</v>
      </c>
      <c r="B543" s="7" t="s">
        <v>2158</v>
      </c>
      <c r="C543" s="7" t="s">
        <v>2159</v>
      </c>
      <c r="D543" s="4">
        <v>5</v>
      </c>
      <c r="E543" s="5" t="s">
        <v>2160</v>
      </c>
      <c r="F543" s="7">
        <f ca="1">IFERROR(__xludf.DUMMYFUNCTION("ARRAYFORMULA(SUM(ARRAYFORMULA(IFERROR(VALUE(SPLIT(SUBSTITUTE(E543,""-"","" ""),"" "")),0))))
"),78)</f>
        <v>78</v>
      </c>
      <c r="G543" s="7" t="s">
        <v>5734</v>
      </c>
      <c r="H543" s="7" t="s">
        <v>5735</v>
      </c>
      <c r="I543" s="7" t="s">
        <v>5736</v>
      </c>
      <c r="J543" s="7" t="s">
        <v>5726</v>
      </c>
      <c r="K543" s="7" t="s">
        <v>5725</v>
      </c>
      <c r="L543" s="7" t="s">
        <v>5725</v>
      </c>
      <c r="M543" s="7" t="s">
        <v>5725</v>
      </c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</row>
    <row r="544" spans="1:37">
      <c r="A544" s="7" t="s">
        <v>2161</v>
      </c>
      <c r="B544" s="7" t="s">
        <v>2162</v>
      </c>
      <c r="C544" s="7" t="s">
        <v>2163</v>
      </c>
      <c r="D544" s="4">
        <v>4</v>
      </c>
      <c r="E544" s="5" t="s">
        <v>2164</v>
      </c>
      <c r="F544" s="7">
        <f ca="1">IFERROR(__xludf.DUMMYFUNCTION("ARRAYFORMULA(SUM(ARRAYFORMULA(IFERROR(VALUE(SPLIT(SUBSTITUTE(E544,""-"","" ""),"" "")),0))))
"),76)</f>
        <v>76</v>
      </c>
      <c r="G544" s="7" t="s">
        <v>5734</v>
      </c>
      <c r="H544" s="7" t="s">
        <v>5735</v>
      </c>
      <c r="I544" s="7" t="s">
        <v>5736</v>
      </c>
      <c r="J544" s="7" t="s">
        <v>5726</v>
      </c>
      <c r="K544" s="7" t="s">
        <v>5725</v>
      </c>
      <c r="L544" s="7" t="s">
        <v>5725</v>
      </c>
      <c r="M544" s="7" t="s">
        <v>5725</v>
      </c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</row>
    <row r="545" spans="1:37">
      <c r="A545" s="3" t="s">
        <v>2165</v>
      </c>
      <c r="B545" s="3" t="s">
        <v>2166</v>
      </c>
      <c r="C545" s="3" t="s">
        <v>2167</v>
      </c>
      <c r="D545" s="4">
        <v>3</v>
      </c>
      <c r="E545" s="8" t="s">
        <v>2168</v>
      </c>
      <c r="F545" s="7">
        <f ca="1">IFERROR(__xludf.DUMMYFUNCTION("ARRAYFORMULA(SUM(ARRAYFORMULA(IFERROR(VALUE(SPLIT(SUBSTITUTE(E545,""-"","" ""),"" "")),0))))
"),62)</f>
        <v>62</v>
      </c>
      <c r="G545" s="7" t="s">
        <v>5708</v>
      </c>
      <c r="H545" s="7" t="s">
        <v>5732</v>
      </c>
      <c r="I545" s="7" t="s">
        <v>5733</v>
      </c>
      <c r="J545" s="7" t="s">
        <v>5725</v>
      </c>
      <c r="K545" s="7" t="s">
        <v>5725</v>
      </c>
      <c r="L545" s="7" t="s">
        <v>5726</v>
      </c>
      <c r="M545" s="7" t="s">
        <v>5726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1:37">
      <c r="A546" s="7" t="s">
        <v>2169</v>
      </c>
      <c r="B546" s="7" t="s">
        <v>2170</v>
      </c>
      <c r="C546" s="7" t="s">
        <v>2171</v>
      </c>
      <c r="D546" s="4">
        <v>4</v>
      </c>
      <c r="E546" s="5" t="s">
        <v>2172</v>
      </c>
      <c r="F546" s="7">
        <f ca="1">IFERROR(__xludf.DUMMYFUNCTION("ARRAYFORMULA(SUM(ARRAYFORMULA(IFERROR(VALUE(SPLIT(SUBSTITUTE(E546,""-"","" ""),"" "")),0))))
"),64)</f>
        <v>64</v>
      </c>
      <c r="G546" s="7" t="s">
        <v>5734</v>
      </c>
      <c r="H546" s="7" t="s">
        <v>5735</v>
      </c>
      <c r="I546" s="7" t="s">
        <v>5736</v>
      </c>
      <c r="J546" s="7" t="s">
        <v>5726</v>
      </c>
      <c r="K546" s="7" t="s">
        <v>5725</v>
      </c>
      <c r="L546" s="7" t="s">
        <v>5725</v>
      </c>
      <c r="M546" s="7" t="s">
        <v>5725</v>
      </c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</row>
    <row r="547" spans="1:37">
      <c r="A547" s="7" t="s">
        <v>2173</v>
      </c>
      <c r="B547" s="7" t="s">
        <v>2174</v>
      </c>
      <c r="C547" s="7" t="s">
        <v>2175</v>
      </c>
      <c r="D547" s="4">
        <v>4</v>
      </c>
      <c r="E547" s="5" t="s">
        <v>2176</v>
      </c>
      <c r="F547" s="7">
        <f ca="1">IFERROR(__xludf.DUMMYFUNCTION("ARRAYFORMULA(SUM(ARRAYFORMULA(IFERROR(VALUE(SPLIT(SUBSTITUTE(E547,""-"","" ""),"" "")),0))))
"),66)</f>
        <v>66</v>
      </c>
      <c r="G547" s="7" t="s">
        <v>5734</v>
      </c>
      <c r="H547" s="7" t="s">
        <v>5735</v>
      </c>
      <c r="I547" s="7" t="s">
        <v>5736</v>
      </c>
      <c r="J547" s="7" t="s">
        <v>5726</v>
      </c>
      <c r="K547" s="7" t="s">
        <v>5725</v>
      </c>
      <c r="L547" s="7" t="s">
        <v>5725</v>
      </c>
      <c r="M547" s="7" t="s">
        <v>5725</v>
      </c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</row>
    <row r="548" spans="1:37">
      <c r="A548" s="7" t="s">
        <v>2177</v>
      </c>
      <c r="B548" s="7" t="s">
        <v>2178</v>
      </c>
      <c r="C548" s="7" t="s">
        <v>2179</v>
      </c>
      <c r="D548" s="4">
        <v>4</v>
      </c>
      <c r="E548" s="5" t="s">
        <v>2180</v>
      </c>
      <c r="F548" s="7">
        <f ca="1">IFERROR(__xludf.DUMMYFUNCTION("ARRAYFORMULA(SUM(ARRAYFORMULA(IFERROR(VALUE(SPLIT(SUBSTITUTE(E548,""-"","" ""),"" "")),0))))
"),68)</f>
        <v>68</v>
      </c>
      <c r="G548" s="7" t="s">
        <v>5734</v>
      </c>
      <c r="H548" s="7" t="s">
        <v>5735</v>
      </c>
      <c r="I548" s="7" t="s">
        <v>5736</v>
      </c>
      <c r="J548" s="7" t="s">
        <v>5726</v>
      </c>
      <c r="K548" s="7" t="s">
        <v>5725</v>
      </c>
      <c r="L548" s="7" t="s">
        <v>5725</v>
      </c>
      <c r="M548" s="7" t="s">
        <v>5725</v>
      </c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</row>
    <row r="549" spans="1:37">
      <c r="A549" s="7" t="s">
        <v>2181</v>
      </c>
      <c r="B549" s="7" t="s">
        <v>2182</v>
      </c>
      <c r="C549" s="7" t="s">
        <v>2183</v>
      </c>
      <c r="D549" s="4">
        <v>4</v>
      </c>
      <c r="E549" s="5" t="s">
        <v>2184</v>
      </c>
      <c r="F549" s="7">
        <f ca="1">IFERROR(__xludf.DUMMYFUNCTION("ARRAYFORMULA(SUM(ARRAYFORMULA(IFERROR(VALUE(SPLIT(SUBSTITUTE(E549,""-"","" ""),"" "")),0))))
"),70)</f>
        <v>70</v>
      </c>
      <c r="G549" s="7" t="s">
        <v>5734</v>
      </c>
      <c r="H549" s="7" t="s">
        <v>5735</v>
      </c>
      <c r="I549" s="7" t="s">
        <v>5736</v>
      </c>
      <c r="J549" s="7" t="s">
        <v>5726</v>
      </c>
      <c r="K549" s="7" t="s">
        <v>5725</v>
      </c>
      <c r="L549" s="7" t="s">
        <v>5725</v>
      </c>
      <c r="M549" s="7" t="s">
        <v>5725</v>
      </c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</row>
    <row r="550" spans="1:37">
      <c r="A550" s="7" t="s">
        <v>2185</v>
      </c>
      <c r="B550" s="7" t="s">
        <v>2186</v>
      </c>
      <c r="C550" s="7" t="s">
        <v>2187</v>
      </c>
      <c r="D550" s="4">
        <v>5</v>
      </c>
      <c r="E550" s="5" t="s">
        <v>2188</v>
      </c>
      <c r="F550" s="7">
        <f ca="1">IFERROR(__xludf.DUMMYFUNCTION("ARRAYFORMULA(SUM(ARRAYFORMULA(IFERROR(VALUE(SPLIT(SUBSTITUTE(E550,""-"","" ""),"" "")),0))))
"),74)</f>
        <v>74</v>
      </c>
      <c r="G550" s="7" t="s">
        <v>5734</v>
      </c>
      <c r="H550" s="7" t="s">
        <v>5735</v>
      </c>
      <c r="I550" s="7" t="s">
        <v>5736</v>
      </c>
      <c r="J550" s="7" t="s">
        <v>5726</v>
      </c>
      <c r="K550" s="7" t="s">
        <v>5725</v>
      </c>
      <c r="L550" s="7" t="s">
        <v>5725</v>
      </c>
      <c r="M550" s="7" t="s">
        <v>5725</v>
      </c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</row>
    <row r="551" spans="1:37">
      <c r="A551" s="7" t="s">
        <v>2189</v>
      </c>
      <c r="B551" s="7" t="s">
        <v>2190</v>
      </c>
      <c r="C551" s="7" t="s">
        <v>2191</v>
      </c>
      <c r="D551" s="4">
        <v>5</v>
      </c>
      <c r="E551" s="5" t="s">
        <v>2192</v>
      </c>
      <c r="F551" s="7">
        <f ca="1">IFERROR(__xludf.DUMMYFUNCTION("ARRAYFORMULA(SUM(ARRAYFORMULA(IFERROR(VALUE(SPLIT(SUBSTITUTE(E551,""-"","" ""),"" "")),0))))
"),76)</f>
        <v>76</v>
      </c>
      <c r="G551" s="7" t="s">
        <v>5734</v>
      </c>
      <c r="H551" s="7" t="s">
        <v>5735</v>
      </c>
      <c r="I551" s="7" t="s">
        <v>5736</v>
      </c>
      <c r="J551" s="7" t="s">
        <v>5726</v>
      </c>
      <c r="K551" s="7" t="s">
        <v>5725</v>
      </c>
      <c r="L551" s="7" t="s">
        <v>5725</v>
      </c>
      <c r="M551" s="7" t="s">
        <v>5725</v>
      </c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</row>
    <row r="552" spans="1:37">
      <c r="A552" s="7" t="s">
        <v>2193</v>
      </c>
      <c r="B552" s="7" t="s">
        <v>2194</v>
      </c>
      <c r="C552" s="7" t="s">
        <v>2195</v>
      </c>
      <c r="D552" s="4">
        <v>5</v>
      </c>
      <c r="E552" s="5" t="s">
        <v>2196</v>
      </c>
      <c r="F552" s="7">
        <f ca="1">IFERROR(__xludf.DUMMYFUNCTION("ARRAYFORMULA(SUM(ARRAYFORMULA(IFERROR(VALUE(SPLIT(SUBSTITUTE(E552,""-"","" ""),"" "")),0))))
"),78)</f>
        <v>78</v>
      </c>
      <c r="G552" s="7" t="s">
        <v>5734</v>
      </c>
      <c r="H552" s="7" t="s">
        <v>5735</v>
      </c>
      <c r="I552" s="7" t="s">
        <v>5736</v>
      </c>
      <c r="J552" s="7" t="s">
        <v>5726</v>
      </c>
      <c r="K552" s="7" t="s">
        <v>5725</v>
      </c>
      <c r="L552" s="7" t="s">
        <v>5725</v>
      </c>
      <c r="M552" s="7" t="s">
        <v>5725</v>
      </c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</row>
    <row r="553" spans="1:37">
      <c r="A553" s="7" t="s">
        <v>2197</v>
      </c>
      <c r="B553" s="7" t="s">
        <v>2198</v>
      </c>
      <c r="C553" s="7" t="s">
        <v>2199</v>
      </c>
      <c r="D553" s="4">
        <v>4</v>
      </c>
      <c r="E553" s="5" t="s">
        <v>2200</v>
      </c>
      <c r="F553" s="7">
        <f ca="1">IFERROR(__xludf.DUMMYFUNCTION("ARRAYFORMULA(SUM(ARRAYFORMULA(IFERROR(VALUE(SPLIT(SUBSTITUTE(E553,""-"","" ""),"" "")),0))))
"),74)</f>
        <v>74</v>
      </c>
      <c r="G553" s="7" t="s">
        <v>5734</v>
      </c>
      <c r="H553" s="7" t="s">
        <v>5735</v>
      </c>
      <c r="I553" s="7" t="s">
        <v>5736</v>
      </c>
      <c r="J553" s="7" t="s">
        <v>5726</v>
      </c>
      <c r="K553" s="7" t="s">
        <v>5725</v>
      </c>
      <c r="L553" s="7" t="s">
        <v>5725</v>
      </c>
      <c r="M553" s="7" t="s">
        <v>5725</v>
      </c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</row>
    <row r="554" spans="1:37">
      <c r="A554" s="7" t="s">
        <v>2201</v>
      </c>
      <c r="B554" s="7" t="s">
        <v>2202</v>
      </c>
      <c r="C554" s="7" t="s">
        <v>2203</v>
      </c>
      <c r="D554" s="4">
        <v>4</v>
      </c>
      <c r="E554" s="5" t="s">
        <v>2204</v>
      </c>
      <c r="F554" s="7">
        <f ca="1">IFERROR(__xludf.DUMMYFUNCTION("ARRAYFORMULA(SUM(ARRAYFORMULA(IFERROR(VALUE(SPLIT(SUBSTITUTE(E554,""-"","" ""),"" "")),0))))
"),76)</f>
        <v>76</v>
      </c>
      <c r="G554" s="7" t="s">
        <v>5734</v>
      </c>
      <c r="H554" s="7" t="s">
        <v>5735</v>
      </c>
      <c r="I554" s="7" t="s">
        <v>5736</v>
      </c>
      <c r="J554" s="7" t="s">
        <v>5726</v>
      </c>
      <c r="K554" s="7" t="s">
        <v>5725</v>
      </c>
      <c r="L554" s="7" t="s">
        <v>5725</v>
      </c>
      <c r="M554" s="7" t="s">
        <v>5725</v>
      </c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</row>
    <row r="555" spans="1:37">
      <c r="A555" s="7" t="s">
        <v>2205</v>
      </c>
      <c r="B555" s="7" t="s">
        <v>2206</v>
      </c>
      <c r="C555" s="7" t="s">
        <v>2207</v>
      </c>
      <c r="D555" s="4">
        <v>4</v>
      </c>
      <c r="E555" s="5" t="s">
        <v>2208</v>
      </c>
      <c r="F555" s="7">
        <f ca="1">IFERROR(__xludf.DUMMYFUNCTION("ARRAYFORMULA(SUM(ARRAYFORMULA(IFERROR(VALUE(SPLIT(SUBSTITUTE(E555,""-"","" ""),"" "")),0))))
"),78)</f>
        <v>78</v>
      </c>
      <c r="G555" s="7" t="s">
        <v>5734</v>
      </c>
      <c r="H555" s="7" t="s">
        <v>5735</v>
      </c>
      <c r="I555" s="7" t="s">
        <v>5736</v>
      </c>
      <c r="J555" s="7" t="s">
        <v>5726</v>
      </c>
      <c r="K555" s="7" t="s">
        <v>5725</v>
      </c>
      <c r="L555" s="7" t="s">
        <v>5725</v>
      </c>
      <c r="M555" s="7" t="s">
        <v>5725</v>
      </c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</row>
    <row r="556" spans="1:37">
      <c r="A556" s="3" t="s">
        <v>2209</v>
      </c>
      <c r="B556" s="3" t="s">
        <v>2210</v>
      </c>
      <c r="C556" s="3" t="s">
        <v>2211</v>
      </c>
      <c r="D556" s="4">
        <v>3</v>
      </c>
      <c r="E556" s="8" t="s">
        <v>2212</v>
      </c>
      <c r="F556" s="7">
        <f ca="1">IFERROR(__xludf.DUMMYFUNCTION("ARRAYFORMULA(SUM(ARRAYFORMULA(IFERROR(VALUE(SPLIT(SUBSTITUTE(E556,""-"","" ""),"" "")),0))))
"),64)</f>
        <v>64</v>
      </c>
      <c r="G556" s="7" t="s">
        <v>5708</v>
      </c>
      <c r="H556" s="7" t="s">
        <v>5732</v>
      </c>
      <c r="I556" s="7" t="s">
        <v>5733</v>
      </c>
      <c r="J556" s="7" t="s">
        <v>5725</v>
      </c>
      <c r="K556" s="7" t="s">
        <v>5725</v>
      </c>
      <c r="L556" s="7" t="s">
        <v>5726</v>
      </c>
      <c r="M556" s="7" t="s">
        <v>5726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1:37">
      <c r="A557" s="7" t="s">
        <v>2213</v>
      </c>
      <c r="B557" s="7" t="s">
        <v>2214</v>
      </c>
      <c r="C557" s="7" t="s">
        <v>2215</v>
      </c>
      <c r="D557" s="4">
        <v>4</v>
      </c>
      <c r="E557" s="5" t="s">
        <v>2216</v>
      </c>
      <c r="F557" s="7">
        <f ca="1">IFERROR(__xludf.DUMMYFUNCTION("ARRAYFORMULA(SUM(ARRAYFORMULA(IFERROR(VALUE(SPLIT(SUBSTITUTE(E557,""-"","" ""),"" "")),0))))
"),66)</f>
        <v>66</v>
      </c>
      <c r="G557" s="7" t="s">
        <v>5734</v>
      </c>
      <c r="H557" s="7" t="s">
        <v>5735</v>
      </c>
      <c r="I557" s="7" t="s">
        <v>5736</v>
      </c>
      <c r="J557" s="7" t="s">
        <v>5726</v>
      </c>
      <c r="K557" s="7" t="s">
        <v>5725</v>
      </c>
      <c r="L557" s="7" t="s">
        <v>5725</v>
      </c>
      <c r="M557" s="7" t="s">
        <v>5725</v>
      </c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</row>
    <row r="558" spans="1:37">
      <c r="A558" s="7" t="s">
        <v>2217</v>
      </c>
      <c r="B558" s="7" t="s">
        <v>2218</v>
      </c>
      <c r="C558" s="7" t="s">
        <v>2219</v>
      </c>
      <c r="D558" s="4">
        <v>4</v>
      </c>
      <c r="E558" s="5" t="s">
        <v>2220</v>
      </c>
      <c r="F558" s="7">
        <f ca="1">IFERROR(__xludf.DUMMYFUNCTION("ARRAYFORMULA(SUM(ARRAYFORMULA(IFERROR(VALUE(SPLIT(SUBSTITUTE(E558,""-"","" ""),"" "")),0))))
"),68)</f>
        <v>68</v>
      </c>
      <c r="G558" s="7" t="s">
        <v>5734</v>
      </c>
      <c r="H558" s="7" t="s">
        <v>5735</v>
      </c>
      <c r="I558" s="7" t="s">
        <v>5736</v>
      </c>
      <c r="J558" s="7" t="s">
        <v>5726</v>
      </c>
      <c r="K558" s="7" t="s">
        <v>5725</v>
      </c>
      <c r="L558" s="7" t="s">
        <v>5725</v>
      </c>
      <c r="M558" s="7" t="s">
        <v>5725</v>
      </c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</row>
    <row r="559" spans="1:37">
      <c r="A559" s="3" t="s">
        <v>2221</v>
      </c>
      <c r="B559" s="3" t="s">
        <v>2222</v>
      </c>
      <c r="C559" s="3" t="s">
        <v>2223</v>
      </c>
      <c r="D559" s="4">
        <v>3</v>
      </c>
      <c r="E559" s="8" t="s">
        <v>2224</v>
      </c>
      <c r="F559" s="7">
        <f ca="1">IFERROR(__xludf.DUMMYFUNCTION("ARRAYFORMULA(SUM(ARRAYFORMULA(IFERROR(VALUE(SPLIT(SUBSTITUTE(E559,""-"","" ""),"" "")),0))))
"),66)</f>
        <v>66</v>
      </c>
      <c r="G559" s="7" t="s">
        <v>5708</v>
      </c>
      <c r="H559" s="7" t="s">
        <v>5732</v>
      </c>
      <c r="I559" s="7" t="s">
        <v>5733</v>
      </c>
      <c r="J559" s="7" t="s">
        <v>5725</v>
      </c>
      <c r="K559" s="7" t="s">
        <v>5725</v>
      </c>
      <c r="L559" s="7" t="s">
        <v>5726</v>
      </c>
      <c r="M559" s="7" t="s">
        <v>5726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1:37">
      <c r="A560" s="7" t="s">
        <v>2225</v>
      </c>
      <c r="B560" s="7" t="s">
        <v>2226</v>
      </c>
      <c r="C560" s="7" t="s">
        <v>2227</v>
      </c>
      <c r="D560" s="4">
        <v>4</v>
      </c>
      <c r="E560" s="5" t="s">
        <v>2228</v>
      </c>
      <c r="F560" s="7">
        <f ca="1">IFERROR(__xludf.DUMMYFUNCTION("ARRAYFORMULA(SUM(ARRAYFORMULA(IFERROR(VALUE(SPLIT(SUBSTITUTE(E560,""-"","" ""),"" "")),0))))
"),68)</f>
        <v>68</v>
      </c>
      <c r="G560" s="7" t="s">
        <v>5734</v>
      </c>
      <c r="H560" s="7" t="s">
        <v>5735</v>
      </c>
      <c r="I560" s="7" t="s">
        <v>5736</v>
      </c>
      <c r="J560" s="7" t="s">
        <v>5726</v>
      </c>
      <c r="K560" s="7" t="s">
        <v>5725</v>
      </c>
      <c r="L560" s="7" t="s">
        <v>5725</v>
      </c>
      <c r="M560" s="7" t="s">
        <v>5725</v>
      </c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</row>
    <row r="561" spans="1:37">
      <c r="A561" s="7" t="s">
        <v>2229</v>
      </c>
      <c r="B561" s="7" t="s">
        <v>2230</v>
      </c>
      <c r="C561" s="7" t="s">
        <v>2231</v>
      </c>
      <c r="D561" s="4">
        <v>4</v>
      </c>
      <c r="E561" s="5" t="s">
        <v>2232</v>
      </c>
      <c r="F561" s="7">
        <f ca="1">IFERROR(__xludf.DUMMYFUNCTION("ARRAYFORMULA(SUM(ARRAYFORMULA(IFERROR(VALUE(SPLIT(SUBSTITUTE(E561,""-"","" ""),"" "")),0))))
"),70)</f>
        <v>70</v>
      </c>
      <c r="G561" s="7" t="s">
        <v>5734</v>
      </c>
      <c r="H561" s="7" t="s">
        <v>5735</v>
      </c>
      <c r="I561" s="7" t="s">
        <v>5736</v>
      </c>
      <c r="J561" s="7" t="s">
        <v>5726</v>
      </c>
      <c r="K561" s="7" t="s">
        <v>5725</v>
      </c>
      <c r="L561" s="7" t="s">
        <v>5725</v>
      </c>
      <c r="M561" s="7" t="s">
        <v>5725</v>
      </c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</row>
    <row r="562" spans="1:37">
      <c r="A562" s="7" t="s">
        <v>2233</v>
      </c>
      <c r="B562" s="7" t="s">
        <v>2234</v>
      </c>
      <c r="C562" s="7" t="s">
        <v>2235</v>
      </c>
      <c r="D562" s="4">
        <v>4</v>
      </c>
      <c r="E562" s="5" t="s">
        <v>2236</v>
      </c>
      <c r="F562" s="7">
        <f ca="1">IFERROR(__xludf.DUMMYFUNCTION("ARRAYFORMULA(SUM(ARRAYFORMULA(IFERROR(VALUE(SPLIT(SUBSTITUTE(E562,""-"","" ""),"" "")),0))))
"),72)</f>
        <v>72</v>
      </c>
      <c r="G562" s="7" t="s">
        <v>5734</v>
      </c>
      <c r="H562" s="7" t="s">
        <v>5735</v>
      </c>
      <c r="I562" s="7" t="s">
        <v>5736</v>
      </c>
      <c r="J562" s="7" t="s">
        <v>5726</v>
      </c>
      <c r="K562" s="7" t="s">
        <v>5725</v>
      </c>
      <c r="L562" s="7" t="s">
        <v>5725</v>
      </c>
      <c r="M562" s="7" t="s">
        <v>5725</v>
      </c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</row>
    <row r="563" spans="1:37">
      <c r="A563" s="7" t="s">
        <v>2237</v>
      </c>
      <c r="B563" s="7" t="s">
        <v>2238</v>
      </c>
      <c r="C563" s="7" t="s">
        <v>2239</v>
      </c>
      <c r="D563" s="4">
        <v>4</v>
      </c>
      <c r="E563" s="5" t="s">
        <v>2240</v>
      </c>
      <c r="F563" s="7">
        <f ca="1">IFERROR(__xludf.DUMMYFUNCTION("ARRAYFORMULA(SUM(ARRAYFORMULA(IFERROR(VALUE(SPLIT(SUBSTITUTE(E563,""-"","" ""),"" "")),0))))
"),74)</f>
        <v>74</v>
      </c>
      <c r="G563" s="7" t="s">
        <v>5734</v>
      </c>
      <c r="H563" s="7" t="s">
        <v>5735</v>
      </c>
      <c r="I563" s="7" t="s">
        <v>5736</v>
      </c>
      <c r="J563" s="7" t="s">
        <v>5726</v>
      </c>
      <c r="K563" s="7" t="s">
        <v>5725</v>
      </c>
      <c r="L563" s="7" t="s">
        <v>5725</v>
      </c>
      <c r="M563" s="7" t="s">
        <v>5725</v>
      </c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</row>
    <row r="564" spans="1:37">
      <c r="A564" s="7" t="s">
        <v>2241</v>
      </c>
      <c r="B564" s="7" t="s">
        <v>2242</v>
      </c>
      <c r="C564" s="7" t="s">
        <v>2243</v>
      </c>
      <c r="D564" s="4">
        <v>4</v>
      </c>
      <c r="E564" s="5" t="s">
        <v>2244</v>
      </c>
      <c r="F564" s="7">
        <f ca="1">IFERROR(__xludf.DUMMYFUNCTION("ARRAYFORMULA(SUM(ARRAYFORMULA(IFERROR(VALUE(SPLIT(SUBSTITUTE(E564,""-"","" ""),"" "")),0))))
"),76)</f>
        <v>76</v>
      </c>
      <c r="G564" s="7" t="s">
        <v>5734</v>
      </c>
      <c r="H564" s="7" t="s">
        <v>5735</v>
      </c>
      <c r="I564" s="7" t="s">
        <v>5736</v>
      </c>
      <c r="J564" s="7" t="s">
        <v>5726</v>
      </c>
      <c r="K564" s="7" t="s">
        <v>5725</v>
      </c>
      <c r="L564" s="7" t="s">
        <v>5725</v>
      </c>
      <c r="M564" s="7" t="s">
        <v>5725</v>
      </c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</row>
    <row r="565" spans="1:37">
      <c r="A565" s="7" t="s">
        <v>2245</v>
      </c>
      <c r="B565" s="7" t="s">
        <v>2246</v>
      </c>
      <c r="C565" s="7" t="s">
        <v>2247</v>
      </c>
      <c r="D565" s="4">
        <v>4</v>
      </c>
      <c r="E565" s="5" t="s">
        <v>2248</v>
      </c>
      <c r="F565" s="7">
        <f ca="1">IFERROR(__xludf.DUMMYFUNCTION("ARRAYFORMULA(SUM(ARRAYFORMULA(IFERROR(VALUE(SPLIT(SUBSTITUTE(E565,""-"","" ""),"" "")),0))))
"),78)</f>
        <v>78</v>
      </c>
      <c r="G565" s="7" t="s">
        <v>5734</v>
      </c>
      <c r="H565" s="7" t="s">
        <v>5735</v>
      </c>
      <c r="I565" s="7" t="s">
        <v>5736</v>
      </c>
      <c r="J565" s="7" t="s">
        <v>5726</v>
      </c>
      <c r="K565" s="7" t="s">
        <v>5725</v>
      </c>
      <c r="L565" s="7" t="s">
        <v>5725</v>
      </c>
      <c r="M565" s="7" t="s">
        <v>5725</v>
      </c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</row>
    <row r="566" spans="1:37">
      <c r="A566" s="7" t="s">
        <v>2249</v>
      </c>
      <c r="B566" s="7" t="s">
        <v>2250</v>
      </c>
      <c r="C566" s="7" t="s">
        <v>2251</v>
      </c>
      <c r="D566" s="4">
        <v>4</v>
      </c>
      <c r="E566" s="5" t="s">
        <v>2252</v>
      </c>
      <c r="F566" s="7">
        <f ca="1">IFERROR(__xludf.DUMMYFUNCTION("ARRAYFORMULA(SUM(ARRAYFORMULA(IFERROR(VALUE(SPLIT(SUBSTITUTE(E566,""-"","" ""),"" "")),0))))
"),80)</f>
        <v>80</v>
      </c>
      <c r="G566" s="7" t="s">
        <v>5734</v>
      </c>
      <c r="H566" s="7" t="s">
        <v>5735</v>
      </c>
      <c r="I566" s="7" t="s">
        <v>5736</v>
      </c>
      <c r="J566" s="7" t="s">
        <v>5726</v>
      </c>
      <c r="K566" s="7" t="s">
        <v>5725</v>
      </c>
      <c r="L566" s="7" t="s">
        <v>5725</v>
      </c>
      <c r="M566" s="7" t="s">
        <v>5725</v>
      </c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</row>
    <row r="567" spans="1:37">
      <c r="A567" s="7" t="s">
        <v>2253</v>
      </c>
      <c r="B567" s="7" t="s">
        <v>2254</v>
      </c>
      <c r="C567" s="7" t="s">
        <v>2255</v>
      </c>
      <c r="D567" s="4">
        <v>4</v>
      </c>
      <c r="E567" s="5" t="s">
        <v>2256</v>
      </c>
      <c r="F567" s="7">
        <f ca="1">IFERROR(__xludf.DUMMYFUNCTION("ARRAYFORMULA(SUM(ARRAYFORMULA(IFERROR(VALUE(SPLIT(SUBSTITUTE(E567,""-"","" ""),"" "")),0))))
"),82)</f>
        <v>82</v>
      </c>
      <c r="G567" s="7" t="s">
        <v>5734</v>
      </c>
      <c r="H567" s="7" t="s">
        <v>5735</v>
      </c>
      <c r="I567" s="7" t="s">
        <v>5736</v>
      </c>
      <c r="J567" s="7" t="s">
        <v>5726</v>
      </c>
      <c r="K567" s="7" t="s">
        <v>5725</v>
      </c>
      <c r="L567" s="7" t="s">
        <v>5725</v>
      </c>
      <c r="M567" s="7" t="s">
        <v>5725</v>
      </c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</row>
    <row r="568" spans="1:37">
      <c r="A568" s="3" t="s">
        <v>2257</v>
      </c>
      <c r="B568" s="3" t="s">
        <v>2258</v>
      </c>
      <c r="C568" s="3" t="s">
        <v>2259</v>
      </c>
      <c r="D568" s="4">
        <v>3</v>
      </c>
      <c r="E568" s="8" t="s">
        <v>2260</v>
      </c>
      <c r="F568" s="7">
        <f ca="1">IFERROR(__xludf.DUMMYFUNCTION("ARRAYFORMULA(SUM(ARRAYFORMULA(IFERROR(VALUE(SPLIT(SUBSTITUTE(E568,""-"","" ""),"" "")),0))))
"),68)</f>
        <v>68</v>
      </c>
      <c r="G568" s="7" t="s">
        <v>5708</v>
      </c>
      <c r="H568" s="7" t="s">
        <v>5732</v>
      </c>
      <c r="I568" s="7" t="s">
        <v>5733</v>
      </c>
      <c r="J568" s="7" t="s">
        <v>5725</v>
      </c>
      <c r="K568" s="7" t="s">
        <v>5725</v>
      </c>
      <c r="L568" s="7" t="s">
        <v>5726</v>
      </c>
      <c r="M568" s="7" t="s">
        <v>5726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1:37">
      <c r="A569" s="7" t="s">
        <v>2261</v>
      </c>
      <c r="B569" s="7" t="s">
        <v>2262</v>
      </c>
      <c r="C569" s="7" t="s">
        <v>2263</v>
      </c>
      <c r="D569" s="4">
        <v>4</v>
      </c>
      <c r="E569" s="5" t="s">
        <v>2264</v>
      </c>
      <c r="F569" s="7">
        <f ca="1">IFERROR(__xludf.DUMMYFUNCTION("ARRAYFORMULA(SUM(ARRAYFORMULA(IFERROR(VALUE(SPLIT(SUBSTITUTE(E569,""-"","" ""),"" "")),0))))
"),70)</f>
        <v>70</v>
      </c>
      <c r="G569" s="7" t="s">
        <v>5734</v>
      </c>
      <c r="H569" s="7" t="s">
        <v>5735</v>
      </c>
      <c r="I569" s="7" t="s">
        <v>5736</v>
      </c>
      <c r="J569" s="7" t="s">
        <v>5726</v>
      </c>
      <c r="K569" s="7" t="s">
        <v>5725</v>
      </c>
      <c r="L569" s="7" t="s">
        <v>5725</v>
      </c>
      <c r="M569" s="7" t="s">
        <v>5725</v>
      </c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</row>
    <row r="570" spans="1:37">
      <c r="A570" s="7" t="s">
        <v>2265</v>
      </c>
      <c r="B570" s="7" t="s">
        <v>2266</v>
      </c>
      <c r="C570" s="7" t="s">
        <v>2267</v>
      </c>
      <c r="D570" s="4">
        <v>4</v>
      </c>
      <c r="E570" s="5" t="s">
        <v>2268</v>
      </c>
      <c r="F570" s="7">
        <f ca="1">IFERROR(__xludf.DUMMYFUNCTION("ARRAYFORMULA(SUM(ARRAYFORMULA(IFERROR(VALUE(SPLIT(SUBSTITUTE(E570,""-"","" ""),"" "")),0))))
"),72)</f>
        <v>72</v>
      </c>
      <c r="G570" s="7" t="s">
        <v>5734</v>
      </c>
      <c r="H570" s="7" t="s">
        <v>5735</v>
      </c>
      <c r="I570" s="7" t="s">
        <v>5736</v>
      </c>
      <c r="J570" s="7" t="s">
        <v>5726</v>
      </c>
      <c r="K570" s="7" t="s">
        <v>5725</v>
      </c>
      <c r="L570" s="7" t="s">
        <v>5725</v>
      </c>
      <c r="M570" s="7" t="s">
        <v>5725</v>
      </c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</row>
    <row r="571" spans="1:37">
      <c r="A571" s="7" t="s">
        <v>2269</v>
      </c>
      <c r="B571" s="7" t="s">
        <v>2270</v>
      </c>
      <c r="C571" s="7" t="s">
        <v>2271</v>
      </c>
      <c r="D571" s="4">
        <v>4</v>
      </c>
      <c r="E571" s="5" t="s">
        <v>2272</v>
      </c>
      <c r="F571" s="7">
        <f ca="1">IFERROR(__xludf.DUMMYFUNCTION("ARRAYFORMULA(SUM(ARRAYFORMULA(IFERROR(VALUE(SPLIT(SUBSTITUTE(E571,""-"","" ""),"" "")),0))))
"),74)</f>
        <v>74</v>
      </c>
      <c r="G571" s="7" t="s">
        <v>5734</v>
      </c>
      <c r="H571" s="7" t="s">
        <v>5735</v>
      </c>
      <c r="I571" s="7" t="s">
        <v>5736</v>
      </c>
      <c r="J571" s="7" t="s">
        <v>5726</v>
      </c>
      <c r="K571" s="7" t="s">
        <v>5725</v>
      </c>
      <c r="L571" s="7" t="s">
        <v>5725</v>
      </c>
      <c r="M571" s="7" t="s">
        <v>5725</v>
      </c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</row>
    <row r="572" spans="1:37">
      <c r="A572" s="7" t="s">
        <v>2273</v>
      </c>
      <c r="B572" s="7" t="s">
        <v>2274</v>
      </c>
      <c r="C572" s="7" t="s">
        <v>2275</v>
      </c>
      <c r="D572" s="4">
        <v>4</v>
      </c>
      <c r="E572" s="5" t="s">
        <v>2276</v>
      </c>
      <c r="F572" s="7">
        <f ca="1">IFERROR(__xludf.DUMMYFUNCTION("ARRAYFORMULA(SUM(ARRAYFORMULA(IFERROR(VALUE(SPLIT(SUBSTITUTE(E572,""-"","" ""),"" "")),0))))
"),76)</f>
        <v>76</v>
      </c>
      <c r="G572" s="7" t="s">
        <v>5734</v>
      </c>
      <c r="H572" s="7" t="s">
        <v>5735</v>
      </c>
      <c r="I572" s="7" t="s">
        <v>5736</v>
      </c>
      <c r="J572" s="7" t="s">
        <v>5726</v>
      </c>
      <c r="K572" s="7" t="s">
        <v>5725</v>
      </c>
      <c r="L572" s="7" t="s">
        <v>5725</v>
      </c>
      <c r="M572" s="7" t="s">
        <v>5725</v>
      </c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</row>
    <row r="573" spans="1:37">
      <c r="A573" s="7" t="s">
        <v>2277</v>
      </c>
      <c r="B573" s="7" t="s">
        <v>2278</v>
      </c>
      <c r="C573" s="7" t="s">
        <v>2279</v>
      </c>
      <c r="D573" s="4">
        <v>4</v>
      </c>
      <c r="E573" s="5" t="s">
        <v>2280</v>
      </c>
      <c r="F573" s="7">
        <f ca="1">IFERROR(__xludf.DUMMYFUNCTION("ARRAYFORMULA(SUM(ARRAYFORMULA(IFERROR(VALUE(SPLIT(SUBSTITUTE(E573,""-"","" ""),"" "")),0))))
"),78)</f>
        <v>78</v>
      </c>
      <c r="G573" s="7" t="s">
        <v>5734</v>
      </c>
      <c r="H573" s="7" t="s">
        <v>5735</v>
      </c>
      <c r="I573" s="7" t="s">
        <v>5736</v>
      </c>
      <c r="J573" s="7" t="s">
        <v>5726</v>
      </c>
      <c r="K573" s="7" t="s">
        <v>5725</v>
      </c>
      <c r="L573" s="7" t="s">
        <v>5725</v>
      </c>
      <c r="M573" s="7" t="s">
        <v>5725</v>
      </c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</row>
    <row r="574" spans="1:37">
      <c r="A574" s="7" t="s">
        <v>4784</v>
      </c>
      <c r="B574" s="7" t="s">
        <v>4785</v>
      </c>
      <c r="C574" s="7" t="s">
        <v>2282</v>
      </c>
      <c r="D574" s="4">
        <v>4</v>
      </c>
      <c r="E574" s="5" t="s">
        <v>2283</v>
      </c>
      <c r="F574" s="7">
        <f ca="1">IFERROR(__xludf.DUMMYFUNCTION("ARRAYFORMULA(SUM(ARRAYFORMULA(IFERROR(VALUE(SPLIT(SUBSTITUTE(E574,""-"","" ""),"" "")),0))))
"),5030)</f>
        <v>5030</v>
      </c>
      <c r="G574" s="7" t="s">
        <v>5734</v>
      </c>
      <c r="H574" s="7" t="s">
        <v>5735</v>
      </c>
      <c r="I574" s="7" t="s">
        <v>5736</v>
      </c>
      <c r="J574" s="7" t="s">
        <v>5726</v>
      </c>
      <c r="K574" s="7" t="s">
        <v>5725</v>
      </c>
      <c r="L574" s="7" t="s">
        <v>5725</v>
      </c>
      <c r="M574" s="7" t="s">
        <v>5725</v>
      </c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</row>
    <row r="575" spans="1:37">
      <c r="A575" s="7" t="s">
        <v>2284</v>
      </c>
      <c r="B575" s="7" t="s">
        <v>2285</v>
      </c>
      <c r="C575" s="7" t="s">
        <v>2286</v>
      </c>
      <c r="D575" s="4">
        <v>4</v>
      </c>
      <c r="E575" s="5" t="s">
        <v>2287</v>
      </c>
      <c r="F575" s="7">
        <f ca="1">IFERROR(__xludf.DUMMYFUNCTION("ARRAYFORMULA(SUM(ARRAYFORMULA(IFERROR(VALUE(SPLIT(SUBSTITUTE(E575,""-"","" ""),"" "")),0))))
"),82)</f>
        <v>82</v>
      </c>
      <c r="G575" s="7" t="s">
        <v>5734</v>
      </c>
      <c r="H575" s="7" t="s">
        <v>5735</v>
      </c>
      <c r="I575" s="7" t="s">
        <v>5736</v>
      </c>
      <c r="J575" s="7" t="s">
        <v>5726</v>
      </c>
      <c r="K575" s="7" t="s">
        <v>5725</v>
      </c>
      <c r="L575" s="7" t="s">
        <v>5725</v>
      </c>
      <c r="M575" s="7" t="s">
        <v>5725</v>
      </c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</row>
    <row r="576" spans="1:37">
      <c r="A576" s="7" t="s">
        <v>2288</v>
      </c>
      <c r="B576" s="7" t="s">
        <v>2289</v>
      </c>
      <c r="C576" s="7" t="s">
        <v>2290</v>
      </c>
      <c r="D576" s="4">
        <v>4</v>
      </c>
      <c r="E576" s="5" t="s">
        <v>2291</v>
      </c>
      <c r="F576" s="7">
        <f ca="1">IFERROR(__xludf.DUMMYFUNCTION("ARRAYFORMULA(SUM(ARRAYFORMULA(IFERROR(VALUE(SPLIT(SUBSTITUTE(E576,""-"","" ""),"" "")),0))))
"),84)</f>
        <v>84</v>
      </c>
      <c r="G576" s="7" t="s">
        <v>5734</v>
      </c>
      <c r="H576" s="7" t="s">
        <v>5735</v>
      </c>
      <c r="I576" s="7" t="s">
        <v>5736</v>
      </c>
      <c r="J576" s="7" t="s">
        <v>5726</v>
      </c>
      <c r="K576" s="7" t="s">
        <v>5725</v>
      </c>
      <c r="L576" s="7" t="s">
        <v>5725</v>
      </c>
      <c r="M576" s="7" t="s">
        <v>5725</v>
      </c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</row>
    <row r="577" spans="1:37">
      <c r="A577" s="7" t="s">
        <v>2292</v>
      </c>
      <c r="B577" s="7" t="s">
        <v>2293</v>
      </c>
      <c r="C577" s="7" t="s">
        <v>2294</v>
      </c>
      <c r="D577" s="4">
        <v>4</v>
      </c>
      <c r="E577" s="5" t="s">
        <v>2295</v>
      </c>
      <c r="F577" s="7">
        <f ca="1">IFERROR(__xludf.DUMMYFUNCTION("ARRAYFORMULA(SUM(ARRAYFORMULA(IFERROR(VALUE(SPLIT(SUBSTITUTE(E577,""-"","" ""),"" "")),0))))
"),86)</f>
        <v>86</v>
      </c>
      <c r="G577" s="7" t="s">
        <v>5734</v>
      </c>
      <c r="H577" s="7" t="s">
        <v>5735</v>
      </c>
      <c r="I577" s="7" t="s">
        <v>5736</v>
      </c>
      <c r="J577" s="7" t="s">
        <v>5726</v>
      </c>
      <c r="K577" s="7" t="s">
        <v>5725</v>
      </c>
      <c r="L577" s="7" t="s">
        <v>5725</v>
      </c>
      <c r="M577" s="7" t="s">
        <v>5725</v>
      </c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</row>
    <row r="578" spans="1:37">
      <c r="A578" s="7" t="s">
        <v>2296</v>
      </c>
      <c r="B578" s="7" t="s">
        <v>2297</v>
      </c>
      <c r="C578" s="7" t="s">
        <v>2298</v>
      </c>
      <c r="D578" s="4">
        <v>4</v>
      </c>
      <c r="E578" s="5" t="s">
        <v>2299</v>
      </c>
      <c r="F578" s="7">
        <f ca="1">IFERROR(__xludf.DUMMYFUNCTION("ARRAYFORMULA(SUM(ARRAYFORMULA(IFERROR(VALUE(SPLIT(SUBSTITUTE(E578,""-"","" ""),"" "")),0))))
"),88)</f>
        <v>88</v>
      </c>
      <c r="G578" s="7" t="s">
        <v>5734</v>
      </c>
      <c r="H578" s="7" t="s">
        <v>5735</v>
      </c>
      <c r="I578" s="7" t="s">
        <v>5736</v>
      </c>
      <c r="J578" s="7" t="s">
        <v>5726</v>
      </c>
      <c r="K578" s="7" t="s">
        <v>5725</v>
      </c>
      <c r="L578" s="7" t="s">
        <v>5725</v>
      </c>
      <c r="M578" s="7" t="s">
        <v>5725</v>
      </c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</row>
    <row r="579" spans="1:37">
      <c r="A579" s="7" t="s">
        <v>2300</v>
      </c>
      <c r="B579" s="7" t="s">
        <v>2301</v>
      </c>
      <c r="C579" s="7" t="s">
        <v>2302</v>
      </c>
      <c r="D579" s="4">
        <v>4</v>
      </c>
      <c r="E579" s="5" t="s">
        <v>2303</v>
      </c>
      <c r="F579" s="7">
        <f ca="1">IFERROR(__xludf.DUMMYFUNCTION("ARRAYFORMULA(SUM(ARRAYFORMULA(IFERROR(VALUE(SPLIT(SUBSTITUTE(E579,""-"","" ""),"" "")),0))))
"),90)</f>
        <v>90</v>
      </c>
      <c r="G579" s="7" t="s">
        <v>5734</v>
      </c>
      <c r="H579" s="7" t="s">
        <v>5735</v>
      </c>
      <c r="I579" s="7" t="s">
        <v>5736</v>
      </c>
      <c r="J579" s="7" t="s">
        <v>5726</v>
      </c>
      <c r="K579" s="7" t="s">
        <v>5725</v>
      </c>
      <c r="L579" s="7" t="s">
        <v>5725</v>
      </c>
      <c r="M579" s="7" t="s">
        <v>5725</v>
      </c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</row>
    <row r="580" spans="1:37">
      <c r="A580" s="3" t="s">
        <v>2304</v>
      </c>
      <c r="B580" s="3" t="s">
        <v>2305</v>
      </c>
      <c r="C580" s="3" t="s">
        <v>2306</v>
      </c>
      <c r="D580" s="4">
        <v>3</v>
      </c>
      <c r="E580" s="8" t="s">
        <v>2307</v>
      </c>
      <c r="F580" s="7">
        <f ca="1">IFERROR(__xludf.DUMMYFUNCTION("ARRAYFORMULA(SUM(ARRAYFORMULA(IFERROR(VALUE(SPLIT(SUBSTITUTE(E580,""-"","" ""),"" "")),0))))
"),70)</f>
        <v>70</v>
      </c>
      <c r="G580" s="7" t="s">
        <v>5708</v>
      </c>
      <c r="H580" s="7" t="s">
        <v>5732</v>
      </c>
      <c r="I580" s="7" t="s">
        <v>5733</v>
      </c>
      <c r="J580" s="7" t="s">
        <v>5725</v>
      </c>
      <c r="K580" s="7" t="s">
        <v>5725</v>
      </c>
      <c r="L580" s="7" t="s">
        <v>5726</v>
      </c>
      <c r="M580" s="7" t="s">
        <v>5726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1:37">
      <c r="A581" s="7" t="s">
        <v>2308</v>
      </c>
      <c r="B581" s="7" t="s">
        <v>2309</v>
      </c>
      <c r="C581" s="7" t="s">
        <v>2310</v>
      </c>
      <c r="D581" s="4">
        <v>4</v>
      </c>
      <c r="E581" s="5" t="s">
        <v>2311</v>
      </c>
      <c r="F581" s="7">
        <f ca="1">IFERROR(__xludf.DUMMYFUNCTION("ARRAYFORMULA(SUM(ARRAYFORMULA(IFERROR(VALUE(SPLIT(SUBSTITUTE(E581,""-"","" ""),"" "")),0))))
"),72)</f>
        <v>72</v>
      </c>
      <c r="G581" s="7" t="s">
        <v>5734</v>
      </c>
      <c r="H581" s="7" t="s">
        <v>5735</v>
      </c>
      <c r="I581" s="7" t="s">
        <v>5736</v>
      </c>
      <c r="J581" s="7" t="s">
        <v>5726</v>
      </c>
      <c r="K581" s="7" t="s">
        <v>5725</v>
      </c>
      <c r="L581" s="7" t="s">
        <v>5725</v>
      </c>
      <c r="M581" s="7" t="s">
        <v>5725</v>
      </c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</row>
    <row r="582" spans="1:37">
      <c r="A582" s="7" t="s">
        <v>2312</v>
      </c>
      <c r="B582" s="7" t="s">
        <v>2313</v>
      </c>
      <c r="C582" s="7" t="s">
        <v>2314</v>
      </c>
      <c r="D582" s="4">
        <v>4</v>
      </c>
      <c r="E582" s="5" t="s">
        <v>2315</v>
      </c>
      <c r="F582" s="7">
        <f ca="1">IFERROR(__xludf.DUMMYFUNCTION("ARRAYFORMULA(SUM(ARRAYFORMULA(IFERROR(VALUE(SPLIT(SUBSTITUTE(E582,""-"","" ""),"" "")),0))))
"),74)</f>
        <v>74</v>
      </c>
      <c r="G582" s="7" t="s">
        <v>5734</v>
      </c>
      <c r="H582" s="7" t="s">
        <v>5735</v>
      </c>
      <c r="I582" s="7" t="s">
        <v>5736</v>
      </c>
      <c r="J582" s="7" t="s">
        <v>5726</v>
      </c>
      <c r="K582" s="7" t="s">
        <v>5725</v>
      </c>
      <c r="L582" s="7" t="s">
        <v>5725</v>
      </c>
      <c r="M582" s="7" t="s">
        <v>5725</v>
      </c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</row>
    <row r="583" spans="1:37">
      <c r="A583" s="7" t="s">
        <v>2316</v>
      </c>
      <c r="B583" s="7" t="s">
        <v>2317</v>
      </c>
      <c r="C583" s="7" t="s">
        <v>2318</v>
      </c>
      <c r="D583" s="4">
        <v>4</v>
      </c>
      <c r="E583" s="5" t="s">
        <v>2319</v>
      </c>
      <c r="F583" s="7">
        <f ca="1">IFERROR(__xludf.DUMMYFUNCTION("ARRAYFORMULA(SUM(ARRAYFORMULA(IFERROR(VALUE(SPLIT(SUBSTITUTE(E583,""-"","" ""),"" "")),0))))
"),76)</f>
        <v>76</v>
      </c>
      <c r="G583" s="7" t="s">
        <v>5734</v>
      </c>
      <c r="H583" s="7" t="s">
        <v>5735</v>
      </c>
      <c r="I583" s="7" t="s">
        <v>5736</v>
      </c>
      <c r="J583" s="7" t="s">
        <v>5726</v>
      </c>
      <c r="K583" s="7" t="s">
        <v>5725</v>
      </c>
      <c r="L583" s="7" t="s">
        <v>5725</v>
      </c>
      <c r="M583" s="7" t="s">
        <v>5725</v>
      </c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</row>
    <row r="584" spans="1:37">
      <c r="A584" s="7" t="s">
        <v>2320</v>
      </c>
      <c r="B584" s="7" t="s">
        <v>2321</v>
      </c>
      <c r="C584" s="7" t="s">
        <v>2322</v>
      </c>
      <c r="D584" s="4">
        <v>4</v>
      </c>
      <c r="E584" s="5" t="s">
        <v>2323</v>
      </c>
      <c r="F584" s="7">
        <f ca="1">IFERROR(__xludf.DUMMYFUNCTION("ARRAYFORMULA(SUM(ARRAYFORMULA(IFERROR(VALUE(SPLIT(SUBSTITUTE(E584,""-"","" ""),"" "")),0))))
"),78)</f>
        <v>78</v>
      </c>
      <c r="G584" s="7" t="s">
        <v>5734</v>
      </c>
      <c r="H584" s="7" t="s">
        <v>5735</v>
      </c>
      <c r="I584" s="7" t="s">
        <v>5736</v>
      </c>
      <c r="J584" s="7" t="s">
        <v>5726</v>
      </c>
      <c r="K584" s="7" t="s">
        <v>5725</v>
      </c>
      <c r="L584" s="7" t="s">
        <v>5725</v>
      </c>
      <c r="M584" s="7" t="s">
        <v>5725</v>
      </c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</row>
    <row r="585" spans="1:37">
      <c r="A585" s="7" t="s">
        <v>2324</v>
      </c>
      <c r="B585" s="7" t="s">
        <v>2325</v>
      </c>
      <c r="C585" s="7" t="s">
        <v>2326</v>
      </c>
      <c r="D585" s="4">
        <v>4</v>
      </c>
      <c r="E585" s="5" t="s">
        <v>2327</v>
      </c>
      <c r="F585" s="7">
        <f ca="1">IFERROR(__xludf.DUMMYFUNCTION("ARRAYFORMULA(SUM(ARRAYFORMULA(IFERROR(VALUE(SPLIT(SUBSTITUTE(E585,""-"","" ""),"" "")),0))))
"),80)</f>
        <v>80</v>
      </c>
      <c r="G585" s="7" t="s">
        <v>5734</v>
      </c>
      <c r="H585" s="7" t="s">
        <v>5735</v>
      </c>
      <c r="I585" s="7" t="s">
        <v>5736</v>
      </c>
      <c r="J585" s="7" t="s">
        <v>5726</v>
      </c>
      <c r="K585" s="7" t="s">
        <v>5725</v>
      </c>
      <c r="L585" s="7" t="s">
        <v>5725</v>
      </c>
      <c r="M585" s="7" t="s">
        <v>5725</v>
      </c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</row>
    <row r="586" spans="1:37">
      <c r="A586" s="7" t="s">
        <v>2328</v>
      </c>
      <c r="B586" s="7" t="s">
        <v>2329</v>
      </c>
      <c r="C586" s="7" t="s">
        <v>2330</v>
      </c>
      <c r="D586" s="4">
        <v>4</v>
      </c>
      <c r="E586" s="5" t="s">
        <v>2331</v>
      </c>
      <c r="F586" s="7">
        <f ca="1">IFERROR(__xludf.DUMMYFUNCTION("ARRAYFORMULA(SUM(ARRAYFORMULA(IFERROR(VALUE(SPLIT(SUBSTITUTE(E586,""-"","" ""),"" "")),0))))
"),82)</f>
        <v>82</v>
      </c>
      <c r="G586" s="7" t="s">
        <v>5734</v>
      </c>
      <c r="H586" s="7" t="s">
        <v>5735</v>
      </c>
      <c r="I586" s="7" t="s">
        <v>5736</v>
      </c>
      <c r="J586" s="7" t="s">
        <v>5726</v>
      </c>
      <c r="K586" s="7" t="s">
        <v>5725</v>
      </c>
      <c r="L586" s="7" t="s">
        <v>5725</v>
      </c>
      <c r="M586" s="7" t="s">
        <v>5725</v>
      </c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</row>
    <row r="587" spans="1:37">
      <c r="A587" s="7" t="s">
        <v>2332</v>
      </c>
      <c r="B587" s="7" t="s">
        <v>2333</v>
      </c>
      <c r="C587" s="7" t="s">
        <v>2334</v>
      </c>
      <c r="D587" s="4">
        <v>4</v>
      </c>
      <c r="E587" s="5" t="s">
        <v>2335</v>
      </c>
      <c r="F587" s="7">
        <f ca="1">IFERROR(__xludf.DUMMYFUNCTION("ARRAYFORMULA(SUM(ARRAYFORMULA(IFERROR(VALUE(SPLIT(SUBSTITUTE(E587,""-"","" ""),"" "")),0))))
"),84)</f>
        <v>84</v>
      </c>
      <c r="G587" s="7" t="s">
        <v>5734</v>
      </c>
      <c r="H587" s="7" t="s">
        <v>5735</v>
      </c>
      <c r="I587" s="7" t="s">
        <v>5736</v>
      </c>
      <c r="J587" s="7" t="s">
        <v>5726</v>
      </c>
      <c r="K587" s="7" t="s">
        <v>5725</v>
      </c>
      <c r="L587" s="7" t="s">
        <v>5725</v>
      </c>
      <c r="M587" s="7" t="s">
        <v>5725</v>
      </c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</row>
    <row r="588" spans="1:37">
      <c r="A588" s="7" t="s">
        <v>2336</v>
      </c>
      <c r="B588" s="7" t="s">
        <v>2337</v>
      </c>
      <c r="C588" s="7" t="s">
        <v>2338</v>
      </c>
      <c r="D588" s="4">
        <v>4</v>
      </c>
      <c r="E588" s="5" t="s">
        <v>2339</v>
      </c>
      <c r="F588" s="7">
        <f ca="1">IFERROR(__xludf.DUMMYFUNCTION("ARRAYFORMULA(SUM(ARRAYFORMULA(IFERROR(VALUE(SPLIT(SUBSTITUTE(E588,""-"","" ""),"" "")),0))))
"),86)</f>
        <v>86</v>
      </c>
      <c r="G588" s="7" t="s">
        <v>5734</v>
      </c>
      <c r="H588" s="7" t="s">
        <v>5735</v>
      </c>
      <c r="I588" s="7" t="s">
        <v>5736</v>
      </c>
      <c r="J588" s="7" t="s">
        <v>5726</v>
      </c>
      <c r="K588" s="7" t="s">
        <v>5725</v>
      </c>
      <c r="L588" s="7" t="s">
        <v>5725</v>
      </c>
      <c r="M588" s="7" t="s">
        <v>5725</v>
      </c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</row>
    <row r="589" spans="1:37">
      <c r="A589" s="7" t="s">
        <v>2340</v>
      </c>
      <c r="B589" s="7" t="s">
        <v>2341</v>
      </c>
      <c r="C589" s="7" t="s">
        <v>2342</v>
      </c>
      <c r="D589" s="4">
        <v>4</v>
      </c>
      <c r="E589" s="5" t="s">
        <v>2343</v>
      </c>
      <c r="F589" s="7">
        <f ca="1">IFERROR(__xludf.DUMMYFUNCTION("ARRAYFORMULA(SUM(ARRAYFORMULA(IFERROR(VALUE(SPLIT(SUBSTITUTE(E589,""-"","" ""),"" "")),0))))
"),88)</f>
        <v>88</v>
      </c>
      <c r="G589" s="7" t="s">
        <v>5734</v>
      </c>
      <c r="H589" s="7" t="s">
        <v>5735</v>
      </c>
      <c r="I589" s="7" t="s">
        <v>5736</v>
      </c>
      <c r="J589" s="7" t="s">
        <v>5726</v>
      </c>
      <c r="K589" s="7" t="s">
        <v>5725</v>
      </c>
      <c r="L589" s="7" t="s">
        <v>5725</v>
      </c>
      <c r="M589" s="7" t="s">
        <v>5725</v>
      </c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</row>
    <row r="590" spans="1:37">
      <c r="A590" s="7" t="s">
        <v>2344</v>
      </c>
      <c r="B590" s="7" t="s">
        <v>2345</v>
      </c>
      <c r="C590" s="7" t="s">
        <v>2346</v>
      </c>
      <c r="D590" s="4">
        <v>4</v>
      </c>
      <c r="E590" s="5" t="s">
        <v>2347</v>
      </c>
      <c r="F590" s="7">
        <f ca="1">IFERROR(__xludf.DUMMYFUNCTION("ARRAYFORMULA(SUM(ARRAYFORMULA(IFERROR(VALUE(SPLIT(SUBSTITUTE(E590,""-"","" ""),"" "")),0))))
"),90)</f>
        <v>90</v>
      </c>
      <c r="G590" s="7" t="s">
        <v>5734</v>
      </c>
      <c r="H590" s="7" t="s">
        <v>5735</v>
      </c>
      <c r="I590" s="7" t="s">
        <v>5736</v>
      </c>
      <c r="J590" s="7" t="s">
        <v>5726</v>
      </c>
      <c r="K590" s="7" t="s">
        <v>5725</v>
      </c>
      <c r="L590" s="7" t="s">
        <v>5725</v>
      </c>
      <c r="M590" s="7" t="s">
        <v>5725</v>
      </c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</row>
    <row r="591" spans="1:37">
      <c r="A591" s="7" t="s">
        <v>2348</v>
      </c>
      <c r="B591" s="7" t="s">
        <v>2349</v>
      </c>
      <c r="C591" s="7" t="s">
        <v>2350</v>
      </c>
      <c r="D591" s="4">
        <v>4</v>
      </c>
      <c r="E591" s="5" t="s">
        <v>2351</v>
      </c>
      <c r="F591" s="7">
        <f ca="1">IFERROR(__xludf.DUMMYFUNCTION("ARRAYFORMULA(SUM(ARRAYFORMULA(IFERROR(VALUE(SPLIT(SUBSTITUTE(E591,""-"","" ""),"" "")),0))))
"),92)</f>
        <v>92</v>
      </c>
      <c r="G591" s="7" t="s">
        <v>5734</v>
      </c>
      <c r="H591" s="7" t="s">
        <v>5735</v>
      </c>
      <c r="I591" s="7" t="s">
        <v>5736</v>
      </c>
      <c r="J591" s="7" t="s">
        <v>5726</v>
      </c>
      <c r="K591" s="7" t="s">
        <v>5725</v>
      </c>
      <c r="L591" s="7" t="s">
        <v>5725</v>
      </c>
      <c r="M591" s="7" t="s">
        <v>5725</v>
      </c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</row>
    <row r="592" spans="1:37">
      <c r="A592" s="7" t="s">
        <v>2352</v>
      </c>
      <c r="B592" s="7" t="s">
        <v>2353</v>
      </c>
      <c r="C592" s="7" t="s">
        <v>2354</v>
      </c>
      <c r="D592" s="4">
        <v>4</v>
      </c>
      <c r="E592" s="5" t="s">
        <v>2355</v>
      </c>
      <c r="F592" s="7">
        <f ca="1">IFERROR(__xludf.DUMMYFUNCTION("ARRAYFORMULA(SUM(ARRAYFORMULA(IFERROR(VALUE(SPLIT(SUBSTITUTE(E592,""-"","" ""),"" "")),0))))
"),94)</f>
        <v>94</v>
      </c>
      <c r="G592" s="7" t="s">
        <v>5734</v>
      </c>
      <c r="H592" s="7" t="s">
        <v>5735</v>
      </c>
      <c r="I592" s="7" t="s">
        <v>5736</v>
      </c>
      <c r="J592" s="7" t="s">
        <v>5726</v>
      </c>
      <c r="K592" s="7" t="s">
        <v>5725</v>
      </c>
      <c r="L592" s="7" t="s">
        <v>5725</v>
      </c>
      <c r="M592" s="7" t="s">
        <v>5725</v>
      </c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</row>
    <row r="593" spans="1:37">
      <c r="A593" s="7" t="s">
        <v>2356</v>
      </c>
      <c r="B593" s="7" t="s">
        <v>2357</v>
      </c>
      <c r="C593" s="7" t="s">
        <v>2358</v>
      </c>
      <c r="D593" s="4">
        <v>4</v>
      </c>
      <c r="E593" s="5" t="s">
        <v>2359</v>
      </c>
      <c r="F593" s="7">
        <f ca="1">IFERROR(__xludf.DUMMYFUNCTION("ARRAYFORMULA(SUM(ARRAYFORMULA(IFERROR(VALUE(SPLIT(SUBSTITUTE(E593,""-"","" ""),"" "")),0))))
"),96)</f>
        <v>96</v>
      </c>
      <c r="G593" s="7" t="s">
        <v>5734</v>
      </c>
      <c r="H593" s="7" t="s">
        <v>5735</v>
      </c>
      <c r="I593" s="7" t="s">
        <v>5736</v>
      </c>
      <c r="J593" s="7" t="s">
        <v>5726</v>
      </c>
      <c r="K593" s="7" t="s">
        <v>5725</v>
      </c>
      <c r="L593" s="7" t="s">
        <v>5725</v>
      </c>
      <c r="M593" s="7" t="s">
        <v>5725</v>
      </c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</row>
    <row r="594" spans="1:37">
      <c r="A594" s="7" t="s">
        <v>2360</v>
      </c>
      <c r="B594" s="7" t="s">
        <v>2361</v>
      </c>
      <c r="C594" s="7" t="s">
        <v>2362</v>
      </c>
      <c r="D594" s="4">
        <v>4</v>
      </c>
      <c r="E594" s="5" t="s">
        <v>2363</v>
      </c>
      <c r="F594" s="7">
        <f ca="1">IFERROR(__xludf.DUMMYFUNCTION("ARRAYFORMULA(SUM(ARRAYFORMULA(IFERROR(VALUE(SPLIT(SUBSTITUTE(E594,""-"","" ""),"" "")),0))))
"),98)</f>
        <v>98</v>
      </c>
      <c r="G594" s="7" t="s">
        <v>5734</v>
      </c>
      <c r="H594" s="7" t="s">
        <v>5735</v>
      </c>
      <c r="I594" s="7" t="s">
        <v>5736</v>
      </c>
      <c r="J594" s="7" t="s">
        <v>5726</v>
      </c>
      <c r="K594" s="7" t="s">
        <v>5725</v>
      </c>
      <c r="L594" s="7" t="s">
        <v>5725</v>
      </c>
      <c r="M594" s="7" t="s">
        <v>5725</v>
      </c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</row>
    <row r="595" spans="1:37">
      <c r="A595" s="7" t="s">
        <v>2364</v>
      </c>
      <c r="B595" s="7" t="s">
        <v>2365</v>
      </c>
      <c r="C595" s="7" t="s">
        <v>4807</v>
      </c>
      <c r="D595" s="4">
        <v>4</v>
      </c>
      <c r="E595" s="5" t="s">
        <v>5773</v>
      </c>
      <c r="F595" s="7">
        <f ca="1">IFERROR(__xludf.DUMMYFUNCTION("ARRAYFORMULA(SUM(ARRAYFORMULA(IFERROR(VALUE(SPLIT(SUBSTITUTE(E595,""-"","" ""),"" "")),0))))
"),100)</f>
        <v>100</v>
      </c>
      <c r="G595" s="7" t="s">
        <v>5734</v>
      </c>
      <c r="H595" s="7" t="s">
        <v>5735</v>
      </c>
      <c r="I595" s="7" t="s">
        <v>5736</v>
      </c>
      <c r="J595" s="7" t="s">
        <v>5726</v>
      </c>
      <c r="K595" s="7" t="s">
        <v>5725</v>
      </c>
      <c r="L595" s="7" t="s">
        <v>5725</v>
      </c>
      <c r="M595" s="7" t="s">
        <v>5725</v>
      </c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</row>
    <row r="596" spans="1:37">
      <c r="A596" s="3" t="s">
        <v>2368</v>
      </c>
      <c r="B596" s="3" t="s">
        <v>2369</v>
      </c>
      <c r="C596" s="3" t="s">
        <v>2370</v>
      </c>
      <c r="D596" s="4">
        <v>2</v>
      </c>
      <c r="E596" s="8" t="s">
        <v>2371</v>
      </c>
      <c r="F596" s="7">
        <f ca="1">IFERROR(__xludf.DUMMYFUNCTION("ARRAYFORMULA(SUM(ARRAYFORMULA(IFERROR(VALUE(SPLIT(SUBSTITUTE(E596,""-"","" ""),"" "")),0))))
"),52)</f>
        <v>52</v>
      </c>
      <c r="G596" s="7" t="s">
        <v>5706</v>
      </c>
      <c r="H596" s="7" t="s">
        <v>5723</v>
      </c>
      <c r="I596" s="7" t="s">
        <v>5724</v>
      </c>
      <c r="J596" s="7" t="s">
        <v>5725</v>
      </c>
      <c r="K596" s="7" t="s">
        <v>5726</v>
      </c>
      <c r="L596" s="7" t="s">
        <v>5726</v>
      </c>
      <c r="M596" s="7" t="s">
        <v>5726</v>
      </c>
      <c r="N596" s="3"/>
      <c r="O596" s="3"/>
      <c r="P596" s="3"/>
      <c r="Q596" s="3"/>
      <c r="R596" s="8" t="s">
        <v>2371</v>
      </c>
      <c r="S596" s="3" t="s">
        <v>5774</v>
      </c>
      <c r="T596" s="111" t="s">
        <v>5775</v>
      </c>
      <c r="U596" s="7" t="str">
        <f>T596&amp;"-"&amp;S596</f>
        <v>3E-52-sistemas de aquecimento</v>
      </c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1:37">
      <c r="A597" s="3" t="s">
        <v>2372</v>
      </c>
      <c r="B597" s="3" t="s">
        <v>2373</v>
      </c>
      <c r="C597" s="3" t="s">
        <v>2374</v>
      </c>
      <c r="D597" s="4">
        <v>3</v>
      </c>
      <c r="E597" s="8" t="s">
        <v>2375</v>
      </c>
      <c r="F597" s="7">
        <f ca="1">IFERROR(__xludf.DUMMYFUNCTION("ARRAYFORMULA(SUM(ARRAYFORMULA(IFERROR(VALUE(SPLIT(SUBSTITUTE(E597,""-"","" ""),"" "")),0))))
"),54)</f>
        <v>54</v>
      </c>
      <c r="G597" s="7" t="s">
        <v>5708</v>
      </c>
      <c r="H597" s="7" t="s">
        <v>5732</v>
      </c>
      <c r="I597" s="7" t="s">
        <v>5733</v>
      </c>
      <c r="J597" s="7" t="s">
        <v>5725</v>
      </c>
      <c r="K597" s="7" t="s">
        <v>5725</v>
      </c>
      <c r="L597" s="7" t="s">
        <v>5726</v>
      </c>
      <c r="M597" s="7" t="s">
        <v>5726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1:37">
      <c r="A598" s="7" t="s">
        <v>2376</v>
      </c>
      <c r="B598" s="7" t="s">
        <v>2377</v>
      </c>
      <c r="C598" s="7" t="s">
        <v>2378</v>
      </c>
      <c r="D598" s="4">
        <v>4</v>
      </c>
      <c r="E598" s="5" t="s">
        <v>2379</v>
      </c>
      <c r="F598" s="7">
        <f ca="1">IFERROR(__xludf.DUMMYFUNCTION("ARRAYFORMULA(SUM(ARRAYFORMULA(IFERROR(VALUE(SPLIT(SUBSTITUTE(E598,""-"","" ""),"" "")),0))))
"),56)</f>
        <v>56</v>
      </c>
      <c r="G598" s="7" t="s">
        <v>5734</v>
      </c>
      <c r="H598" s="7" t="s">
        <v>5735</v>
      </c>
      <c r="I598" s="7" t="s">
        <v>5736</v>
      </c>
      <c r="J598" s="7" t="s">
        <v>5726</v>
      </c>
      <c r="K598" s="7" t="s">
        <v>5725</v>
      </c>
      <c r="L598" s="7" t="s">
        <v>5725</v>
      </c>
      <c r="M598" s="7" t="s">
        <v>5725</v>
      </c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</row>
    <row r="599" spans="1:37">
      <c r="A599" s="7" t="s">
        <v>2380</v>
      </c>
      <c r="B599" s="7" t="s">
        <v>2381</v>
      </c>
      <c r="C599" s="7" t="s">
        <v>2382</v>
      </c>
      <c r="D599" s="4">
        <v>4</v>
      </c>
      <c r="E599" s="5" t="s">
        <v>2383</v>
      </c>
      <c r="F599" s="7">
        <f ca="1">IFERROR(__xludf.DUMMYFUNCTION("ARRAYFORMULA(SUM(ARRAYFORMULA(IFERROR(VALUE(SPLIT(SUBSTITUTE(E599,""-"","" ""),"" "")),0))))
"),58)</f>
        <v>58</v>
      </c>
      <c r="G599" s="7" t="s">
        <v>5734</v>
      </c>
      <c r="H599" s="7" t="s">
        <v>5735</v>
      </c>
      <c r="I599" s="7" t="s">
        <v>5736</v>
      </c>
      <c r="J599" s="7" t="s">
        <v>5726</v>
      </c>
      <c r="K599" s="7" t="s">
        <v>5725</v>
      </c>
      <c r="L599" s="7" t="s">
        <v>5725</v>
      </c>
      <c r="M599" s="7" t="s">
        <v>5725</v>
      </c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</row>
    <row r="600" spans="1:37">
      <c r="A600" s="7" t="s">
        <v>2384</v>
      </c>
      <c r="B600" s="7" t="s">
        <v>2385</v>
      </c>
      <c r="C600" s="7" t="s">
        <v>2386</v>
      </c>
      <c r="D600" s="4">
        <v>4</v>
      </c>
      <c r="E600" s="5" t="s">
        <v>2387</v>
      </c>
      <c r="F600" s="7">
        <f ca="1">IFERROR(__xludf.DUMMYFUNCTION("ARRAYFORMULA(SUM(ARRAYFORMULA(IFERROR(VALUE(SPLIT(SUBSTITUTE(E600,""-"","" ""),"" "")),0))))
"),60)</f>
        <v>60</v>
      </c>
      <c r="G600" s="7" t="s">
        <v>5734</v>
      </c>
      <c r="H600" s="7" t="s">
        <v>5735</v>
      </c>
      <c r="I600" s="7" t="s">
        <v>5736</v>
      </c>
      <c r="J600" s="7" t="s">
        <v>5726</v>
      </c>
      <c r="K600" s="7" t="s">
        <v>5725</v>
      </c>
      <c r="L600" s="7" t="s">
        <v>5725</v>
      </c>
      <c r="M600" s="7" t="s">
        <v>5725</v>
      </c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</row>
    <row r="601" spans="1:37">
      <c r="A601" s="7" t="s">
        <v>2388</v>
      </c>
      <c r="B601" s="7" t="s">
        <v>2389</v>
      </c>
      <c r="C601" s="7" t="s">
        <v>2390</v>
      </c>
      <c r="D601" s="4">
        <v>4</v>
      </c>
      <c r="E601" s="5" t="s">
        <v>2391</v>
      </c>
      <c r="F601" s="7">
        <f ca="1">IFERROR(__xludf.DUMMYFUNCTION("ARRAYFORMULA(SUM(ARRAYFORMULA(IFERROR(VALUE(SPLIT(SUBSTITUTE(E601,""-"","" ""),"" "")),0))))
"),62)</f>
        <v>62</v>
      </c>
      <c r="G601" s="7" t="s">
        <v>5734</v>
      </c>
      <c r="H601" s="7" t="s">
        <v>5735</v>
      </c>
      <c r="I601" s="7" t="s">
        <v>5736</v>
      </c>
      <c r="J601" s="7" t="s">
        <v>5726</v>
      </c>
      <c r="K601" s="7" t="s">
        <v>5725</v>
      </c>
      <c r="L601" s="7" t="s">
        <v>5725</v>
      </c>
      <c r="M601" s="7" t="s">
        <v>5725</v>
      </c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</row>
    <row r="602" spans="1:37">
      <c r="A602" s="7" t="s">
        <v>2392</v>
      </c>
      <c r="B602" s="7" t="s">
        <v>2393</v>
      </c>
      <c r="C602" s="7" t="s">
        <v>2394</v>
      </c>
      <c r="D602" s="4">
        <v>4</v>
      </c>
      <c r="E602" s="5" t="s">
        <v>2395</v>
      </c>
      <c r="F602" s="7">
        <f ca="1">IFERROR(__xludf.DUMMYFUNCTION("ARRAYFORMULA(SUM(ARRAYFORMULA(IFERROR(VALUE(SPLIT(SUBSTITUTE(E602,""-"","" ""),"" "")),0))))
"),64)</f>
        <v>64</v>
      </c>
      <c r="G602" s="7" t="s">
        <v>5734</v>
      </c>
      <c r="H602" s="7" t="s">
        <v>5735</v>
      </c>
      <c r="I602" s="7" t="s">
        <v>5736</v>
      </c>
      <c r="J602" s="7" t="s">
        <v>5726</v>
      </c>
      <c r="K602" s="7" t="s">
        <v>5725</v>
      </c>
      <c r="L602" s="7" t="s">
        <v>5725</v>
      </c>
      <c r="M602" s="7" t="s">
        <v>5725</v>
      </c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</row>
    <row r="603" spans="1:37">
      <c r="A603" s="7" t="s">
        <v>2396</v>
      </c>
      <c r="B603" s="7" t="s">
        <v>2397</v>
      </c>
      <c r="C603" s="7" t="s">
        <v>2398</v>
      </c>
      <c r="D603" s="4">
        <v>4</v>
      </c>
      <c r="E603" s="5" t="s">
        <v>2399</v>
      </c>
      <c r="F603" s="7">
        <f ca="1">IFERROR(__xludf.DUMMYFUNCTION("ARRAYFORMULA(SUM(ARRAYFORMULA(IFERROR(VALUE(SPLIT(SUBSTITUTE(E603,""-"","" ""),"" "")),0))))
"),66)</f>
        <v>66</v>
      </c>
      <c r="G603" s="7" t="s">
        <v>5734</v>
      </c>
      <c r="H603" s="7" t="s">
        <v>5735</v>
      </c>
      <c r="I603" s="7" t="s">
        <v>5736</v>
      </c>
      <c r="J603" s="7" t="s">
        <v>5726</v>
      </c>
      <c r="K603" s="7" t="s">
        <v>5725</v>
      </c>
      <c r="L603" s="7" t="s">
        <v>5725</v>
      </c>
      <c r="M603" s="7" t="s">
        <v>5725</v>
      </c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</row>
    <row r="604" spans="1:37">
      <c r="A604" s="7" t="s">
        <v>2400</v>
      </c>
      <c r="B604" s="7" t="s">
        <v>2401</v>
      </c>
      <c r="C604" s="7" t="s">
        <v>2402</v>
      </c>
      <c r="D604" s="4">
        <v>4</v>
      </c>
      <c r="E604" s="5" t="s">
        <v>2403</v>
      </c>
      <c r="F604" s="7">
        <f ca="1">IFERROR(__xludf.DUMMYFUNCTION("ARRAYFORMULA(SUM(ARRAYFORMULA(IFERROR(VALUE(SPLIT(SUBSTITUTE(E604,""-"","" ""),"" "")),0))))
"),68)</f>
        <v>68</v>
      </c>
      <c r="G604" s="7" t="s">
        <v>5734</v>
      </c>
      <c r="H604" s="7" t="s">
        <v>5735</v>
      </c>
      <c r="I604" s="7" t="s">
        <v>5736</v>
      </c>
      <c r="J604" s="7" t="s">
        <v>5726</v>
      </c>
      <c r="K604" s="7" t="s">
        <v>5725</v>
      </c>
      <c r="L604" s="7" t="s">
        <v>5725</v>
      </c>
      <c r="M604" s="7" t="s">
        <v>5725</v>
      </c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</row>
    <row r="605" spans="1:37">
      <c r="A605" s="3" t="s">
        <v>2404</v>
      </c>
      <c r="B605" s="3" t="s">
        <v>2405</v>
      </c>
      <c r="C605" s="3" t="s">
        <v>2406</v>
      </c>
      <c r="D605" s="4">
        <v>3</v>
      </c>
      <c r="E605" s="8" t="s">
        <v>2407</v>
      </c>
      <c r="F605" s="7">
        <f ca="1">IFERROR(__xludf.DUMMYFUNCTION("ARRAYFORMULA(SUM(ARRAYFORMULA(IFERROR(VALUE(SPLIT(SUBSTITUTE(E605,""-"","" ""),"" "")),0))))
"),56)</f>
        <v>56</v>
      </c>
      <c r="G605" s="7" t="s">
        <v>5708</v>
      </c>
      <c r="H605" s="7" t="s">
        <v>5732</v>
      </c>
      <c r="I605" s="7" t="s">
        <v>5733</v>
      </c>
      <c r="J605" s="7" t="s">
        <v>5725</v>
      </c>
      <c r="K605" s="7" t="s">
        <v>5725</v>
      </c>
      <c r="L605" s="7" t="s">
        <v>5726</v>
      </c>
      <c r="M605" s="7" t="s">
        <v>5726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1:37">
      <c r="A606" s="7" t="s">
        <v>2408</v>
      </c>
      <c r="B606" s="7" t="s">
        <v>2409</v>
      </c>
      <c r="C606" s="7" t="s">
        <v>2410</v>
      </c>
      <c r="D606" s="4">
        <v>4</v>
      </c>
      <c r="E606" s="5" t="s">
        <v>2411</v>
      </c>
      <c r="F606" s="7">
        <f ca="1">IFERROR(__xludf.DUMMYFUNCTION("ARRAYFORMULA(SUM(ARRAYFORMULA(IFERROR(VALUE(SPLIT(SUBSTITUTE(E606,""-"","" ""),"" "")),0))))
"),58)</f>
        <v>58</v>
      </c>
      <c r="G606" s="7" t="s">
        <v>5734</v>
      </c>
      <c r="H606" s="7" t="s">
        <v>5735</v>
      </c>
      <c r="I606" s="7" t="s">
        <v>5736</v>
      </c>
      <c r="J606" s="7" t="s">
        <v>5726</v>
      </c>
      <c r="K606" s="7" t="s">
        <v>5725</v>
      </c>
      <c r="L606" s="7" t="s">
        <v>5725</v>
      </c>
      <c r="M606" s="7" t="s">
        <v>5725</v>
      </c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</row>
    <row r="607" spans="1:37">
      <c r="A607" s="7" t="s">
        <v>2412</v>
      </c>
      <c r="B607" s="7" t="s">
        <v>2413</v>
      </c>
      <c r="C607" s="7" t="s">
        <v>2414</v>
      </c>
      <c r="D607" s="4">
        <v>4</v>
      </c>
      <c r="E607" s="5" t="s">
        <v>2415</v>
      </c>
      <c r="F607" s="7">
        <f ca="1">IFERROR(__xludf.DUMMYFUNCTION("ARRAYFORMULA(SUM(ARRAYFORMULA(IFERROR(VALUE(SPLIT(SUBSTITUTE(E607,""-"","" ""),"" "")),0))))
"),60)</f>
        <v>60</v>
      </c>
      <c r="G607" s="7" t="s">
        <v>5734</v>
      </c>
      <c r="H607" s="7" t="s">
        <v>5735</v>
      </c>
      <c r="I607" s="7" t="s">
        <v>5736</v>
      </c>
      <c r="J607" s="7" t="s">
        <v>5726</v>
      </c>
      <c r="K607" s="7" t="s">
        <v>5725</v>
      </c>
      <c r="L607" s="7" t="s">
        <v>5725</v>
      </c>
      <c r="M607" s="7" t="s">
        <v>5725</v>
      </c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</row>
    <row r="608" spans="1:37">
      <c r="A608" s="7" t="s">
        <v>2416</v>
      </c>
      <c r="B608" s="7" t="s">
        <v>2417</v>
      </c>
      <c r="C608" s="7" t="s">
        <v>2418</v>
      </c>
      <c r="D608" s="4">
        <v>4</v>
      </c>
      <c r="E608" s="5" t="s">
        <v>2419</v>
      </c>
      <c r="F608" s="7">
        <f ca="1">IFERROR(__xludf.DUMMYFUNCTION("ARRAYFORMULA(SUM(ARRAYFORMULA(IFERROR(VALUE(SPLIT(SUBSTITUTE(E608,""-"","" ""),"" "")),0))))
"),62)</f>
        <v>62</v>
      </c>
      <c r="G608" s="7" t="s">
        <v>5734</v>
      </c>
      <c r="H608" s="7" t="s">
        <v>5735</v>
      </c>
      <c r="I608" s="7" t="s">
        <v>5736</v>
      </c>
      <c r="J608" s="7" t="s">
        <v>5726</v>
      </c>
      <c r="K608" s="7" t="s">
        <v>5725</v>
      </c>
      <c r="L608" s="7" t="s">
        <v>5725</v>
      </c>
      <c r="M608" s="7" t="s">
        <v>5725</v>
      </c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</row>
    <row r="609" spans="1:37">
      <c r="A609" s="7" t="s">
        <v>2420</v>
      </c>
      <c r="B609" s="7" t="s">
        <v>2421</v>
      </c>
      <c r="C609" s="7" t="s">
        <v>2422</v>
      </c>
      <c r="D609" s="4">
        <v>4</v>
      </c>
      <c r="E609" s="5" t="s">
        <v>2423</v>
      </c>
      <c r="F609" s="7">
        <f ca="1">IFERROR(__xludf.DUMMYFUNCTION("ARRAYFORMULA(SUM(ARRAYFORMULA(IFERROR(VALUE(SPLIT(SUBSTITUTE(E609,""-"","" ""),"" "")),0))))
"),64)</f>
        <v>64</v>
      </c>
      <c r="G609" s="7" t="s">
        <v>5734</v>
      </c>
      <c r="H609" s="7" t="s">
        <v>5735</v>
      </c>
      <c r="I609" s="7" t="s">
        <v>5736</v>
      </c>
      <c r="J609" s="7" t="s">
        <v>5726</v>
      </c>
      <c r="K609" s="7" t="s">
        <v>5725</v>
      </c>
      <c r="L609" s="7" t="s">
        <v>5725</v>
      </c>
      <c r="M609" s="7" t="s">
        <v>5725</v>
      </c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</row>
    <row r="610" spans="1:37">
      <c r="A610" s="7" t="s">
        <v>2424</v>
      </c>
      <c r="B610" s="7" t="s">
        <v>2425</v>
      </c>
      <c r="C610" s="7" t="s">
        <v>2426</v>
      </c>
      <c r="D610" s="4">
        <v>4</v>
      </c>
      <c r="E610" s="5" t="s">
        <v>2427</v>
      </c>
      <c r="F610" s="7">
        <f ca="1">IFERROR(__xludf.DUMMYFUNCTION("ARRAYFORMULA(SUM(ARRAYFORMULA(IFERROR(VALUE(SPLIT(SUBSTITUTE(E610,""-"","" ""),"" "")),0))))
"),66)</f>
        <v>66</v>
      </c>
      <c r="G610" s="7" t="s">
        <v>5734</v>
      </c>
      <c r="H610" s="7" t="s">
        <v>5735</v>
      </c>
      <c r="I610" s="7" t="s">
        <v>5736</v>
      </c>
      <c r="J610" s="7" t="s">
        <v>5726</v>
      </c>
      <c r="K610" s="7" t="s">
        <v>5725</v>
      </c>
      <c r="L610" s="7" t="s">
        <v>5725</v>
      </c>
      <c r="M610" s="7" t="s">
        <v>5725</v>
      </c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</row>
    <row r="611" spans="1:37">
      <c r="A611" s="7" t="s">
        <v>2428</v>
      </c>
      <c r="B611" s="7" t="s">
        <v>2429</v>
      </c>
      <c r="C611" s="7" t="s">
        <v>2430</v>
      </c>
      <c r="D611" s="4">
        <v>4</v>
      </c>
      <c r="E611" s="5" t="s">
        <v>2431</v>
      </c>
      <c r="F611" s="7">
        <f ca="1">IFERROR(__xludf.DUMMYFUNCTION("ARRAYFORMULA(SUM(ARRAYFORMULA(IFERROR(VALUE(SPLIT(SUBSTITUTE(E611,""-"","" ""),"" "")),0))))
"),68)</f>
        <v>68</v>
      </c>
      <c r="G611" s="7" t="s">
        <v>5734</v>
      </c>
      <c r="H611" s="7" t="s">
        <v>5735</v>
      </c>
      <c r="I611" s="7" t="s">
        <v>5736</v>
      </c>
      <c r="J611" s="7" t="s">
        <v>5726</v>
      </c>
      <c r="K611" s="7" t="s">
        <v>5725</v>
      </c>
      <c r="L611" s="7" t="s">
        <v>5725</v>
      </c>
      <c r="M611" s="7" t="s">
        <v>5725</v>
      </c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</row>
    <row r="612" spans="1:37">
      <c r="A612" s="7" t="s">
        <v>2432</v>
      </c>
      <c r="B612" s="7" t="s">
        <v>2433</v>
      </c>
      <c r="C612" s="7" t="s">
        <v>2434</v>
      </c>
      <c r="D612" s="4">
        <v>4</v>
      </c>
      <c r="E612" s="5" t="s">
        <v>2435</v>
      </c>
      <c r="F612" s="7">
        <f ca="1">IFERROR(__xludf.DUMMYFUNCTION("ARRAYFORMULA(SUM(ARRAYFORMULA(IFERROR(VALUE(SPLIT(SUBSTITUTE(E612,""-"","" ""),"" "")),0))))
"),70)</f>
        <v>70</v>
      </c>
      <c r="G612" s="7" t="s">
        <v>5734</v>
      </c>
      <c r="H612" s="7" t="s">
        <v>5735</v>
      </c>
      <c r="I612" s="7" t="s">
        <v>5736</v>
      </c>
      <c r="J612" s="7" t="s">
        <v>5726</v>
      </c>
      <c r="K612" s="7" t="s">
        <v>5725</v>
      </c>
      <c r="L612" s="7" t="s">
        <v>5725</v>
      </c>
      <c r="M612" s="7" t="s">
        <v>5725</v>
      </c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</row>
    <row r="613" spans="1:37">
      <c r="A613" s="3" t="s">
        <v>2436</v>
      </c>
      <c r="B613" s="3" t="s">
        <v>2437</v>
      </c>
      <c r="C613" s="3" t="s">
        <v>2438</v>
      </c>
      <c r="D613" s="4">
        <v>3</v>
      </c>
      <c r="E613" s="8" t="s">
        <v>2439</v>
      </c>
      <c r="F613" s="7">
        <f ca="1">IFERROR(__xludf.DUMMYFUNCTION("ARRAYFORMULA(SUM(ARRAYFORMULA(IFERROR(VALUE(SPLIT(SUBSTITUTE(E613,""-"","" ""),"" "")),0))))
"),58)</f>
        <v>58</v>
      </c>
      <c r="G613" s="7" t="s">
        <v>5708</v>
      </c>
      <c r="H613" s="7" t="s">
        <v>5732</v>
      </c>
      <c r="I613" s="7" t="s">
        <v>5733</v>
      </c>
      <c r="J613" s="7" t="s">
        <v>5725</v>
      </c>
      <c r="K613" s="7" t="s">
        <v>5725</v>
      </c>
      <c r="L613" s="7" t="s">
        <v>5726</v>
      </c>
      <c r="M613" s="7" t="s">
        <v>5726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1:37">
      <c r="A614" s="7" t="s">
        <v>2440</v>
      </c>
      <c r="B614" s="7" t="s">
        <v>2441</v>
      </c>
      <c r="C614" s="7" t="s">
        <v>2442</v>
      </c>
      <c r="D614" s="4">
        <v>4</v>
      </c>
      <c r="E614" s="5" t="s">
        <v>2443</v>
      </c>
      <c r="F614" s="7">
        <f ca="1">IFERROR(__xludf.DUMMYFUNCTION("ARRAYFORMULA(SUM(ARRAYFORMULA(IFERROR(VALUE(SPLIT(SUBSTITUTE(E614,""-"","" ""),"" "")),0))))
"),60)</f>
        <v>60</v>
      </c>
      <c r="G614" s="7" t="s">
        <v>5734</v>
      </c>
      <c r="H614" s="7" t="s">
        <v>5735</v>
      </c>
      <c r="I614" s="7" t="s">
        <v>5736</v>
      </c>
      <c r="J614" s="7" t="s">
        <v>5726</v>
      </c>
      <c r="K614" s="7" t="s">
        <v>5725</v>
      </c>
      <c r="L614" s="7" t="s">
        <v>5725</v>
      </c>
      <c r="M614" s="7" t="s">
        <v>5725</v>
      </c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</row>
    <row r="615" spans="1:37">
      <c r="A615" s="7" t="s">
        <v>2444</v>
      </c>
      <c r="B615" s="7" t="s">
        <v>2445</v>
      </c>
      <c r="C615" s="7" t="s">
        <v>2446</v>
      </c>
      <c r="D615" s="4">
        <v>4</v>
      </c>
      <c r="E615" s="5" t="s">
        <v>2447</v>
      </c>
      <c r="F615" s="7">
        <f ca="1">IFERROR(__xludf.DUMMYFUNCTION("ARRAYFORMULA(SUM(ARRAYFORMULA(IFERROR(VALUE(SPLIT(SUBSTITUTE(E615,""-"","" ""),"" "")),0))))
"),62)</f>
        <v>62</v>
      </c>
      <c r="G615" s="7" t="s">
        <v>5734</v>
      </c>
      <c r="H615" s="7" t="s">
        <v>5735</v>
      </c>
      <c r="I615" s="7" t="s">
        <v>5736</v>
      </c>
      <c r="J615" s="7" t="s">
        <v>5726</v>
      </c>
      <c r="K615" s="7" t="s">
        <v>5725</v>
      </c>
      <c r="L615" s="7" t="s">
        <v>5725</v>
      </c>
      <c r="M615" s="7" t="s">
        <v>5725</v>
      </c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</row>
    <row r="616" spans="1:37">
      <c r="A616" s="7" t="s">
        <v>2448</v>
      </c>
      <c r="B616" s="7" t="s">
        <v>2449</v>
      </c>
      <c r="C616" s="7" t="s">
        <v>2450</v>
      </c>
      <c r="D616" s="4">
        <v>4</v>
      </c>
      <c r="E616" s="5" t="s">
        <v>2451</v>
      </c>
      <c r="F616" s="7">
        <f ca="1">IFERROR(__xludf.DUMMYFUNCTION("ARRAYFORMULA(SUM(ARRAYFORMULA(IFERROR(VALUE(SPLIT(SUBSTITUTE(E616,""-"","" ""),"" "")),0))))
"),64)</f>
        <v>64</v>
      </c>
      <c r="G616" s="7" t="s">
        <v>5734</v>
      </c>
      <c r="H616" s="7" t="s">
        <v>5735</v>
      </c>
      <c r="I616" s="7" t="s">
        <v>5736</v>
      </c>
      <c r="J616" s="7" t="s">
        <v>5726</v>
      </c>
      <c r="K616" s="7" t="s">
        <v>5725</v>
      </c>
      <c r="L616" s="7" t="s">
        <v>5725</v>
      </c>
      <c r="M616" s="7" t="s">
        <v>5725</v>
      </c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</row>
    <row r="617" spans="1:37">
      <c r="A617" s="7" t="s">
        <v>2452</v>
      </c>
      <c r="B617" s="7" t="s">
        <v>2453</v>
      </c>
      <c r="C617" s="7" t="s">
        <v>2454</v>
      </c>
      <c r="D617" s="4">
        <v>4</v>
      </c>
      <c r="E617" s="5" t="s">
        <v>2455</v>
      </c>
      <c r="F617" s="7">
        <f ca="1">IFERROR(__xludf.DUMMYFUNCTION("ARRAYFORMULA(SUM(ARRAYFORMULA(IFERROR(VALUE(SPLIT(SUBSTITUTE(E617,""-"","" ""),"" "")),0))))
"),66)</f>
        <v>66</v>
      </c>
      <c r="G617" s="7" t="s">
        <v>5734</v>
      </c>
      <c r="H617" s="7" t="s">
        <v>5735</v>
      </c>
      <c r="I617" s="7" t="s">
        <v>5736</v>
      </c>
      <c r="J617" s="7" t="s">
        <v>5726</v>
      </c>
      <c r="K617" s="7" t="s">
        <v>5725</v>
      </c>
      <c r="L617" s="7" t="s">
        <v>5725</v>
      </c>
      <c r="M617" s="7" t="s">
        <v>5725</v>
      </c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</row>
    <row r="618" spans="1:37">
      <c r="A618" s="7" t="s">
        <v>2456</v>
      </c>
      <c r="B618" s="7" t="s">
        <v>2457</v>
      </c>
      <c r="C618" s="7" t="s">
        <v>2458</v>
      </c>
      <c r="D618" s="4">
        <v>4</v>
      </c>
      <c r="E618" s="5" t="s">
        <v>2459</v>
      </c>
      <c r="F618" s="7">
        <f ca="1">IFERROR(__xludf.DUMMYFUNCTION("ARRAYFORMULA(SUM(ARRAYFORMULA(IFERROR(VALUE(SPLIT(SUBSTITUTE(E618,""-"","" ""),"" "")),0))))
"),68)</f>
        <v>68</v>
      </c>
      <c r="G618" s="7" t="s">
        <v>5734</v>
      </c>
      <c r="H618" s="7" t="s">
        <v>5735</v>
      </c>
      <c r="I618" s="7" t="s">
        <v>5736</v>
      </c>
      <c r="J618" s="7" t="s">
        <v>5726</v>
      </c>
      <c r="K618" s="7" t="s">
        <v>5725</v>
      </c>
      <c r="L618" s="7" t="s">
        <v>5725</v>
      </c>
      <c r="M618" s="7" t="s">
        <v>5725</v>
      </c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</row>
    <row r="619" spans="1:37">
      <c r="A619" s="7" t="s">
        <v>2460</v>
      </c>
      <c r="B619" s="7" t="s">
        <v>2461</v>
      </c>
      <c r="C619" s="7" t="s">
        <v>2462</v>
      </c>
      <c r="D619" s="4">
        <v>4</v>
      </c>
      <c r="E619" s="5" t="s">
        <v>2463</v>
      </c>
      <c r="F619" s="7">
        <f ca="1">IFERROR(__xludf.DUMMYFUNCTION("ARRAYFORMULA(SUM(ARRAYFORMULA(IFERROR(VALUE(SPLIT(SUBSTITUTE(E619,""-"","" ""),"" "")),0))))
"),70)</f>
        <v>70</v>
      </c>
      <c r="G619" s="7" t="s">
        <v>5734</v>
      </c>
      <c r="H619" s="7" t="s">
        <v>5735</v>
      </c>
      <c r="I619" s="7" t="s">
        <v>5736</v>
      </c>
      <c r="J619" s="7" t="s">
        <v>5726</v>
      </c>
      <c r="K619" s="7" t="s">
        <v>5725</v>
      </c>
      <c r="L619" s="7" t="s">
        <v>5725</v>
      </c>
      <c r="M619" s="7" t="s">
        <v>5725</v>
      </c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</row>
    <row r="620" spans="1:37">
      <c r="A620" s="3" t="s">
        <v>2464</v>
      </c>
      <c r="B620" s="3" t="s">
        <v>2465</v>
      </c>
      <c r="C620" s="3" t="s">
        <v>2466</v>
      </c>
      <c r="D620" s="4">
        <v>3</v>
      </c>
      <c r="E620" s="8" t="s">
        <v>2467</v>
      </c>
      <c r="F620" s="7">
        <f ca="1">IFERROR(__xludf.DUMMYFUNCTION("ARRAYFORMULA(SUM(ARRAYFORMULA(IFERROR(VALUE(SPLIT(SUBSTITUTE(E620,""-"","" ""),"" "")),0))))
"),60)</f>
        <v>60</v>
      </c>
      <c r="G620" s="7" t="s">
        <v>5708</v>
      </c>
      <c r="H620" s="7" t="s">
        <v>5732</v>
      </c>
      <c r="I620" s="7" t="s">
        <v>5733</v>
      </c>
      <c r="J620" s="7" t="s">
        <v>5725</v>
      </c>
      <c r="K620" s="7" t="s">
        <v>5725</v>
      </c>
      <c r="L620" s="7" t="s">
        <v>5726</v>
      </c>
      <c r="M620" s="7" t="s">
        <v>5726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1:37">
      <c r="A621" s="7" t="s">
        <v>2468</v>
      </c>
      <c r="B621" s="7" t="s">
        <v>2469</v>
      </c>
      <c r="C621" s="7" t="s">
        <v>2470</v>
      </c>
      <c r="D621" s="4">
        <v>4</v>
      </c>
      <c r="E621" s="5" t="s">
        <v>2471</v>
      </c>
      <c r="F621" s="7">
        <f ca="1">IFERROR(__xludf.DUMMYFUNCTION("ARRAYFORMULA(SUM(ARRAYFORMULA(IFERROR(VALUE(SPLIT(SUBSTITUTE(E621,""-"","" ""),"" "")),0))))
"),62)</f>
        <v>62</v>
      </c>
      <c r="G621" s="7" t="s">
        <v>5734</v>
      </c>
      <c r="H621" s="7" t="s">
        <v>5735</v>
      </c>
      <c r="I621" s="7" t="s">
        <v>5736</v>
      </c>
      <c r="J621" s="7" t="s">
        <v>5726</v>
      </c>
      <c r="K621" s="7" t="s">
        <v>5725</v>
      </c>
      <c r="L621" s="7" t="s">
        <v>5725</v>
      </c>
      <c r="M621" s="7" t="s">
        <v>5725</v>
      </c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</row>
    <row r="622" spans="1:37">
      <c r="A622" s="7" t="s">
        <v>2472</v>
      </c>
      <c r="B622" s="7" t="s">
        <v>2473</v>
      </c>
      <c r="C622" s="7" t="s">
        <v>2474</v>
      </c>
      <c r="D622" s="4">
        <v>4</v>
      </c>
      <c r="E622" s="5" t="s">
        <v>2475</v>
      </c>
      <c r="F622" s="7">
        <f ca="1">IFERROR(__xludf.DUMMYFUNCTION("ARRAYFORMULA(SUM(ARRAYFORMULA(IFERROR(VALUE(SPLIT(SUBSTITUTE(E622,""-"","" ""),"" "")),0))))
"),64)</f>
        <v>64</v>
      </c>
      <c r="G622" s="7" t="s">
        <v>5734</v>
      </c>
      <c r="H622" s="7" t="s">
        <v>5735</v>
      </c>
      <c r="I622" s="7" t="s">
        <v>5736</v>
      </c>
      <c r="J622" s="7" t="s">
        <v>5726</v>
      </c>
      <c r="K622" s="7" t="s">
        <v>5725</v>
      </c>
      <c r="L622" s="7" t="s">
        <v>5725</v>
      </c>
      <c r="M622" s="7" t="s">
        <v>5725</v>
      </c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</row>
    <row r="623" spans="1:37">
      <c r="A623" s="7" t="s">
        <v>2476</v>
      </c>
      <c r="B623" s="7" t="s">
        <v>2477</v>
      </c>
      <c r="C623" s="7" t="s">
        <v>2478</v>
      </c>
      <c r="D623" s="4">
        <v>4</v>
      </c>
      <c r="E623" s="5" t="s">
        <v>2479</v>
      </c>
      <c r="F623" s="7">
        <f ca="1">IFERROR(__xludf.DUMMYFUNCTION("ARRAYFORMULA(SUM(ARRAYFORMULA(IFERROR(VALUE(SPLIT(SUBSTITUTE(E623,""-"","" ""),"" "")),0))))
"),66)</f>
        <v>66</v>
      </c>
      <c r="G623" s="7" t="s">
        <v>5734</v>
      </c>
      <c r="H623" s="7" t="s">
        <v>5735</v>
      </c>
      <c r="I623" s="7" t="s">
        <v>5736</v>
      </c>
      <c r="J623" s="7" t="s">
        <v>5726</v>
      </c>
      <c r="K623" s="7" t="s">
        <v>5725</v>
      </c>
      <c r="L623" s="7" t="s">
        <v>5725</v>
      </c>
      <c r="M623" s="7" t="s">
        <v>5725</v>
      </c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</row>
    <row r="624" spans="1:37">
      <c r="A624" s="7" t="s">
        <v>2480</v>
      </c>
      <c r="B624" s="7" t="s">
        <v>2481</v>
      </c>
      <c r="C624" s="7" t="s">
        <v>2482</v>
      </c>
      <c r="D624" s="4">
        <v>4</v>
      </c>
      <c r="E624" s="5" t="s">
        <v>2483</v>
      </c>
      <c r="F624" s="7">
        <f ca="1">IFERROR(__xludf.DUMMYFUNCTION("ARRAYFORMULA(SUM(ARRAYFORMULA(IFERROR(VALUE(SPLIT(SUBSTITUTE(E624,""-"","" ""),"" "")),0))))
"),68)</f>
        <v>68</v>
      </c>
      <c r="G624" s="7" t="s">
        <v>5734</v>
      </c>
      <c r="H624" s="7" t="s">
        <v>5735</v>
      </c>
      <c r="I624" s="7" t="s">
        <v>5736</v>
      </c>
      <c r="J624" s="7" t="s">
        <v>5726</v>
      </c>
      <c r="K624" s="7" t="s">
        <v>5725</v>
      </c>
      <c r="L624" s="7" t="s">
        <v>5725</v>
      </c>
      <c r="M624" s="7" t="s">
        <v>5725</v>
      </c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</row>
    <row r="625" spans="1:37">
      <c r="A625" s="7" t="s">
        <v>2484</v>
      </c>
      <c r="B625" s="7" t="s">
        <v>2485</v>
      </c>
      <c r="C625" s="7" t="s">
        <v>2486</v>
      </c>
      <c r="D625" s="4">
        <v>4</v>
      </c>
      <c r="E625" s="5" t="s">
        <v>2487</v>
      </c>
      <c r="F625" s="7">
        <f ca="1">IFERROR(__xludf.DUMMYFUNCTION("ARRAYFORMULA(SUM(ARRAYFORMULA(IFERROR(VALUE(SPLIT(SUBSTITUTE(E625,""-"","" ""),"" "")),0))))
"),70)</f>
        <v>70</v>
      </c>
      <c r="G625" s="7" t="s">
        <v>5734</v>
      </c>
      <c r="H625" s="7" t="s">
        <v>5735</v>
      </c>
      <c r="I625" s="7" t="s">
        <v>5736</v>
      </c>
      <c r="J625" s="7" t="s">
        <v>5726</v>
      </c>
      <c r="K625" s="7" t="s">
        <v>5725</v>
      </c>
      <c r="L625" s="7" t="s">
        <v>5725</v>
      </c>
      <c r="M625" s="7" t="s">
        <v>5725</v>
      </c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</row>
    <row r="626" spans="1:37">
      <c r="A626" s="7" t="s">
        <v>2488</v>
      </c>
      <c r="B626" s="7" t="s">
        <v>2489</v>
      </c>
      <c r="C626" s="7" t="s">
        <v>2490</v>
      </c>
      <c r="D626" s="4">
        <v>4</v>
      </c>
      <c r="E626" s="5" t="s">
        <v>2491</v>
      </c>
      <c r="F626" s="7">
        <f ca="1">IFERROR(__xludf.DUMMYFUNCTION("ARRAYFORMULA(SUM(ARRAYFORMULA(IFERROR(VALUE(SPLIT(SUBSTITUTE(E626,""-"","" ""),"" "")),0))))
"),72)</f>
        <v>72</v>
      </c>
      <c r="G626" s="7" t="s">
        <v>5734</v>
      </c>
      <c r="H626" s="7" t="s">
        <v>5735</v>
      </c>
      <c r="I626" s="7" t="s">
        <v>5736</v>
      </c>
      <c r="J626" s="7" t="s">
        <v>5726</v>
      </c>
      <c r="K626" s="7" t="s">
        <v>5725</v>
      </c>
      <c r="L626" s="7" t="s">
        <v>5725</v>
      </c>
      <c r="M626" s="7" t="s">
        <v>5725</v>
      </c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</row>
    <row r="627" spans="1:37">
      <c r="A627" s="3" t="s">
        <v>2492</v>
      </c>
      <c r="B627" s="3" t="s">
        <v>2493</v>
      </c>
      <c r="C627" s="3" t="s">
        <v>2494</v>
      </c>
      <c r="D627" s="4">
        <v>2</v>
      </c>
      <c r="E627" s="8" t="s">
        <v>2495</v>
      </c>
      <c r="F627" s="7">
        <f ca="1">IFERROR(__xludf.DUMMYFUNCTION("ARRAYFORMULA(SUM(ARRAYFORMULA(IFERROR(VALUE(SPLIT(SUBSTITUTE(E627,""-"","" ""),"" "")),0))))
"),54)</f>
        <v>54</v>
      </c>
      <c r="G627" s="7" t="s">
        <v>5706</v>
      </c>
      <c r="H627" s="7" t="s">
        <v>5723</v>
      </c>
      <c r="I627" s="7" t="s">
        <v>5724</v>
      </c>
      <c r="J627" s="7" t="s">
        <v>5725</v>
      </c>
      <c r="K627" s="7" t="s">
        <v>5726</v>
      </c>
      <c r="L627" s="7" t="s">
        <v>5726</v>
      </c>
      <c r="M627" s="7" t="s">
        <v>5726</v>
      </c>
      <c r="N627" s="3"/>
      <c r="O627" s="3"/>
      <c r="P627" s="3"/>
      <c r="Q627" s="3"/>
      <c r="R627" s="8" t="s">
        <v>2495</v>
      </c>
      <c r="S627" s="3" t="s">
        <v>5776</v>
      </c>
      <c r="T627" s="111" t="s">
        <v>5403</v>
      </c>
      <c r="U627" s="7" t="str">
        <f>T627&amp;"-"&amp;S627</f>
        <v>3E-54-instalações de gases</v>
      </c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1:37">
      <c r="A628" s="3" t="s">
        <v>2496</v>
      </c>
      <c r="B628" s="3" t="s">
        <v>2497</v>
      </c>
      <c r="C628" s="3" t="s">
        <v>2498</v>
      </c>
      <c r="D628" s="4">
        <v>3</v>
      </c>
      <c r="E628" s="8" t="s">
        <v>2499</v>
      </c>
      <c r="F628" s="7">
        <f ca="1">IFERROR(__xludf.DUMMYFUNCTION("ARRAYFORMULA(SUM(ARRAYFORMULA(IFERROR(VALUE(SPLIT(SUBSTITUTE(E628,""-"","" ""),"" "")),0))))
"),56)</f>
        <v>56</v>
      </c>
      <c r="G628" s="7" t="s">
        <v>5708</v>
      </c>
      <c r="H628" s="7" t="s">
        <v>5732</v>
      </c>
      <c r="I628" s="7" t="s">
        <v>5733</v>
      </c>
      <c r="J628" s="7" t="s">
        <v>5725</v>
      </c>
      <c r="K628" s="7" t="s">
        <v>5725</v>
      </c>
      <c r="L628" s="7" t="s">
        <v>5726</v>
      </c>
      <c r="M628" s="7" t="s">
        <v>5726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1:37">
      <c r="A629" s="7" t="s">
        <v>2500</v>
      </c>
      <c r="B629" s="7" t="s">
        <v>2501</v>
      </c>
      <c r="C629" s="7" t="s">
        <v>2502</v>
      </c>
      <c r="D629" s="4">
        <v>4</v>
      </c>
      <c r="E629" s="5" t="s">
        <v>2503</v>
      </c>
      <c r="F629" s="7">
        <f ca="1">IFERROR(__xludf.DUMMYFUNCTION("ARRAYFORMULA(SUM(ARRAYFORMULA(IFERROR(VALUE(SPLIT(SUBSTITUTE(E629,""-"","" ""),"" "")),0))))
"),58)</f>
        <v>58</v>
      </c>
      <c r="G629" s="7" t="s">
        <v>5734</v>
      </c>
      <c r="H629" s="7" t="s">
        <v>5735</v>
      </c>
      <c r="I629" s="7" t="s">
        <v>5736</v>
      </c>
      <c r="J629" s="7" t="s">
        <v>5726</v>
      </c>
      <c r="K629" s="7" t="s">
        <v>5725</v>
      </c>
      <c r="L629" s="7" t="s">
        <v>5725</v>
      </c>
      <c r="M629" s="7" t="s">
        <v>5725</v>
      </c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</row>
    <row r="630" spans="1:37">
      <c r="A630" s="7" t="s">
        <v>2504</v>
      </c>
      <c r="B630" s="7" t="s">
        <v>2505</v>
      </c>
      <c r="C630" s="7" t="s">
        <v>2506</v>
      </c>
      <c r="D630" s="4">
        <v>4</v>
      </c>
      <c r="E630" s="5" t="s">
        <v>2507</v>
      </c>
      <c r="F630" s="7">
        <f ca="1">IFERROR(__xludf.DUMMYFUNCTION("ARRAYFORMULA(SUM(ARRAYFORMULA(IFERROR(VALUE(SPLIT(SUBSTITUTE(E630,""-"","" ""),"" "")),0))))
"),60)</f>
        <v>60</v>
      </c>
      <c r="G630" s="7" t="s">
        <v>5734</v>
      </c>
      <c r="H630" s="7" t="s">
        <v>5735</v>
      </c>
      <c r="I630" s="7" t="s">
        <v>5736</v>
      </c>
      <c r="J630" s="7" t="s">
        <v>5726</v>
      </c>
      <c r="K630" s="7" t="s">
        <v>5725</v>
      </c>
      <c r="L630" s="7" t="s">
        <v>5725</v>
      </c>
      <c r="M630" s="7" t="s">
        <v>5725</v>
      </c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</row>
    <row r="631" spans="1:37">
      <c r="A631" s="7" t="s">
        <v>2508</v>
      </c>
      <c r="B631" s="7" t="s">
        <v>2509</v>
      </c>
      <c r="C631" s="7" t="s">
        <v>2510</v>
      </c>
      <c r="D631" s="4">
        <v>5</v>
      </c>
      <c r="E631" s="5" t="s">
        <v>2511</v>
      </c>
      <c r="F631" s="7">
        <f ca="1">IFERROR(__xludf.DUMMYFUNCTION("ARRAYFORMULA(SUM(ARRAYFORMULA(IFERROR(VALUE(SPLIT(SUBSTITUTE(E631,""-"","" ""),"" "")),0))))
"),62)</f>
        <v>62</v>
      </c>
      <c r="G631" s="7" t="s">
        <v>5734</v>
      </c>
      <c r="H631" s="7" t="s">
        <v>5735</v>
      </c>
      <c r="I631" s="7" t="s">
        <v>5736</v>
      </c>
      <c r="J631" s="7" t="s">
        <v>5726</v>
      </c>
      <c r="K631" s="7" t="s">
        <v>5725</v>
      </c>
      <c r="L631" s="7" t="s">
        <v>5725</v>
      </c>
      <c r="M631" s="7" t="s">
        <v>5725</v>
      </c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</row>
    <row r="632" spans="1:37">
      <c r="A632" s="7" t="s">
        <v>2512</v>
      </c>
      <c r="B632" s="7" t="s">
        <v>2513</v>
      </c>
      <c r="C632" s="7" t="s">
        <v>2514</v>
      </c>
      <c r="D632" s="4">
        <v>5</v>
      </c>
      <c r="E632" s="5" t="s">
        <v>2515</v>
      </c>
      <c r="F632" s="7">
        <f ca="1">IFERROR(__xludf.DUMMYFUNCTION("ARRAYFORMULA(SUM(ARRAYFORMULA(IFERROR(VALUE(SPLIT(SUBSTITUTE(E632,""-"","" ""),"" "")),0))))
"),64)</f>
        <v>64</v>
      </c>
      <c r="G632" s="7" t="s">
        <v>5734</v>
      </c>
      <c r="H632" s="7" t="s">
        <v>5735</v>
      </c>
      <c r="I632" s="7" t="s">
        <v>5736</v>
      </c>
      <c r="J632" s="7" t="s">
        <v>5726</v>
      </c>
      <c r="K632" s="7" t="s">
        <v>5725</v>
      </c>
      <c r="L632" s="7" t="s">
        <v>5725</v>
      </c>
      <c r="M632" s="7" t="s">
        <v>5725</v>
      </c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</row>
    <row r="633" spans="1:37">
      <c r="A633" s="7" t="s">
        <v>2516</v>
      </c>
      <c r="B633" s="7" t="s">
        <v>2517</v>
      </c>
      <c r="C633" s="7" t="s">
        <v>2518</v>
      </c>
      <c r="D633" s="4">
        <v>5</v>
      </c>
      <c r="E633" s="5" t="s">
        <v>2519</v>
      </c>
      <c r="F633" s="7">
        <f ca="1">IFERROR(__xludf.DUMMYFUNCTION("ARRAYFORMULA(SUM(ARRAYFORMULA(IFERROR(VALUE(SPLIT(SUBSTITUTE(E633,""-"","" ""),"" "")),0))))
"),66)</f>
        <v>66</v>
      </c>
      <c r="G633" s="7" t="s">
        <v>5734</v>
      </c>
      <c r="H633" s="7" t="s">
        <v>5735</v>
      </c>
      <c r="I633" s="7" t="s">
        <v>5736</v>
      </c>
      <c r="J633" s="7" t="s">
        <v>5726</v>
      </c>
      <c r="K633" s="7" t="s">
        <v>5725</v>
      </c>
      <c r="L633" s="7" t="s">
        <v>5725</v>
      </c>
      <c r="M633" s="7" t="s">
        <v>5725</v>
      </c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</row>
    <row r="634" spans="1:37">
      <c r="A634" s="7" t="s">
        <v>2520</v>
      </c>
      <c r="B634" s="7" t="s">
        <v>2521</v>
      </c>
      <c r="C634" s="7" t="s">
        <v>2522</v>
      </c>
      <c r="D634" s="4">
        <v>4</v>
      </c>
      <c r="E634" s="5" t="s">
        <v>2523</v>
      </c>
      <c r="F634" s="7">
        <f ca="1">IFERROR(__xludf.DUMMYFUNCTION("ARRAYFORMULA(SUM(ARRAYFORMULA(IFERROR(VALUE(SPLIT(SUBSTITUTE(E634,""-"","" ""),"" "")),0))))
"),62)</f>
        <v>62</v>
      </c>
      <c r="G634" s="7" t="s">
        <v>5734</v>
      </c>
      <c r="H634" s="7" t="s">
        <v>5735</v>
      </c>
      <c r="I634" s="7" t="s">
        <v>5736</v>
      </c>
      <c r="J634" s="7" t="s">
        <v>5726</v>
      </c>
      <c r="K634" s="7" t="s">
        <v>5725</v>
      </c>
      <c r="L634" s="7" t="s">
        <v>5725</v>
      </c>
      <c r="M634" s="7" t="s">
        <v>5725</v>
      </c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</row>
    <row r="635" spans="1:37">
      <c r="A635" s="7" t="s">
        <v>2524</v>
      </c>
      <c r="B635" s="7" t="s">
        <v>2525</v>
      </c>
      <c r="C635" s="7" t="s">
        <v>2526</v>
      </c>
      <c r="D635" s="4">
        <v>4</v>
      </c>
      <c r="E635" s="5" t="s">
        <v>2527</v>
      </c>
      <c r="F635" s="7">
        <f ca="1">IFERROR(__xludf.DUMMYFUNCTION("ARRAYFORMULA(SUM(ARRAYFORMULA(IFERROR(VALUE(SPLIT(SUBSTITUTE(E635,""-"","" ""),"" "")),0))))
"),64)</f>
        <v>64</v>
      </c>
      <c r="G635" s="7" t="s">
        <v>5734</v>
      </c>
      <c r="H635" s="7" t="s">
        <v>5735</v>
      </c>
      <c r="I635" s="7" t="s">
        <v>5736</v>
      </c>
      <c r="J635" s="7" t="s">
        <v>5726</v>
      </c>
      <c r="K635" s="7" t="s">
        <v>5725</v>
      </c>
      <c r="L635" s="7" t="s">
        <v>5725</v>
      </c>
      <c r="M635" s="7" t="s">
        <v>5725</v>
      </c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</row>
    <row r="636" spans="1:37">
      <c r="A636" s="7" t="s">
        <v>2528</v>
      </c>
      <c r="B636" s="7" t="s">
        <v>2529</v>
      </c>
      <c r="C636" s="7" t="s">
        <v>2530</v>
      </c>
      <c r="D636" s="4">
        <v>5</v>
      </c>
      <c r="E636" s="5" t="s">
        <v>2531</v>
      </c>
      <c r="F636" s="7">
        <f ca="1">IFERROR(__xludf.DUMMYFUNCTION("ARRAYFORMULA(SUM(ARRAYFORMULA(IFERROR(VALUE(SPLIT(SUBSTITUTE(E636,""-"","" ""),"" "")),0))))
"),66)</f>
        <v>66</v>
      </c>
      <c r="G636" s="7" t="s">
        <v>5734</v>
      </c>
      <c r="H636" s="7" t="s">
        <v>5735</v>
      </c>
      <c r="I636" s="7" t="s">
        <v>5736</v>
      </c>
      <c r="J636" s="7" t="s">
        <v>5726</v>
      </c>
      <c r="K636" s="7" t="s">
        <v>5725</v>
      </c>
      <c r="L636" s="7" t="s">
        <v>5725</v>
      </c>
      <c r="M636" s="7" t="s">
        <v>5725</v>
      </c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</row>
    <row r="637" spans="1:37">
      <c r="A637" s="7" t="s">
        <v>2532</v>
      </c>
      <c r="B637" s="7" t="s">
        <v>2533</v>
      </c>
      <c r="C637" s="7" t="s">
        <v>2534</v>
      </c>
      <c r="D637" s="4">
        <v>5</v>
      </c>
      <c r="E637" s="5" t="s">
        <v>2535</v>
      </c>
      <c r="F637" s="7">
        <f ca="1">IFERROR(__xludf.DUMMYFUNCTION("ARRAYFORMULA(SUM(ARRAYFORMULA(IFERROR(VALUE(SPLIT(SUBSTITUTE(E637,""-"","" ""),"" "")),0))))
"),68)</f>
        <v>68</v>
      </c>
      <c r="G637" s="7" t="s">
        <v>5734</v>
      </c>
      <c r="H637" s="7" t="s">
        <v>5735</v>
      </c>
      <c r="I637" s="7" t="s">
        <v>5736</v>
      </c>
      <c r="J637" s="7" t="s">
        <v>5726</v>
      </c>
      <c r="K637" s="7" t="s">
        <v>5725</v>
      </c>
      <c r="L637" s="7" t="s">
        <v>5725</v>
      </c>
      <c r="M637" s="7" t="s">
        <v>5725</v>
      </c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</row>
    <row r="638" spans="1:37">
      <c r="A638" s="7" t="s">
        <v>2536</v>
      </c>
      <c r="B638" s="7" t="s">
        <v>2537</v>
      </c>
      <c r="C638" s="7" t="s">
        <v>2538</v>
      </c>
      <c r="D638" s="4">
        <v>4</v>
      </c>
      <c r="E638" s="5" t="s">
        <v>2539</v>
      </c>
      <c r="F638" s="7">
        <f ca="1">IFERROR(__xludf.DUMMYFUNCTION("ARRAYFORMULA(SUM(ARRAYFORMULA(IFERROR(VALUE(SPLIT(SUBSTITUTE(E638,""-"","" ""),"" "")),0))))
"),66)</f>
        <v>66</v>
      </c>
      <c r="G638" s="7" t="s">
        <v>5734</v>
      </c>
      <c r="H638" s="7" t="s">
        <v>5735</v>
      </c>
      <c r="I638" s="7" t="s">
        <v>5736</v>
      </c>
      <c r="J638" s="7" t="s">
        <v>5726</v>
      </c>
      <c r="K638" s="7" t="s">
        <v>5725</v>
      </c>
      <c r="L638" s="7" t="s">
        <v>5725</v>
      </c>
      <c r="M638" s="7" t="s">
        <v>5725</v>
      </c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</row>
    <row r="639" spans="1:37">
      <c r="A639" s="7" t="s">
        <v>2540</v>
      </c>
      <c r="B639" s="7" t="s">
        <v>2541</v>
      </c>
      <c r="C639" s="7" t="s">
        <v>2542</v>
      </c>
      <c r="D639" s="4">
        <v>5</v>
      </c>
      <c r="E639" s="5" t="s">
        <v>2543</v>
      </c>
      <c r="F639" s="7">
        <f ca="1">IFERROR(__xludf.DUMMYFUNCTION("ARRAYFORMULA(SUM(ARRAYFORMULA(IFERROR(VALUE(SPLIT(SUBSTITUTE(E639,""-"","" ""),"" "")),0))))
"),68)</f>
        <v>68</v>
      </c>
      <c r="G639" s="7" t="s">
        <v>5734</v>
      </c>
      <c r="H639" s="7" t="s">
        <v>5735</v>
      </c>
      <c r="I639" s="7" t="s">
        <v>5736</v>
      </c>
      <c r="J639" s="7" t="s">
        <v>5726</v>
      </c>
      <c r="K639" s="7" t="s">
        <v>5725</v>
      </c>
      <c r="L639" s="7" t="s">
        <v>5725</v>
      </c>
      <c r="M639" s="7" t="s">
        <v>5725</v>
      </c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</row>
    <row r="640" spans="1:37">
      <c r="A640" s="7" t="s">
        <v>2544</v>
      </c>
      <c r="B640" s="7" t="s">
        <v>2545</v>
      </c>
      <c r="C640" s="7" t="s">
        <v>2546</v>
      </c>
      <c r="D640" s="4">
        <v>5</v>
      </c>
      <c r="E640" s="5" t="s">
        <v>2547</v>
      </c>
      <c r="F640" s="7">
        <f ca="1">IFERROR(__xludf.DUMMYFUNCTION("ARRAYFORMULA(SUM(ARRAYFORMULA(IFERROR(VALUE(SPLIT(SUBSTITUTE(E640,""-"","" ""),"" "")),0))))
"),70)</f>
        <v>70</v>
      </c>
      <c r="G640" s="7" t="s">
        <v>5734</v>
      </c>
      <c r="H640" s="7" t="s">
        <v>5735</v>
      </c>
      <c r="I640" s="7" t="s">
        <v>5736</v>
      </c>
      <c r="J640" s="7" t="s">
        <v>5726</v>
      </c>
      <c r="K640" s="7" t="s">
        <v>5725</v>
      </c>
      <c r="L640" s="7" t="s">
        <v>5725</v>
      </c>
      <c r="M640" s="7" t="s">
        <v>5725</v>
      </c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</row>
    <row r="641" spans="1:37">
      <c r="A641" s="7" t="s">
        <v>2548</v>
      </c>
      <c r="B641" s="7" t="s">
        <v>2549</v>
      </c>
      <c r="C641" s="7" t="s">
        <v>2550</v>
      </c>
      <c r="D641" s="4">
        <v>4</v>
      </c>
      <c r="E641" s="5" t="s">
        <v>2551</v>
      </c>
      <c r="F641" s="7">
        <f ca="1">IFERROR(__xludf.DUMMYFUNCTION("ARRAYFORMULA(SUM(ARRAYFORMULA(IFERROR(VALUE(SPLIT(SUBSTITUTE(E641,""-"","" ""),"" "")),0))))
"),68)</f>
        <v>68</v>
      </c>
      <c r="G641" s="7" t="s">
        <v>5734</v>
      </c>
      <c r="H641" s="7" t="s">
        <v>5735</v>
      </c>
      <c r="I641" s="7" t="s">
        <v>5736</v>
      </c>
      <c r="J641" s="7" t="s">
        <v>5726</v>
      </c>
      <c r="K641" s="7" t="s">
        <v>5725</v>
      </c>
      <c r="L641" s="7" t="s">
        <v>5725</v>
      </c>
      <c r="M641" s="7" t="s">
        <v>5725</v>
      </c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</row>
    <row r="642" spans="1:37">
      <c r="A642" s="3" t="s">
        <v>2552</v>
      </c>
      <c r="B642" s="3" t="s">
        <v>2553</v>
      </c>
      <c r="C642" s="3" t="s">
        <v>2554</v>
      </c>
      <c r="D642" s="4">
        <v>3</v>
      </c>
      <c r="E642" s="8" t="s">
        <v>2555</v>
      </c>
      <c r="F642" s="7">
        <f ca="1">IFERROR(__xludf.DUMMYFUNCTION("ARRAYFORMULA(SUM(ARRAYFORMULA(IFERROR(VALUE(SPLIT(SUBSTITUTE(E642,""-"","" ""),"" "")),0))))
"),58)</f>
        <v>58</v>
      </c>
      <c r="G642" s="7" t="s">
        <v>5708</v>
      </c>
      <c r="H642" s="7" t="s">
        <v>5732</v>
      </c>
      <c r="I642" s="7" t="s">
        <v>5733</v>
      </c>
      <c r="J642" s="7" t="s">
        <v>5725</v>
      </c>
      <c r="K642" s="7" t="s">
        <v>5725</v>
      </c>
      <c r="L642" s="7" t="s">
        <v>5726</v>
      </c>
      <c r="M642" s="7" t="s">
        <v>5726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1:37">
      <c r="A643" s="7" t="s">
        <v>2556</v>
      </c>
      <c r="B643" s="7" t="s">
        <v>2557</v>
      </c>
      <c r="C643" s="7" t="s">
        <v>2558</v>
      </c>
      <c r="D643" s="4">
        <v>4</v>
      </c>
      <c r="E643" s="5" t="s">
        <v>2559</v>
      </c>
      <c r="F643" s="7">
        <f ca="1">IFERROR(__xludf.DUMMYFUNCTION("ARRAYFORMULA(SUM(ARRAYFORMULA(IFERROR(VALUE(SPLIT(SUBSTITUTE(E643,""-"","" ""),"" "")),0))))
"),60)</f>
        <v>60</v>
      </c>
      <c r="G643" s="7" t="s">
        <v>5734</v>
      </c>
      <c r="H643" s="7" t="s">
        <v>5735</v>
      </c>
      <c r="I643" s="7" t="s">
        <v>5736</v>
      </c>
      <c r="J643" s="7" t="s">
        <v>5726</v>
      </c>
      <c r="K643" s="7" t="s">
        <v>5725</v>
      </c>
      <c r="L643" s="7" t="s">
        <v>5725</v>
      </c>
      <c r="M643" s="7" t="s">
        <v>5725</v>
      </c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</row>
    <row r="644" spans="1:37">
      <c r="A644" s="7" t="s">
        <v>2560</v>
      </c>
      <c r="B644" s="7" t="s">
        <v>2561</v>
      </c>
      <c r="C644" s="7" t="s">
        <v>2562</v>
      </c>
      <c r="D644" s="4">
        <v>4</v>
      </c>
      <c r="E644" s="5" t="s">
        <v>2563</v>
      </c>
      <c r="F644" s="7">
        <f ca="1">IFERROR(__xludf.DUMMYFUNCTION("ARRAYFORMULA(SUM(ARRAYFORMULA(IFERROR(VALUE(SPLIT(SUBSTITUTE(E644,""-"","" ""),"" "")),0))))
"),62)</f>
        <v>62</v>
      </c>
      <c r="G644" s="7" t="s">
        <v>5734</v>
      </c>
      <c r="H644" s="7" t="s">
        <v>5735</v>
      </c>
      <c r="I644" s="7" t="s">
        <v>5736</v>
      </c>
      <c r="J644" s="7" t="s">
        <v>5726</v>
      </c>
      <c r="K644" s="7" t="s">
        <v>5725</v>
      </c>
      <c r="L644" s="7" t="s">
        <v>5725</v>
      </c>
      <c r="M644" s="7" t="s">
        <v>5725</v>
      </c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</row>
    <row r="645" spans="1:37">
      <c r="A645" s="7" t="s">
        <v>2564</v>
      </c>
      <c r="B645" s="7" t="s">
        <v>2565</v>
      </c>
      <c r="C645" s="7" t="s">
        <v>2566</v>
      </c>
      <c r="D645" s="4">
        <v>4</v>
      </c>
      <c r="E645" s="5" t="s">
        <v>2567</v>
      </c>
      <c r="F645" s="7">
        <f ca="1">IFERROR(__xludf.DUMMYFUNCTION("ARRAYFORMULA(SUM(ARRAYFORMULA(IFERROR(VALUE(SPLIT(SUBSTITUTE(E645,""-"","" ""),"" "")),0))))
"),64)</f>
        <v>64</v>
      </c>
      <c r="G645" s="7" t="s">
        <v>5734</v>
      </c>
      <c r="H645" s="7" t="s">
        <v>5735</v>
      </c>
      <c r="I645" s="7" t="s">
        <v>5736</v>
      </c>
      <c r="J645" s="7" t="s">
        <v>5726</v>
      </c>
      <c r="K645" s="7" t="s">
        <v>5725</v>
      </c>
      <c r="L645" s="7" t="s">
        <v>5725</v>
      </c>
      <c r="M645" s="7" t="s">
        <v>5725</v>
      </c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</row>
    <row r="646" spans="1:37">
      <c r="A646" s="7" t="s">
        <v>2568</v>
      </c>
      <c r="B646" s="7" t="s">
        <v>2569</v>
      </c>
      <c r="C646" s="7" t="s">
        <v>2570</v>
      </c>
      <c r="D646" s="4">
        <v>4</v>
      </c>
      <c r="E646" s="5" t="s">
        <v>2571</v>
      </c>
      <c r="F646" s="7">
        <f ca="1">IFERROR(__xludf.DUMMYFUNCTION("ARRAYFORMULA(SUM(ARRAYFORMULA(IFERROR(VALUE(SPLIT(SUBSTITUTE(E646,""-"","" ""),"" "")),0))))
"),66)</f>
        <v>66</v>
      </c>
      <c r="G646" s="7" t="s">
        <v>5734</v>
      </c>
      <c r="H646" s="7" t="s">
        <v>5735</v>
      </c>
      <c r="I646" s="7" t="s">
        <v>5736</v>
      </c>
      <c r="J646" s="7" t="s">
        <v>5726</v>
      </c>
      <c r="K646" s="7" t="s">
        <v>5725</v>
      </c>
      <c r="L646" s="7" t="s">
        <v>5725</v>
      </c>
      <c r="M646" s="7" t="s">
        <v>5725</v>
      </c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</row>
    <row r="647" spans="1:37">
      <c r="A647" s="7" t="s">
        <v>2572</v>
      </c>
      <c r="B647" s="7" t="s">
        <v>2573</v>
      </c>
      <c r="C647" s="7" t="s">
        <v>2574</v>
      </c>
      <c r="D647" s="4">
        <v>4</v>
      </c>
      <c r="E647" s="5" t="s">
        <v>2575</v>
      </c>
      <c r="F647" s="7">
        <f ca="1">IFERROR(__xludf.DUMMYFUNCTION("ARRAYFORMULA(SUM(ARRAYFORMULA(IFERROR(VALUE(SPLIT(SUBSTITUTE(E647,""-"","" ""),"" "")),0))))
"),68)</f>
        <v>68</v>
      </c>
      <c r="G647" s="7" t="s">
        <v>5734</v>
      </c>
      <c r="H647" s="7" t="s">
        <v>5735</v>
      </c>
      <c r="I647" s="7" t="s">
        <v>5736</v>
      </c>
      <c r="J647" s="7" t="s">
        <v>5726</v>
      </c>
      <c r="K647" s="7" t="s">
        <v>5725</v>
      </c>
      <c r="L647" s="7" t="s">
        <v>5725</v>
      </c>
      <c r="M647" s="7" t="s">
        <v>5725</v>
      </c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</row>
    <row r="648" spans="1:37">
      <c r="A648" s="7" t="s">
        <v>2576</v>
      </c>
      <c r="B648" s="7" t="s">
        <v>2577</v>
      </c>
      <c r="C648" s="7" t="s">
        <v>2578</v>
      </c>
      <c r="D648" s="4">
        <v>4</v>
      </c>
      <c r="E648" s="5" t="s">
        <v>2579</v>
      </c>
      <c r="F648" s="7">
        <f ca="1">IFERROR(__xludf.DUMMYFUNCTION("ARRAYFORMULA(SUM(ARRAYFORMULA(IFERROR(VALUE(SPLIT(SUBSTITUTE(E648,""-"","" ""),"" "")),0))))
"),70)</f>
        <v>70</v>
      </c>
      <c r="G648" s="7" t="s">
        <v>5734</v>
      </c>
      <c r="H648" s="7" t="s">
        <v>5735</v>
      </c>
      <c r="I648" s="7" t="s">
        <v>5736</v>
      </c>
      <c r="J648" s="7" t="s">
        <v>5726</v>
      </c>
      <c r="K648" s="7" t="s">
        <v>5725</v>
      </c>
      <c r="L648" s="7" t="s">
        <v>5725</v>
      </c>
      <c r="M648" s="7" t="s">
        <v>5725</v>
      </c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</row>
    <row r="649" spans="1:37">
      <c r="A649" s="7" t="s">
        <v>2580</v>
      </c>
      <c r="B649" s="7" t="s">
        <v>2581</v>
      </c>
      <c r="C649" s="7" t="s">
        <v>2582</v>
      </c>
      <c r="D649" s="4">
        <v>5</v>
      </c>
      <c r="E649" s="5" t="s">
        <v>2583</v>
      </c>
      <c r="F649" s="7">
        <f ca="1">IFERROR(__xludf.DUMMYFUNCTION("ARRAYFORMULA(SUM(ARRAYFORMULA(IFERROR(VALUE(SPLIT(SUBSTITUTE(E649,""-"","" ""),"" "")),0))))
"),72)</f>
        <v>72</v>
      </c>
      <c r="G649" s="7" t="s">
        <v>5734</v>
      </c>
      <c r="H649" s="7" t="s">
        <v>5735</v>
      </c>
      <c r="I649" s="7" t="s">
        <v>5736</v>
      </c>
      <c r="J649" s="7" t="s">
        <v>5726</v>
      </c>
      <c r="K649" s="7" t="s">
        <v>5725</v>
      </c>
      <c r="L649" s="7" t="s">
        <v>5725</v>
      </c>
      <c r="M649" s="7" t="s">
        <v>5725</v>
      </c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</row>
    <row r="650" spans="1:37">
      <c r="A650" s="7" t="s">
        <v>2584</v>
      </c>
      <c r="B650" s="7" t="s">
        <v>2585</v>
      </c>
      <c r="C650" s="7" t="s">
        <v>2586</v>
      </c>
      <c r="D650" s="4">
        <v>5</v>
      </c>
      <c r="E650" s="5" t="s">
        <v>2587</v>
      </c>
      <c r="F650" s="7">
        <f ca="1">IFERROR(__xludf.DUMMYFUNCTION("ARRAYFORMULA(SUM(ARRAYFORMULA(IFERROR(VALUE(SPLIT(SUBSTITUTE(E650,""-"","" ""),"" "")),0))))
"),74)</f>
        <v>74</v>
      </c>
      <c r="G650" s="7" t="s">
        <v>5734</v>
      </c>
      <c r="H650" s="7" t="s">
        <v>5735</v>
      </c>
      <c r="I650" s="7" t="s">
        <v>5736</v>
      </c>
      <c r="J650" s="7" t="s">
        <v>5726</v>
      </c>
      <c r="K650" s="7" t="s">
        <v>5725</v>
      </c>
      <c r="L650" s="7" t="s">
        <v>5725</v>
      </c>
      <c r="M650" s="7" t="s">
        <v>5725</v>
      </c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</row>
    <row r="651" spans="1:37">
      <c r="A651" s="7" t="s">
        <v>2588</v>
      </c>
      <c r="B651" s="7" t="s">
        <v>2589</v>
      </c>
      <c r="C651" s="7" t="s">
        <v>2590</v>
      </c>
      <c r="D651" s="4">
        <v>4</v>
      </c>
      <c r="E651" s="5" t="s">
        <v>5777</v>
      </c>
      <c r="F651" s="7">
        <f ca="1">IFERROR(__xludf.DUMMYFUNCTION("ARRAYFORMULA(SUM(ARRAYFORMULA(IFERROR(VALUE(SPLIT(SUBSTITUTE(E651,""-"","" ""),"" "")),0))))
"),72)</f>
        <v>72</v>
      </c>
      <c r="G651" s="7" t="s">
        <v>5734</v>
      </c>
      <c r="H651" s="7" t="s">
        <v>5735</v>
      </c>
      <c r="I651" s="7" t="s">
        <v>5736</v>
      </c>
      <c r="J651" s="7" t="s">
        <v>5726</v>
      </c>
      <c r="K651" s="7" t="s">
        <v>5725</v>
      </c>
      <c r="L651" s="7" t="s">
        <v>5725</v>
      </c>
      <c r="M651" s="7" t="s">
        <v>5725</v>
      </c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</row>
    <row r="652" spans="1:37">
      <c r="A652" s="3" t="s">
        <v>2592</v>
      </c>
      <c r="B652" s="3" t="s">
        <v>2593</v>
      </c>
      <c r="C652" s="3" t="s">
        <v>2594</v>
      </c>
      <c r="D652" s="4">
        <v>3</v>
      </c>
      <c r="E652" s="8" t="s">
        <v>2595</v>
      </c>
      <c r="F652" s="7">
        <f ca="1">IFERROR(__xludf.DUMMYFUNCTION("ARRAYFORMULA(SUM(ARRAYFORMULA(IFERROR(VALUE(SPLIT(SUBSTITUTE(E652,""-"","" ""),"" "")),0))))
"),60)</f>
        <v>60</v>
      </c>
      <c r="G652" s="7" t="s">
        <v>5708</v>
      </c>
      <c r="H652" s="7" t="s">
        <v>5732</v>
      </c>
      <c r="I652" s="7" t="s">
        <v>5733</v>
      </c>
      <c r="J652" s="7" t="s">
        <v>5725</v>
      </c>
      <c r="K652" s="7" t="s">
        <v>5725</v>
      </c>
      <c r="L652" s="7" t="s">
        <v>5726</v>
      </c>
      <c r="M652" s="7" t="s">
        <v>5726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1:37">
      <c r="A653" s="7" t="s">
        <v>2596</v>
      </c>
      <c r="B653" s="7" t="s">
        <v>2597</v>
      </c>
      <c r="C653" s="7" t="s">
        <v>2598</v>
      </c>
      <c r="D653" s="4">
        <v>4</v>
      </c>
      <c r="E653" s="5" t="s">
        <v>2599</v>
      </c>
      <c r="F653" s="7">
        <f ca="1">IFERROR(__xludf.DUMMYFUNCTION("ARRAYFORMULA(SUM(ARRAYFORMULA(IFERROR(VALUE(SPLIT(SUBSTITUTE(E653,""-"","" ""),"" "")),0))))
"),62)</f>
        <v>62</v>
      </c>
      <c r="G653" s="7" t="s">
        <v>5734</v>
      </c>
      <c r="H653" s="7" t="s">
        <v>5735</v>
      </c>
      <c r="I653" s="7" t="s">
        <v>5736</v>
      </c>
      <c r="J653" s="7" t="s">
        <v>5726</v>
      </c>
      <c r="K653" s="7" t="s">
        <v>5725</v>
      </c>
      <c r="L653" s="7" t="s">
        <v>5725</v>
      </c>
      <c r="M653" s="7" t="s">
        <v>5725</v>
      </c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</row>
    <row r="654" spans="1:37">
      <c r="A654" s="7" t="s">
        <v>2600</v>
      </c>
      <c r="B654" s="7" t="s">
        <v>2601</v>
      </c>
      <c r="C654" s="7" t="s">
        <v>2602</v>
      </c>
      <c r="D654" s="4">
        <v>4</v>
      </c>
      <c r="E654" s="5" t="s">
        <v>2603</v>
      </c>
      <c r="F654" s="7">
        <f ca="1">IFERROR(__xludf.DUMMYFUNCTION("ARRAYFORMULA(SUM(ARRAYFORMULA(IFERROR(VALUE(SPLIT(SUBSTITUTE(E654,""-"","" ""),"" "")),0))))
"),64)</f>
        <v>64</v>
      </c>
      <c r="G654" s="7" t="s">
        <v>5734</v>
      </c>
      <c r="H654" s="7" t="s">
        <v>5735</v>
      </c>
      <c r="I654" s="7" t="s">
        <v>5736</v>
      </c>
      <c r="J654" s="7" t="s">
        <v>5726</v>
      </c>
      <c r="K654" s="7" t="s">
        <v>5725</v>
      </c>
      <c r="L654" s="7" t="s">
        <v>5725</v>
      </c>
      <c r="M654" s="7" t="s">
        <v>5725</v>
      </c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</row>
    <row r="655" spans="1:37">
      <c r="A655" s="7" t="s">
        <v>2604</v>
      </c>
      <c r="B655" s="7" t="s">
        <v>2605</v>
      </c>
      <c r="C655" s="7" t="s">
        <v>2606</v>
      </c>
      <c r="D655" s="4">
        <v>4</v>
      </c>
      <c r="E655" s="5" t="s">
        <v>2607</v>
      </c>
      <c r="F655" s="7">
        <f ca="1">IFERROR(__xludf.DUMMYFUNCTION("ARRAYFORMULA(SUM(ARRAYFORMULA(IFERROR(VALUE(SPLIT(SUBSTITUTE(E655,""-"","" ""),"" "")),0))))
"),66)</f>
        <v>66</v>
      </c>
      <c r="G655" s="7" t="s">
        <v>5734</v>
      </c>
      <c r="H655" s="7" t="s">
        <v>5735</v>
      </c>
      <c r="I655" s="7" t="s">
        <v>5736</v>
      </c>
      <c r="J655" s="7" t="s">
        <v>5726</v>
      </c>
      <c r="K655" s="7" t="s">
        <v>5725</v>
      </c>
      <c r="L655" s="7" t="s">
        <v>5725</v>
      </c>
      <c r="M655" s="7" t="s">
        <v>5725</v>
      </c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</row>
    <row r="656" spans="1:37">
      <c r="A656" s="7" t="s">
        <v>2608</v>
      </c>
      <c r="B656" s="7" t="s">
        <v>2609</v>
      </c>
      <c r="C656" s="7" t="s">
        <v>2610</v>
      </c>
      <c r="D656" s="4">
        <v>4</v>
      </c>
      <c r="E656" s="5" t="s">
        <v>2611</v>
      </c>
      <c r="F656" s="7">
        <f ca="1">IFERROR(__xludf.DUMMYFUNCTION("ARRAYFORMULA(SUM(ARRAYFORMULA(IFERROR(VALUE(SPLIT(SUBSTITUTE(E656,""-"","" ""),"" "")),0))))
"),68)</f>
        <v>68</v>
      </c>
      <c r="G656" s="7" t="s">
        <v>5734</v>
      </c>
      <c r="H656" s="7" t="s">
        <v>5735</v>
      </c>
      <c r="I656" s="7" t="s">
        <v>5736</v>
      </c>
      <c r="J656" s="7" t="s">
        <v>5726</v>
      </c>
      <c r="K656" s="7" t="s">
        <v>5725</v>
      </c>
      <c r="L656" s="7" t="s">
        <v>5725</v>
      </c>
      <c r="M656" s="7" t="s">
        <v>5725</v>
      </c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</row>
    <row r="657" spans="1:37">
      <c r="A657" s="7" t="s">
        <v>2612</v>
      </c>
      <c r="B657" s="7" t="s">
        <v>2613</v>
      </c>
      <c r="C657" s="7" t="s">
        <v>2614</v>
      </c>
      <c r="D657" s="4">
        <v>4</v>
      </c>
      <c r="E657" s="5" t="s">
        <v>2615</v>
      </c>
      <c r="F657" s="7">
        <f ca="1">IFERROR(__xludf.DUMMYFUNCTION("ARRAYFORMULA(SUM(ARRAYFORMULA(IFERROR(VALUE(SPLIT(SUBSTITUTE(E657,""-"","" ""),"" "")),0))))
"),70)</f>
        <v>70</v>
      </c>
      <c r="G657" s="7" t="s">
        <v>5734</v>
      </c>
      <c r="H657" s="7" t="s">
        <v>5735</v>
      </c>
      <c r="I657" s="7" t="s">
        <v>5736</v>
      </c>
      <c r="J657" s="7" t="s">
        <v>5726</v>
      </c>
      <c r="K657" s="7" t="s">
        <v>5725</v>
      </c>
      <c r="L657" s="7" t="s">
        <v>5725</v>
      </c>
      <c r="M657" s="7" t="s">
        <v>5725</v>
      </c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</row>
    <row r="658" spans="1:37">
      <c r="A658" s="7" t="s">
        <v>2616</v>
      </c>
      <c r="B658" s="7" t="s">
        <v>2617</v>
      </c>
      <c r="C658" s="7" t="s">
        <v>2618</v>
      </c>
      <c r="D658" s="4">
        <v>4</v>
      </c>
      <c r="E658" s="5" t="s">
        <v>2619</v>
      </c>
      <c r="F658" s="7">
        <f ca="1">IFERROR(__xludf.DUMMYFUNCTION("ARRAYFORMULA(SUM(ARRAYFORMULA(IFERROR(VALUE(SPLIT(SUBSTITUTE(E658,""-"","" ""),"" "")),0))))
"),72)</f>
        <v>72</v>
      </c>
      <c r="G658" s="7" t="s">
        <v>5734</v>
      </c>
      <c r="H658" s="7" t="s">
        <v>5735</v>
      </c>
      <c r="I658" s="7" t="s">
        <v>5736</v>
      </c>
      <c r="J658" s="7" t="s">
        <v>5726</v>
      </c>
      <c r="K658" s="7" t="s">
        <v>5725</v>
      </c>
      <c r="L658" s="7" t="s">
        <v>5725</v>
      </c>
      <c r="M658" s="7" t="s">
        <v>5725</v>
      </c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</row>
    <row r="659" spans="1:37">
      <c r="A659" s="7" t="s">
        <v>2620</v>
      </c>
      <c r="B659" s="7" t="s">
        <v>2621</v>
      </c>
      <c r="C659" s="7" t="s">
        <v>2622</v>
      </c>
      <c r="D659" s="4">
        <v>5</v>
      </c>
      <c r="E659" s="5" t="s">
        <v>2623</v>
      </c>
      <c r="F659" s="7">
        <f ca="1">IFERROR(__xludf.DUMMYFUNCTION("ARRAYFORMULA(SUM(ARRAYFORMULA(IFERROR(VALUE(SPLIT(SUBSTITUTE(E659,""-"","" ""),"" "")),0))))
"),74)</f>
        <v>74</v>
      </c>
      <c r="G659" s="7" t="s">
        <v>5734</v>
      </c>
      <c r="H659" s="7" t="s">
        <v>5735</v>
      </c>
      <c r="I659" s="7" t="s">
        <v>5736</v>
      </c>
      <c r="J659" s="7" t="s">
        <v>5726</v>
      </c>
      <c r="K659" s="7" t="s">
        <v>5725</v>
      </c>
      <c r="L659" s="7" t="s">
        <v>5725</v>
      </c>
      <c r="M659" s="7" t="s">
        <v>5725</v>
      </c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</row>
    <row r="660" spans="1:37">
      <c r="A660" s="7" t="s">
        <v>2624</v>
      </c>
      <c r="B660" s="7" t="s">
        <v>2625</v>
      </c>
      <c r="C660" s="7" t="s">
        <v>2626</v>
      </c>
      <c r="D660" s="4">
        <v>5</v>
      </c>
      <c r="E660" s="5" t="s">
        <v>2627</v>
      </c>
      <c r="F660" s="7">
        <f ca="1">IFERROR(__xludf.DUMMYFUNCTION("ARRAYFORMULA(SUM(ARRAYFORMULA(IFERROR(VALUE(SPLIT(SUBSTITUTE(E660,""-"","" ""),"" "")),0))))
"),76)</f>
        <v>76</v>
      </c>
      <c r="G660" s="7" t="s">
        <v>5734</v>
      </c>
      <c r="H660" s="7" t="s">
        <v>5735</v>
      </c>
      <c r="I660" s="7" t="s">
        <v>5736</v>
      </c>
      <c r="J660" s="7" t="s">
        <v>5726</v>
      </c>
      <c r="K660" s="7" t="s">
        <v>5725</v>
      </c>
      <c r="L660" s="7" t="s">
        <v>5725</v>
      </c>
      <c r="M660" s="7" t="s">
        <v>5725</v>
      </c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</row>
    <row r="661" spans="1:37">
      <c r="A661" s="7" t="s">
        <v>2628</v>
      </c>
      <c r="B661" s="7" t="s">
        <v>2629</v>
      </c>
      <c r="C661" s="7" t="s">
        <v>2630</v>
      </c>
      <c r="D661" s="4">
        <v>4</v>
      </c>
      <c r="E661" s="5" t="s">
        <v>2631</v>
      </c>
      <c r="F661" s="7">
        <f ca="1">IFERROR(__xludf.DUMMYFUNCTION("ARRAYFORMULA(SUM(ARRAYFORMULA(IFERROR(VALUE(SPLIT(SUBSTITUTE(E661,""-"","" ""),"" "")),0))))
"),74)</f>
        <v>74</v>
      </c>
      <c r="G661" s="7" t="s">
        <v>5734</v>
      </c>
      <c r="H661" s="7" t="s">
        <v>5735</v>
      </c>
      <c r="I661" s="7" t="s">
        <v>5736</v>
      </c>
      <c r="J661" s="7" t="s">
        <v>5726</v>
      </c>
      <c r="K661" s="7" t="s">
        <v>5725</v>
      </c>
      <c r="L661" s="7" t="s">
        <v>5725</v>
      </c>
      <c r="M661" s="7" t="s">
        <v>5725</v>
      </c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</row>
    <row r="662" spans="1:37">
      <c r="A662" s="3" t="s">
        <v>2632</v>
      </c>
      <c r="B662" s="3" t="s">
        <v>2633</v>
      </c>
      <c r="C662" s="3" t="s">
        <v>2634</v>
      </c>
      <c r="D662" s="4">
        <v>3</v>
      </c>
      <c r="E662" s="8" t="s">
        <v>2635</v>
      </c>
      <c r="F662" s="7">
        <f ca="1">IFERROR(__xludf.DUMMYFUNCTION("ARRAYFORMULA(SUM(ARRAYFORMULA(IFERROR(VALUE(SPLIT(SUBSTITUTE(E662,""-"","" ""),"" "")),0))))
"),62)</f>
        <v>62</v>
      </c>
      <c r="G662" s="7" t="s">
        <v>5708</v>
      </c>
      <c r="H662" s="7" t="s">
        <v>5732</v>
      </c>
      <c r="I662" s="7" t="s">
        <v>5733</v>
      </c>
      <c r="J662" s="7" t="s">
        <v>5725</v>
      </c>
      <c r="K662" s="7" t="s">
        <v>5725</v>
      </c>
      <c r="L662" s="7" t="s">
        <v>5726</v>
      </c>
      <c r="M662" s="7" t="s">
        <v>5726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1:37">
      <c r="A663" s="7" t="s">
        <v>2636</v>
      </c>
      <c r="B663" s="7" t="s">
        <v>2637</v>
      </c>
      <c r="C663" s="7" t="s">
        <v>2638</v>
      </c>
      <c r="D663" s="4">
        <v>4</v>
      </c>
      <c r="E663" s="5" t="s">
        <v>2639</v>
      </c>
      <c r="F663" s="7">
        <f ca="1">IFERROR(__xludf.DUMMYFUNCTION("ARRAYFORMULA(SUM(ARRAYFORMULA(IFERROR(VALUE(SPLIT(SUBSTITUTE(E663,""-"","" ""),"" "")),0))))
"),64)</f>
        <v>64</v>
      </c>
      <c r="G663" s="7" t="s">
        <v>5734</v>
      </c>
      <c r="H663" s="7" t="s">
        <v>5735</v>
      </c>
      <c r="I663" s="7" t="s">
        <v>5736</v>
      </c>
      <c r="J663" s="7" t="s">
        <v>5726</v>
      </c>
      <c r="K663" s="7" t="s">
        <v>5725</v>
      </c>
      <c r="L663" s="7" t="s">
        <v>5725</v>
      </c>
      <c r="M663" s="7" t="s">
        <v>5725</v>
      </c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</row>
    <row r="664" spans="1:37">
      <c r="A664" s="7" t="s">
        <v>2640</v>
      </c>
      <c r="B664" s="7" t="s">
        <v>2641</v>
      </c>
      <c r="C664" s="7" t="s">
        <v>2642</v>
      </c>
      <c r="D664" s="4">
        <v>4</v>
      </c>
      <c r="E664" s="5" t="s">
        <v>2643</v>
      </c>
      <c r="F664" s="7">
        <f ca="1">IFERROR(__xludf.DUMMYFUNCTION("ARRAYFORMULA(SUM(ARRAYFORMULA(IFERROR(VALUE(SPLIT(SUBSTITUTE(E664,""-"","" ""),"" "")),0))))
"),66)</f>
        <v>66</v>
      </c>
      <c r="G664" s="7" t="s">
        <v>5734</v>
      </c>
      <c r="H664" s="7" t="s">
        <v>5735</v>
      </c>
      <c r="I664" s="7" t="s">
        <v>5736</v>
      </c>
      <c r="J664" s="7" t="s">
        <v>5726</v>
      </c>
      <c r="K664" s="7" t="s">
        <v>5725</v>
      </c>
      <c r="L664" s="7" t="s">
        <v>5725</v>
      </c>
      <c r="M664" s="7" t="s">
        <v>5725</v>
      </c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</row>
    <row r="665" spans="1:37">
      <c r="A665" s="7" t="s">
        <v>2644</v>
      </c>
      <c r="B665" s="7" t="s">
        <v>2645</v>
      </c>
      <c r="C665" s="7" t="s">
        <v>2646</v>
      </c>
      <c r="D665" s="4">
        <v>4</v>
      </c>
      <c r="E665" s="5" t="s">
        <v>2647</v>
      </c>
      <c r="F665" s="7">
        <f ca="1">IFERROR(__xludf.DUMMYFUNCTION("ARRAYFORMULA(SUM(ARRAYFORMULA(IFERROR(VALUE(SPLIT(SUBSTITUTE(E665,""-"","" ""),"" "")),0))))
"),68)</f>
        <v>68</v>
      </c>
      <c r="G665" s="7" t="s">
        <v>5734</v>
      </c>
      <c r="H665" s="7" t="s">
        <v>5735</v>
      </c>
      <c r="I665" s="7" t="s">
        <v>5736</v>
      </c>
      <c r="J665" s="7" t="s">
        <v>5726</v>
      </c>
      <c r="K665" s="7" t="s">
        <v>5725</v>
      </c>
      <c r="L665" s="7" t="s">
        <v>5725</v>
      </c>
      <c r="M665" s="7" t="s">
        <v>5725</v>
      </c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</row>
    <row r="666" spans="1:37">
      <c r="A666" s="7" t="s">
        <v>2648</v>
      </c>
      <c r="B666" s="7" t="s">
        <v>2649</v>
      </c>
      <c r="C666" s="7" t="s">
        <v>2650</v>
      </c>
      <c r="D666" s="4">
        <v>4</v>
      </c>
      <c r="E666" s="5" t="s">
        <v>2651</v>
      </c>
      <c r="F666" s="7">
        <f ca="1">IFERROR(__xludf.DUMMYFUNCTION("ARRAYFORMULA(SUM(ARRAYFORMULA(IFERROR(VALUE(SPLIT(SUBSTITUTE(E666,""-"","" ""),"" "")),0))))
"),70)</f>
        <v>70</v>
      </c>
      <c r="G666" s="7" t="s">
        <v>5734</v>
      </c>
      <c r="H666" s="7" t="s">
        <v>5735</v>
      </c>
      <c r="I666" s="7" t="s">
        <v>5736</v>
      </c>
      <c r="J666" s="7" t="s">
        <v>5726</v>
      </c>
      <c r="K666" s="7" t="s">
        <v>5725</v>
      </c>
      <c r="L666" s="7" t="s">
        <v>5725</v>
      </c>
      <c r="M666" s="7" t="s">
        <v>5725</v>
      </c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</row>
    <row r="667" spans="1:37">
      <c r="A667" s="7" t="s">
        <v>2652</v>
      </c>
      <c r="B667" s="7" t="s">
        <v>2653</v>
      </c>
      <c r="C667" s="7" t="s">
        <v>2654</v>
      </c>
      <c r="D667" s="4">
        <v>4</v>
      </c>
      <c r="E667" s="5" t="s">
        <v>2655</v>
      </c>
      <c r="F667" s="7">
        <f ca="1">IFERROR(__xludf.DUMMYFUNCTION("ARRAYFORMULA(SUM(ARRAYFORMULA(IFERROR(VALUE(SPLIT(SUBSTITUTE(E667,""-"","" ""),"" "")),0))))
"),72)</f>
        <v>72</v>
      </c>
      <c r="G667" s="7" t="s">
        <v>5734</v>
      </c>
      <c r="H667" s="7" t="s">
        <v>5735</v>
      </c>
      <c r="I667" s="7" t="s">
        <v>5736</v>
      </c>
      <c r="J667" s="7" t="s">
        <v>5726</v>
      </c>
      <c r="K667" s="7" t="s">
        <v>5725</v>
      </c>
      <c r="L667" s="7" t="s">
        <v>5725</v>
      </c>
      <c r="M667" s="7" t="s">
        <v>5725</v>
      </c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</row>
    <row r="668" spans="1:37">
      <c r="A668" s="7" t="s">
        <v>2656</v>
      </c>
      <c r="B668" s="7" t="s">
        <v>2657</v>
      </c>
      <c r="C668" s="7" t="s">
        <v>2658</v>
      </c>
      <c r="D668" s="4">
        <v>4</v>
      </c>
      <c r="E668" s="5" t="s">
        <v>2659</v>
      </c>
      <c r="F668" s="7">
        <f ca="1">IFERROR(__xludf.DUMMYFUNCTION("ARRAYFORMULA(SUM(ARRAYFORMULA(IFERROR(VALUE(SPLIT(SUBSTITUTE(E668,""-"","" ""),"" "")),0))))
"),74)</f>
        <v>74</v>
      </c>
      <c r="G668" s="7" t="s">
        <v>5734</v>
      </c>
      <c r="H668" s="7" t="s">
        <v>5735</v>
      </c>
      <c r="I668" s="7" t="s">
        <v>5736</v>
      </c>
      <c r="J668" s="7" t="s">
        <v>5726</v>
      </c>
      <c r="K668" s="7" t="s">
        <v>5725</v>
      </c>
      <c r="L668" s="7" t="s">
        <v>5725</v>
      </c>
      <c r="M668" s="7" t="s">
        <v>5725</v>
      </c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</row>
    <row r="669" spans="1:37">
      <c r="A669" s="7" t="s">
        <v>2660</v>
      </c>
      <c r="B669" s="7" t="s">
        <v>2661</v>
      </c>
      <c r="C669" s="7" t="s">
        <v>2662</v>
      </c>
      <c r="D669" s="4">
        <v>5</v>
      </c>
      <c r="E669" s="5" t="s">
        <v>2663</v>
      </c>
      <c r="F669" s="7">
        <f ca="1">IFERROR(__xludf.DUMMYFUNCTION("ARRAYFORMULA(SUM(ARRAYFORMULA(IFERROR(VALUE(SPLIT(SUBSTITUTE(E669,""-"","" ""),"" "")),0))))
"),76)</f>
        <v>76</v>
      </c>
      <c r="G669" s="7" t="s">
        <v>5734</v>
      </c>
      <c r="H669" s="7" t="s">
        <v>5735</v>
      </c>
      <c r="I669" s="7" t="s">
        <v>5736</v>
      </c>
      <c r="J669" s="7" t="s">
        <v>5726</v>
      </c>
      <c r="K669" s="7" t="s">
        <v>5725</v>
      </c>
      <c r="L669" s="7" t="s">
        <v>5725</v>
      </c>
      <c r="M669" s="7" t="s">
        <v>5725</v>
      </c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</row>
    <row r="670" spans="1:37">
      <c r="A670" s="7" t="s">
        <v>2664</v>
      </c>
      <c r="B670" s="7" t="s">
        <v>2665</v>
      </c>
      <c r="C670" s="7" t="s">
        <v>2666</v>
      </c>
      <c r="D670" s="4">
        <v>5</v>
      </c>
      <c r="E670" s="5" t="s">
        <v>2667</v>
      </c>
      <c r="F670" s="7">
        <f ca="1">IFERROR(__xludf.DUMMYFUNCTION("ARRAYFORMULA(SUM(ARRAYFORMULA(IFERROR(VALUE(SPLIT(SUBSTITUTE(E670,""-"","" ""),"" "")),0))))
"),78)</f>
        <v>78</v>
      </c>
      <c r="G670" s="7" t="s">
        <v>5734</v>
      </c>
      <c r="H670" s="7" t="s">
        <v>5735</v>
      </c>
      <c r="I670" s="7" t="s">
        <v>5736</v>
      </c>
      <c r="J670" s="7" t="s">
        <v>5726</v>
      </c>
      <c r="K670" s="7" t="s">
        <v>5725</v>
      </c>
      <c r="L670" s="7" t="s">
        <v>5725</v>
      </c>
      <c r="M670" s="7" t="s">
        <v>5725</v>
      </c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</row>
    <row r="671" spans="1:37">
      <c r="A671" s="7" t="s">
        <v>2668</v>
      </c>
      <c r="B671" s="7" t="s">
        <v>2669</v>
      </c>
      <c r="C671" s="7" t="s">
        <v>2670</v>
      </c>
      <c r="D671" s="4">
        <v>4</v>
      </c>
      <c r="E671" s="5" t="s">
        <v>2671</v>
      </c>
      <c r="F671" s="7">
        <f ca="1">IFERROR(__xludf.DUMMYFUNCTION("ARRAYFORMULA(SUM(ARRAYFORMULA(IFERROR(VALUE(SPLIT(SUBSTITUTE(E671,""-"","" ""),"" "")),0))))
"),76)</f>
        <v>76</v>
      </c>
      <c r="G671" s="7" t="s">
        <v>5734</v>
      </c>
      <c r="H671" s="7" t="s">
        <v>5735</v>
      </c>
      <c r="I671" s="7" t="s">
        <v>5736</v>
      </c>
      <c r="J671" s="7" t="s">
        <v>5726</v>
      </c>
      <c r="K671" s="7" t="s">
        <v>5725</v>
      </c>
      <c r="L671" s="7" t="s">
        <v>5725</v>
      </c>
      <c r="M671" s="7" t="s">
        <v>5725</v>
      </c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</row>
    <row r="672" spans="1:37">
      <c r="A672" s="3" t="s">
        <v>2672</v>
      </c>
      <c r="B672" s="3" t="s">
        <v>2673</v>
      </c>
      <c r="C672" s="3" t="s">
        <v>2674</v>
      </c>
      <c r="D672" s="4">
        <v>2</v>
      </c>
      <c r="E672" s="8" t="s">
        <v>2675</v>
      </c>
      <c r="F672" s="7">
        <f ca="1">IFERROR(__xludf.DUMMYFUNCTION("ARRAYFORMULA(SUM(ARRAYFORMULA(IFERROR(VALUE(SPLIT(SUBSTITUTE(E672,""-"","" ""),"" "")),0))))
"),56)</f>
        <v>56</v>
      </c>
      <c r="G672" s="7" t="s">
        <v>5706</v>
      </c>
      <c r="H672" s="7" t="s">
        <v>5723</v>
      </c>
      <c r="I672" s="7" t="s">
        <v>5724</v>
      </c>
      <c r="J672" s="7" t="s">
        <v>5725</v>
      </c>
      <c r="K672" s="7" t="s">
        <v>5726</v>
      </c>
      <c r="L672" s="7" t="s">
        <v>5726</v>
      </c>
      <c r="M672" s="7" t="s">
        <v>5726</v>
      </c>
      <c r="N672" s="3"/>
      <c r="O672" s="3"/>
      <c r="P672" s="3"/>
      <c r="Q672" s="3"/>
      <c r="R672" s="8" t="s">
        <v>2675</v>
      </c>
      <c r="S672" s="3" t="s">
        <v>5778</v>
      </c>
      <c r="T672" s="111" t="s">
        <v>5407</v>
      </c>
      <c r="U672" s="7" t="str">
        <f>T672&amp;"-"&amp;S672</f>
        <v>3E-56-móveis</v>
      </c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1:37">
      <c r="A673" s="3" t="s">
        <v>2676</v>
      </c>
      <c r="B673" s="3" t="s">
        <v>2677</v>
      </c>
      <c r="C673" s="3" t="s">
        <v>2678</v>
      </c>
      <c r="D673" s="4">
        <v>3</v>
      </c>
      <c r="E673" s="8" t="s">
        <v>2679</v>
      </c>
      <c r="F673" s="7">
        <f ca="1">IFERROR(__xludf.DUMMYFUNCTION("ARRAYFORMULA(SUM(ARRAYFORMULA(IFERROR(VALUE(SPLIT(SUBSTITUTE(E673,""-"","" ""),"" "")),0))))
"),58)</f>
        <v>58</v>
      </c>
      <c r="G673" s="7" t="s">
        <v>5708</v>
      </c>
      <c r="H673" s="7" t="s">
        <v>5732</v>
      </c>
      <c r="I673" s="7" t="s">
        <v>5733</v>
      </c>
      <c r="J673" s="7" t="s">
        <v>5725</v>
      </c>
      <c r="K673" s="7" t="s">
        <v>5725</v>
      </c>
      <c r="L673" s="7" t="s">
        <v>5726</v>
      </c>
      <c r="M673" s="7" t="s">
        <v>5726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1:37">
      <c r="A674" s="3" t="s">
        <v>2680</v>
      </c>
      <c r="B674" s="3" t="s">
        <v>2681</v>
      </c>
      <c r="C674" s="3" t="s">
        <v>2682</v>
      </c>
      <c r="D674" s="4">
        <v>3</v>
      </c>
      <c r="E674" s="8" t="s">
        <v>2683</v>
      </c>
      <c r="F674" s="7">
        <f ca="1">IFERROR(__xludf.DUMMYFUNCTION("ARRAYFORMULA(SUM(ARRAYFORMULA(IFERROR(VALUE(SPLIT(SUBSTITUTE(E674,""-"","" ""),"" "")),0))))
"),60)</f>
        <v>60</v>
      </c>
      <c r="G674" s="7" t="s">
        <v>5708</v>
      </c>
      <c r="H674" s="7" t="s">
        <v>5732</v>
      </c>
      <c r="I674" s="7" t="s">
        <v>5733</v>
      </c>
      <c r="J674" s="7" t="s">
        <v>5725</v>
      </c>
      <c r="K674" s="7" t="s">
        <v>5725</v>
      </c>
      <c r="L674" s="7" t="s">
        <v>5726</v>
      </c>
      <c r="M674" s="7" t="s">
        <v>5726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1:37">
      <c r="A675" s="3" t="s">
        <v>2684</v>
      </c>
      <c r="B675" s="3" t="s">
        <v>2685</v>
      </c>
      <c r="C675" s="3" t="s">
        <v>2686</v>
      </c>
      <c r="D675" s="4">
        <v>3</v>
      </c>
      <c r="E675" s="8" t="s">
        <v>2687</v>
      </c>
      <c r="F675" s="7">
        <f ca="1">IFERROR(__xludf.DUMMYFUNCTION("ARRAYFORMULA(SUM(ARRAYFORMULA(IFERROR(VALUE(SPLIT(SUBSTITUTE(E675,""-"","" ""),"" "")),0))))
"),62)</f>
        <v>62</v>
      </c>
      <c r="G675" s="7" t="s">
        <v>5708</v>
      </c>
      <c r="H675" s="7" t="s">
        <v>5732</v>
      </c>
      <c r="I675" s="7" t="s">
        <v>5733</v>
      </c>
      <c r="J675" s="7" t="s">
        <v>5725</v>
      </c>
      <c r="K675" s="7" t="s">
        <v>5725</v>
      </c>
      <c r="L675" s="7" t="s">
        <v>5726</v>
      </c>
      <c r="M675" s="7" t="s">
        <v>5726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1:37">
      <c r="A676" s="3" t="s">
        <v>2688</v>
      </c>
      <c r="B676" s="3" t="s">
        <v>2689</v>
      </c>
      <c r="C676" s="3" t="s">
        <v>2690</v>
      </c>
      <c r="D676" s="4">
        <v>3</v>
      </c>
      <c r="E676" s="8" t="s">
        <v>2691</v>
      </c>
      <c r="F676" s="7">
        <f ca="1">IFERROR(__xludf.DUMMYFUNCTION("ARRAYFORMULA(SUM(ARRAYFORMULA(IFERROR(VALUE(SPLIT(SUBSTITUTE(E676,""-"","" ""),"" "")),0))))
"),64)</f>
        <v>64</v>
      </c>
      <c r="G676" s="7" t="s">
        <v>5708</v>
      </c>
      <c r="H676" s="7" t="s">
        <v>5732</v>
      </c>
      <c r="I676" s="7" t="s">
        <v>5733</v>
      </c>
      <c r="J676" s="7" t="s">
        <v>5725</v>
      </c>
      <c r="K676" s="7" t="s">
        <v>5725</v>
      </c>
      <c r="L676" s="7" t="s">
        <v>5726</v>
      </c>
      <c r="M676" s="7" t="s">
        <v>5726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1:37">
      <c r="A677" s="3" t="s">
        <v>2692</v>
      </c>
      <c r="B677" s="3" t="s">
        <v>2693</v>
      </c>
      <c r="C677" s="3" t="s">
        <v>2694</v>
      </c>
      <c r="D677" s="4">
        <v>2</v>
      </c>
      <c r="E677" s="8" t="s">
        <v>2695</v>
      </c>
      <c r="F677" s="7">
        <f ca="1">IFERROR(__xludf.DUMMYFUNCTION("ARRAYFORMULA(SUM(ARRAYFORMULA(IFERROR(VALUE(SPLIT(SUBSTITUTE(E677,""-"","" ""),"" "")),0))))
"),58)</f>
        <v>58</v>
      </c>
      <c r="G677" s="7" t="s">
        <v>5706</v>
      </c>
      <c r="H677" s="7" t="s">
        <v>5723</v>
      </c>
      <c r="I677" s="7" t="s">
        <v>5724</v>
      </c>
      <c r="J677" s="7" t="s">
        <v>5725</v>
      </c>
      <c r="K677" s="7" t="s">
        <v>5726</v>
      </c>
      <c r="L677" s="7" t="s">
        <v>5726</v>
      </c>
      <c r="M677" s="7" t="s">
        <v>5726</v>
      </c>
      <c r="N677" s="3"/>
      <c r="O677" s="3"/>
      <c r="P677" s="3"/>
      <c r="Q677" s="3"/>
      <c r="R677" s="8" t="s">
        <v>2695</v>
      </c>
      <c r="S677" s="3" t="s">
        <v>5779</v>
      </c>
      <c r="T677" s="111" t="s">
        <v>5405</v>
      </c>
      <c r="U677" s="7" t="str">
        <f>T677&amp;"-"&amp;S677</f>
        <v>3E-58-automação</v>
      </c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1:37">
      <c r="A678" s="3" t="s">
        <v>2696</v>
      </c>
      <c r="B678" s="3" t="s">
        <v>2697</v>
      </c>
      <c r="C678" s="3" t="s">
        <v>2698</v>
      </c>
      <c r="D678" s="4">
        <v>3</v>
      </c>
      <c r="E678" s="8" t="s">
        <v>2699</v>
      </c>
      <c r="F678" s="7">
        <f ca="1">IFERROR(__xludf.DUMMYFUNCTION("ARRAYFORMULA(SUM(ARRAYFORMULA(IFERROR(VALUE(SPLIT(SUBSTITUTE(E678,""-"","" ""),"" "")),0))))
"),60)</f>
        <v>60</v>
      </c>
      <c r="G678" s="7" t="s">
        <v>5708</v>
      </c>
      <c r="H678" s="7" t="s">
        <v>5732</v>
      </c>
      <c r="I678" s="7" t="s">
        <v>5733</v>
      </c>
      <c r="J678" s="7" t="s">
        <v>5725</v>
      </c>
      <c r="K678" s="7" t="s">
        <v>5725</v>
      </c>
      <c r="L678" s="7" t="s">
        <v>5726</v>
      </c>
      <c r="M678" s="7" t="s">
        <v>5726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1:37">
      <c r="A679" s="3" t="s">
        <v>2700</v>
      </c>
      <c r="B679" s="3" t="s">
        <v>2701</v>
      </c>
      <c r="C679" s="3" t="s">
        <v>2702</v>
      </c>
      <c r="D679" s="4">
        <v>3</v>
      </c>
      <c r="E679" s="8" t="s">
        <v>2703</v>
      </c>
      <c r="F679" s="7">
        <f ca="1">IFERROR(__xludf.DUMMYFUNCTION("ARRAYFORMULA(SUM(ARRAYFORMULA(IFERROR(VALUE(SPLIT(SUBSTITUTE(E679,""-"","" ""),"" "")),0))))
"),62)</f>
        <v>62</v>
      </c>
      <c r="G679" s="7" t="s">
        <v>5708</v>
      </c>
      <c r="H679" s="7" t="s">
        <v>5732</v>
      </c>
      <c r="I679" s="7" t="s">
        <v>5733</v>
      </c>
      <c r="J679" s="7" t="s">
        <v>5725</v>
      </c>
      <c r="K679" s="7" t="s">
        <v>5725</v>
      </c>
      <c r="L679" s="7" t="s">
        <v>5726</v>
      </c>
      <c r="M679" s="7" t="s">
        <v>5726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1:37">
      <c r="A680" s="3" t="s">
        <v>2704</v>
      </c>
      <c r="B680" s="3" t="s">
        <v>2705</v>
      </c>
      <c r="C680" s="3" t="s">
        <v>2706</v>
      </c>
      <c r="D680" s="4">
        <v>2</v>
      </c>
      <c r="E680" s="8" t="s">
        <v>2707</v>
      </c>
      <c r="F680" s="7">
        <f ca="1">IFERROR(__xludf.DUMMYFUNCTION("ARRAYFORMULA(SUM(ARRAYFORMULA(IFERROR(VALUE(SPLIT(SUBSTITUTE(E680,""-"","" ""),"" "")),0))))
"),60)</f>
        <v>60</v>
      </c>
      <c r="G680" s="7" t="s">
        <v>5706</v>
      </c>
      <c r="H680" s="7" t="s">
        <v>5723</v>
      </c>
      <c r="I680" s="7" t="s">
        <v>5724</v>
      </c>
      <c r="J680" s="7" t="s">
        <v>5725</v>
      </c>
      <c r="K680" s="7" t="s">
        <v>5726</v>
      </c>
      <c r="L680" s="7" t="s">
        <v>5726</v>
      </c>
      <c r="M680" s="7" t="s">
        <v>5726</v>
      </c>
      <c r="N680" s="3"/>
      <c r="O680" s="3"/>
      <c r="P680" s="3"/>
      <c r="Q680" s="3"/>
      <c r="R680" s="8" t="s">
        <v>2707</v>
      </c>
      <c r="S680" s="3" t="s">
        <v>5780</v>
      </c>
      <c r="T680" s="111" t="s">
        <v>5393</v>
      </c>
      <c r="U680" s="7" t="str">
        <f>T680&amp;"-"&amp;S680</f>
        <v>3E-60-sistemas de proteção a descargas atmosféricas</v>
      </c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1:37">
      <c r="A681" s="3" t="s">
        <v>2708</v>
      </c>
      <c r="B681" s="3" t="s">
        <v>2709</v>
      </c>
      <c r="C681" s="3" t="s">
        <v>2710</v>
      </c>
      <c r="D681" s="4">
        <v>3</v>
      </c>
      <c r="E681" s="8" t="s">
        <v>2711</v>
      </c>
      <c r="F681" s="7">
        <f ca="1">IFERROR(__xludf.DUMMYFUNCTION("ARRAYFORMULA(SUM(ARRAYFORMULA(IFERROR(VALUE(SPLIT(SUBSTITUTE(E681,""-"","" ""),"" "")),0))))
"),62)</f>
        <v>62</v>
      </c>
      <c r="G681" s="7" t="s">
        <v>5708</v>
      </c>
      <c r="H681" s="7" t="s">
        <v>5732</v>
      </c>
      <c r="I681" s="7" t="s">
        <v>5733</v>
      </c>
      <c r="J681" s="7" t="s">
        <v>5725</v>
      </c>
      <c r="K681" s="7" t="s">
        <v>5725</v>
      </c>
      <c r="L681" s="7" t="s">
        <v>5726</v>
      </c>
      <c r="M681" s="7" t="s">
        <v>5726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1:37">
      <c r="A682" s="7" t="s">
        <v>2712</v>
      </c>
      <c r="B682" s="7" t="s">
        <v>2713</v>
      </c>
      <c r="C682" s="7" t="s">
        <v>2714</v>
      </c>
      <c r="D682" s="4">
        <v>4</v>
      </c>
      <c r="E682" s="5" t="s">
        <v>2715</v>
      </c>
      <c r="F682" s="7">
        <f ca="1">IFERROR(__xludf.DUMMYFUNCTION("ARRAYFORMULA(SUM(ARRAYFORMULA(IFERROR(VALUE(SPLIT(SUBSTITUTE(E682,""-"","" ""),"" "")),0))))
"),64)</f>
        <v>64</v>
      </c>
      <c r="G682" s="7" t="s">
        <v>5734</v>
      </c>
      <c r="H682" s="7" t="s">
        <v>5735</v>
      </c>
      <c r="I682" s="7" t="s">
        <v>5736</v>
      </c>
      <c r="J682" s="7" t="s">
        <v>5726</v>
      </c>
      <c r="K682" s="7" t="s">
        <v>5725</v>
      </c>
      <c r="L682" s="7" t="s">
        <v>5725</v>
      </c>
      <c r="M682" s="7" t="s">
        <v>5725</v>
      </c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</row>
    <row r="683" spans="1:37">
      <c r="A683" s="7" t="s">
        <v>2716</v>
      </c>
      <c r="B683" s="7" t="s">
        <v>2717</v>
      </c>
      <c r="C683" s="7" t="s">
        <v>2718</v>
      </c>
      <c r="D683" s="4">
        <v>4</v>
      </c>
      <c r="E683" s="5" t="s">
        <v>2719</v>
      </c>
      <c r="F683" s="7">
        <f ca="1">IFERROR(__xludf.DUMMYFUNCTION("ARRAYFORMULA(SUM(ARRAYFORMULA(IFERROR(VALUE(SPLIT(SUBSTITUTE(E683,""-"","" ""),"" "")),0))))
"),66)</f>
        <v>66</v>
      </c>
      <c r="G683" s="7" t="s">
        <v>5734</v>
      </c>
      <c r="H683" s="7" t="s">
        <v>5735</v>
      </c>
      <c r="I683" s="7" t="s">
        <v>5736</v>
      </c>
      <c r="J683" s="7" t="s">
        <v>5726</v>
      </c>
      <c r="K683" s="7" t="s">
        <v>5725</v>
      </c>
      <c r="L683" s="7" t="s">
        <v>5725</v>
      </c>
      <c r="M683" s="7" t="s">
        <v>5725</v>
      </c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</row>
    <row r="684" spans="1:37">
      <c r="A684" s="7" t="s">
        <v>2720</v>
      </c>
      <c r="B684" s="7" t="s">
        <v>2721</v>
      </c>
      <c r="C684" s="7" t="s">
        <v>2722</v>
      </c>
      <c r="D684" s="4">
        <v>4</v>
      </c>
      <c r="E684" s="5" t="s">
        <v>2723</v>
      </c>
      <c r="F684" s="7">
        <f ca="1">IFERROR(__xludf.DUMMYFUNCTION("ARRAYFORMULA(SUM(ARRAYFORMULA(IFERROR(VALUE(SPLIT(SUBSTITUTE(E684,""-"","" ""),"" "")),0))))
"),68)</f>
        <v>68</v>
      </c>
      <c r="G684" s="7" t="s">
        <v>5734</v>
      </c>
      <c r="H684" s="7" t="s">
        <v>5735</v>
      </c>
      <c r="I684" s="7" t="s">
        <v>5736</v>
      </c>
      <c r="J684" s="7" t="s">
        <v>5726</v>
      </c>
      <c r="K684" s="7" t="s">
        <v>5725</v>
      </c>
      <c r="L684" s="7" t="s">
        <v>5725</v>
      </c>
      <c r="M684" s="7" t="s">
        <v>5725</v>
      </c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</row>
    <row r="685" spans="1:37">
      <c r="A685" s="7" t="s">
        <v>2724</v>
      </c>
      <c r="B685" s="7" t="s">
        <v>2725</v>
      </c>
      <c r="C685" s="7" t="s">
        <v>2726</v>
      </c>
      <c r="D685" s="4">
        <v>4</v>
      </c>
      <c r="E685" s="5" t="s">
        <v>2727</v>
      </c>
      <c r="F685" s="7">
        <f ca="1">IFERROR(__xludf.DUMMYFUNCTION("ARRAYFORMULA(SUM(ARRAYFORMULA(IFERROR(VALUE(SPLIT(SUBSTITUTE(E685,""-"","" ""),"" "")),0))))
"),70)</f>
        <v>70</v>
      </c>
      <c r="G685" s="7" t="s">
        <v>5734</v>
      </c>
      <c r="H685" s="7" t="s">
        <v>5735</v>
      </c>
      <c r="I685" s="7" t="s">
        <v>5736</v>
      </c>
      <c r="J685" s="7" t="s">
        <v>5726</v>
      </c>
      <c r="K685" s="7" t="s">
        <v>5725</v>
      </c>
      <c r="L685" s="7" t="s">
        <v>5725</v>
      </c>
      <c r="M685" s="7" t="s">
        <v>5725</v>
      </c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</row>
    <row r="686" spans="1:37">
      <c r="A686" s="3" t="s">
        <v>2728</v>
      </c>
      <c r="B686" s="3" t="s">
        <v>2729</v>
      </c>
      <c r="C686" s="3" t="s">
        <v>2730</v>
      </c>
      <c r="D686" s="4">
        <v>3</v>
      </c>
      <c r="E686" s="8" t="s">
        <v>2731</v>
      </c>
      <c r="F686" s="7">
        <f ca="1">IFERROR(__xludf.DUMMYFUNCTION("ARRAYFORMULA(SUM(ARRAYFORMULA(IFERROR(VALUE(SPLIT(SUBSTITUTE(E686,""-"","" ""),"" "")),0))))
"),64)</f>
        <v>64</v>
      </c>
      <c r="G686" s="7" t="s">
        <v>5708</v>
      </c>
      <c r="H686" s="7" t="s">
        <v>5732</v>
      </c>
      <c r="I686" s="7" t="s">
        <v>5733</v>
      </c>
      <c r="J686" s="7" t="s">
        <v>5725</v>
      </c>
      <c r="K686" s="7" t="s">
        <v>5725</v>
      </c>
      <c r="L686" s="7" t="s">
        <v>5726</v>
      </c>
      <c r="M686" s="7" t="s">
        <v>5726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1:37">
      <c r="A687" s="7" t="s">
        <v>2732</v>
      </c>
      <c r="B687" s="7" t="s">
        <v>2733</v>
      </c>
      <c r="C687" s="7" t="s">
        <v>2734</v>
      </c>
      <c r="D687" s="4">
        <v>4</v>
      </c>
      <c r="E687" s="5" t="s">
        <v>2735</v>
      </c>
      <c r="F687" s="7">
        <f ca="1">IFERROR(__xludf.DUMMYFUNCTION("ARRAYFORMULA(SUM(ARRAYFORMULA(IFERROR(VALUE(SPLIT(SUBSTITUTE(E687,""-"","" ""),"" "")),0))))
"),66)</f>
        <v>66</v>
      </c>
      <c r="G687" s="7" t="s">
        <v>5734</v>
      </c>
      <c r="H687" s="7" t="s">
        <v>5735</v>
      </c>
      <c r="I687" s="7" t="s">
        <v>5736</v>
      </c>
      <c r="J687" s="7" t="s">
        <v>5726</v>
      </c>
      <c r="K687" s="7" t="s">
        <v>5725</v>
      </c>
      <c r="L687" s="7" t="s">
        <v>5725</v>
      </c>
      <c r="M687" s="7" t="s">
        <v>5725</v>
      </c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</row>
    <row r="688" spans="1:37">
      <c r="A688" s="3" t="s">
        <v>2736</v>
      </c>
      <c r="B688" s="3" t="s">
        <v>2737</v>
      </c>
      <c r="C688" s="3" t="s">
        <v>2738</v>
      </c>
      <c r="D688" s="4">
        <v>3</v>
      </c>
      <c r="E688" s="8" t="s">
        <v>2739</v>
      </c>
      <c r="F688" s="7">
        <f ca="1">IFERROR(__xludf.DUMMYFUNCTION("ARRAYFORMULA(SUM(ARRAYFORMULA(IFERROR(VALUE(SPLIT(SUBSTITUTE(E688,""-"","" ""),"" "")),0))))
"),66)</f>
        <v>66</v>
      </c>
      <c r="G688" s="7" t="s">
        <v>5708</v>
      </c>
      <c r="H688" s="7" t="s">
        <v>5732</v>
      </c>
      <c r="I688" s="7" t="s">
        <v>5733</v>
      </c>
      <c r="J688" s="7" t="s">
        <v>5725</v>
      </c>
      <c r="K688" s="7" t="s">
        <v>5725</v>
      </c>
      <c r="L688" s="7" t="s">
        <v>5726</v>
      </c>
      <c r="M688" s="7" t="s">
        <v>5726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1:37">
      <c r="A689" s="7" t="s">
        <v>2740</v>
      </c>
      <c r="B689" s="7" t="s">
        <v>2741</v>
      </c>
      <c r="C689" s="7" t="s">
        <v>2742</v>
      </c>
      <c r="D689" s="4">
        <v>4</v>
      </c>
      <c r="E689" s="5" t="s">
        <v>2743</v>
      </c>
      <c r="F689" s="7">
        <f ca="1">IFERROR(__xludf.DUMMYFUNCTION("ARRAYFORMULA(SUM(ARRAYFORMULA(IFERROR(VALUE(SPLIT(SUBSTITUTE(E689,""-"","" ""),"" "")),0))))
"),68)</f>
        <v>68</v>
      </c>
      <c r="G689" s="7" t="s">
        <v>5734</v>
      </c>
      <c r="H689" s="7" t="s">
        <v>5735</v>
      </c>
      <c r="I689" s="7" t="s">
        <v>5736</v>
      </c>
      <c r="J689" s="7" t="s">
        <v>5726</v>
      </c>
      <c r="K689" s="7" t="s">
        <v>5725</v>
      </c>
      <c r="L689" s="7" t="s">
        <v>5725</v>
      </c>
      <c r="M689" s="7" t="s">
        <v>5725</v>
      </c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</row>
    <row r="690" spans="1:37">
      <c r="A690" s="3" t="s">
        <v>2744</v>
      </c>
      <c r="B690" s="3" t="s">
        <v>2745</v>
      </c>
      <c r="C690" s="3" t="s">
        <v>2746</v>
      </c>
      <c r="D690" s="4">
        <v>3</v>
      </c>
      <c r="E690" s="8" t="s">
        <v>2747</v>
      </c>
      <c r="F690" s="7">
        <f ca="1">IFERROR(__xludf.DUMMYFUNCTION("ARRAYFORMULA(SUM(ARRAYFORMULA(IFERROR(VALUE(SPLIT(SUBSTITUTE(E690,""-"","" ""),"" "")),0))))
"),68)</f>
        <v>68</v>
      </c>
      <c r="G690" s="7" t="s">
        <v>5708</v>
      </c>
      <c r="H690" s="7" t="s">
        <v>5732</v>
      </c>
      <c r="I690" s="7" t="s">
        <v>5733</v>
      </c>
      <c r="J690" s="7" t="s">
        <v>5725</v>
      </c>
      <c r="K690" s="7" t="s">
        <v>5725</v>
      </c>
      <c r="L690" s="7" t="s">
        <v>5726</v>
      </c>
      <c r="M690" s="7" t="s">
        <v>5726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1:37">
      <c r="A691" s="7" t="s">
        <v>2740</v>
      </c>
      <c r="B691" s="7" t="s">
        <v>2741</v>
      </c>
      <c r="C691" s="7" t="s">
        <v>2748</v>
      </c>
      <c r="D691" s="4">
        <v>4</v>
      </c>
      <c r="E691" s="5" t="s">
        <v>2749</v>
      </c>
      <c r="F691" s="7">
        <f ca="1">IFERROR(__xludf.DUMMYFUNCTION("ARRAYFORMULA(SUM(ARRAYFORMULA(IFERROR(VALUE(SPLIT(SUBSTITUTE(E691,""-"","" ""),"" "")),0))))
"),68)</f>
        <v>68</v>
      </c>
      <c r="G691" s="7" t="s">
        <v>5734</v>
      </c>
      <c r="H691" s="7" t="s">
        <v>5735</v>
      </c>
      <c r="I691" s="7" t="s">
        <v>5736</v>
      </c>
      <c r="J691" s="7" t="s">
        <v>5726</v>
      </c>
      <c r="K691" s="7" t="s">
        <v>5725</v>
      </c>
      <c r="L691" s="7" t="s">
        <v>5725</v>
      </c>
      <c r="M691" s="7" t="s">
        <v>5725</v>
      </c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</row>
    <row r="692" spans="1:37">
      <c r="A692" s="3" t="s">
        <v>2750</v>
      </c>
      <c r="B692" s="3" t="s">
        <v>2751</v>
      </c>
      <c r="C692" s="3" t="s">
        <v>2752</v>
      </c>
      <c r="D692" s="4">
        <v>2</v>
      </c>
      <c r="E692" s="8" t="s">
        <v>2753</v>
      </c>
      <c r="F692" s="7">
        <f ca="1">IFERROR(__xludf.DUMMYFUNCTION("ARRAYFORMULA(SUM(ARRAYFORMULA(IFERROR(VALUE(SPLIT(SUBSTITUTE(E692,""-"","" ""),"" "")),0))))
"),62)</f>
        <v>62</v>
      </c>
      <c r="G692" s="7" t="s">
        <v>5706</v>
      </c>
      <c r="H692" s="7" t="s">
        <v>5723</v>
      </c>
      <c r="I692" s="7" t="s">
        <v>5724</v>
      </c>
      <c r="J692" s="7" t="s">
        <v>5725</v>
      </c>
      <c r="K692" s="7" t="s">
        <v>5726</v>
      </c>
      <c r="L692" s="7" t="s">
        <v>5726</v>
      </c>
      <c r="M692" s="7" t="s">
        <v>5726</v>
      </c>
      <c r="N692" s="3"/>
      <c r="O692" s="3"/>
      <c r="P692" s="3"/>
      <c r="Q692" s="3"/>
      <c r="R692" s="8" t="s">
        <v>2753</v>
      </c>
      <c r="S692" s="3" t="s">
        <v>5781</v>
      </c>
      <c r="T692" s="111" t="s">
        <v>5398</v>
      </c>
      <c r="U692" s="7" t="str">
        <f>T692&amp;"-"&amp;S692</f>
        <v>3E-62-proteção a incêndio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1:37">
      <c r="A693" s="3" t="s">
        <v>2754</v>
      </c>
      <c r="B693" s="3" t="s">
        <v>2755</v>
      </c>
      <c r="C693" s="3" t="s">
        <v>2756</v>
      </c>
      <c r="D693" s="4">
        <v>3</v>
      </c>
      <c r="E693" s="8" t="s">
        <v>2757</v>
      </c>
      <c r="F693" s="7">
        <f ca="1">IFERROR(__xludf.DUMMYFUNCTION("ARRAYFORMULA(SUM(ARRAYFORMULA(IFERROR(VALUE(SPLIT(SUBSTITUTE(E693,""-"","" ""),"" "")),0))))
"),64)</f>
        <v>64</v>
      </c>
      <c r="G693" s="7" t="s">
        <v>5708</v>
      </c>
      <c r="H693" s="7" t="s">
        <v>5732</v>
      </c>
      <c r="I693" s="7" t="s">
        <v>5733</v>
      </c>
      <c r="J693" s="7" t="s">
        <v>5725</v>
      </c>
      <c r="K693" s="7" t="s">
        <v>5725</v>
      </c>
      <c r="L693" s="7" t="s">
        <v>5726</v>
      </c>
      <c r="M693" s="7" t="s">
        <v>5726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1:37">
      <c r="A694" s="7" t="s">
        <v>2758</v>
      </c>
      <c r="B694" s="7" t="s">
        <v>2759</v>
      </c>
      <c r="C694" s="7" t="s">
        <v>2760</v>
      </c>
      <c r="D694" s="4">
        <v>4</v>
      </c>
      <c r="E694" s="5" t="s">
        <v>2761</v>
      </c>
      <c r="F694" s="7">
        <f ca="1">IFERROR(__xludf.DUMMYFUNCTION("ARRAYFORMULA(SUM(ARRAYFORMULA(IFERROR(VALUE(SPLIT(SUBSTITUTE(E694,""-"","" ""),"" "")),0))))
"),66)</f>
        <v>66</v>
      </c>
      <c r="G694" s="7" t="s">
        <v>5734</v>
      </c>
      <c r="H694" s="7" t="s">
        <v>5735</v>
      </c>
      <c r="I694" s="7" t="s">
        <v>5736</v>
      </c>
      <c r="J694" s="7" t="s">
        <v>5726</v>
      </c>
      <c r="K694" s="7" t="s">
        <v>5725</v>
      </c>
      <c r="L694" s="7" t="s">
        <v>5725</v>
      </c>
      <c r="M694" s="7" t="s">
        <v>5725</v>
      </c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</row>
    <row r="695" spans="1:37">
      <c r="A695" s="7" t="s">
        <v>2762</v>
      </c>
      <c r="B695" s="7" t="s">
        <v>2763</v>
      </c>
      <c r="C695" s="7" t="s">
        <v>2764</v>
      </c>
      <c r="D695" s="4">
        <v>4</v>
      </c>
      <c r="E695" s="5" t="s">
        <v>2765</v>
      </c>
      <c r="F695" s="7">
        <f ca="1">IFERROR(__xludf.DUMMYFUNCTION("ARRAYFORMULA(SUM(ARRAYFORMULA(IFERROR(VALUE(SPLIT(SUBSTITUTE(E695,""-"","" ""),"" "")),0))))
"),68)</f>
        <v>68</v>
      </c>
      <c r="G695" s="7" t="s">
        <v>5734</v>
      </c>
      <c r="H695" s="7" t="s">
        <v>5735</v>
      </c>
      <c r="I695" s="7" t="s">
        <v>5736</v>
      </c>
      <c r="J695" s="7" t="s">
        <v>5726</v>
      </c>
      <c r="K695" s="7" t="s">
        <v>5725</v>
      </c>
      <c r="L695" s="7" t="s">
        <v>5725</v>
      </c>
      <c r="M695" s="7" t="s">
        <v>5725</v>
      </c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</row>
    <row r="696" spans="1:37">
      <c r="A696" s="3" t="s">
        <v>2766</v>
      </c>
      <c r="B696" s="3" t="s">
        <v>2767</v>
      </c>
      <c r="C696" s="3" t="s">
        <v>2768</v>
      </c>
      <c r="D696" s="4">
        <v>3</v>
      </c>
      <c r="E696" s="8" t="s">
        <v>2769</v>
      </c>
      <c r="F696" s="7">
        <f ca="1">IFERROR(__xludf.DUMMYFUNCTION("ARRAYFORMULA(SUM(ARRAYFORMULA(IFERROR(VALUE(SPLIT(SUBSTITUTE(E696,""-"","" ""),"" "")),0))))
"),66)</f>
        <v>66</v>
      </c>
      <c r="G696" s="7" t="s">
        <v>5708</v>
      </c>
      <c r="H696" s="7" t="s">
        <v>5732</v>
      </c>
      <c r="I696" s="7" t="s">
        <v>5733</v>
      </c>
      <c r="J696" s="7" t="s">
        <v>5725</v>
      </c>
      <c r="K696" s="7" t="s">
        <v>5725</v>
      </c>
      <c r="L696" s="7" t="s">
        <v>5726</v>
      </c>
      <c r="M696" s="7" t="s">
        <v>5726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1:37">
      <c r="A697" s="3" t="s">
        <v>2770</v>
      </c>
      <c r="B697" s="3" t="s">
        <v>2771</v>
      </c>
      <c r="C697" s="3" t="s">
        <v>2772</v>
      </c>
      <c r="D697" s="4">
        <v>3</v>
      </c>
      <c r="E697" s="8" t="s">
        <v>2773</v>
      </c>
      <c r="F697" s="7">
        <f ca="1">IFERROR(__xludf.DUMMYFUNCTION("ARRAYFORMULA(SUM(ARRAYFORMULA(IFERROR(VALUE(SPLIT(SUBSTITUTE(E697,""-"","" ""),"" "")),0))))
"),68)</f>
        <v>68</v>
      </c>
      <c r="G697" s="7" t="s">
        <v>5708</v>
      </c>
      <c r="H697" s="7" t="s">
        <v>5732</v>
      </c>
      <c r="I697" s="7" t="s">
        <v>5733</v>
      </c>
      <c r="J697" s="7" t="s">
        <v>5725</v>
      </c>
      <c r="K697" s="7" t="s">
        <v>5725</v>
      </c>
      <c r="L697" s="7" t="s">
        <v>5726</v>
      </c>
      <c r="M697" s="7" t="s">
        <v>5726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1:37">
      <c r="A698" s="3" t="s">
        <v>2774</v>
      </c>
      <c r="B698" s="3" t="s">
        <v>2775</v>
      </c>
      <c r="C698" s="3" t="s">
        <v>2776</v>
      </c>
      <c r="D698" s="4">
        <v>3</v>
      </c>
      <c r="E698" s="8" t="s">
        <v>2777</v>
      </c>
      <c r="F698" s="7">
        <f ca="1">IFERROR(__xludf.DUMMYFUNCTION("ARRAYFORMULA(SUM(ARRAYFORMULA(IFERROR(VALUE(SPLIT(SUBSTITUTE(E698,""-"","" ""),"" "")),0))))
"),70)</f>
        <v>70</v>
      </c>
      <c r="G698" s="7" t="s">
        <v>5708</v>
      </c>
      <c r="H698" s="7" t="s">
        <v>5732</v>
      </c>
      <c r="I698" s="7" t="s">
        <v>5733</v>
      </c>
      <c r="J698" s="7" t="s">
        <v>5725</v>
      </c>
      <c r="K698" s="7" t="s">
        <v>5725</v>
      </c>
      <c r="L698" s="7" t="s">
        <v>5726</v>
      </c>
      <c r="M698" s="7" t="s">
        <v>5726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1:37">
      <c r="A699" s="3" t="s">
        <v>2778</v>
      </c>
      <c r="B699" s="3" t="s">
        <v>2779</v>
      </c>
      <c r="C699" s="3" t="s">
        <v>2780</v>
      </c>
      <c r="D699" s="4">
        <v>3</v>
      </c>
      <c r="E699" s="8" t="s">
        <v>2781</v>
      </c>
      <c r="F699" s="7">
        <f ca="1">IFERROR(__xludf.DUMMYFUNCTION("ARRAYFORMULA(SUM(ARRAYFORMULA(IFERROR(VALUE(SPLIT(SUBSTITUTE(E699,""-"","" ""),"" "")),0))))
"),72)</f>
        <v>72</v>
      </c>
      <c r="G699" s="7" t="s">
        <v>5708</v>
      </c>
      <c r="H699" s="7" t="s">
        <v>5732</v>
      </c>
      <c r="I699" s="7" t="s">
        <v>5733</v>
      </c>
      <c r="J699" s="7" t="s">
        <v>5725</v>
      </c>
      <c r="K699" s="7" t="s">
        <v>5725</v>
      </c>
      <c r="L699" s="7" t="s">
        <v>5726</v>
      </c>
      <c r="M699" s="7" t="s">
        <v>5726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1:37">
      <c r="A700" s="7" t="s">
        <v>2782</v>
      </c>
      <c r="B700" s="7" t="s">
        <v>2783</v>
      </c>
      <c r="C700" s="7" t="s">
        <v>2784</v>
      </c>
      <c r="D700" s="4">
        <v>4</v>
      </c>
      <c r="E700" s="5" t="s">
        <v>2785</v>
      </c>
      <c r="F700" s="7">
        <f ca="1">IFERROR(__xludf.DUMMYFUNCTION("ARRAYFORMULA(SUM(ARRAYFORMULA(IFERROR(VALUE(SPLIT(SUBSTITUTE(E700,""-"","" ""),"" "")),0))))
"),74)</f>
        <v>74</v>
      </c>
      <c r="G700" s="7" t="s">
        <v>5734</v>
      </c>
      <c r="H700" s="7" t="s">
        <v>5735</v>
      </c>
      <c r="I700" s="7" t="s">
        <v>5736</v>
      </c>
      <c r="J700" s="7" t="s">
        <v>5726</v>
      </c>
      <c r="K700" s="7" t="s">
        <v>5725</v>
      </c>
      <c r="L700" s="7" t="s">
        <v>5725</v>
      </c>
      <c r="M700" s="7" t="s">
        <v>5725</v>
      </c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</row>
    <row r="701" spans="1:37">
      <c r="A701" s="7" t="s">
        <v>2786</v>
      </c>
      <c r="B701" s="7" t="s">
        <v>2787</v>
      </c>
      <c r="C701" s="7" t="s">
        <v>2788</v>
      </c>
      <c r="D701" s="4">
        <v>4</v>
      </c>
      <c r="E701" s="5" t="s">
        <v>2789</v>
      </c>
      <c r="F701" s="7">
        <f ca="1">IFERROR(__xludf.DUMMYFUNCTION("ARRAYFORMULA(SUM(ARRAYFORMULA(IFERROR(VALUE(SPLIT(SUBSTITUTE(E701,""-"","" ""),"" "")),0))))
"),76)</f>
        <v>76</v>
      </c>
      <c r="G701" s="7" t="s">
        <v>5734</v>
      </c>
      <c r="H701" s="7" t="s">
        <v>5735</v>
      </c>
      <c r="I701" s="7" t="s">
        <v>5736</v>
      </c>
      <c r="J701" s="7" t="s">
        <v>5726</v>
      </c>
      <c r="K701" s="7" t="s">
        <v>5725</v>
      </c>
      <c r="L701" s="7" t="s">
        <v>5725</v>
      </c>
      <c r="M701" s="7" t="s">
        <v>5725</v>
      </c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</row>
    <row r="702" spans="1:37">
      <c r="A702" s="7" t="s">
        <v>2790</v>
      </c>
      <c r="B702" s="7" t="s">
        <v>2791</v>
      </c>
      <c r="C702" s="7" t="s">
        <v>2792</v>
      </c>
      <c r="D702" s="4">
        <v>4</v>
      </c>
      <c r="E702" s="5" t="s">
        <v>2793</v>
      </c>
      <c r="F702" s="7">
        <f ca="1">IFERROR(__xludf.DUMMYFUNCTION("ARRAYFORMULA(SUM(ARRAYFORMULA(IFERROR(VALUE(SPLIT(SUBSTITUTE(E702,""-"","" ""),"" "")),0))))
"),78)</f>
        <v>78</v>
      </c>
      <c r="G702" s="7" t="s">
        <v>5734</v>
      </c>
      <c r="H702" s="7" t="s">
        <v>5735</v>
      </c>
      <c r="I702" s="7" t="s">
        <v>5736</v>
      </c>
      <c r="J702" s="7" t="s">
        <v>5726</v>
      </c>
      <c r="K702" s="7" t="s">
        <v>5725</v>
      </c>
      <c r="L702" s="7" t="s">
        <v>5725</v>
      </c>
      <c r="M702" s="7" t="s">
        <v>5725</v>
      </c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</row>
    <row r="703" spans="1:37">
      <c r="A703" s="7" t="s">
        <v>2794</v>
      </c>
      <c r="B703" s="7" t="s">
        <v>2795</v>
      </c>
      <c r="C703" s="7" t="s">
        <v>2796</v>
      </c>
      <c r="D703" s="4">
        <v>4</v>
      </c>
      <c r="E703" s="5" t="s">
        <v>2797</v>
      </c>
      <c r="F703" s="7">
        <f ca="1">IFERROR(__xludf.DUMMYFUNCTION("ARRAYFORMULA(SUM(ARRAYFORMULA(IFERROR(VALUE(SPLIT(SUBSTITUTE(E703,""-"","" ""),"" "")),0))))
"),80)</f>
        <v>80</v>
      </c>
      <c r="G703" s="7" t="s">
        <v>5734</v>
      </c>
      <c r="H703" s="7" t="s">
        <v>5735</v>
      </c>
      <c r="I703" s="7" t="s">
        <v>5736</v>
      </c>
      <c r="J703" s="7" t="s">
        <v>5726</v>
      </c>
      <c r="K703" s="7" t="s">
        <v>5725</v>
      </c>
      <c r="L703" s="7" t="s">
        <v>5725</v>
      </c>
      <c r="M703" s="7" t="s">
        <v>5725</v>
      </c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</row>
    <row r="704" spans="1:37">
      <c r="A704" s="7" t="s">
        <v>2798</v>
      </c>
      <c r="B704" s="7" t="s">
        <v>2799</v>
      </c>
      <c r="C704" s="7" t="s">
        <v>2800</v>
      </c>
      <c r="D704" s="4">
        <v>4</v>
      </c>
      <c r="E704" s="5" t="s">
        <v>2801</v>
      </c>
      <c r="F704" s="7">
        <f ca="1">IFERROR(__xludf.DUMMYFUNCTION("ARRAYFORMULA(SUM(ARRAYFORMULA(IFERROR(VALUE(SPLIT(SUBSTITUTE(E704,""-"","" ""),"" "")),0))))
"),82)</f>
        <v>82</v>
      </c>
      <c r="G704" s="7" t="s">
        <v>5734</v>
      </c>
      <c r="H704" s="7" t="s">
        <v>5735</v>
      </c>
      <c r="I704" s="7" t="s">
        <v>5736</v>
      </c>
      <c r="J704" s="7" t="s">
        <v>5726</v>
      </c>
      <c r="K704" s="7" t="s">
        <v>5725</v>
      </c>
      <c r="L704" s="7" t="s">
        <v>5725</v>
      </c>
      <c r="M704" s="7" t="s">
        <v>5725</v>
      </c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</row>
    <row r="705" spans="1:37">
      <c r="A705" s="7" t="s">
        <v>2802</v>
      </c>
      <c r="B705" s="7" t="s">
        <v>2803</v>
      </c>
      <c r="C705" s="7" t="s">
        <v>2804</v>
      </c>
      <c r="D705" s="4">
        <v>4</v>
      </c>
      <c r="E705" s="5" t="s">
        <v>2805</v>
      </c>
      <c r="F705" s="7">
        <f ca="1">IFERROR(__xludf.DUMMYFUNCTION("ARRAYFORMULA(SUM(ARRAYFORMULA(IFERROR(VALUE(SPLIT(SUBSTITUTE(E705,""-"","" ""),"" "")),0))))
"),84)</f>
        <v>84</v>
      </c>
      <c r="G705" s="7" t="s">
        <v>5734</v>
      </c>
      <c r="H705" s="7" t="s">
        <v>5735</v>
      </c>
      <c r="I705" s="7" t="s">
        <v>5736</v>
      </c>
      <c r="J705" s="7" t="s">
        <v>5726</v>
      </c>
      <c r="K705" s="7" t="s">
        <v>5725</v>
      </c>
      <c r="L705" s="7" t="s">
        <v>5725</v>
      </c>
      <c r="M705" s="7" t="s">
        <v>5725</v>
      </c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</row>
    <row r="706" spans="1:37">
      <c r="A706" s="7" t="s">
        <v>2806</v>
      </c>
      <c r="B706" s="7" t="s">
        <v>2807</v>
      </c>
      <c r="C706" s="7" t="s">
        <v>2808</v>
      </c>
      <c r="D706" s="4">
        <v>4</v>
      </c>
      <c r="E706" s="5" t="s">
        <v>2809</v>
      </c>
      <c r="F706" s="7">
        <f ca="1">IFERROR(__xludf.DUMMYFUNCTION("ARRAYFORMULA(SUM(ARRAYFORMULA(IFERROR(VALUE(SPLIT(SUBSTITUTE(E706,""-"","" ""),"" "")),0))))
"),86)</f>
        <v>86</v>
      </c>
      <c r="G706" s="7" t="s">
        <v>5734</v>
      </c>
      <c r="H706" s="7" t="s">
        <v>5735</v>
      </c>
      <c r="I706" s="7" t="s">
        <v>5736</v>
      </c>
      <c r="J706" s="7" t="s">
        <v>5726</v>
      </c>
      <c r="K706" s="7" t="s">
        <v>5725</v>
      </c>
      <c r="L706" s="7" t="s">
        <v>5725</v>
      </c>
      <c r="M706" s="7" t="s">
        <v>5725</v>
      </c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</row>
    <row r="707" spans="1:37">
      <c r="A707" s="7" t="s">
        <v>2810</v>
      </c>
      <c r="B707" s="7" t="s">
        <v>2811</v>
      </c>
      <c r="C707" s="7" t="s">
        <v>2812</v>
      </c>
      <c r="D707" s="4">
        <v>4</v>
      </c>
      <c r="E707" s="5" t="s">
        <v>2813</v>
      </c>
      <c r="F707" s="7">
        <f ca="1">IFERROR(__xludf.DUMMYFUNCTION("ARRAYFORMULA(SUM(ARRAYFORMULA(IFERROR(VALUE(SPLIT(SUBSTITUTE(E707,""-"","" ""),"" "")),0))))
"),88)</f>
        <v>88</v>
      </c>
      <c r="G707" s="7" t="s">
        <v>5734</v>
      </c>
      <c r="H707" s="7" t="s">
        <v>5735</v>
      </c>
      <c r="I707" s="7" t="s">
        <v>5736</v>
      </c>
      <c r="J707" s="7" t="s">
        <v>5726</v>
      </c>
      <c r="K707" s="7" t="s">
        <v>5725</v>
      </c>
      <c r="L707" s="7" t="s">
        <v>5725</v>
      </c>
      <c r="M707" s="7" t="s">
        <v>5725</v>
      </c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</row>
    <row r="708" spans="1:37">
      <c r="A708" s="7" t="s">
        <v>2814</v>
      </c>
      <c r="B708" s="7" t="s">
        <v>2815</v>
      </c>
      <c r="C708" s="7" t="s">
        <v>2816</v>
      </c>
      <c r="D708" s="4">
        <v>4</v>
      </c>
      <c r="E708" s="5" t="s">
        <v>2817</v>
      </c>
      <c r="F708" s="7">
        <f ca="1">IFERROR(__xludf.DUMMYFUNCTION("ARRAYFORMULA(SUM(ARRAYFORMULA(IFERROR(VALUE(SPLIT(SUBSTITUTE(E708,""-"","" ""),"" "")),0))))
"),90)</f>
        <v>90</v>
      </c>
      <c r="G708" s="7" t="s">
        <v>5734</v>
      </c>
      <c r="H708" s="7" t="s">
        <v>5735</v>
      </c>
      <c r="I708" s="7" t="s">
        <v>5736</v>
      </c>
      <c r="J708" s="7" t="s">
        <v>5726</v>
      </c>
      <c r="K708" s="7" t="s">
        <v>5725</v>
      </c>
      <c r="L708" s="7" t="s">
        <v>5725</v>
      </c>
      <c r="M708" s="7" t="s">
        <v>5725</v>
      </c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</row>
    <row r="709" spans="1:37">
      <c r="A709" s="7" t="s">
        <v>2818</v>
      </c>
      <c r="B709" s="7" t="s">
        <v>2819</v>
      </c>
      <c r="C709" s="7" t="s">
        <v>2820</v>
      </c>
      <c r="D709" s="4">
        <v>4</v>
      </c>
      <c r="E709" s="5" t="s">
        <v>2821</v>
      </c>
      <c r="F709" s="7">
        <f ca="1">IFERROR(__xludf.DUMMYFUNCTION("ARRAYFORMULA(SUM(ARRAYFORMULA(IFERROR(VALUE(SPLIT(SUBSTITUTE(E709,""-"","" ""),"" "")),0))))
"),92)</f>
        <v>92</v>
      </c>
      <c r="G709" s="7" t="s">
        <v>5734</v>
      </c>
      <c r="H709" s="7" t="s">
        <v>5735</v>
      </c>
      <c r="I709" s="7" t="s">
        <v>5736</v>
      </c>
      <c r="J709" s="7" t="s">
        <v>5726</v>
      </c>
      <c r="K709" s="7" t="s">
        <v>5725</v>
      </c>
      <c r="L709" s="7" t="s">
        <v>5725</v>
      </c>
      <c r="M709" s="7" t="s">
        <v>5725</v>
      </c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</row>
    <row r="710" spans="1:37">
      <c r="A710" s="3" t="s">
        <v>2822</v>
      </c>
      <c r="B710" s="3" t="s">
        <v>2823</v>
      </c>
      <c r="C710" s="3" t="s">
        <v>2824</v>
      </c>
      <c r="D710" s="4">
        <v>3</v>
      </c>
      <c r="E710" s="8" t="s">
        <v>2825</v>
      </c>
      <c r="F710" s="7">
        <f ca="1">IFERROR(__xludf.DUMMYFUNCTION("ARRAYFORMULA(SUM(ARRAYFORMULA(IFERROR(VALUE(SPLIT(SUBSTITUTE(E710,""-"","" ""),"" "")),0))))
"),74)</f>
        <v>74</v>
      </c>
      <c r="G710" s="7" t="s">
        <v>5708</v>
      </c>
      <c r="H710" s="7" t="s">
        <v>5732</v>
      </c>
      <c r="I710" s="7" t="s">
        <v>5733</v>
      </c>
      <c r="J710" s="7" t="s">
        <v>5725</v>
      </c>
      <c r="K710" s="7" t="s">
        <v>5725</v>
      </c>
      <c r="L710" s="7" t="s">
        <v>5726</v>
      </c>
      <c r="M710" s="7" t="s">
        <v>5726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1:37">
      <c r="A711" s="3" t="s">
        <v>2826</v>
      </c>
      <c r="B711" s="3" t="s">
        <v>2827</v>
      </c>
      <c r="C711" s="3" t="s">
        <v>2828</v>
      </c>
      <c r="D711" s="4">
        <v>3</v>
      </c>
      <c r="E711" s="8" t="s">
        <v>2829</v>
      </c>
      <c r="F711" s="7">
        <f ca="1">IFERROR(__xludf.DUMMYFUNCTION("ARRAYFORMULA(SUM(ARRAYFORMULA(IFERROR(VALUE(SPLIT(SUBSTITUTE(E711,""-"","" ""),"" "")),0))))
"),76)</f>
        <v>76</v>
      </c>
      <c r="G711" s="7" t="s">
        <v>5708</v>
      </c>
      <c r="H711" s="7" t="s">
        <v>5732</v>
      </c>
      <c r="I711" s="7" t="s">
        <v>5733</v>
      </c>
      <c r="J711" s="7" t="s">
        <v>5725</v>
      </c>
      <c r="K711" s="7" t="s">
        <v>5725</v>
      </c>
      <c r="L711" s="7" t="s">
        <v>5726</v>
      </c>
      <c r="M711" s="7" t="s">
        <v>5726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1:37">
      <c r="A712" s="3" t="s">
        <v>2830</v>
      </c>
      <c r="B712" s="3" t="s">
        <v>2831</v>
      </c>
      <c r="C712" s="3" t="s">
        <v>2832</v>
      </c>
      <c r="D712" s="4">
        <v>3</v>
      </c>
      <c r="E712" s="8" t="s">
        <v>2833</v>
      </c>
      <c r="F712" s="7">
        <f ca="1">IFERROR(__xludf.DUMMYFUNCTION("ARRAYFORMULA(SUM(ARRAYFORMULA(IFERROR(VALUE(SPLIT(SUBSTITUTE(E712,""-"","" ""),"" "")),0))))
"),78)</f>
        <v>78</v>
      </c>
      <c r="G712" s="7" t="s">
        <v>5708</v>
      </c>
      <c r="H712" s="7" t="s">
        <v>5732</v>
      </c>
      <c r="I712" s="7" t="s">
        <v>5733</v>
      </c>
      <c r="J712" s="7" t="s">
        <v>5725</v>
      </c>
      <c r="K712" s="7" t="s">
        <v>5725</v>
      </c>
      <c r="L712" s="7" t="s">
        <v>5726</v>
      </c>
      <c r="M712" s="7" t="s">
        <v>5726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1:37">
      <c r="A713" s="3" t="s">
        <v>2834</v>
      </c>
      <c r="B713" s="3" t="s">
        <v>2835</v>
      </c>
      <c r="C713" s="3" t="s">
        <v>2836</v>
      </c>
      <c r="D713" s="4">
        <v>3</v>
      </c>
      <c r="E713" s="8" t="s">
        <v>2837</v>
      </c>
      <c r="F713" s="7">
        <f ca="1">IFERROR(__xludf.DUMMYFUNCTION("ARRAYFORMULA(SUM(ARRAYFORMULA(IFERROR(VALUE(SPLIT(SUBSTITUTE(E713,""-"","" ""),"" "")),0))))
"),80)</f>
        <v>80</v>
      </c>
      <c r="G713" s="7" t="s">
        <v>5708</v>
      </c>
      <c r="H713" s="7" t="s">
        <v>5732</v>
      </c>
      <c r="I713" s="7" t="s">
        <v>5733</v>
      </c>
      <c r="J713" s="7" t="s">
        <v>5725</v>
      </c>
      <c r="K713" s="7" t="s">
        <v>5725</v>
      </c>
      <c r="L713" s="7" t="s">
        <v>5726</v>
      </c>
      <c r="M713" s="7" t="s">
        <v>5726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1:37">
      <c r="A714" s="3" t="s">
        <v>2838</v>
      </c>
      <c r="B714" s="3" t="s">
        <v>2839</v>
      </c>
      <c r="C714" s="3" t="s">
        <v>2840</v>
      </c>
      <c r="D714" s="4">
        <v>3</v>
      </c>
      <c r="E714" s="8" t="s">
        <v>2841</v>
      </c>
      <c r="F714" s="7">
        <f ca="1">IFERROR(__xludf.DUMMYFUNCTION("ARRAYFORMULA(SUM(ARRAYFORMULA(IFERROR(VALUE(SPLIT(SUBSTITUTE(E714,""-"","" ""),"" "")),0))))
"),82)</f>
        <v>82</v>
      </c>
      <c r="G714" s="7" t="s">
        <v>5708</v>
      </c>
      <c r="H714" s="7" t="s">
        <v>5732</v>
      </c>
      <c r="I714" s="7" t="s">
        <v>5733</v>
      </c>
      <c r="J714" s="7" t="s">
        <v>5725</v>
      </c>
      <c r="K714" s="7" t="s">
        <v>5725</v>
      </c>
      <c r="L714" s="7" t="s">
        <v>5726</v>
      </c>
      <c r="M714" s="7" t="s">
        <v>5726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1:37">
      <c r="A715" s="3" t="s">
        <v>2842</v>
      </c>
      <c r="B715" s="3" t="s">
        <v>2843</v>
      </c>
      <c r="C715" s="3" t="s">
        <v>2844</v>
      </c>
      <c r="D715" s="4">
        <v>2</v>
      </c>
      <c r="E715" s="8" t="s">
        <v>2845</v>
      </c>
      <c r="F715" s="7">
        <f ca="1">IFERROR(__xludf.DUMMYFUNCTION("ARRAYFORMULA(SUM(ARRAYFORMULA(IFERROR(VALUE(SPLIT(SUBSTITUTE(E715,""-"","" ""),"" "")),0))))
"),64)</f>
        <v>64</v>
      </c>
      <c r="G715" s="7" t="s">
        <v>5706</v>
      </c>
      <c r="H715" s="7" t="s">
        <v>5723</v>
      </c>
      <c r="I715" s="7" t="s">
        <v>5724</v>
      </c>
      <c r="J715" s="7" t="s">
        <v>5725</v>
      </c>
      <c r="K715" s="7" t="s">
        <v>5726</v>
      </c>
      <c r="L715" s="7" t="s">
        <v>5726</v>
      </c>
      <c r="M715" s="7" t="s">
        <v>5726</v>
      </c>
      <c r="N715" s="3"/>
      <c r="O715" s="3"/>
      <c r="P715" s="3"/>
      <c r="Q715" s="3"/>
      <c r="R715" s="8" t="s">
        <v>2845</v>
      </c>
      <c r="S715" s="3" t="s">
        <v>5782</v>
      </c>
      <c r="T715" s="111" t="s">
        <v>5391</v>
      </c>
      <c r="U715" s="7" t="str">
        <f>T715&amp;"-"&amp;S715</f>
        <v>3E-64-segurança patrimonial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1:37">
      <c r="A716" s="3" t="s">
        <v>2846</v>
      </c>
      <c r="B716" s="3" t="s">
        <v>2847</v>
      </c>
      <c r="C716" s="3" t="s">
        <v>2848</v>
      </c>
      <c r="D716" s="4">
        <v>3</v>
      </c>
      <c r="E716" s="8" t="s">
        <v>2849</v>
      </c>
      <c r="F716" s="7">
        <f ca="1">IFERROR(__xludf.DUMMYFUNCTION("ARRAYFORMULA(SUM(ARRAYFORMULA(IFERROR(VALUE(SPLIT(SUBSTITUTE(E716,""-"","" ""),"" "")),0))))
"),66)</f>
        <v>66</v>
      </c>
      <c r="G716" s="7" t="s">
        <v>5708</v>
      </c>
      <c r="H716" s="7" t="s">
        <v>5732</v>
      </c>
      <c r="I716" s="7" t="s">
        <v>5733</v>
      </c>
      <c r="J716" s="7" t="s">
        <v>5725</v>
      </c>
      <c r="K716" s="7" t="s">
        <v>5725</v>
      </c>
      <c r="L716" s="7" t="s">
        <v>5726</v>
      </c>
      <c r="M716" s="7" t="s">
        <v>5726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1:37">
      <c r="A717" s="3" t="s">
        <v>2850</v>
      </c>
      <c r="B717" s="3" t="s">
        <v>2851</v>
      </c>
      <c r="C717" s="3" t="s">
        <v>2852</v>
      </c>
      <c r="D717" s="4">
        <v>3</v>
      </c>
      <c r="E717" s="8" t="s">
        <v>2853</v>
      </c>
      <c r="F717" s="7">
        <f ca="1">IFERROR(__xludf.DUMMYFUNCTION("ARRAYFORMULA(SUM(ARRAYFORMULA(IFERROR(VALUE(SPLIT(SUBSTITUTE(E717,""-"","" ""),"" "")),0))))
"),68)</f>
        <v>68</v>
      </c>
      <c r="G717" s="7" t="s">
        <v>5708</v>
      </c>
      <c r="H717" s="7" t="s">
        <v>5732</v>
      </c>
      <c r="I717" s="7" t="s">
        <v>5733</v>
      </c>
      <c r="J717" s="7" t="s">
        <v>5725</v>
      </c>
      <c r="K717" s="7" t="s">
        <v>5725</v>
      </c>
      <c r="L717" s="7" t="s">
        <v>5726</v>
      </c>
      <c r="M717" s="7" t="s">
        <v>5726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1:37">
      <c r="A718" s="3" t="s">
        <v>2854</v>
      </c>
      <c r="B718" s="3" t="s">
        <v>2855</v>
      </c>
      <c r="C718" s="3" t="s">
        <v>2856</v>
      </c>
      <c r="D718" s="4">
        <v>3</v>
      </c>
      <c r="E718" s="8" t="s">
        <v>2857</v>
      </c>
      <c r="F718" s="7">
        <f ca="1">IFERROR(__xludf.DUMMYFUNCTION("ARRAYFORMULA(SUM(ARRAYFORMULA(IFERROR(VALUE(SPLIT(SUBSTITUTE(E718,""-"","" ""),"" "")),0))))
"),70)</f>
        <v>70</v>
      </c>
      <c r="G718" s="7" t="s">
        <v>5708</v>
      </c>
      <c r="H718" s="7" t="s">
        <v>5732</v>
      </c>
      <c r="I718" s="7" t="s">
        <v>5733</v>
      </c>
      <c r="J718" s="7" t="s">
        <v>5725</v>
      </c>
      <c r="K718" s="7" t="s">
        <v>5725</v>
      </c>
      <c r="L718" s="7" t="s">
        <v>5726</v>
      </c>
      <c r="M718" s="7" t="s">
        <v>5726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1:37">
      <c r="A719" s="3" t="s">
        <v>2858</v>
      </c>
      <c r="B719" s="3" t="s">
        <v>2859</v>
      </c>
      <c r="C719" s="3" t="s">
        <v>2860</v>
      </c>
      <c r="D719" s="4">
        <v>3</v>
      </c>
      <c r="E719" s="8" t="s">
        <v>2861</v>
      </c>
      <c r="F719" s="7">
        <f ca="1">IFERROR(__xludf.DUMMYFUNCTION("ARRAYFORMULA(SUM(ARRAYFORMULA(IFERROR(VALUE(SPLIT(SUBSTITUTE(E719,""-"","" ""),"" "")),0))))
"),72)</f>
        <v>72</v>
      </c>
      <c r="G719" s="7" t="s">
        <v>5708</v>
      </c>
      <c r="H719" s="7" t="s">
        <v>5732</v>
      </c>
      <c r="I719" s="7" t="s">
        <v>5733</v>
      </c>
      <c r="J719" s="7" t="s">
        <v>5725</v>
      </c>
      <c r="K719" s="7" t="s">
        <v>5725</v>
      </c>
      <c r="L719" s="7" t="s">
        <v>5726</v>
      </c>
      <c r="M719" s="7" t="s">
        <v>5726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1:37">
      <c r="A720" s="3" t="s">
        <v>2862</v>
      </c>
      <c r="B720" s="3" t="s">
        <v>2863</v>
      </c>
      <c r="C720" s="3" t="s">
        <v>2864</v>
      </c>
      <c r="D720" s="4">
        <v>3</v>
      </c>
      <c r="E720" s="8" t="s">
        <v>2865</v>
      </c>
      <c r="F720" s="7">
        <f ca="1">IFERROR(__xludf.DUMMYFUNCTION("ARRAYFORMULA(SUM(ARRAYFORMULA(IFERROR(VALUE(SPLIT(SUBSTITUTE(E720,""-"","" ""),"" "")),0))))
"),74)</f>
        <v>74</v>
      </c>
      <c r="G720" s="7" t="s">
        <v>5708</v>
      </c>
      <c r="H720" s="7" t="s">
        <v>5732</v>
      </c>
      <c r="I720" s="7" t="s">
        <v>5733</v>
      </c>
      <c r="J720" s="7" t="s">
        <v>5725</v>
      </c>
      <c r="K720" s="7" t="s">
        <v>5725</v>
      </c>
      <c r="L720" s="7" t="s">
        <v>5726</v>
      </c>
      <c r="M720" s="7" t="s">
        <v>5726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1:20">
      <c r="A721" s="7"/>
      <c r="B721" s="7"/>
      <c r="C721" s="7"/>
      <c r="D721" s="6"/>
      <c r="E721" s="5"/>
      <c r="T721" s="35"/>
    </row>
  </sheetData>
  <autoFilter ref="A1:AK720" xr:uid="{00000000-0009-0000-0000-00000E000000}"/>
  <conditionalFormatting sqref="A2:AK721">
    <cfRule type="expression" dxfId="4" priority="1">
      <formula>$D2=2</formula>
    </cfRule>
    <cfRule type="expression" dxfId="3" priority="2">
      <formula>$D2=3</formula>
    </cfRule>
    <cfRule type="expression" dxfId="2" priority="3">
      <formula>$D2=4</formula>
    </cfRule>
    <cfRule type="expression" dxfId="1" priority="4">
      <formula>$D2=5</formula>
    </cfRule>
    <cfRule type="expression" dxfId="0" priority="5">
      <formula>$D2=6</formula>
    </cfRule>
  </conditionalFormatting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U32"/>
  <sheetViews>
    <sheetView workbookViewId="0"/>
  </sheetViews>
  <sheetFormatPr defaultColWidth="12.5703125" defaultRowHeight="15.75" customHeight="1"/>
  <cols>
    <col min="3" max="3" width="80" customWidth="1"/>
    <col min="5" max="5" width="18.85546875" customWidth="1"/>
    <col min="6" max="6" width="67.42578125" customWidth="1"/>
    <col min="9" max="9" width="34.7109375" customWidth="1"/>
    <col min="12" max="12" width="21.140625" customWidth="1"/>
    <col min="13" max="13" width="55.5703125" customWidth="1"/>
  </cols>
  <sheetData>
    <row r="1" spans="1:21">
      <c r="E1" s="7"/>
      <c r="F1" s="7"/>
      <c r="G1" s="7" t="s">
        <v>5324</v>
      </c>
      <c r="H1" s="7"/>
      <c r="J1" s="7" t="s">
        <v>5783</v>
      </c>
    </row>
    <row r="2" spans="1:21">
      <c r="H2" s="7" t="s">
        <v>5430</v>
      </c>
      <c r="P2" s="7"/>
      <c r="Q2" s="7"/>
      <c r="R2" s="7"/>
      <c r="S2" s="7"/>
      <c r="T2" s="7" t="s">
        <v>5784</v>
      </c>
    </row>
    <row r="3" spans="1:21">
      <c r="A3" s="7" t="s">
        <v>5785</v>
      </c>
      <c r="B3" s="15"/>
      <c r="C3" s="7" t="s">
        <v>5786</v>
      </c>
      <c r="D3" s="7" t="s">
        <v>5787</v>
      </c>
      <c r="E3" s="195"/>
      <c r="F3" s="7" t="s">
        <v>5788</v>
      </c>
      <c r="G3" s="7" t="s">
        <v>4126</v>
      </c>
      <c r="H3" s="16"/>
      <c r="I3" s="7" t="s">
        <v>5433</v>
      </c>
      <c r="J3" s="7" t="s">
        <v>5789</v>
      </c>
      <c r="K3" s="7" t="s">
        <v>5790</v>
      </c>
      <c r="L3" s="7" t="str">
        <f t="shared" ref="L3:L10" si="0">J3&amp;"-"&amp;K3</f>
        <v>ZA-Zona Alta</v>
      </c>
      <c r="M3" s="7" t="s">
        <v>5791</v>
      </c>
      <c r="N3" s="196"/>
      <c r="O3" s="7" t="s">
        <v>4069</v>
      </c>
      <c r="P3" s="7">
        <v>58</v>
      </c>
      <c r="Q3" s="7">
        <v>98</v>
      </c>
      <c r="R3" s="7">
        <v>68</v>
      </c>
      <c r="S3" s="7"/>
      <c r="T3" s="7" t="s">
        <v>5792</v>
      </c>
      <c r="U3" s="19"/>
    </row>
    <row r="4" spans="1:21">
      <c r="A4" s="7" t="s">
        <v>5793</v>
      </c>
      <c r="B4" s="19"/>
      <c r="C4" s="7" t="s">
        <v>5794</v>
      </c>
      <c r="D4" s="7" t="s">
        <v>5795</v>
      </c>
      <c r="E4" s="197"/>
      <c r="F4" s="7" t="s">
        <v>5796</v>
      </c>
      <c r="G4" s="7" t="s">
        <v>4120</v>
      </c>
      <c r="H4" s="169"/>
      <c r="I4" s="7" t="s">
        <v>5439</v>
      </c>
      <c r="J4" s="7" t="s">
        <v>5797</v>
      </c>
      <c r="K4" s="7" t="s">
        <v>5798</v>
      </c>
      <c r="L4" s="7" t="str">
        <f t="shared" si="0"/>
        <v>ZT-Zona Tipo</v>
      </c>
      <c r="M4" s="7" t="s">
        <v>5799</v>
      </c>
      <c r="N4" s="11"/>
      <c r="O4" s="12" t="s">
        <v>4065</v>
      </c>
      <c r="P4" s="10">
        <v>50</v>
      </c>
      <c r="Q4" s="10">
        <v>182</v>
      </c>
      <c r="R4" s="10">
        <v>68</v>
      </c>
      <c r="S4" s="7"/>
      <c r="T4" s="7" t="s">
        <v>5800</v>
      </c>
      <c r="U4" s="17"/>
    </row>
    <row r="5" spans="1:21">
      <c r="D5" s="7" t="s">
        <v>5801</v>
      </c>
      <c r="E5" s="198"/>
      <c r="F5" s="7" t="s">
        <v>5802</v>
      </c>
      <c r="G5" s="7" t="s">
        <v>4093</v>
      </c>
      <c r="H5" s="19"/>
      <c r="I5" s="7" t="s">
        <v>5445</v>
      </c>
      <c r="J5" s="7" t="s">
        <v>5803</v>
      </c>
      <c r="K5" s="7" t="s">
        <v>5804</v>
      </c>
      <c r="L5" s="7" t="str">
        <f t="shared" si="0"/>
        <v>ZB-Zona Baixa</v>
      </c>
      <c r="M5" s="7" t="s">
        <v>5805</v>
      </c>
      <c r="N5" s="199"/>
      <c r="O5" s="7" t="s">
        <v>5806</v>
      </c>
      <c r="P5" s="7">
        <v>138</v>
      </c>
      <c r="Q5" s="7">
        <v>194</v>
      </c>
      <c r="R5" s="7">
        <v>174</v>
      </c>
      <c r="S5" s="7"/>
      <c r="T5" s="7" t="s">
        <v>5807</v>
      </c>
      <c r="U5" s="195"/>
    </row>
    <row r="6" spans="1:21">
      <c r="D6" s="7" t="s">
        <v>5808</v>
      </c>
      <c r="E6" s="16"/>
      <c r="F6" s="7" t="s">
        <v>5809</v>
      </c>
      <c r="G6" s="7" t="s">
        <v>4096</v>
      </c>
      <c r="H6" s="170"/>
      <c r="I6" s="7" t="s">
        <v>5450</v>
      </c>
      <c r="J6" s="7" t="s">
        <v>5810</v>
      </c>
      <c r="K6" s="7" t="s">
        <v>5811</v>
      </c>
      <c r="L6" s="7" t="str">
        <f t="shared" si="0"/>
        <v>ZI-Zona Inferior</v>
      </c>
      <c r="M6" s="7" t="s">
        <v>5812</v>
      </c>
      <c r="N6" s="200"/>
      <c r="O6" s="7" t="s">
        <v>5813</v>
      </c>
      <c r="P6" s="7">
        <v>204</v>
      </c>
      <c r="Q6" s="7">
        <v>220</v>
      </c>
      <c r="R6" s="7">
        <v>58</v>
      </c>
      <c r="S6" s="7"/>
      <c r="T6" s="7" t="s">
        <v>5814</v>
      </c>
      <c r="U6" s="197"/>
    </row>
    <row r="7" spans="1:21">
      <c r="B7" s="7" t="s">
        <v>4069</v>
      </c>
      <c r="D7" s="7" t="s">
        <v>5815</v>
      </c>
      <c r="E7" s="201"/>
      <c r="F7" s="7" t="s">
        <v>5816</v>
      </c>
      <c r="G7" s="7" t="s">
        <v>5454</v>
      </c>
      <c r="H7" s="11"/>
      <c r="I7" s="7" t="s">
        <v>5455</v>
      </c>
      <c r="J7" s="7" t="s">
        <v>5817</v>
      </c>
      <c r="K7" s="7" t="s">
        <v>5818</v>
      </c>
      <c r="L7" s="7" t="str">
        <f t="shared" si="0"/>
        <v>ZE-Zona Externa</v>
      </c>
      <c r="M7" s="7" t="s">
        <v>5819</v>
      </c>
      <c r="N7" s="202"/>
      <c r="O7" s="7" t="s">
        <v>5820</v>
      </c>
      <c r="P7" s="7">
        <v>254</v>
      </c>
      <c r="Q7" s="7">
        <v>234</v>
      </c>
      <c r="R7" s="7">
        <v>58</v>
      </c>
    </row>
    <row r="8" spans="1:21">
      <c r="B8" s="12" t="s">
        <v>4065</v>
      </c>
      <c r="G8" s="7" t="s">
        <v>4105</v>
      </c>
      <c r="H8" s="17"/>
      <c r="I8" s="7" t="s">
        <v>5457</v>
      </c>
      <c r="J8" s="7" t="s">
        <v>5821</v>
      </c>
      <c r="K8" s="7" t="s">
        <v>5822</v>
      </c>
      <c r="L8" s="7" t="str">
        <f t="shared" si="0"/>
        <v>ZS-Zona Shafts</v>
      </c>
      <c r="M8" s="7" t="s">
        <v>5823</v>
      </c>
      <c r="N8" s="203"/>
      <c r="O8" s="7" t="s">
        <v>5824</v>
      </c>
      <c r="P8" s="7">
        <v>254</v>
      </c>
      <c r="Q8" s="7">
        <v>194</v>
      </c>
      <c r="R8" s="7">
        <v>8</v>
      </c>
    </row>
    <row r="9" spans="1:21">
      <c r="B9" s="12" t="s">
        <v>4067</v>
      </c>
      <c r="G9" s="7" t="s">
        <v>5460</v>
      </c>
      <c r="H9" s="15"/>
      <c r="I9" s="7" t="s">
        <v>5825</v>
      </c>
      <c r="J9" s="7" t="s">
        <v>5826</v>
      </c>
      <c r="K9" s="7" t="s">
        <v>5827</v>
      </c>
      <c r="L9" s="7" t="str">
        <f t="shared" si="0"/>
        <v>ZF-Zona Fachada</v>
      </c>
      <c r="M9" s="7" t="s">
        <v>5828</v>
      </c>
      <c r="N9" s="19"/>
      <c r="O9" s="12" t="s">
        <v>4076</v>
      </c>
      <c r="P9" s="10">
        <v>252</v>
      </c>
      <c r="Q9" s="10">
        <v>178</v>
      </c>
      <c r="R9" s="10">
        <v>0</v>
      </c>
    </row>
    <row r="10" spans="1:21">
      <c r="B10" s="12" t="s">
        <v>4068</v>
      </c>
      <c r="G10" s="7" t="s">
        <v>5416</v>
      </c>
      <c r="H10" s="14"/>
      <c r="I10" s="7" t="s">
        <v>5463</v>
      </c>
      <c r="J10" s="7" t="s">
        <v>5829</v>
      </c>
      <c r="K10" s="7" t="s">
        <v>5830</v>
      </c>
      <c r="L10" s="7" t="str">
        <f t="shared" si="0"/>
        <v>NI-Não Incidente</v>
      </c>
      <c r="M10" s="7" t="s">
        <v>5831</v>
      </c>
      <c r="N10" s="21"/>
      <c r="O10" s="7" t="s">
        <v>4078</v>
      </c>
      <c r="P10" s="7">
        <v>244</v>
      </c>
      <c r="Q10" s="7">
        <v>124</v>
      </c>
      <c r="R10" s="7">
        <v>0</v>
      </c>
    </row>
    <row r="11" spans="1:21">
      <c r="B11" s="12" t="s">
        <v>4069</v>
      </c>
    </row>
    <row r="12" spans="1:21">
      <c r="B12" s="12" t="s">
        <v>4071</v>
      </c>
    </row>
    <row r="13" spans="1:21">
      <c r="B13" s="12" t="s">
        <v>4072</v>
      </c>
    </row>
    <row r="14" spans="1:21">
      <c r="B14" s="12" t="s">
        <v>4074</v>
      </c>
      <c r="H14" s="11"/>
    </row>
    <row r="15" spans="1:21">
      <c r="B15" s="12" t="s">
        <v>4076</v>
      </c>
      <c r="H15" s="13"/>
    </row>
    <row r="16" spans="1:21">
      <c r="B16" s="7" t="s">
        <v>4077</v>
      </c>
      <c r="H16" s="14"/>
    </row>
    <row r="17" spans="2:8">
      <c r="B17" s="7" t="s">
        <v>4078</v>
      </c>
      <c r="H17" s="15"/>
    </row>
    <row r="18" spans="2:8">
      <c r="H18" s="16"/>
    </row>
    <row r="19" spans="2:8">
      <c r="F19" s="7">
        <f>8*6</f>
        <v>48</v>
      </c>
      <c r="H19" s="17"/>
    </row>
    <row r="20" spans="2:8">
      <c r="F20" s="7">
        <f>8*7</f>
        <v>56</v>
      </c>
      <c r="H20" s="18"/>
    </row>
    <row r="21" spans="2:8">
      <c r="F21" s="7">
        <f>8*4</f>
        <v>32</v>
      </c>
      <c r="H21" s="19"/>
    </row>
    <row r="22" spans="2:8">
      <c r="F22" s="7">
        <f>1920/8</f>
        <v>240</v>
      </c>
      <c r="H22" s="20"/>
    </row>
    <row r="23" spans="2:8">
      <c r="H23" s="21"/>
    </row>
    <row r="30" spans="2:8">
      <c r="F30" s="7">
        <v>6400</v>
      </c>
      <c r="G30" s="7">
        <f>350</f>
        <v>350</v>
      </c>
      <c r="H30" s="7">
        <f>F30/G30</f>
        <v>18.285714285714285</v>
      </c>
    </row>
    <row r="32" spans="2:8">
      <c r="G32" s="7">
        <f>G30*4</f>
        <v>1400</v>
      </c>
      <c r="H32" s="7">
        <f>(F30-G32)/G30</f>
        <v>14.285714285714286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8"/>
  <sheetViews>
    <sheetView workbookViewId="0"/>
  </sheetViews>
  <sheetFormatPr defaultColWidth="12.5703125" defaultRowHeight="15.75" customHeight="1"/>
  <sheetData>
    <row r="1" spans="1:1" ht="15.75" customHeight="1">
      <c r="A1" s="204"/>
    </row>
    <row r="2" spans="1:1" ht="15.75" customHeight="1">
      <c r="A2" s="204" t="s">
        <v>5832</v>
      </c>
    </row>
    <row r="3" spans="1:1" ht="15.75" customHeight="1">
      <c r="A3" s="204" t="s">
        <v>5833</v>
      </c>
    </row>
    <row r="4" spans="1:1" ht="15.75" customHeight="1">
      <c r="A4" s="204" t="s">
        <v>5834</v>
      </c>
    </row>
    <row r="5" spans="1:1" ht="15.75" customHeight="1">
      <c r="A5" s="204" t="s">
        <v>5835</v>
      </c>
    </row>
    <row r="6" spans="1:1" ht="15.75" customHeight="1">
      <c r="A6" s="204"/>
    </row>
    <row r="7" spans="1:1" ht="15.75" customHeight="1">
      <c r="A7" s="205" t="s">
        <v>5836</v>
      </c>
    </row>
    <row r="8" spans="1:1">
      <c r="A8" s="206"/>
    </row>
  </sheetData>
  <hyperlinks>
    <hyperlink ref="A7" r:id="rId1" xr:uid="{00000000-0004-0000-10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23.7109375" customWidth="1"/>
    <col min="2" max="3" width="18.85546875" customWidth="1"/>
    <col min="4" max="4" width="9.42578125" customWidth="1"/>
    <col min="5" max="5" width="3.28515625" customWidth="1"/>
    <col min="6" max="6" width="21.5703125" customWidth="1"/>
    <col min="7" max="7" width="3.28515625" customWidth="1"/>
    <col min="9" max="9" width="3.28515625" customWidth="1"/>
    <col min="11" max="11" width="3.28515625" customWidth="1"/>
    <col min="13" max="13" width="3.28515625" customWidth="1"/>
    <col min="15" max="15" width="3.28515625" customWidth="1"/>
    <col min="17" max="17" width="3.28515625" customWidth="1"/>
    <col min="19" max="19" width="3.28515625" customWidth="1"/>
    <col min="21" max="21" width="3.28515625" customWidth="1"/>
    <col min="23" max="23" width="3.28515625" customWidth="1"/>
    <col min="25" max="25" width="3.28515625" customWidth="1"/>
  </cols>
  <sheetData>
    <row r="1" spans="1:26">
      <c r="A1" s="6"/>
      <c r="B1" s="6"/>
      <c r="C1" s="6"/>
      <c r="D1" s="6"/>
      <c r="F1" s="6"/>
      <c r="H1" s="6"/>
      <c r="J1" s="6"/>
      <c r="L1" s="6"/>
      <c r="N1" s="6"/>
    </row>
    <row r="2" spans="1:26">
      <c r="A2" s="6"/>
      <c r="B2" s="6"/>
      <c r="C2" s="6"/>
      <c r="D2" s="6"/>
      <c r="F2" s="6"/>
      <c r="H2" s="6"/>
      <c r="J2" s="6"/>
      <c r="L2" s="6"/>
      <c r="N2" s="6"/>
    </row>
    <row r="3" spans="1:26">
      <c r="A3" s="6"/>
      <c r="B3" s="6"/>
      <c r="C3" s="6"/>
      <c r="D3" s="6"/>
      <c r="F3" s="6"/>
      <c r="H3" s="6"/>
      <c r="J3" s="6"/>
      <c r="L3" s="6"/>
      <c r="N3" s="6"/>
    </row>
    <row r="4" spans="1:26">
      <c r="A4" s="6" t="s">
        <v>5837</v>
      </c>
      <c r="B4" s="6" t="s">
        <v>5838</v>
      </c>
      <c r="C4" s="6" t="s">
        <v>5839</v>
      </c>
      <c r="D4" s="6"/>
      <c r="F4" s="6"/>
      <c r="H4" s="6"/>
      <c r="J4" s="6"/>
      <c r="L4" s="6"/>
      <c r="N4" s="6"/>
    </row>
    <row r="5" spans="1:26">
      <c r="A5" s="207" t="s">
        <v>5840</v>
      </c>
      <c r="B5" s="6" t="s">
        <v>5841</v>
      </c>
      <c r="C5" s="6" t="s">
        <v>5842</v>
      </c>
      <c r="D5" s="6" t="s">
        <v>5843</v>
      </c>
      <c r="E5" s="6" t="s">
        <v>5844</v>
      </c>
      <c r="F5" s="6" t="s">
        <v>5845</v>
      </c>
      <c r="G5" s="6" t="s">
        <v>5844</v>
      </c>
      <c r="H5" s="207" t="s">
        <v>5846</v>
      </c>
      <c r="I5" s="6" t="s">
        <v>5844</v>
      </c>
      <c r="J5" s="207" t="s">
        <v>5847</v>
      </c>
      <c r="K5" s="6" t="s">
        <v>5844</v>
      </c>
      <c r="L5" s="207" t="s">
        <v>5848</v>
      </c>
      <c r="M5" s="6" t="s">
        <v>5844</v>
      </c>
      <c r="N5" s="207" t="s">
        <v>5849</v>
      </c>
      <c r="O5" s="6" t="s">
        <v>5844</v>
      </c>
      <c r="P5" s="207" t="s">
        <v>5850</v>
      </c>
      <c r="Q5" s="6" t="s">
        <v>5844</v>
      </c>
      <c r="R5" s="207" t="s">
        <v>5851</v>
      </c>
      <c r="S5" s="6" t="s">
        <v>5844</v>
      </c>
      <c r="T5" s="207" t="s">
        <v>5852</v>
      </c>
      <c r="U5" s="6" t="s">
        <v>5844</v>
      </c>
      <c r="V5" s="207" t="s">
        <v>5853</v>
      </c>
      <c r="W5" s="6" t="s">
        <v>5844</v>
      </c>
      <c r="X5" s="207" t="s">
        <v>5854</v>
      </c>
      <c r="Y5" s="6" t="s">
        <v>5844</v>
      </c>
      <c r="Z5" s="207" t="s">
        <v>5855</v>
      </c>
    </row>
    <row r="6" spans="1:26">
      <c r="A6" s="6"/>
      <c r="B6" s="6" t="s">
        <v>5856</v>
      </c>
      <c r="C6" s="6" t="s">
        <v>5857</v>
      </c>
      <c r="D6" s="6"/>
      <c r="F6" s="207" t="s">
        <v>5858</v>
      </c>
      <c r="H6" s="6"/>
      <c r="J6" s="6"/>
      <c r="L6" s="6"/>
      <c r="N6" s="207" t="s">
        <v>5859</v>
      </c>
    </row>
    <row r="7" spans="1:26">
      <c r="A7" s="6"/>
      <c r="B7" s="6"/>
      <c r="C7" s="6" t="s">
        <v>5860</v>
      </c>
      <c r="D7" s="6"/>
      <c r="F7" s="6" t="s">
        <v>5861</v>
      </c>
      <c r="H7" s="6"/>
      <c r="J7" s="6"/>
      <c r="L7" s="6"/>
      <c r="N7" s="207" t="s">
        <v>5862</v>
      </c>
    </row>
    <row r="8" spans="1:26">
      <c r="A8" s="6"/>
      <c r="B8" s="6"/>
      <c r="C8" s="6" t="s">
        <v>5863</v>
      </c>
      <c r="D8" s="6"/>
      <c r="F8" s="6" t="s">
        <v>5864</v>
      </c>
      <c r="H8" s="6"/>
      <c r="J8" s="6"/>
      <c r="L8" s="6"/>
      <c r="N8" s="6"/>
    </row>
    <row r="9" spans="1:26">
      <c r="A9" s="6"/>
      <c r="B9" s="6"/>
      <c r="C9" s="6"/>
      <c r="D9" s="6"/>
      <c r="F9" s="207" t="s">
        <v>5865</v>
      </c>
      <c r="H9" s="6"/>
      <c r="J9" s="6"/>
      <c r="L9" s="6"/>
      <c r="N9" s="6"/>
    </row>
    <row r="10" spans="1:26">
      <c r="A10" s="6"/>
      <c r="B10" s="6"/>
      <c r="C10" s="6"/>
      <c r="D10" s="6"/>
      <c r="F10" s="6" t="s">
        <v>5842</v>
      </c>
      <c r="H10" s="6"/>
      <c r="J10" s="6"/>
      <c r="L10" s="6"/>
      <c r="N10" s="6"/>
    </row>
    <row r="11" spans="1:26">
      <c r="A11" s="6"/>
      <c r="B11" s="6"/>
      <c r="C11" s="6"/>
      <c r="D11" s="6"/>
      <c r="F11" s="6" t="s">
        <v>5860</v>
      </c>
      <c r="H11" s="6"/>
      <c r="J11" s="6"/>
      <c r="L11" s="6"/>
      <c r="N11" s="6"/>
    </row>
    <row r="12" spans="1:26">
      <c r="A12" s="6"/>
      <c r="B12" s="6"/>
      <c r="C12" s="6"/>
      <c r="D12" s="6"/>
      <c r="F12" s="6"/>
      <c r="H12" s="6"/>
      <c r="J12" s="6"/>
      <c r="L12" s="6"/>
      <c r="N12" s="6"/>
    </row>
    <row r="13" spans="1:26">
      <c r="A13" s="6"/>
      <c r="B13" s="6"/>
      <c r="C13" s="6"/>
      <c r="D13" s="6"/>
      <c r="F13" s="6"/>
      <c r="H13" s="6"/>
      <c r="J13" s="6"/>
      <c r="L13" s="6"/>
      <c r="N13" s="6"/>
    </row>
    <row r="14" spans="1:26">
      <c r="A14" s="6"/>
      <c r="B14" s="6"/>
      <c r="C14" s="6"/>
      <c r="D14" s="6"/>
      <c r="F14" s="6"/>
      <c r="H14" s="6"/>
      <c r="J14" s="6"/>
      <c r="L14" s="6"/>
      <c r="N14" s="6"/>
    </row>
    <row r="15" spans="1:26">
      <c r="A15" s="207" t="s">
        <v>5866</v>
      </c>
      <c r="B15" s="6"/>
      <c r="C15" s="6"/>
      <c r="D15" s="6"/>
      <c r="F15" s="6"/>
      <c r="H15" s="6"/>
      <c r="J15" s="6"/>
      <c r="L15" s="6"/>
      <c r="N15" s="6"/>
    </row>
    <row r="16" spans="1:26">
      <c r="A16" s="6"/>
      <c r="B16" s="6"/>
      <c r="C16" s="6"/>
      <c r="D16" s="6"/>
      <c r="F16" s="6"/>
      <c r="H16" s="6"/>
      <c r="J16" s="6"/>
      <c r="L16" s="6"/>
      <c r="N16" s="6"/>
    </row>
    <row r="17" spans="1:14">
      <c r="A17" s="6"/>
      <c r="B17" s="6"/>
      <c r="C17" s="6"/>
      <c r="D17" s="6"/>
      <c r="F17" s="6"/>
      <c r="H17" s="6"/>
      <c r="J17" s="6"/>
      <c r="L17" s="6"/>
      <c r="N17" s="6"/>
    </row>
    <row r="18" spans="1:14">
      <c r="A18" s="6"/>
      <c r="B18" s="6"/>
      <c r="C18" s="6"/>
      <c r="D18" s="6"/>
      <c r="F18" s="6"/>
      <c r="H18" s="6"/>
      <c r="J18" s="6"/>
      <c r="L18" s="6"/>
      <c r="N18" s="6"/>
    </row>
    <row r="19" spans="1:14">
      <c r="A19" s="6"/>
      <c r="B19" s="6"/>
      <c r="C19" s="6"/>
      <c r="D19" s="6"/>
      <c r="F19" s="6"/>
      <c r="H19" s="6"/>
      <c r="J19" s="6"/>
      <c r="L19" s="6"/>
      <c r="N19" s="6"/>
    </row>
    <row r="20" spans="1:14">
      <c r="A20" s="6"/>
      <c r="B20" s="6"/>
      <c r="C20" s="6"/>
      <c r="D20" s="6"/>
      <c r="F20" s="6"/>
      <c r="H20" s="6"/>
      <c r="J20" s="6"/>
      <c r="L20" s="6"/>
      <c r="N20" s="6"/>
    </row>
    <row r="21" spans="1:14">
      <c r="A21" s="6" t="s">
        <v>5867</v>
      </c>
      <c r="B21" s="6"/>
      <c r="C21" s="6"/>
      <c r="D21" s="6"/>
      <c r="F21" s="6"/>
      <c r="H21" s="6"/>
      <c r="J21" s="6"/>
      <c r="L21" s="6"/>
      <c r="N21" s="6"/>
    </row>
    <row r="22" spans="1:14">
      <c r="A22" s="6" t="s">
        <v>5868</v>
      </c>
      <c r="B22" s="6"/>
      <c r="C22" s="6"/>
      <c r="D22" s="6"/>
      <c r="F22" s="6"/>
      <c r="H22" s="6"/>
      <c r="J22" s="6"/>
      <c r="L22" s="6"/>
      <c r="N22" s="6"/>
    </row>
    <row r="23" spans="1:14">
      <c r="A23" s="6"/>
      <c r="B23" s="6"/>
      <c r="C23" s="6"/>
      <c r="D23" s="6"/>
      <c r="F23" s="6"/>
      <c r="H23" s="6"/>
      <c r="J23" s="6"/>
      <c r="L23" s="6"/>
      <c r="N23" s="6"/>
    </row>
    <row r="24" spans="1:14">
      <c r="A24" s="6"/>
      <c r="B24" s="6"/>
      <c r="C24" s="6"/>
      <c r="D24" s="6"/>
      <c r="F24" s="6"/>
      <c r="H24" s="6"/>
      <c r="J24" s="6"/>
      <c r="L24" s="6"/>
      <c r="N24" s="6"/>
    </row>
    <row r="25" spans="1:14">
      <c r="A25" s="6"/>
      <c r="B25" s="6"/>
      <c r="C25" s="6"/>
      <c r="D25" s="6"/>
      <c r="F25" s="6"/>
      <c r="H25" s="6"/>
      <c r="J25" s="6"/>
      <c r="L25" s="6"/>
      <c r="N25" s="6"/>
    </row>
    <row r="26" spans="1:14">
      <c r="A26" s="6"/>
      <c r="B26" s="6"/>
      <c r="C26" s="6"/>
      <c r="D26" s="6"/>
      <c r="F26" s="6"/>
      <c r="H26" s="6"/>
      <c r="J26" s="6"/>
      <c r="L26" s="6"/>
      <c r="N26" s="6"/>
    </row>
    <row r="27" spans="1:14">
      <c r="A27" s="6"/>
      <c r="B27" s="6"/>
      <c r="C27" s="6"/>
      <c r="D27" s="6"/>
      <c r="F27" s="6"/>
      <c r="H27" s="6"/>
      <c r="J27" s="6"/>
      <c r="L27" s="6"/>
      <c r="N27" s="6"/>
    </row>
    <row r="28" spans="1:14">
      <c r="A28" s="6"/>
      <c r="B28" s="6"/>
      <c r="C28" s="6"/>
      <c r="D28" s="6"/>
      <c r="F28" s="6"/>
      <c r="H28" s="6"/>
      <c r="J28" s="6"/>
      <c r="L28" s="6"/>
      <c r="N28" s="6"/>
    </row>
    <row r="29" spans="1:14">
      <c r="A29" s="6"/>
      <c r="B29" s="6"/>
      <c r="C29" s="6"/>
      <c r="D29" s="6"/>
      <c r="F29" s="6"/>
      <c r="H29" s="6"/>
      <c r="J29" s="6"/>
      <c r="L29" s="6"/>
      <c r="N29" s="6"/>
    </row>
    <row r="30" spans="1:14">
      <c r="A30" s="6"/>
      <c r="B30" s="6"/>
      <c r="C30" s="6"/>
      <c r="D30" s="6"/>
      <c r="F30" s="6"/>
      <c r="H30" s="6"/>
      <c r="J30" s="6"/>
      <c r="L30" s="6"/>
      <c r="N30" s="6"/>
    </row>
    <row r="31" spans="1:14">
      <c r="A31" s="6"/>
      <c r="B31" s="6"/>
      <c r="C31" s="6"/>
      <c r="D31" s="6"/>
      <c r="F31" s="6"/>
      <c r="H31" s="6"/>
      <c r="J31" s="6"/>
      <c r="L31" s="6"/>
      <c r="N31" s="6"/>
    </row>
    <row r="32" spans="1:14">
      <c r="A32" s="6"/>
      <c r="B32" s="6"/>
      <c r="C32" s="6"/>
      <c r="D32" s="6"/>
      <c r="F32" s="6"/>
      <c r="H32" s="6"/>
      <c r="J32" s="6"/>
      <c r="L32" s="6"/>
      <c r="N32" s="6"/>
    </row>
    <row r="33" spans="1:14">
      <c r="A33" s="6"/>
      <c r="B33" s="6"/>
      <c r="C33" s="6"/>
      <c r="D33" s="6"/>
      <c r="F33" s="6"/>
      <c r="H33" s="6"/>
      <c r="J33" s="6"/>
      <c r="L33" s="6"/>
      <c r="N33" s="6"/>
    </row>
    <row r="34" spans="1:14">
      <c r="A34" s="6"/>
      <c r="B34" s="6"/>
      <c r="C34" s="6"/>
      <c r="D34" s="6"/>
      <c r="F34" s="6"/>
      <c r="H34" s="6"/>
      <c r="J34" s="6"/>
      <c r="L34" s="6"/>
      <c r="N34" s="6"/>
    </row>
    <row r="35" spans="1:14">
      <c r="A35" s="6"/>
      <c r="B35" s="6"/>
      <c r="C35" s="6"/>
      <c r="D35" s="6"/>
      <c r="F35" s="6"/>
      <c r="H35" s="6"/>
      <c r="J35" s="6"/>
      <c r="L35" s="6"/>
      <c r="N35" s="6"/>
    </row>
    <row r="36" spans="1:14">
      <c r="A36" s="6"/>
      <c r="B36" s="6"/>
      <c r="C36" s="6"/>
      <c r="D36" s="6"/>
      <c r="F36" s="6"/>
      <c r="H36" s="6"/>
      <c r="J36" s="6"/>
      <c r="L36" s="6"/>
      <c r="N36" s="6"/>
    </row>
    <row r="37" spans="1:14">
      <c r="A37" s="6"/>
      <c r="B37" s="6"/>
      <c r="C37" s="6"/>
      <c r="D37" s="6"/>
      <c r="F37" s="6"/>
      <c r="H37" s="6"/>
      <c r="J37" s="6"/>
      <c r="L37" s="6"/>
      <c r="N37" s="6"/>
    </row>
    <row r="38" spans="1:14">
      <c r="A38" s="6"/>
      <c r="B38" s="6"/>
      <c r="C38" s="6"/>
      <c r="D38" s="6"/>
      <c r="F38" s="6"/>
      <c r="H38" s="6"/>
      <c r="J38" s="6"/>
      <c r="L38" s="6"/>
      <c r="N38" s="6"/>
    </row>
    <row r="39" spans="1:14">
      <c r="A39" s="6"/>
      <c r="B39" s="6"/>
      <c r="C39" s="6"/>
      <c r="D39" s="6"/>
      <c r="F39" s="6"/>
      <c r="H39" s="6"/>
      <c r="J39" s="6"/>
      <c r="L39" s="6"/>
      <c r="N39" s="6"/>
    </row>
    <row r="40" spans="1:14">
      <c r="A40" s="6"/>
      <c r="B40" s="6"/>
      <c r="C40" s="6"/>
      <c r="D40" s="6"/>
      <c r="F40" s="6"/>
      <c r="H40" s="6"/>
      <c r="J40" s="6"/>
      <c r="L40" s="6"/>
      <c r="N40" s="6"/>
    </row>
    <row r="41" spans="1:14">
      <c r="A41" s="6"/>
      <c r="B41" s="6"/>
      <c r="C41" s="6"/>
      <c r="D41" s="6"/>
      <c r="F41" s="6"/>
      <c r="H41" s="6"/>
      <c r="J41" s="6"/>
      <c r="L41" s="6"/>
      <c r="N41" s="6"/>
    </row>
    <row r="42" spans="1:14">
      <c r="A42" s="6"/>
      <c r="B42" s="6"/>
      <c r="C42" s="6"/>
      <c r="D42" s="6"/>
      <c r="F42" s="6"/>
      <c r="H42" s="6"/>
      <c r="J42" s="6"/>
      <c r="L42" s="6"/>
      <c r="N42" s="6"/>
    </row>
    <row r="43" spans="1:14">
      <c r="A43" s="6"/>
      <c r="B43" s="6"/>
      <c r="C43" s="6"/>
      <c r="D43" s="6"/>
      <c r="F43" s="6"/>
      <c r="H43" s="6"/>
      <c r="J43" s="6"/>
      <c r="L43" s="6"/>
      <c r="N43" s="6"/>
    </row>
    <row r="44" spans="1:14">
      <c r="A44" s="6"/>
      <c r="B44" s="6"/>
      <c r="C44" s="6"/>
      <c r="D44" s="6"/>
      <c r="F44" s="6"/>
      <c r="H44" s="6"/>
      <c r="J44" s="6"/>
      <c r="L44" s="6"/>
      <c r="N44" s="6"/>
    </row>
    <row r="45" spans="1:14">
      <c r="A45" s="6"/>
      <c r="B45" s="6"/>
      <c r="C45" s="6"/>
      <c r="D45" s="6"/>
      <c r="F45" s="6"/>
      <c r="H45" s="6"/>
      <c r="J45" s="6"/>
      <c r="L45" s="6"/>
      <c r="N45" s="6"/>
    </row>
    <row r="46" spans="1:14">
      <c r="A46" s="6"/>
      <c r="B46" s="6"/>
      <c r="C46" s="6"/>
      <c r="D46" s="6"/>
      <c r="F46" s="6"/>
      <c r="H46" s="6"/>
      <c r="J46" s="6"/>
      <c r="L46" s="6"/>
      <c r="N46" s="6"/>
    </row>
    <row r="47" spans="1:14">
      <c r="A47" s="6"/>
      <c r="B47" s="6"/>
      <c r="C47" s="6"/>
      <c r="D47" s="6"/>
      <c r="F47" s="6"/>
      <c r="H47" s="6"/>
      <c r="J47" s="6"/>
      <c r="L47" s="6"/>
      <c r="N47" s="6"/>
    </row>
    <row r="48" spans="1:14">
      <c r="A48" s="6"/>
      <c r="B48" s="6"/>
      <c r="C48" s="6"/>
      <c r="D48" s="6"/>
      <c r="F48" s="6"/>
      <c r="H48" s="6"/>
      <c r="J48" s="6"/>
      <c r="L48" s="6"/>
      <c r="N48" s="6"/>
    </row>
    <row r="49" spans="1:14">
      <c r="A49" s="6"/>
      <c r="B49" s="6"/>
      <c r="C49" s="6"/>
      <c r="D49" s="6"/>
      <c r="F49" s="6"/>
      <c r="H49" s="6"/>
      <c r="J49" s="6"/>
      <c r="L49" s="6"/>
      <c r="N49" s="6"/>
    </row>
    <row r="50" spans="1:14">
      <c r="A50" s="6"/>
      <c r="B50" s="6"/>
      <c r="C50" s="6"/>
      <c r="D50" s="6"/>
      <c r="F50" s="6"/>
      <c r="H50" s="6"/>
      <c r="J50" s="6"/>
      <c r="L50" s="6"/>
      <c r="N50" s="6"/>
    </row>
    <row r="51" spans="1:14">
      <c r="A51" s="6"/>
      <c r="B51" s="6"/>
      <c r="C51" s="6"/>
      <c r="D51" s="6"/>
      <c r="F51" s="6"/>
      <c r="H51" s="6"/>
      <c r="J51" s="6"/>
      <c r="L51" s="6"/>
      <c r="N51" s="6"/>
    </row>
    <row r="52" spans="1:14">
      <c r="A52" s="6"/>
      <c r="B52" s="6"/>
      <c r="C52" s="6"/>
      <c r="D52" s="6"/>
      <c r="F52" s="6"/>
      <c r="H52" s="6"/>
      <c r="J52" s="6"/>
      <c r="L52" s="6"/>
      <c r="N52" s="6"/>
    </row>
    <row r="53" spans="1:14">
      <c r="A53" s="6"/>
      <c r="B53" s="6"/>
      <c r="C53" s="6"/>
      <c r="D53" s="6"/>
      <c r="F53" s="6"/>
      <c r="H53" s="6"/>
      <c r="J53" s="6"/>
      <c r="L53" s="6"/>
      <c r="N53" s="6"/>
    </row>
    <row r="54" spans="1:14">
      <c r="A54" s="6"/>
      <c r="B54" s="6"/>
      <c r="C54" s="6"/>
      <c r="D54" s="6"/>
      <c r="F54" s="6"/>
      <c r="H54" s="6"/>
      <c r="J54" s="6"/>
      <c r="L54" s="6"/>
      <c r="N54" s="6"/>
    </row>
    <row r="55" spans="1:14">
      <c r="A55" s="6"/>
      <c r="B55" s="6"/>
      <c r="C55" s="6"/>
      <c r="D55" s="6"/>
      <c r="F55" s="6"/>
      <c r="H55" s="6"/>
      <c r="J55" s="6"/>
      <c r="L55" s="6"/>
      <c r="N55" s="6"/>
    </row>
    <row r="56" spans="1:14">
      <c r="A56" s="6"/>
      <c r="B56" s="6"/>
      <c r="C56" s="6"/>
      <c r="D56" s="6"/>
      <c r="F56" s="6"/>
      <c r="H56" s="6"/>
      <c r="J56" s="6"/>
      <c r="L56" s="6"/>
      <c r="N56" s="6"/>
    </row>
    <row r="57" spans="1:14">
      <c r="A57" s="6"/>
      <c r="B57" s="6"/>
      <c r="C57" s="6"/>
      <c r="D57" s="6"/>
      <c r="F57" s="6"/>
      <c r="H57" s="6"/>
      <c r="J57" s="6"/>
      <c r="L57" s="6"/>
      <c r="N57" s="6"/>
    </row>
    <row r="58" spans="1:14">
      <c r="A58" s="6"/>
      <c r="B58" s="6"/>
      <c r="C58" s="6"/>
      <c r="D58" s="6"/>
      <c r="F58" s="6"/>
      <c r="H58" s="6"/>
      <c r="J58" s="6"/>
      <c r="L58" s="6"/>
      <c r="N58" s="6"/>
    </row>
    <row r="59" spans="1:14">
      <c r="A59" s="6"/>
      <c r="B59" s="6"/>
      <c r="C59" s="6"/>
      <c r="D59" s="6"/>
      <c r="F59" s="6"/>
      <c r="H59" s="6"/>
      <c r="J59" s="6"/>
      <c r="L59" s="6"/>
      <c r="N59" s="6"/>
    </row>
    <row r="60" spans="1:14">
      <c r="A60" s="6"/>
      <c r="B60" s="6"/>
      <c r="C60" s="6"/>
      <c r="D60" s="6"/>
      <c r="F60" s="6"/>
      <c r="H60" s="6"/>
      <c r="J60" s="6"/>
      <c r="L60" s="6"/>
      <c r="N60" s="6"/>
    </row>
    <row r="61" spans="1:14">
      <c r="A61" s="6"/>
      <c r="B61" s="6"/>
      <c r="C61" s="6"/>
      <c r="D61" s="6"/>
      <c r="F61" s="6"/>
      <c r="H61" s="6"/>
      <c r="J61" s="6"/>
      <c r="L61" s="6"/>
      <c r="N61" s="6"/>
    </row>
    <row r="62" spans="1:14">
      <c r="A62" s="6"/>
      <c r="B62" s="6"/>
      <c r="C62" s="6"/>
      <c r="D62" s="6"/>
      <c r="F62" s="6"/>
      <c r="H62" s="6"/>
      <c r="J62" s="6"/>
      <c r="L62" s="6"/>
      <c r="N62" s="6"/>
    </row>
    <row r="63" spans="1:14">
      <c r="A63" s="6"/>
      <c r="B63" s="6"/>
      <c r="C63" s="6"/>
      <c r="D63" s="6"/>
      <c r="F63" s="6"/>
      <c r="H63" s="6"/>
      <c r="J63" s="6"/>
      <c r="L63" s="6"/>
      <c r="N63" s="6"/>
    </row>
    <row r="64" spans="1:14">
      <c r="A64" s="6"/>
      <c r="B64" s="6"/>
      <c r="C64" s="6"/>
      <c r="D64" s="6"/>
      <c r="F64" s="6"/>
      <c r="H64" s="6"/>
      <c r="J64" s="6"/>
      <c r="L64" s="6"/>
      <c r="N64" s="6"/>
    </row>
    <row r="65" spans="1:14">
      <c r="A65" s="6"/>
      <c r="B65" s="6"/>
      <c r="C65" s="6"/>
      <c r="D65" s="6"/>
      <c r="F65" s="6"/>
      <c r="H65" s="6"/>
      <c r="J65" s="6"/>
      <c r="L65" s="6"/>
      <c r="N65" s="6"/>
    </row>
    <row r="66" spans="1:14">
      <c r="A66" s="6"/>
      <c r="B66" s="6"/>
      <c r="C66" s="6"/>
      <c r="D66" s="6"/>
      <c r="F66" s="6"/>
      <c r="H66" s="6"/>
      <c r="J66" s="6"/>
      <c r="L66" s="6"/>
      <c r="N66" s="6"/>
    </row>
    <row r="67" spans="1:14">
      <c r="A67" s="6"/>
      <c r="B67" s="6"/>
      <c r="C67" s="6"/>
      <c r="D67" s="6"/>
      <c r="F67" s="6"/>
      <c r="H67" s="6"/>
      <c r="J67" s="6"/>
      <c r="L67" s="6"/>
      <c r="N67" s="6"/>
    </row>
    <row r="68" spans="1:14">
      <c r="A68" s="6"/>
      <c r="B68" s="6"/>
      <c r="C68" s="6"/>
      <c r="D68" s="6"/>
      <c r="F68" s="6"/>
      <c r="H68" s="6"/>
      <c r="J68" s="6"/>
      <c r="L68" s="6"/>
      <c r="N68" s="6"/>
    </row>
    <row r="69" spans="1:14">
      <c r="A69" s="6"/>
      <c r="B69" s="6"/>
      <c r="C69" s="6"/>
      <c r="D69" s="6"/>
      <c r="F69" s="6"/>
      <c r="H69" s="6"/>
      <c r="J69" s="6"/>
      <c r="L69" s="6"/>
      <c r="N69" s="6"/>
    </row>
    <row r="70" spans="1:14">
      <c r="A70" s="6"/>
      <c r="B70" s="6"/>
      <c r="C70" s="6"/>
      <c r="D70" s="6"/>
      <c r="F70" s="6"/>
      <c r="H70" s="6"/>
      <c r="J70" s="6"/>
      <c r="L70" s="6"/>
      <c r="N70" s="6"/>
    </row>
    <row r="71" spans="1:14">
      <c r="A71" s="6"/>
      <c r="B71" s="6"/>
      <c r="C71" s="6"/>
      <c r="D71" s="6"/>
      <c r="F71" s="6"/>
      <c r="H71" s="6"/>
      <c r="J71" s="6"/>
      <c r="L71" s="6"/>
      <c r="N71" s="6"/>
    </row>
    <row r="72" spans="1:14">
      <c r="A72" s="6"/>
      <c r="B72" s="6"/>
      <c r="C72" s="6"/>
      <c r="D72" s="6"/>
      <c r="F72" s="6"/>
      <c r="H72" s="6"/>
      <c r="J72" s="6"/>
      <c r="L72" s="6"/>
      <c r="N72" s="6"/>
    </row>
    <row r="73" spans="1:14">
      <c r="A73" s="6"/>
      <c r="B73" s="6"/>
      <c r="C73" s="6"/>
      <c r="D73" s="6"/>
      <c r="F73" s="6"/>
      <c r="H73" s="6"/>
      <c r="J73" s="6"/>
      <c r="L73" s="6"/>
      <c r="N73" s="6"/>
    </row>
    <row r="74" spans="1:14">
      <c r="A74" s="6"/>
      <c r="B74" s="6"/>
      <c r="C74" s="6"/>
      <c r="D74" s="6"/>
      <c r="F74" s="6"/>
      <c r="H74" s="6"/>
      <c r="J74" s="6"/>
      <c r="L74" s="6"/>
      <c r="N74" s="6"/>
    </row>
    <row r="75" spans="1:14">
      <c r="A75" s="6"/>
      <c r="B75" s="6"/>
      <c r="C75" s="6"/>
      <c r="D75" s="6"/>
      <c r="F75" s="6"/>
      <c r="H75" s="6"/>
      <c r="J75" s="6"/>
      <c r="L75" s="6"/>
      <c r="N75" s="6"/>
    </row>
    <row r="76" spans="1:14">
      <c r="A76" s="6"/>
      <c r="B76" s="6"/>
      <c r="C76" s="6"/>
      <c r="D76" s="6"/>
      <c r="F76" s="6"/>
      <c r="H76" s="6"/>
      <c r="J76" s="6"/>
      <c r="L76" s="6"/>
      <c r="N76" s="6"/>
    </row>
    <row r="77" spans="1:14">
      <c r="A77" s="6"/>
      <c r="B77" s="6"/>
      <c r="C77" s="6"/>
      <c r="D77" s="6"/>
      <c r="F77" s="6"/>
      <c r="H77" s="6"/>
      <c r="J77" s="6"/>
      <c r="L77" s="6"/>
      <c r="N77" s="6"/>
    </row>
    <row r="78" spans="1:14">
      <c r="A78" s="6"/>
      <c r="B78" s="6"/>
      <c r="C78" s="6"/>
      <c r="D78" s="6"/>
      <c r="F78" s="6"/>
      <c r="H78" s="6"/>
      <c r="J78" s="6"/>
      <c r="L78" s="6"/>
      <c r="N78" s="6"/>
    </row>
    <row r="79" spans="1:14">
      <c r="A79" s="6"/>
      <c r="B79" s="6"/>
      <c r="C79" s="6"/>
      <c r="D79" s="6"/>
      <c r="F79" s="6"/>
      <c r="H79" s="6"/>
      <c r="J79" s="6"/>
      <c r="L79" s="6"/>
      <c r="N79" s="6"/>
    </row>
    <row r="80" spans="1:14">
      <c r="A80" s="6"/>
      <c r="B80" s="6"/>
      <c r="C80" s="6"/>
      <c r="D80" s="6"/>
      <c r="F80" s="6"/>
      <c r="H80" s="6"/>
      <c r="J80" s="6"/>
      <c r="L80" s="6"/>
      <c r="N80" s="6"/>
    </row>
    <row r="81" spans="1:14">
      <c r="A81" s="6"/>
      <c r="B81" s="6"/>
      <c r="C81" s="6"/>
      <c r="D81" s="6"/>
      <c r="F81" s="6"/>
      <c r="H81" s="6"/>
      <c r="J81" s="6"/>
      <c r="L81" s="6"/>
      <c r="N81" s="6"/>
    </row>
    <row r="82" spans="1:14">
      <c r="A82" s="6"/>
      <c r="B82" s="6"/>
      <c r="C82" s="6"/>
      <c r="D82" s="6"/>
      <c r="F82" s="6"/>
      <c r="H82" s="6"/>
      <c r="J82" s="6"/>
      <c r="L82" s="6"/>
      <c r="N82" s="6"/>
    </row>
    <row r="83" spans="1:14">
      <c r="A83" s="6"/>
      <c r="B83" s="6"/>
      <c r="C83" s="6"/>
      <c r="D83" s="6"/>
      <c r="F83" s="6"/>
      <c r="H83" s="6"/>
      <c r="J83" s="6"/>
      <c r="L83" s="6"/>
      <c r="N83" s="6"/>
    </row>
    <row r="84" spans="1:14">
      <c r="A84" s="6"/>
      <c r="B84" s="6"/>
      <c r="C84" s="6"/>
      <c r="D84" s="6"/>
      <c r="F84" s="6"/>
      <c r="H84" s="6"/>
      <c r="J84" s="6"/>
      <c r="L84" s="6"/>
      <c r="N84" s="6"/>
    </row>
    <row r="85" spans="1:14">
      <c r="A85" s="6"/>
      <c r="B85" s="6"/>
      <c r="C85" s="6"/>
      <c r="D85" s="6"/>
      <c r="F85" s="6"/>
      <c r="H85" s="6"/>
      <c r="J85" s="6"/>
      <c r="L85" s="6"/>
      <c r="N85" s="6"/>
    </row>
    <row r="86" spans="1:14">
      <c r="A86" s="6"/>
      <c r="B86" s="6"/>
      <c r="C86" s="6"/>
      <c r="D86" s="6"/>
      <c r="F86" s="6"/>
      <c r="H86" s="6"/>
      <c r="J86" s="6"/>
      <c r="L86" s="6"/>
      <c r="N86" s="6"/>
    </row>
    <row r="87" spans="1:14">
      <c r="A87" s="6"/>
      <c r="B87" s="6"/>
      <c r="C87" s="6"/>
      <c r="D87" s="6"/>
      <c r="F87" s="6"/>
      <c r="H87" s="6"/>
      <c r="J87" s="6"/>
      <c r="L87" s="6"/>
      <c r="N87" s="6"/>
    </row>
    <row r="88" spans="1:14">
      <c r="A88" s="6"/>
      <c r="B88" s="6"/>
      <c r="C88" s="6"/>
      <c r="D88" s="6"/>
      <c r="F88" s="6"/>
      <c r="H88" s="6"/>
      <c r="J88" s="6"/>
      <c r="L88" s="6"/>
      <c r="N88" s="6"/>
    </row>
    <row r="89" spans="1:14">
      <c r="A89" s="6"/>
      <c r="B89" s="6"/>
      <c r="C89" s="6"/>
      <c r="D89" s="6"/>
      <c r="F89" s="6"/>
      <c r="H89" s="6"/>
      <c r="J89" s="6"/>
      <c r="L89" s="6"/>
      <c r="N89" s="6"/>
    </row>
    <row r="90" spans="1:14">
      <c r="A90" s="6"/>
      <c r="B90" s="6"/>
      <c r="C90" s="6"/>
      <c r="D90" s="6"/>
      <c r="F90" s="6"/>
      <c r="H90" s="6"/>
      <c r="J90" s="6"/>
      <c r="L90" s="6"/>
      <c r="N90" s="6"/>
    </row>
    <row r="91" spans="1:14">
      <c r="A91" s="6"/>
      <c r="B91" s="6"/>
      <c r="C91" s="6"/>
      <c r="D91" s="6"/>
      <c r="F91" s="6"/>
      <c r="H91" s="6"/>
      <c r="J91" s="6"/>
      <c r="L91" s="6"/>
      <c r="N91" s="6"/>
    </row>
    <row r="92" spans="1:14">
      <c r="A92" s="6"/>
      <c r="B92" s="6"/>
      <c r="C92" s="6"/>
      <c r="D92" s="6"/>
      <c r="F92" s="6"/>
      <c r="H92" s="6"/>
      <c r="J92" s="6"/>
      <c r="L92" s="6"/>
      <c r="N92" s="6"/>
    </row>
    <row r="93" spans="1:14">
      <c r="A93" s="6"/>
      <c r="B93" s="6"/>
      <c r="C93" s="6"/>
      <c r="D93" s="6"/>
      <c r="F93" s="6"/>
      <c r="H93" s="6"/>
      <c r="J93" s="6"/>
      <c r="L93" s="6"/>
      <c r="N93" s="6"/>
    </row>
    <row r="94" spans="1:14">
      <c r="A94" s="6"/>
      <c r="B94" s="6"/>
      <c r="C94" s="6"/>
      <c r="D94" s="6"/>
      <c r="F94" s="6"/>
      <c r="H94" s="6"/>
      <c r="J94" s="6"/>
      <c r="L94" s="6"/>
      <c r="N94" s="6"/>
    </row>
    <row r="95" spans="1:14">
      <c r="A95" s="6"/>
      <c r="B95" s="6"/>
      <c r="C95" s="6"/>
      <c r="D95" s="6"/>
      <c r="F95" s="6"/>
      <c r="H95" s="6"/>
      <c r="J95" s="6"/>
      <c r="L95" s="6"/>
      <c r="N95" s="6"/>
    </row>
    <row r="96" spans="1:14">
      <c r="A96" s="6"/>
      <c r="B96" s="6"/>
      <c r="C96" s="6"/>
      <c r="D96" s="6"/>
      <c r="F96" s="6"/>
      <c r="H96" s="6"/>
      <c r="J96" s="6"/>
      <c r="L96" s="6"/>
      <c r="N96" s="6"/>
    </row>
    <row r="97" spans="1:14">
      <c r="A97" s="6"/>
      <c r="B97" s="6"/>
      <c r="C97" s="6"/>
      <c r="D97" s="6"/>
      <c r="F97" s="6"/>
      <c r="H97" s="6"/>
      <c r="J97" s="6"/>
      <c r="L97" s="6"/>
      <c r="N97" s="6"/>
    </row>
    <row r="98" spans="1:14">
      <c r="A98" s="6"/>
      <c r="B98" s="6"/>
      <c r="C98" s="6"/>
      <c r="D98" s="6"/>
      <c r="F98" s="6"/>
      <c r="H98" s="6"/>
      <c r="J98" s="6"/>
      <c r="L98" s="6"/>
      <c r="N98" s="6"/>
    </row>
    <row r="99" spans="1:14">
      <c r="A99" s="6"/>
      <c r="B99" s="6"/>
      <c r="C99" s="6"/>
      <c r="D99" s="6"/>
      <c r="F99" s="6"/>
      <c r="H99" s="6"/>
      <c r="J99" s="6"/>
      <c r="L99" s="6"/>
      <c r="N99" s="6"/>
    </row>
    <row r="100" spans="1:14">
      <c r="A100" s="6"/>
      <c r="B100" s="6"/>
      <c r="C100" s="6"/>
      <c r="D100" s="6"/>
      <c r="F100" s="6"/>
      <c r="H100" s="6"/>
      <c r="J100" s="6"/>
      <c r="L100" s="6"/>
      <c r="N100" s="6"/>
    </row>
    <row r="101" spans="1:14">
      <c r="A101" s="6"/>
      <c r="B101" s="6"/>
      <c r="C101" s="6"/>
      <c r="D101" s="6"/>
      <c r="F101" s="6"/>
      <c r="H101" s="6"/>
      <c r="J101" s="6"/>
      <c r="L101" s="6"/>
      <c r="N101" s="6"/>
    </row>
    <row r="102" spans="1:14">
      <c r="A102" s="6"/>
      <c r="B102" s="6"/>
      <c r="C102" s="6"/>
      <c r="D102" s="6"/>
      <c r="F102" s="6"/>
      <c r="H102" s="6"/>
      <c r="J102" s="6"/>
      <c r="L102" s="6"/>
      <c r="N102" s="6"/>
    </row>
    <row r="103" spans="1:14">
      <c r="A103" s="6"/>
      <c r="B103" s="6"/>
      <c r="C103" s="6"/>
      <c r="D103" s="6"/>
      <c r="F103" s="6"/>
      <c r="H103" s="6"/>
      <c r="J103" s="6"/>
      <c r="L103" s="6"/>
      <c r="N103" s="6"/>
    </row>
    <row r="104" spans="1:14">
      <c r="A104" s="6"/>
      <c r="B104" s="6"/>
      <c r="C104" s="6"/>
      <c r="D104" s="6"/>
      <c r="F104" s="6"/>
      <c r="H104" s="6"/>
      <c r="J104" s="6"/>
      <c r="L104" s="6"/>
      <c r="N104" s="6"/>
    </row>
    <row r="105" spans="1:14">
      <c r="A105" s="6"/>
      <c r="B105" s="6"/>
      <c r="C105" s="6"/>
      <c r="D105" s="6"/>
      <c r="F105" s="6"/>
      <c r="H105" s="6"/>
      <c r="J105" s="6"/>
      <c r="L105" s="6"/>
      <c r="N105" s="6"/>
    </row>
    <row r="106" spans="1:14">
      <c r="A106" s="6"/>
      <c r="B106" s="6"/>
      <c r="C106" s="6"/>
      <c r="D106" s="6"/>
      <c r="F106" s="6"/>
      <c r="H106" s="6"/>
      <c r="J106" s="6"/>
      <c r="L106" s="6"/>
      <c r="N106" s="6"/>
    </row>
    <row r="107" spans="1:14">
      <c r="A107" s="6"/>
      <c r="B107" s="6"/>
      <c r="C107" s="6"/>
      <c r="D107" s="6"/>
      <c r="F107" s="6"/>
      <c r="H107" s="6"/>
      <c r="J107" s="6"/>
      <c r="L107" s="6"/>
      <c r="N107" s="6"/>
    </row>
    <row r="108" spans="1:14">
      <c r="A108" s="6"/>
      <c r="B108" s="6"/>
      <c r="C108" s="6"/>
      <c r="D108" s="6"/>
      <c r="F108" s="6"/>
      <c r="H108" s="6"/>
      <c r="J108" s="6"/>
      <c r="L108" s="6"/>
      <c r="N108" s="6"/>
    </row>
    <row r="109" spans="1:14">
      <c r="A109" s="6"/>
      <c r="B109" s="6"/>
      <c r="C109" s="6"/>
      <c r="D109" s="6"/>
      <c r="F109" s="6"/>
      <c r="H109" s="6"/>
      <c r="J109" s="6"/>
      <c r="L109" s="6"/>
      <c r="N109" s="6"/>
    </row>
    <row r="110" spans="1:14">
      <c r="A110" s="6"/>
      <c r="B110" s="6"/>
      <c r="C110" s="6"/>
      <c r="D110" s="6"/>
      <c r="F110" s="6"/>
      <c r="H110" s="6"/>
      <c r="J110" s="6"/>
      <c r="L110" s="6"/>
      <c r="N110" s="6"/>
    </row>
    <row r="111" spans="1:14">
      <c r="A111" s="6"/>
      <c r="B111" s="6"/>
      <c r="C111" s="6"/>
      <c r="D111" s="6"/>
      <c r="F111" s="6"/>
      <c r="H111" s="6"/>
      <c r="J111" s="6"/>
      <c r="L111" s="6"/>
      <c r="N111" s="6"/>
    </row>
    <row r="112" spans="1:14">
      <c r="A112" s="6"/>
      <c r="B112" s="6"/>
      <c r="C112" s="6"/>
      <c r="D112" s="6"/>
      <c r="F112" s="6"/>
      <c r="H112" s="6"/>
      <c r="J112" s="6"/>
      <c r="L112" s="6"/>
      <c r="N112" s="6"/>
    </row>
    <row r="113" spans="1:14">
      <c r="A113" s="6"/>
      <c r="B113" s="6"/>
      <c r="C113" s="6"/>
      <c r="D113" s="6"/>
      <c r="F113" s="6"/>
      <c r="H113" s="6"/>
      <c r="J113" s="6"/>
      <c r="L113" s="6"/>
      <c r="N113" s="6"/>
    </row>
    <row r="114" spans="1:14">
      <c r="A114" s="6"/>
      <c r="B114" s="6"/>
      <c r="C114" s="6"/>
      <c r="D114" s="6"/>
      <c r="F114" s="6"/>
      <c r="H114" s="6"/>
      <c r="J114" s="6"/>
      <c r="L114" s="6"/>
      <c r="N114" s="6"/>
    </row>
    <row r="115" spans="1:14">
      <c r="A115" s="6"/>
      <c r="B115" s="6"/>
      <c r="C115" s="6"/>
      <c r="D115" s="6"/>
      <c r="F115" s="6"/>
      <c r="H115" s="6"/>
      <c r="J115" s="6"/>
      <c r="L115" s="6"/>
      <c r="N115" s="6"/>
    </row>
    <row r="116" spans="1:14">
      <c r="A116" s="6"/>
      <c r="B116" s="6"/>
      <c r="C116" s="6"/>
      <c r="D116" s="6"/>
      <c r="F116" s="6"/>
      <c r="H116" s="6"/>
      <c r="J116" s="6"/>
      <c r="L116" s="6"/>
      <c r="N116" s="6"/>
    </row>
    <row r="117" spans="1:14">
      <c r="A117" s="6"/>
      <c r="B117" s="6"/>
      <c r="C117" s="6"/>
      <c r="D117" s="6"/>
      <c r="F117" s="6"/>
      <c r="H117" s="6"/>
      <c r="J117" s="6"/>
      <c r="L117" s="6"/>
      <c r="N117" s="6"/>
    </row>
    <row r="118" spans="1:14">
      <c r="A118" s="6"/>
      <c r="B118" s="6"/>
      <c r="C118" s="6"/>
      <c r="D118" s="6"/>
      <c r="F118" s="6"/>
      <c r="H118" s="6"/>
      <c r="J118" s="6"/>
      <c r="L118" s="6"/>
      <c r="N118" s="6"/>
    </row>
    <row r="119" spans="1:14">
      <c r="A119" s="6"/>
      <c r="B119" s="6"/>
      <c r="C119" s="6"/>
      <c r="D119" s="6"/>
      <c r="F119" s="6"/>
      <c r="H119" s="6"/>
      <c r="J119" s="6"/>
      <c r="L119" s="6"/>
      <c r="N119" s="6"/>
    </row>
    <row r="120" spans="1:14">
      <c r="A120" s="6"/>
      <c r="B120" s="6"/>
      <c r="C120" s="6"/>
      <c r="D120" s="6"/>
      <c r="F120" s="6"/>
      <c r="H120" s="6"/>
      <c r="J120" s="6"/>
      <c r="L120" s="6"/>
      <c r="N120" s="6"/>
    </row>
    <row r="121" spans="1:14">
      <c r="A121" s="6"/>
      <c r="B121" s="6"/>
      <c r="C121" s="6"/>
      <c r="D121" s="6"/>
      <c r="F121" s="6"/>
      <c r="H121" s="6"/>
      <c r="J121" s="6"/>
      <c r="L121" s="6"/>
      <c r="N121" s="6"/>
    </row>
    <row r="122" spans="1:14">
      <c r="A122" s="6"/>
      <c r="B122" s="6"/>
      <c r="C122" s="6"/>
      <c r="D122" s="6"/>
      <c r="F122" s="6"/>
      <c r="H122" s="6"/>
      <c r="J122" s="6"/>
      <c r="L122" s="6"/>
      <c r="N122" s="6"/>
    </row>
    <row r="123" spans="1:14">
      <c r="A123" s="6"/>
      <c r="B123" s="6"/>
      <c r="C123" s="6"/>
      <c r="D123" s="6"/>
      <c r="F123" s="6"/>
      <c r="H123" s="6"/>
      <c r="J123" s="6"/>
      <c r="L123" s="6"/>
      <c r="N123" s="6"/>
    </row>
    <row r="124" spans="1:14">
      <c r="A124" s="6"/>
      <c r="B124" s="6"/>
      <c r="C124" s="6"/>
      <c r="D124" s="6"/>
      <c r="F124" s="6"/>
      <c r="H124" s="6"/>
      <c r="J124" s="6"/>
      <c r="L124" s="6"/>
      <c r="N124" s="6"/>
    </row>
    <row r="125" spans="1:14">
      <c r="A125" s="6"/>
      <c r="B125" s="6"/>
      <c r="C125" s="6"/>
      <c r="D125" s="6"/>
      <c r="F125" s="6"/>
      <c r="H125" s="6"/>
      <c r="J125" s="6"/>
      <c r="L125" s="6"/>
      <c r="N125" s="6"/>
    </row>
    <row r="126" spans="1:14">
      <c r="A126" s="6"/>
      <c r="B126" s="6"/>
      <c r="C126" s="6"/>
      <c r="D126" s="6"/>
      <c r="F126" s="6"/>
      <c r="H126" s="6"/>
      <c r="J126" s="6"/>
      <c r="L126" s="6"/>
      <c r="N126" s="6"/>
    </row>
    <row r="127" spans="1:14">
      <c r="A127" s="6"/>
      <c r="B127" s="6"/>
      <c r="C127" s="6"/>
      <c r="D127" s="6"/>
      <c r="F127" s="6"/>
      <c r="H127" s="6"/>
      <c r="J127" s="6"/>
      <c r="L127" s="6"/>
      <c r="N127" s="6"/>
    </row>
    <row r="128" spans="1:14">
      <c r="A128" s="6"/>
      <c r="B128" s="6"/>
      <c r="C128" s="6"/>
      <c r="D128" s="6"/>
      <c r="F128" s="6"/>
      <c r="H128" s="6"/>
      <c r="J128" s="6"/>
      <c r="L128" s="6"/>
      <c r="N128" s="6"/>
    </row>
    <row r="129" spans="1:14">
      <c r="A129" s="6"/>
      <c r="B129" s="6"/>
      <c r="C129" s="6"/>
      <c r="D129" s="6"/>
      <c r="F129" s="6"/>
      <c r="H129" s="6"/>
      <c r="J129" s="6"/>
      <c r="L129" s="6"/>
      <c r="N129" s="6"/>
    </row>
    <row r="130" spans="1:14">
      <c r="A130" s="6"/>
      <c r="B130" s="6"/>
      <c r="C130" s="6"/>
      <c r="D130" s="6"/>
      <c r="F130" s="6"/>
      <c r="H130" s="6"/>
      <c r="J130" s="6"/>
      <c r="L130" s="6"/>
      <c r="N130" s="6"/>
    </row>
    <row r="131" spans="1:14">
      <c r="A131" s="6"/>
      <c r="B131" s="6"/>
      <c r="C131" s="6"/>
      <c r="D131" s="6"/>
      <c r="F131" s="6"/>
      <c r="H131" s="6"/>
      <c r="J131" s="6"/>
      <c r="L131" s="6"/>
      <c r="N131" s="6"/>
    </row>
    <row r="132" spans="1:14">
      <c r="A132" s="6"/>
      <c r="B132" s="6"/>
      <c r="C132" s="6"/>
      <c r="D132" s="6"/>
      <c r="F132" s="6"/>
      <c r="H132" s="6"/>
      <c r="J132" s="6"/>
      <c r="L132" s="6"/>
      <c r="N132" s="6"/>
    </row>
    <row r="133" spans="1:14">
      <c r="A133" s="6"/>
      <c r="B133" s="6"/>
      <c r="C133" s="6"/>
      <c r="D133" s="6"/>
      <c r="F133" s="6"/>
      <c r="H133" s="6"/>
      <c r="J133" s="6"/>
      <c r="L133" s="6"/>
      <c r="N133" s="6"/>
    </row>
    <row r="134" spans="1:14">
      <c r="A134" s="6"/>
      <c r="B134" s="6"/>
      <c r="C134" s="6"/>
      <c r="D134" s="6"/>
      <c r="F134" s="6"/>
      <c r="H134" s="6"/>
      <c r="J134" s="6"/>
      <c r="L134" s="6"/>
      <c r="N134" s="6"/>
    </row>
    <row r="135" spans="1:14">
      <c r="A135" s="6"/>
      <c r="B135" s="6"/>
      <c r="C135" s="6"/>
      <c r="D135" s="6"/>
      <c r="F135" s="6"/>
      <c r="H135" s="6"/>
      <c r="J135" s="6"/>
      <c r="L135" s="6"/>
      <c r="N135" s="6"/>
    </row>
    <row r="136" spans="1:14">
      <c r="A136" s="6"/>
      <c r="B136" s="6"/>
      <c r="C136" s="6"/>
      <c r="D136" s="6"/>
      <c r="F136" s="6"/>
      <c r="H136" s="6"/>
      <c r="J136" s="6"/>
      <c r="L136" s="6"/>
      <c r="N136" s="6"/>
    </row>
    <row r="137" spans="1:14">
      <c r="A137" s="6"/>
      <c r="B137" s="6"/>
      <c r="C137" s="6"/>
      <c r="D137" s="6"/>
      <c r="F137" s="6"/>
      <c r="H137" s="6"/>
      <c r="J137" s="6"/>
      <c r="L137" s="6"/>
      <c r="N137" s="6"/>
    </row>
    <row r="138" spans="1:14">
      <c r="A138" s="6"/>
      <c r="B138" s="6"/>
      <c r="C138" s="6"/>
      <c r="D138" s="6"/>
      <c r="F138" s="6"/>
      <c r="H138" s="6"/>
      <c r="J138" s="6"/>
      <c r="L138" s="6"/>
      <c r="N138" s="6"/>
    </row>
    <row r="139" spans="1:14">
      <c r="A139" s="6"/>
      <c r="B139" s="6"/>
      <c r="C139" s="6"/>
      <c r="D139" s="6"/>
      <c r="F139" s="6"/>
      <c r="H139" s="6"/>
      <c r="J139" s="6"/>
      <c r="L139" s="6"/>
      <c r="N139" s="6"/>
    </row>
    <row r="140" spans="1:14">
      <c r="A140" s="6"/>
      <c r="B140" s="6"/>
      <c r="C140" s="6"/>
      <c r="D140" s="6"/>
      <c r="F140" s="6"/>
      <c r="H140" s="6"/>
      <c r="J140" s="6"/>
      <c r="L140" s="6"/>
      <c r="N140" s="6"/>
    </row>
    <row r="141" spans="1:14">
      <c r="A141" s="6"/>
      <c r="B141" s="6"/>
      <c r="C141" s="6"/>
      <c r="D141" s="6"/>
      <c r="F141" s="6"/>
      <c r="H141" s="6"/>
      <c r="J141" s="6"/>
      <c r="L141" s="6"/>
      <c r="N141" s="6"/>
    </row>
    <row r="142" spans="1:14">
      <c r="A142" s="6"/>
      <c r="B142" s="6"/>
      <c r="C142" s="6"/>
      <c r="D142" s="6"/>
      <c r="F142" s="6"/>
      <c r="H142" s="6"/>
      <c r="J142" s="6"/>
      <c r="L142" s="6"/>
      <c r="N142" s="6"/>
    </row>
    <row r="143" spans="1:14">
      <c r="A143" s="6"/>
      <c r="B143" s="6"/>
      <c r="C143" s="6"/>
      <c r="D143" s="6"/>
      <c r="F143" s="6"/>
      <c r="H143" s="6"/>
      <c r="J143" s="6"/>
      <c r="L143" s="6"/>
      <c r="N143" s="6"/>
    </row>
    <row r="144" spans="1:14">
      <c r="A144" s="6"/>
      <c r="B144" s="6"/>
      <c r="C144" s="6"/>
      <c r="D144" s="6"/>
      <c r="F144" s="6"/>
      <c r="H144" s="6"/>
      <c r="J144" s="6"/>
      <c r="L144" s="6"/>
      <c r="N144" s="6"/>
    </row>
    <row r="145" spans="1:14">
      <c r="A145" s="6"/>
      <c r="B145" s="6"/>
      <c r="C145" s="6"/>
      <c r="D145" s="6"/>
      <c r="F145" s="6"/>
      <c r="H145" s="6"/>
      <c r="J145" s="6"/>
      <c r="L145" s="6"/>
      <c r="N145" s="6"/>
    </row>
    <row r="146" spans="1:14">
      <c r="A146" s="6"/>
      <c r="B146" s="6"/>
      <c r="C146" s="6"/>
      <c r="D146" s="6"/>
      <c r="F146" s="6"/>
      <c r="H146" s="6"/>
      <c r="J146" s="6"/>
      <c r="L146" s="6"/>
      <c r="N146" s="6"/>
    </row>
    <row r="147" spans="1:14">
      <c r="A147" s="6"/>
      <c r="B147" s="6"/>
      <c r="C147" s="6"/>
      <c r="D147" s="6"/>
      <c r="F147" s="6"/>
      <c r="H147" s="6"/>
      <c r="J147" s="6"/>
      <c r="L147" s="6"/>
      <c r="N147" s="6"/>
    </row>
    <row r="148" spans="1:14">
      <c r="A148" s="6"/>
      <c r="B148" s="6"/>
      <c r="C148" s="6"/>
      <c r="D148" s="6"/>
      <c r="F148" s="6"/>
      <c r="H148" s="6"/>
      <c r="J148" s="6"/>
      <c r="L148" s="6"/>
      <c r="N148" s="6"/>
    </row>
    <row r="149" spans="1:14">
      <c r="A149" s="6"/>
      <c r="B149" s="6"/>
      <c r="C149" s="6"/>
      <c r="D149" s="6"/>
      <c r="F149" s="6"/>
      <c r="H149" s="6"/>
      <c r="J149" s="6"/>
      <c r="L149" s="6"/>
      <c r="N149" s="6"/>
    </row>
    <row r="150" spans="1:14">
      <c r="A150" s="6"/>
      <c r="B150" s="6"/>
      <c r="C150" s="6"/>
      <c r="D150" s="6"/>
      <c r="F150" s="6"/>
      <c r="H150" s="6"/>
      <c r="J150" s="6"/>
      <c r="L150" s="6"/>
      <c r="N150" s="6"/>
    </row>
    <row r="151" spans="1:14">
      <c r="A151" s="6"/>
      <c r="B151" s="6"/>
      <c r="C151" s="6"/>
      <c r="D151" s="6"/>
      <c r="F151" s="6"/>
      <c r="H151" s="6"/>
      <c r="J151" s="6"/>
      <c r="L151" s="6"/>
      <c r="N151" s="6"/>
    </row>
    <row r="152" spans="1:14">
      <c r="A152" s="6"/>
      <c r="B152" s="6"/>
      <c r="C152" s="6"/>
      <c r="D152" s="6"/>
      <c r="F152" s="6"/>
      <c r="H152" s="6"/>
      <c r="J152" s="6"/>
      <c r="L152" s="6"/>
      <c r="N152" s="6"/>
    </row>
    <row r="153" spans="1:14">
      <c r="A153" s="6"/>
      <c r="B153" s="6"/>
      <c r="C153" s="6"/>
      <c r="D153" s="6"/>
      <c r="F153" s="6"/>
      <c r="H153" s="6"/>
      <c r="J153" s="6"/>
      <c r="L153" s="6"/>
      <c r="N153" s="6"/>
    </row>
    <row r="154" spans="1:14">
      <c r="A154" s="6"/>
      <c r="B154" s="6"/>
      <c r="C154" s="6"/>
      <c r="D154" s="6"/>
      <c r="F154" s="6"/>
      <c r="H154" s="6"/>
      <c r="J154" s="6"/>
      <c r="L154" s="6"/>
      <c r="N154" s="6"/>
    </row>
    <row r="155" spans="1:14">
      <c r="A155" s="6"/>
      <c r="B155" s="6"/>
      <c r="C155" s="6"/>
      <c r="D155" s="6"/>
      <c r="F155" s="6"/>
      <c r="H155" s="6"/>
      <c r="J155" s="6"/>
      <c r="L155" s="6"/>
      <c r="N155" s="6"/>
    </row>
    <row r="156" spans="1:14">
      <c r="A156" s="6"/>
      <c r="B156" s="6"/>
      <c r="C156" s="6"/>
      <c r="D156" s="6"/>
      <c r="F156" s="6"/>
      <c r="H156" s="6"/>
      <c r="J156" s="6"/>
      <c r="L156" s="6"/>
      <c r="N156" s="6"/>
    </row>
    <row r="157" spans="1:14">
      <c r="A157" s="6"/>
      <c r="B157" s="6"/>
      <c r="C157" s="6"/>
      <c r="D157" s="6"/>
      <c r="F157" s="6"/>
      <c r="H157" s="6"/>
      <c r="J157" s="6"/>
      <c r="L157" s="6"/>
      <c r="N157" s="6"/>
    </row>
    <row r="158" spans="1:14">
      <c r="A158" s="6"/>
      <c r="B158" s="6"/>
      <c r="C158" s="6"/>
      <c r="D158" s="6"/>
      <c r="F158" s="6"/>
      <c r="H158" s="6"/>
      <c r="J158" s="6"/>
      <c r="L158" s="6"/>
      <c r="N158" s="6"/>
    </row>
    <row r="159" spans="1:14">
      <c r="A159" s="6"/>
      <c r="B159" s="6"/>
      <c r="C159" s="6"/>
      <c r="D159" s="6"/>
      <c r="F159" s="6"/>
      <c r="H159" s="6"/>
      <c r="J159" s="6"/>
      <c r="L159" s="6"/>
      <c r="N159" s="6"/>
    </row>
    <row r="160" spans="1:14">
      <c r="A160" s="6"/>
      <c r="B160" s="6"/>
      <c r="C160" s="6"/>
      <c r="D160" s="6"/>
      <c r="F160" s="6"/>
      <c r="H160" s="6"/>
      <c r="J160" s="6"/>
      <c r="L160" s="6"/>
      <c r="N160" s="6"/>
    </row>
    <row r="161" spans="1:14">
      <c r="A161" s="6"/>
      <c r="B161" s="6"/>
      <c r="C161" s="6"/>
      <c r="D161" s="6"/>
      <c r="F161" s="6"/>
      <c r="H161" s="6"/>
      <c r="J161" s="6"/>
      <c r="L161" s="6"/>
      <c r="N161" s="6"/>
    </row>
    <row r="162" spans="1:14">
      <c r="A162" s="6"/>
      <c r="B162" s="6"/>
      <c r="C162" s="6"/>
      <c r="D162" s="6"/>
      <c r="F162" s="6"/>
      <c r="H162" s="6"/>
      <c r="J162" s="6"/>
      <c r="L162" s="6"/>
      <c r="N162" s="6"/>
    </row>
    <row r="163" spans="1:14">
      <c r="A163" s="6"/>
      <c r="B163" s="6"/>
      <c r="C163" s="6"/>
      <c r="D163" s="6"/>
      <c r="F163" s="6"/>
      <c r="H163" s="6"/>
      <c r="J163" s="6"/>
      <c r="L163" s="6"/>
      <c r="N163" s="6"/>
    </row>
    <row r="164" spans="1:14">
      <c r="A164" s="6"/>
      <c r="B164" s="6"/>
      <c r="C164" s="6"/>
      <c r="D164" s="6"/>
      <c r="F164" s="6"/>
      <c r="H164" s="6"/>
      <c r="J164" s="6"/>
      <c r="L164" s="6"/>
      <c r="N164" s="6"/>
    </row>
    <row r="165" spans="1:14">
      <c r="A165" s="6"/>
      <c r="B165" s="6"/>
      <c r="C165" s="6"/>
      <c r="D165" s="6"/>
      <c r="F165" s="6"/>
      <c r="H165" s="6"/>
      <c r="J165" s="6"/>
      <c r="L165" s="6"/>
      <c r="N165" s="6"/>
    </row>
    <row r="166" spans="1:14">
      <c r="A166" s="6"/>
      <c r="B166" s="6"/>
      <c r="C166" s="6"/>
      <c r="D166" s="6"/>
      <c r="F166" s="6"/>
      <c r="H166" s="6"/>
      <c r="J166" s="6"/>
      <c r="L166" s="6"/>
      <c r="N166" s="6"/>
    </row>
    <row r="167" spans="1:14">
      <c r="A167" s="6"/>
      <c r="B167" s="6"/>
      <c r="C167" s="6"/>
      <c r="D167" s="6"/>
      <c r="F167" s="6"/>
      <c r="H167" s="6"/>
      <c r="J167" s="6"/>
      <c r="L167" s="6"/>
      <c r="N167" s="6"/>
    </row>
    <row r="168" spans="1:14">
      <c r="A168" s="6"/>
      <c r="B168" s="6"/>
      <c r="C168" s="6"/>
      <c r="D168" s="6"/>
      <c r="F168" s="6"/>
      <c r="H168" s="6"/>
      <c r="J168" s="6"/>
      <c r="L168" s="6"/>
      <c r="N168" s="6"/>
    </row>
    <row r="169" spans="1:14">
      <c r="A169" s="6"/>
      <c r="B169" s="6"/>
      <c r="C169" s="6"/>
      <c r="D169" s="6"/>
      <c r="F169" s="6"/>
      <c r="H169" s="6"/>
      <c r="J169" s="6"/>
      <c r="L169" s="6"/>
      <c r="N169" s="6"/>
    </row>
    <row r="170" spans="1:14">
      <c r="A170" s="6"/>
      <c r="B170" s="6"/>
      <c r="C170" s="6"/>
      <c r="D170" s="6"/>
      <c r="F170" s="6"/>
      <c r="H170" s="6"/>
      <c r="J170" s="6"/>
      <c r="L170" s="6"/>
      <c r="N170" s="6"/>
    </row>
    <row r="171" spans="1:14">
      <c r="A171" s="6"/>
      <c r="B171" s="6"/>
      <c r="C171" s="6"/>
      <c r="D171" s="6"/>
      <c r="F171" s="6"/>
      <c r="H171" s="6"/>
      <c r="J171" s="6"/>
      <c r="L171" s="6"/>
      <c r="N171" s="6"/>
    </row>
    <row r="172" spans="1:14">
      <c r="A172" s="6"/>
      <c r="B172" s="6"/>
      <c r="C172" s="6"/>
      <c r="D172" s="6"/>
      <c r="F172" s="6"/>
      <c r="H172" s="6"/>
      <c r="J172" s="6"/>
      <c r="L172" s="6"/>
      <c r="N172" s="6"/>
    </row>
    <row r="173" spans="1:14">
      <c r="A173" s="6"/>
      <c r="B173" s="6"/>
      <c r="C173" s="6"/>
      <c r="D173" s="6"/>
      <c r="F173" s="6"/>
      <c r="H173" s="6"/>
      <c r="J173" s="6"/>
      <c r="L173" s="6"/>
      <c r="N173" s="6"/>
    </row>
    <row r="174" spans="1:14">
      <c r="A174" s="6"/>
      <c r="B174" s="6"/>
      <c r="C174" s="6"/>
      <c r="D174" s="6"/>
      <c r="F174" s="6"/>
      <c r="H174" s="6"/>
      <c r="J174" s="6"/>
      <c r="L174" s="6"/>
      <c r="N174" s="6"/>
    </row>
    <row r="175" spans="1:14">
      <c r="A175" s="6"/>
      <c r="B175" s="6"/>
      <c r="C175" s="6"/>
      <c r="D175" s="6"/>
      <c r="F175" s="6"/>
      <c r="H175" s="6"/>
      <c r="J175" s="6"/>
      <c r="L175" s="6"/>
      <c r="N175" s="6"/>
    </row>
    <row r="176" spans="1:14">
      <c r="A176" s="6"/>
      <c r="B176" s="6"/>
      <c r="C176" s="6"/>
      <c r="D176" s="6"/>
      <c r="F176" s="6"/>
      <c r="H176" s="6"/>
      <c r="J176" s="6"/>
      <c r="L176" s="6"/>
      <c r="N176" s="6"/>
    </row>
    <row r="177" spans="1:14">
      <c r="A177" s="6"/>
      <c r="B177" s="6"/>
      <c r="C177" s="6"/>
      <c r="D177" s="6"/>
      <c r="F177" s="6"/>
      <c r="H177" s="6"/>
      <c r="J177" s="6"/>
      <c r="L177" s="6"/>
      <c r="N177" s="6"/>
    </row>
    <row r="178" spans="1:14">
      <c r="A178" s="6"/>
      <c r="B178" s="6"/>
      <c r="C178" s="6"/>
      <c r="D178" s="6"/>
      <c r="F178" s="6"/>
      <c r="H178" s="6"/>
      <c r="J178" s="6"/>
      <c r="L178" s="6"/>
      <c r="N178" s="6"/>
    </row>
    <row r="179" spans="1:14">
      <c r="A179" s="6"/>
      <c r="B179" s="6"/>
      <c r="C179" s="6"/>
      <c r="D179" s="6"/>
      <c r="F179" s="6"/>
      <c r="H179" s="6"/>
      <c r="J179" s="6"/>
      <c r="L179" s="6"/>
      <c r="N179" s="6"/>
    </row>
    <row r="180" spans="1:14">
      <c r="A180" s="6"/>
      <c r="B180" s="6"/>
      <c r="C180" s="6"/>
      <c r="D180" s="6"/>
      <c r="F180" s="6"/>
      <c r="H180" s="6"/>
      <c r="J180" s="6"/>
      <c r="L180" s="6"/>
      <c r="N180" s="6"/>
    </row>
    <row r="181" spans="1:14">
      <c r="A181" s="6"/>
      <c r="B181" s="6"/>
      <c r="C181" s="6"/>
      <c r="D181" s="6"/>
      <c r="F181" s="6"/>
      <c r="H181" s="6"/>
      <c r="J181" s="6"/>
      <c r="L181" s="6"/>
      <c r="N181" s="6"/>
    </row>
    <row r="182" spans="1:14">
      <c r="A182" s="6"/>
      <c r="B182" s="6"/>
      <c r="C182" s="6"/>
      <c r="D182" s="6"/>
      <c r="F182" s="6"/>
      <c r="H182" s="6"/>
      <c r="J182" s="6"/>
      <c r="L182" s="6"/>
      <c r="N182" s="6"/>
    </row>
    <row r="183" spans="1:14">
      <c r="A183" s="6"/>
      <c r="B183" s="6"/>
      <c r="C183" s="6"/>
      <c r="D183" s="6"/>
      <c r="F183" s="6"/>
      <c r="H183" s="6"/>
      <c r="J183" s="6"/>
      <c r="L183" s="6"/>
      <c r="N183" s="6"/>
    </row>
    <row r="184" spans="1:14">
      <c r="A184" s="6"/>
      <c r="B184" s="6"/>
      <c r="C184" s="6"/>
      <c r="D184" s="6"/>
      <c r="F184" s="6"/>
      <c r="H184" s="6"/>
      <c r="J184" s="6"/>
      <c r="L184" s="6"/>
      <c r="N184" s="6"/>
    </row>
    <row r="185" spans="1:14">
      <c r="A185" s="6"/>
      <c r="B185" s="6"/>
      <c r="C185" s="6"/>
      <c r="D185" s="6"/>
      <c r="F185" s="6"/>
      <c r="H185" s="6"/>
      <c r="J185" s="6"/>
      <c r="L185" s="6"/>
      <c r="N185" s="6"/>
    </row>
    <row r="186" spans="1:14">
      <c r="A186" s="6"/>
      <c r="B186" s="6"/>
      <c r="C186" s="6"/>
      <c r="D186" s="6"/>
      <c r="F186" s="6"/>
      <c r="H186" s="6"/>
      <c r="J186" s="6"/>
      <c r="L186" s="6"/>
      <c r="N186" s="6"/>
    </row>
    <row r="187" spans="1:14">
      <c r="A187" s="6"/>
      <c r="B187" s="6"/>
      <c r="C187" s="6"/>
      <c r="D187" s="6"/>
      <c r="F187" s="6"/>
      <c r="H187" s="6"/>
      <c r="J187" s="6"/>
      <c r="L187" s="6"/>
      <c r="N187" s="6"/>
    </row>
    <row r="188" spans="1:14">
      <c r="A188" s="6"/>
      <c r="B188" s="6"/>
      <c r="C188" s="6"/>
      <c r="D188" s="6"/>
      <c r="F188" s="6"/>
      <c r="H188" s="6"/>
      <c r="J188" s="6"/>
      <c r="L188" s="6"/>
      <c r="N188" s="6"/>
    </row>
    <row r="189" spans="1:14">
      <c r="A189" s="6"/>
      <c r="B189" s="6"/>
      <c r="C189" s="6"/>
      <c r="D189" s="6"/>
      <c r="F189" s="6"/>
      <c r="H189" s="6"/>
      <c r="J189" s="6"/>
      <c r="L189" s="6"/>
      <c r="N189" s="6"/>
    </row>
    <row r="190" spans="1:14">
      <c r="A190" s="6"/>
      <c r="B190" s="6"/>
      <c r="C190" s="6"/>
      <c r="D190" s="6"/>
      <c r="F190" s="6"/>
      <c r="H190" s="6"/>
      <c r="J190" s="6"/>
      <c r="L190" s="6"/>
      <c r="N190" s="6"/>
    </row>
    <row r="191" spans="1:14">
      <c r="A191" s="6"/>
      <c r="B191" s="6"/>
      <c r="C191" s="6"/>
      <c r="D191" s="6"/>
      <c r="F191" s="6"/>
      <c r="H191" s="6"/>
      <c r="J191" s="6"/>
      <c r="L191" s="6"/>
      <c r="N191" s="6"/>
    </row>
    <row r="192" spans="1:14">
      <c r="A192" s="6"/>
      <c r="B192" s="6"/>
      <c r="C192" s="6"/>
      <c r="D192" s="6"/>
      <c r="F192" s="6"/>
      <c r="H192" s="6"/>
      <c r="J192" s="6"/>
      <c r="L192" s="6"/>
      <c r="N192" s="6"/>
    </row>
    <row r="193" spans="1:14">
      <c r="A193" s="6"/>
      <c r="B193" s="6"/>
      <c r="C193" s="6"/>
      <c r="D193" s="6"/>
      <c r="F193" s="6"/>
      <c r="H193" s="6"/>
      <c r="J193" s="6"/>
      <c r="L193" s="6"/>
      <c r="N193" s="6"/>
    </row>
    <row r="194" spans="1:14">
      <c r="A194" s="6"/>
      <c r="B194" s="6"/>
      <c r="C194" s="6"/>
      <c r="D194" s="6"/>
      <c r="F194" s="6"/>
      <c r="H194" s="6"/>
      <c r="J194" s="6"/>
      <c r="L194" s="6"/>
      <c r="N194" s="6"/>
    </row>
    <row r="195" spans="1:14">
      <c r="A195" s="6"/>
      <c r="B195" s="6"/>
      <c r="C195" s="6"/>
      <c r="D195" s="6"/>
      <c r="F195" s="6"/>
      <c r="H195" s="6"/>
      <c r="J195" s="6"/>
      <c r="L195" s="6"/>
      <c r="N195" s="6"/>
    </row>
    <row r="196" spans="1:14">
      <c r="A196" s="6"/>
      <c r="B196" s="6"/>
      <c r="C196" s="6"/>
      <c r="D196" s="6"/>
      <c r="F196" s="6"/>
      <c r="H196" s="6"/>
      <c r="J196" s="6"/>
      <c r="L196" s="6"/>
      <c r="N196" s="6"/>
    </row>
    <row r="197" spans="1:14">
      <c r="A197" s="6"/>
      <c r="B197" s="6"/>
      <c r="C197" s="6"/>
      <c r="D197" s="6"/>
      <c r="F197" s="6"/>
      <c r="H197" s="6"/>
      <c r="J197" s="6"/>
      <c r="L197" s="6"/>
      <c r="N197" s="6"/>
    </row>
    <row r="198" spans="1:14">
      <c r="A198" s="6"/>
      <c r="B198" s="6"/>
      <c r="C198" s="6"/>
      <c r="D198" s="6"/>
      <c r="F198" s="6"/>
      <c r="H198" s="6"/>
      <c r="J198" s="6"/>
      <c r="L198" s="6"/>
      <c r="N198" s="6"/>
    </row>
    <row r="199" spans="1:14">
      <c r="A199" s="6"/>
      <c r="B199" s="6"/>
      <c r="C199" s="6"/>
      <c r="D199" s="6"/>
      <c r="F199" s="6"/>
      <c r="H199" s="6"/>
      <c r="J199" s="6"/>
      <c r="L199" s="6"/>
      <c r="N199" s="6"/>
    </row>
    <row r="200" spans="1:14">
      <c r="A200" s="6"/>
      <c r="B200" s="6"/>
      <c r="C200" s="6"/>
      <c r="D200" s="6"/>
      <c r="F200" s="6"/>
      <c r="H200" s="6"/>
      <c r="J200" s="6"/>
      <c r="L200" s="6"/>
      <c r="N200" s="6"/>
    </row>
    <row r="201" spans="1:14">
      <c r="A201" s="6"/>
      <c r="B201" s="6"/>
      <c r="C201" s="6"/>
      <c r="D201" s="6"/>
      <c r="F201" s="6"/>
      <c r="H201" s="6"/>
      <c r="J201" s="6"/>
      <c r="L201" s="6"/>
      <c r="N201" s="6"/>
    </row>
    <row r="202" spans="1:14">
      <c r="A202" s="6"/>
      <c r="B202" s="6"/>
      <c r="C202" s="6"/>
      <c r="D202" s="6"/>
      <c r="F202" s="6"/>
      <c r="H202" s="6"/>
      <c r="J202" s="6"/>
      <c r="L202" s="6"/>
      <c r="N202" s="6"/>
    </row>
    <row r="203" spans="1:14">
      <c r="A203" s="6"/>
      <c r="B203" s="6"/>
      <c r="C203" s="6"/>
      <c r="D203" s="6"/>
      <c r="F203" s="6"/>
      <c r="H203" s="6"/>
      <c r="J203" s="6"/>
      <c r="L203" s="6"/>
      <c r="N203" s="6"/>
    </row>
    <row r="204" spans="1:14">
      <c r="A204" s="6"/>
      <c r="B204" s="6"/>
      <c r="C204" s="6"/>
      <c r="D204" s="6"/>
      <c r="F204" s="6"/>
      <c r="H204" s="6"/>
      <c r="J204" s="6"/>
      <c r="L204" s="6"/>
      <c r="N204" s="6"/>
    </row>
    <row r="205" spans="1:14">
      <c r="A205" s="6"/>
      <c r="B205" s="6"/>
      <c r="C205" s="6"/>
      <c r="D205" s="6"/>
      <c r="F205" s="6"/>
      <c r="H205" s="6"/>
      <c r="J205" s="6"/>
      <c r="L205" s="6"/>
      <c r="N205" s="6"/>
    </row>
    <row r="206" spans="1:14">
      <c r="A206" s="6"/>
      <c r="B206" s="6"/>
      <c r="C206" s="6"/>
      <c r="D206" s="6"/>
      <c r="F206" s="6"/>
      <c r="H206" s="6"/>
      <c r="J206" s="6"/>
      <c r="L206" s="6"/>
      <c r="N206" s="6"/>
    </row>
    <row r="207" spans="1:14">
      <c r="A207" s="6"/>
      <c r="B207" s="6"/>
      <c r="C207" s="6"/>
      <c r="D207" s="6"/>
      <c r="F207" s="6"/>
      <c r="H207" s="6"/>
      <c r="J207" s="6"/>
      <c r="L207" s="6"/>
      <c r="N207" s="6"/>
    </row>
    <row r="208" spans="1:14">
      <c r="A208" s="6"/>
      <c r="B208" s="6"/>
      <c r="C208" s="6"/>
      <c r="D208" s="6"/>
      <c r="F208" s="6"/>
      <c r="H208" s="6"/>
      <c r="J208" s="6"/>
      <c r="L208" s="6"/>
      <c r="N208" s="6"/>
    </row>
    <row r="209" spans="1:14">
      <c r="A209" s="6"/>
      <c r="B209" s="6"/>
      <c r="C209" s="6"/>
      <c r="D209" s="6"/>
      <c r="F209" s="6"/>
      <c r="H209" s="6"/>
      <c r="J209" s="6"/>
      <c r="L209" s="6"/>
      <c r="N209" s="6"/>
    </row>
    <row r="210" spans="1:14">
      <c r="A210" s="6"/>
      <c r="B210" s="6"/>
      <c r="C210" s="6"/>
      <c r="D210" s="6"/>
      <c r="F210" s="6"/>
      <c r="H210" s="6"/>
      <c r="J210" s="6"/>
      <c r="L210" s="6"/>
      <c r="N210" s="6"/>
    </row>
    <row r="211" spans="1:14">
      <c r="A211" s="6"/>
      <c r="B211" s="6"/>
      <c r="C211" s="6"/>
      <c r="D211" s="6"/>
      <c r="F211" s="6"/>
      <c r="H211" s="6"/>
      <c r="J211" s="6"/>
      <c r="L211" s="6"/>
      <c r="N211" s="6"/>
    </row>
    <row r="212" spans="1:14">
      <c r="A212" s="6"/>
      <c r="B212" s="6"/>
      <c r="C212" s="6"/>
      <c r="D212" s="6"/>
      <c r="F212" s="6"/>
      <c r="H212" s="6"/>
      <c r="J212" s="6"/>
      <c r="L212" s="6"/>
      <c r="N212" s="6"/>
    </row>
    <row r="213" spans="1:14">
      <c r="A213" s="6"/>
      <c r="B213" s="6"/>
      <c r="C213" s="6"/>
      <c r="D213" s="6"/>
      <c r="F213" s="6"/>
      <c r="H213" s="6"/>
      <c r="J213" s="6"/>
      <c r="L213" s="6"/>
      <c r="N213" s="6"/>
    </row>
    <row r="214" spans="1:14">
      <c r="A214" s="6"/>
      <c r="B214" s="6"/>
      <c r="C214" s="6"/>
      <c r="D214" s="6"/>
      <c r="F214" s="6"/>
      <c r="H214" s="6"/>
      <c r="J214" s="6"/>
      <c r="L214" s="6"/>
      <c r="N214" s="6"/>
    </row>
    <row r="215" spans="1:14">
      <c r="A215" s="6"/>
      <c r="B215" s="6"/>
      <c r="C215" s="6"/>
      <c r="D215" s="6"/>
      <c r="F215" s="6"/>
      <c r="H215" s="6"/>
      <c r="J215" s="6"/>
      <c r="L215" s="6"/>
      <c r="N215" s="6"/>
    </row>
    <row r="216" spans="1:14">
      <c r="A216" s="6"/>
      <c r="B216" s="6"/>
      <c r="C216" s="6"/>
      <c r="D216" s="6"/>
      <c r="F216" s="6"/>
      <c r="H216" s="6"/>
      <c r="J216" s="6"/>
      <c r="L216" s="6"/>
      <c r="N216" s="6"/>
    </row>
    <row r="217" spans="1:14">
      <c r="A217" s="6"/>
      <c r="B217" s="6"/>
      <c r="C217" s="6"/>
      <c r="D217" s="6"/>
      <c r="F217" s="6"/>
      <c r="H217" s="6"/>
      <c r="J217" s="6"/>
      <c r="L217" s="6"/>
      <c r="N217" s="6"/>
    </row>
    <row r="218" spans="1:14">
      <c r="A218" s="6"/>
      <c r="B218" s="6"/>
      <c r="C218" s="6"/>
      <c r="D218" s="6"/>
      <c r="F218" s="6"/>
      <c r="H218" s="6"/>
      <c r="J218" s="6"/>
      <c r="L218" s="6"/>
      <c r="N218" s="6"/>
    </row>
    <row r="219" spans="1:14">
      <c r="A219" s="6"/>
      <c r="B219" s="6"/>
      <c r="C219" s="6"/>
      <c r="D219" s="6"/>
      <c r="F219" s="6"/>
      <c r="H219" s="6"/>
      <c r="J219" s="6"/>
      <c r="L219" s="6"/>
      <c r="N219" s="6"/>
    </row>
    <row r="220" spans="1:14">
      <c r="A220" s="6"/>
      <c r="B220" s="6"/>
      <c r="C220" s="6"/>
      <c r="D220" s="6"/>
      <c r="F220" s="6"/>
      <c r="H220" s="6"/>
      <c r="J220" s="6"/>
      <c r="L220" s="6"/>
      <c r="N220" s="6"/>
    </row>
    <row r="221" spans="1:14">
      <c r="A221" s="6"/>
      <c r="B221" s="6"/>
      <c r="C221" s="6"/>
      <c r="D221" s="6"/>
      <c r="F221" s="6"/>
      <c r="H221" s="6"/>
      <c r="J221" s="6"/>
      <c r="L221" s="6"/>
      <c r="N221" s="6"/>
    </row>
    <row r="222" spans="1:14">
      <c r="A222" s="6"/>
      <c r="B222" s="6"/>
      <c r="C222" s="6"/>
      <c r="D222" s="6"/>
      <c r="F222" s="6"/>
      <c r="H222" s="6"/>
      <c r="J222" s="6"/>
      <c r="L222" s="6"/>
      <c r="N222" s="6"/>
    </row>
    <row r="223" spans="1:14">
      <c r="A223" s="6"/>
      <c r="B223" s="6"/>
      <c r="C223" s="6"/>
      <c r="D223" s="6"/>
      <c r="F223" s="6"/>
      <c r="H223" s="6"/>
      <c r="J223" s="6"/>
      <c r="L223" s="6"/>
      <c r="N223" s="6"/>
    </row>
    <row r="224" spans="1:14">
      <c r="A224" s="6"/>
      <c r="B224" s="6"/>
      <c r="C224" s="6"/>
      <c r="D224" s="6"/>
      <c r="F224" s="6"/>
      <c r="H224" s="6"/>
      <c r="J224" s="6"/>
      <c r="L224" s="6"/>
      <c r="N224" s="6"/>
    </row>
    <row r="225" spans="1:14">
      <c r="A225" s="6"/>
      <c r="B225" s="6"/>
      <c r="C225" s="6"/>
      <c r="D225" s="6"/>
      <c r="F225" s="6"/>
      <c r="H225" s="6"/>
      <c r="J225" s="6"/>
      <c r="L225" s="6"/>
      <c r="N225" s="6"/>
    </row>
    <row r="226" spans="1:14">
      <c r="A226" s="6"/>
      <c r="B226" s="6"/>
      <c r="C226" s="6"/>
      <c r="D226" s="6"/>
      <c r="F226" s="6"/>
      <c r="H226" s="6"/>
      <c r="J226" s="6"/>
      <c r="L226" s="6"/>
      <c r="N226" s="6"/>
    </row>
    <row r="227" spans="1:14">
      <c r="A227" s="6"/>
      <c r="B227" s="6"/>
      <c r="C227" s="6"/>
      <c r="D227" s="6"/>
      <c r="F227" s="6"/>
      <c r="H227" s="6"/>
      <c r="J227" s="6"/>
      <c r="L227" s="6"/>
      <c r="N227" s="6"/>
    </row>
    <row r="228" spans="1:14">
      <c r="A228" s="6"/>
      <c r="B228" s="6"/>
      <c r="C228" s="6"/>
      <c r="D228" s="6"/>
      <c r="F228" s="6"/>
      <c r="H228" s="6"/>
      <c r="J228" s="6"/>
      <c r="L228" s="6"/>
      <c r="N228" s="6"/>
    </row>
    <row r="229" spans="1:14">
      <c r="A229" s="6"/>
      <c r="B229" s="6"/>
      <c r="C229" s="6"/>
      <c r="D229" s="6"/>
      <c r="F229" s="6"/>
      <c r="H229" s="6"/>
      <c r="J229" s="6"/>
      <c r="L229" s="6"/>
      <c r="N229" s="6"/>
    </row>
    <row r="230" spans="1:14">
      <c r="A230" s="6"/>
      <c r="B230" s="6"/>
      <c r="C230" s="6"/>
      <c r="D230" s="6"/>
      <c r="F230" s="6"/>
      <c r="H230" s="6"/>
      <c r="J230" s="6"/>
      <c r="L230" s="6"/>
      <c r="N230" s="6"/>
    </row>
    <row r="231" spans="1:14">
      <c r="A231" s="6"/>
      <c r="B231" s="6"/>
      <c r="C231" s="6"/>
      <c r="D231" s="6"/>
      <c r="F231" s="6"/>
      <c r="H231" s="6"/>
      <c r="J231" s="6"/>
      <c r="L231" s="6"/>
      <c r="N231" s="6"/>
    </row>
    <row r="232" spans="1:14">
      <c r="A232" s="6"/>
      <c r="B232" s="6"/>
      <c r="C232" s="6"/>
      <c r="D232" s="6"/>
      <c r="F232" s="6"/>
      <c r="H232" s="6"/>
      <c r="J232" s="6"/>
      <c r="L232" s="6"/>
      <c r="N232" s="6"/>
    </row>
    <row r="233" spans="1:14">
      <c r="A233" s="6"/>
      <c r="B233" s="6"/>
      <c r="C233" s="6"/>
      <c r="D233" s="6"/>
      <c r="F233" s="6"/>
      <c r="H233" s="6"/>
      <c r="J233" s="6"/>
      <c r="L233" s="6"/>
      <c r="N233" s="6"/>
    </row>
    <row r="234" spans="1:14">
      <c r="A234" s="6"/>
      <c r="B234" s="6"/>
      <c r="C234" s="6"/>
      <c r="D234" s="6"/>
      <c r="F234" s="6"/>
      <c r="H234" s="6"/>
      <c r="J234" s="6"/>
      <c r="L234" s="6"/>
      <c r="N234" s="6"/>
    </row>
    <row r="235" spans="1:14">
      <c r="A235" s="6"/>
      <c r="B235" s="6"/>
      <c r="C235" s="6"/>
      <c r="D235" s="6"/>
      <c r="F235" s="6"/>
      <c r="H235" s="6"/>
      <c r="J235" s="6"/>
      <c r="L235" s="6"/>
      <c r="N235" s="6"/>
    </row>
    <row r="236" spans="1:14">
      <c r="A236" s="6"/>
      <c r="B236" s="6"/>
      <c r="C236" s="6"/>
      <c r="D236" s="6"/>
      <c r="F236" s="6"/>
      <c r="H236" s="6"/>
      <c r="J236" s="6"/>
      <c r="L236" s="6"/>
      <c r="N236" s="6"/>
    </row>
    <row r="237" spans="1:14">
      <c r="A237" s="6"/>
      <c r="B237" s="6"/>
      <c r="C237" s="6"/>
      <c r="D237" s="6"/>
      <c r="F237" s="6"/>
      <c r="H237" s="6"/>
      <c r="J237" s="6"/>
      <c r="L237" s="6"/>
      <c r="N237" s="6"/>
    </row>
    <row r="238" spans="1:14">
      <c r="A238" s="6"/>
      <c r="B238" s="6"/>
      <c r="C238" s="6"/>
      <c r="D238" s="6"/>
      <c r="F238" s="6"/>
      <c r="H238" s="6"/>
      <c r="J238" s="6"/>
      <c r="L238" s="6"/>
      <c r="N238" s="6"/>
    </row>
    <row r="239" spans="1:14">
      <c r="A239" s="6"/>
      <c r="B239" s="6"/>
      <c r="C239" s="6"/>
      <c r="D239" s="6"/>
      <c r="F239" s="6"/>
      <c r="H239" s="6"/>
      <c r="J239" s="6"/>
      <c r="L239" s="6"/>
      <c r="N239" s="6"/>
    </row>
    <row r="240" spans="1:14">
      <c r="A240" s="6"/>
      <c r="B240" s="6"/>
      <c r="C240" s="6"/>
      <c r="D240" s="6"/>
      <c r="F240" s="6"/>
      <c r="H240" s="6"/>
      <c r="J240" s="6"/>
      <c r="L240" s="6"/>
      <c r="N240" s="6"/>
    </row>
    <row r="241" spans="1:14">
      <c r="A241" s="6"/>
      <c r="B241" s="6"/>
      <c r="C241" s="6"/>
      <c r="D241" s="6"/>
      <c r="F241" s="6"/>
      <c r="H241" s="6"/>
      <c r="J241" s="6"/>
      <c r="L241" s="6"/>
      <c r="N241" s="6"/>
    </row>
    <row r="242" spans="1:14">
      <c r="A242" s="6"/>
      <c r="B242" s="6"/>
      <c r="C242" s="6"/>
      <c r="D242" s="6"/>
      <c r="F242" s="6"/>
      <c r="H242" s="6"/>
      <c r="J242" s="6"/>
      <c r="L242" s="6"/>
      <c r="N242" s="6"/>
    </row>
    <row r="243" spans="1:14">
      <c r="A243" s="6"/>
      <c r="B243" s="6"/>
      <c r="C243" s="6"/>
      <c r="D243" s="6"/>
      <c r="F243" s="6"/>
      <c r="H243" s="6"/>
      <c r="J243" s="6"/>
      <c r="L243" s="6"/>
      <c r="N243" s="6"/>
    </row>
    <row r="244" spans="1:14">
      <c r="A244" s="6"/>
      <c r="B244" s="6"/>
      <c r="C244" s="6"/>
      <c r="D244" s="6"/>
      <c r="F244" s="6"/>
      <c r="H244" s="6"/>
      <c r="J244" s="6"/>
      <c r="L244" s="6"/>
      <c r="N244" s="6"/>
    </row>
    <row r="245" spans="1:14">
      <c r="A245" s="6"/>
      <c r="B245" s="6"/>
      <c r="C245" s="6"/>
      <c r="D245" s="6"/>
      <c r="F245" s="6"/>
      <c r="H245" s="6"/>
      <c r="J245" s="6"/>
      <c r="L245" s="6"/>
      <c r="N245" s="6"/>
    </row>
    <row r="246" spans="1:14">
      <c r="A246" s="6"/>
      <c r="B246" s="6"/>
      <c r="C246" s="6"/>
      <c r="D246" s="6"/>
      <c r="F246" s="6"/>
      <c r="H246" s="6"/>
      <c r="J246" s="6"/>
      <c r="L246" s="6"/>
      <c r="N246" s="6"/>
    </row>
    <row r="247" spans="1:14">
      <c r="A247" s="6"/>
      <c r="B247" s="6"/>
      <c r="C247" s="6"/>
      <c r="D247" s="6"/>
      <c r="F247" s="6"/>
      <c r="H247" s="6"/>
      <c r="J247" s="6"/>
      <c r="L247" s="6"/>
      <c r="N247" s="6"/>
    </row>
    <row r="248" spans="1:14">
      <c r="A248" s="6"/>
      <c r="B248" s="6"/>
      <c r="C248" s="6"/>
      <c r="D248" s="6"/>
      <c r="F248" s="6"/>
      <c r="H248" s="6"/>
      <c r="J248" s="6"/>
      <c r="L248" s="6"/>
      <c r="N248" s="6"/>
    </row>
    <row r="249" spans="1:14">
      <c r="A249" s="6"/>
      <c r="B249" s="6"/>
      <c r="C249" s="6"/>
      <c r="D249" s="6"/>
      <c r="F249" s="6"/>
      <c r="H249" s="6"/>
      <c r="J249" s="6"/>
      <c r="L249" s="6"/>
      <c r="N249" s="6"/>
    </row>
    <row r="250" spans="1:14">
      <c r="A250" s="6"/>
      <c r="B250" s="6"/>
      <c r="C250" s="6"/>
      <c r="D250" s="6"/>
      <c r="F250" s="6"/>
      <c r="H250" s="6"/>
      <c r="J250" s="6"/>
      <c r="L250" s="6"/>
      <c r="N250" s="6"/>
    </row>
    <row r="251" spans="1:14">
      <c r="A251" s="6"/>
      <c r="B251" s="6"/>
      <c r="C251" s="6"/>
      <c r="D251" s="6"/>
      <c r="F251" s="6"/>
      <c r="H251" s="6"/>
      <c r="J251" s="6"/>
      <c r="L251" s="6"/>
      <c r="N251" s="6"/>
    </row>
    <row r="252" spans="1:14">
      <c r="A252" s="6"/>
      <c r="B252" s="6"/>
      <c r="C252" s="6"/>
      <c r="D252" s="6"/>
      <c r="F252" s="6"/>
      <c r="H252" s="6"/>
      <c r="J252" s="6"/>
      <c r="L252" s="6"/>
      <c r="N252" s="6"/>
    </row>
    <row r="253" spans="1:14">
      <c r="A253" s="6"/>
      <c r="B253" s="6"/>
      <c r="C253" s="6"/>
      <c r="D253" s="6"/>
      <c r="F253" s="6"/>
      <c r="H253" s="6"/>
      <c r="J253" s="6"/>
      <c r="L253" s="6"/>
      <c r="N253" s="6"/>
    </row>
    <row r="254" spans="1:14">
      <c r="A254" s="6"/>
      <c r="B254" s="6"/>
      <c r="C254" s="6"/>
      <c r="D254" s="6"/>
      <c r="F254" s="6"/>
      <c r="H254" s="6"/>
      <c r="J254" s="6"/>
      <c r="L254" s="6"/>
      <c r="N254" s="6"/>
    </row>
    <row r="255" spans="1:14">
      <c r="A255" s="6"/>
      <c r="B255" s="6"/>
      <c r="C255" s="6"/>
      <c r="D255" s="6"/>
      <c r="F255" s="6"/>
      <c r="H255" s="6"/>
      <c r="J255" s="6"/>
      <c r="L255" s="6"/>
      <c r="N255" s="6"/>
    </row>
    <row r="256" spans="1:14">
      <c r="A256" s="6"/>
      <c r="B256" s="6"/>
      <c r="C256" s="6"/>
      <c r="D256" s="6"/>
      <c r="F256" s="6"/>
      <c r="H256" s="6"/>
      <c r="J256" s="6"/>
      <c r="L256" s="6"/>
      <c r="N256" s="6"/>
    </row>
    <row r="257" spans="1:14">
      <c r="A257" s="6"/>
      <c r="B257" s="6"/>
      <c r="C257" s="6"/>
      <c r="D257" s="6"/>
      <c r="F257" s="6"/>
      <c r="H257" s="6"/>
      <c r="J257" s="6"/>
      <c r="L257" s="6"/>
      <c r="N257" s="6"/>
    </row>
    <row r="258" spans="1:14">
      <c r="A258" s="6"/>
      <c r="B258" s="6"/>
      <c r="C258" s="6"/>
      <c r="D258" s="6"/>
      <c r="F258" s="6"/>
      <c r="H258" s="6"/>
      <c r="J258" s="6"/>
      <c r="L258" s="6"/>
      <c r="N258" s="6"/>
    </row>
    <row r="259" spans="1:14">
      <c r="A259" s="6"/>
      <c r="B259" s="6"/>
      <c r="C259" s="6"/>
      <c r="D259" s="6"/>
      <c r="F259" s="6"/>
      <c r="H259" s="6"/>
      <c r="J259" s="6"/>
      <c r="L259" s="6"/>
      <c r="N259" s="6"/>
    </row>
    <row r="260" spans="1:14">
      <c r="A260" s="6"/>
      <c r="B260" s="6"/>
      <c r="C260" s="6"/>
      <c r="D260" s="6"/>
      <c r="F260" s="6"/>
      <c r="H260" s="6"/>
      <c r="J260" s="6"/>
      <c r="L260" s="6"/>
      <c r="N260" s="6"/>
    </row>
    <row r="261" spans="1:14">
      <c r="A261" s="6"/>
      <c r="B261" s="6"/>
      <c r="C261" s="6"/>
      <c r="D261" s="6"/>
      <c r="F261" s="6"/>
      <c r="H261" s="6"/>
      <c r="J261" s="6"/>
      <c r="L261" s="6"/>
      <c r="N261" s="6"/>
    </row>
    <row r="262" spans="1:14">
      <c r="A262" s="6"/>
      <c r="B262" s="6"/>
      <c r="C262" s="6"/>
      <c r="D262" s="6"/>
      <c r="F262" s="6"/>
      <c r="H262" s="6"/>
      <c r="J262" s="6"/>
      <c r="L262" s="6"/>
      <c r="N262" s="6"/>
    </row>
    <row r="263" spans="1:14">
      <c r="A263" s="6"/>
      <c r="B263" s="6"/>
      <c r="C263" s="6"/>
      <c r="D263" s="6"/>
      <c r="F263" s="6"/>
      <c r="H263" s="6"/>
      <c r="J263" s="6"/>
      <c r="L263" s="6"/>
      <c r="N263" s="6"/>
    </row>
    <row r="264" spans="1:14">
      <c r="A264" s="6"/>
      <c r="B264" s="6"/>
      <c r="C264" s="6"/>
      <c r="D264" s="6"/>
      <c r="F264" s="6"/>
      <c r="H264" s="6"/>
      <c r="J264" s="6"/>
      <c r="L264" s="6"/>
      <c r="N264" s="6"/>
    </row>
    <row r="265" spans="1:14">
      <c r="A265" s="6"/>
      <c r="B265" s="6"/>
      <c r="C265" s="6"/>
      <c r="D265" s="6"/>
      <c r="F265" s="6"/>
      <c r="H265" s="6"/>
      <c r="J265" s="6"/>
      <c r="L265" s="6"/>
      <c r="N265" s="6"/>
    </row>
    <row r="266" spans="1:14">
      <c r="A266" s="6"/>
      <c r="B266" s="6"/>
      <c r="C266" s="6"/>
      <c r="D266" s="6"/>
      <c r="F266" s="6"/>
      <c r="H266" s="6"/>
      <c r="J266" s="6"/>
      <c r="L266" s="6"/>
      <c r="N266" s="6"/>
    </row>
    <row r="267" spans="1:14">
      <c r="A267" s="6"/>
      <c r="B267" s="6"/>
      <c r="C267" s="6"/>
      <c r="D267" s="6"/>
      <c r="F267" s="6"/>
      <c r="H267" s="6"/>
      <c r="J267" s="6"/>
      <c r="L267" s="6"/>
      <c r="N267" s="6"/>
    </row>
    <row r="268" spans="1:14">
      <c r="A268" s="6"/>
      <c r="B268" s="6"/>
      <c r="C268" s="6"/>
      <c r="D268" s="6"/>
      <c r="F268" s="6"/>
      <c r="H268" s="6"/>
      <c r="J268" s="6"/>
      <c r="L268" s="6"/>
      <c r="N268" s="6"/>
    </row>
    <row r="269" spans="1:14">
      <c r="A269" s="6"/>
      <c r="B269" s="6"/>
      <c r="C269" s="6"/>
      <c r="D269" s="6"/>
      <c r="F269" s="6"/>
      <c r="H269" s="6"/>
      <c r="J269" s="6"/>
      <c r="L269" s="6"/>
      <c r="N269" s="6"/>
    </row>
    <row r="270" spans="1:14">
      <c r="A270" s="6"/>
      <c r="B270" s="6"/>
      <c r="C270" s="6"/>
      <c r="D270" s="6"/>
      <c r="F270" s="6"/>
      <c r="H270" s="6"/>
      <c r="J270" s="6"/>
      <c r="L270" s="6"/>
      <c r="N270" s="6"/>
    </row>
    <row r="271" spans="1:14">
      <c r="A271" s="6"/>
      <c r="B271" s="6"/>
      <c r="C271" s="6"/>
      <c r="D271" s="6"/>
      <c r="F271" s="6"/>
      <c r="H271" s="6"/>
      <c r="J271" s="6"/>
      <c r="L271" s="6"/>
      <c r="N271" s="6"/>
    </row>
    <row r="272" spans="1:14">
      <c r="A272" s="6"/>
      <c r="B272" s="6"/>
      <c r="C272" s="6"/>
      <c r="D272" s="6"/>
      <c r="F272" s="6"/>
      <c r="H272" s="6"/>
      <c r="J272" s="6"/>
      <c r="L272" s="6"/>
      <c r="N272" s="6"/>
    </row>
    <row r="273" spans="1:14">
      <c r="A273" s="6"/>
      <c r="B273" s="6"/>
      <c r="C273" s="6"/>
      <c r="D273" s="6"/>
      <c r="F273" s="6"/>
      <c r="H273" s="6"/>
      <c r="J273" s="6"/>
      <c r="L273" s="6"/>
      <c r="N273" s="6"/>
    </row>
    <row r="274" spans="1:14">
      <c r="A274" s="6"/>
      <c r="B274" s="6"/>
      <c r="C274" s="6"/>
      <c r="D274" s="6"/>
      <c r="F274" s="6"/>
      <c r="H274" s="6"/>
      <c r="J274" s="6"/>
      <c r="L274" s="6"/>
      <c r="N274" s="6"/>
    </row>
    <row r="275" spans="1:14">
      <c r="A275" s="6"/>
      <c r="B275" s="6"/>
      <c r="C275" s="6"/>
      <c r="D275" s="6"/>
      <c r="F275" s="6"/>
      <c r="H275" s="6"/>
      <c r="J275" s="6"/>
      <c r="L275" s="6"/>
      <c r="N275" s="6"/>
    </row>
    <row r="276" spans="1:14">
      <c r="A276" s="6"/>
      <c r="B276" s="6"/>
      <c r="C276" s="6"/>
      <c r="D276" s="6"/>
      <c r="F276" s="6"/>
      <c r="H276" s="6"/>
      <c r="J276" s="6"/>
      <c r="L276" s="6"/>
      <c r="N276" s="6"/>
    </row>
    <row r="277" spans="1:14">
      <c r="A277" s="6"/>
      <c r="B277" s="6"/>
      <c r="C277" s="6"/>
      <c r="D277" s="6"/>
      <c r="F277" s="6"/>
      <c r="H277" s="6"/>
      <c r="J277" s="6"/>
      <c r="L277" s="6"/>
      <c r="N277" s="6"/>
    </row>
    <row r="278" spans="1:14">
      <c r="A278" s="6"/>
      <c r="B278" s="6"/>
      <c r="C278" s="6"/>
      <c r="D278" s="6"/>
      <c r="F278" s="6"/>
      <c r="H278" s="6"/>
      <c r="J278" s="6"/>
      <c r="L278" s="6"/>
      <c r="N278" s="6"/>
    </row>
    <row r="279" spans="1:14">
      <c r="A279" s="6"/>
      <c r="B279" s="6"/>
      <c r="C279" s="6"/>
      <c r="D279" s="6"/>
      <c r="F279" s="6"/>
      <c r="H279" s="6"/>
      <c r="J279" s="6"/>
      <c r="L279" s="6"/>
      <c r="N279" s="6"/>
    </row>
    <row r="280" spans="1:14">
      <c r="A280" s="6"/>
      <c r="B280" s="6"/>
      <c r="C280" s="6"/>
      <c r="D280" s="6"/>
      <c r="F280" s="6"/>
      <c r="H280" s="6"/>
      <c r="J280" s="6"/>
      <c r="L280" s="6"/>
      <c r="N280" s="6"/>
    </row>
    <row r="281" spans="1:14">
      <c r="A281" s="6"/>
      <c r="B281" s="6"/>
      <c r="C281" s="6"/>
      <c r="D281" s="6"/>
      <c r="F281" s="6"/>
      <c r="H281" s="6"/>
      <c r="J281" s="6"/>
      <c r="L281" s="6"/>
      <c r="N281" s="6"/>
    </row>
    <row r="282" spans="1:14">
      <c r="A282" s="6"/>
      <c r="B282" s="6"/>
      <c r="C282" s="6"/>
      <c r="D282" s="6"/>
      <c r="F282" s="6"/>
      <c r="H282" s="6"/>
      <c r="J282" s="6"/>
      <c r="L282" s="6"/>
      <c r="N282" s="6"/>
    </row>
    <row r="283" spans="1:14">
      <c r="A283" s="6"/>
      <c r="B283" s="6"/>
      <c r="C283" s="6"/>
      <c r="D283" s="6"/>
      <c r="F283" s="6"/>
      <c r="H283" s="6"/>
      <c r="J283" s="6"/>
      <c r="L283" s="6"/>
      <c r="N283" s="6"/>
    </row>
    <row r="284" spans="1:14">
      <c r="A284" s="6"/>
      <c r="B284" s="6"/>
      <c r="C284" s="6"/>
      <c r="D284" s="6"/>
      <c r="F284" s="6"/>
      <c r="H284" s="6"/>
      <c r="J284" s="6"/>
      <c r="L284" s="6"/>
      <c r="N284" s="6"/>
    </row>
    <row r="285" spans="1:14">
      <c r="A285" s="6"/>
      <c r="B285" s="6"/>
      <c r="C285" s="6"/>
      <c r="D285" s="6"/>
      <c r="F285" s="6"/>
      <c r="H285" s="6"/>
      <c r="J285" s="6"/>
      <c r="L285" s="6"/>
      <c r="N285" s="6"/>
    </row>
    <row r="286" spans="1:14">
      <c r="A286" s="6"/>
      <c r="B286" s="6"/>
      <c r="C286" s="6"/>
      <c r="D286" s="6"/>
      <c r="F286" s="6"/>
      <c r="H286" s="6"/>
      <c r="J286" s="6"/>
      <c r="L286" s="6"/>
      <c r="N286" s="6"/>
    </row>
    <row r="287" spans="1:14">
      <c r="A287" s="6"/>
      <c r="B287" s="6"/>
      <c r="C287" s="6"/>
      <c r="D287" s="6"/>
      <c r="F287" s="6"/>
      <c r="H287" s="6"/>
      <c r="J287" s="6"/>
      <c r="L287" s="6"/>
      <c r="N287" s="6"/>
    </row>
    <row r="288" spans="1:14">
      <c r="A288" s="6"/>
      <c r="B288" s="6"/>
      <c r="C288" s="6"/>
      <c r="D288" s="6"/>
      <c r="F288" s="6"/>
      <c r="H288" s="6"/>
      <c r="J288" s="6"/>
      <c r="L288" s="6"/>
      <c r="N288" s="6"/>
    </row>
    <row r="289" spans="1:14">
      <c r="A289" s="6"/>
      <c r="B289" s="6"/>
      <c r="C289" s="6"/>
      <c r="D289" s="6"/>
      <c r="F289" s="6"/>
      <c r="H289" s="6"/>
      <c r="J289" s="6"/>
      <c r="L289" s="6"/>
      <c r="N289" s="6"/>
    </row>
    <row r="290" spans="1:14">
      <c r="A290" s="6"/>
      <c r="B290" s="6"/>
      <c r="C290" s="6"/>
      <c r="D290" s="6"/>
      <c r="F290" s="6"/>
      <c r="H290" s="6"/>
      <c r="J290" s="6"/>
      <c r="L290" s="6"/>
      <c r="N290" s="6"/>
    </row>
    <row r="291" spans="1:14">
      <c r="A291" s="6"/>
      <c r="B291" s="6"/>
      <c r="C291" s="6"/>
      <c r="D291" s="6"/>
      <c r="F291" s="6"/>
      <c r="H291" s="6"/>
      <c r="J291" s="6"/>
      <c r="L291" s="6"/>
      <c r="N291" s="6"/>
    </row>
    <row r="292" spans="1:14">
      <c r="A292" s="6"/>
      <c r="B292" s="6"/>
      <c r="C292" s="6"/>
      <c r="D292" s="6"/>
      <c r="F292" s="6"/>
      <c r="H292" s="6"/>
      <c r="J292" s="6"/>
      <c r="L292" s="6"/>
      <c r="N292" s="6"/>
    </row>
    <row r="293" spans="1:14">
      <c r="A293" s="6"/>
      <c r="B293" s="6"/>
      <c r="C293" s="6"/>
      <c r="D293" s="6"/>
      <c r="F293" s="6"/>
      <c r="H293" s="6"/>
      <c r="J293" s="6"/>
      <c r="L293" s="6"/>
      <c r="N293" s="6"/>
    </row>
    <row r="294" spans="1:14">
      <c r="A294" s="6"/>
      <c r="B294" s="6"/>
      <c r="C294" s="6"/>
      <c r="D294" s="6"/>
      <c r="F294" s="6"/>
      <c r="H294" s="6"/>
      <c r="J294" s="6"/>
      <c r="L294" s="6"/>
      <c r="N294" s="6"/>
    </row>
    <row r="295" spans="1:14">
      <c r="A295" s="6"/>
      <c r="B295" s="6"/>
      <c r="C295" s="6"/>
      <c r="D295" s="6"/>
      <c r="F295" s="6"/>
      <c r="H295" s="6"/>
      <c r="J295" s="6"/>
      <c r="L295" s="6"/>
      <c r="N295" s="6"/>
    </row>
    <row r="296" spans="1:14">
      <c r="A296" s="6"/>
      <c r="B296" s="6"/>
      <c r="C296" s="6"/>
      <c r="D296" s="6"/>
      <c r="F296" s="6"/>
      <c r="H296" s="6"/>
      <c r="J296" s="6"/>
      <c r="L296" s="6"/>
      <c r="N296" s="6"/>
    </row>
    <row r="297" spans="1:14">
      <c r="A297" s="6"/>
      <c r="B297" s="6"/>
      <c r="C297" s="6"/>
      <c r="D297" s="6"/>
      <c r="F297" s="6"/>
      <c r="H297" s="6"/>
      <c r="J297" s="6"/>
      <c r="L297" s="6"/>
      <c r="N297" s="6"/>
    </row>
    <row r="298" spans="1:14">
      <c r="A298" s="6"/>
      <c r="B298" s="6"/>
      <c r="C298" s="6"/>
      <c r="D298" s="6"/>
      <c r="F298" s="6"/>
      <c r="H298" s="6"/>
      <c r="J298" s="6"/>
      <c r="L298" s="6"/>
      <c r="N298" s="6"/>
    </row>
    <row r="299" spans="1:14">
      <c r="A299" s="6"/>
      <c r="B299" s="6"/>
      <c r="C299" s="6"/>
      <c r="D299" s="6"/>
      <c r="F299" s="6"/>
      <c r="H299" s="6"/>
      <c r="J299" s="6"/>
      <c r="L299" s="6"/>
      <c r="N299" s="6"/>
    </row>
    <row r="300" spans="1:14">
      <c r="A300" s="6"/>
      <c r="B300" s="6"/>
      <c r="C300" s="6"/>
      <c r="D300" s="6"/>
      <c r="F300" s="6"/>
      <c r="H300" s="6"/>
      <c r="J300" s="6"/>
      <c r="L300" s="6"/>
      <c r="N300" s="6"/>
    </row>
    <row r="301" spans="1:14">
      <c r="A301" s="6"/>
      <c r="B301" s="6"/>
      <c r="C301" s="6"/>
      <c r="D301" s="6"/>
      <c r="F301" s="6"/>
      <c r="H301" s="6"/>
      <c r="J301" s="6"/>
      <c r="L301" s="6"/>
      <c r="N301" s="6"/>
    </row>
    <row r="302" spans="1:14">
      <c r="A302" s="6"/>
      <c r="B302" s="6"/>
      <c r="C302" s="6"/>
      <c r="D302" s="6"/>
      <c r="F302" s="6"/>
      <c r="H302" s="6"/>
      <c r="J302" s="6"/>
      <c r="L302" s="6"/>
      <c r="N302" s="6"/>
    </row>
    <row r="303" spans="1:14">
      <c r="A303" s="6"/>
      <c r="B303" s="6"/>
      <c r="C303" s="6"/>
      <c r="D303" s="6"/>
      <c r="F303" s="6"/>
      <c r="H303" s="6"/>
      <c r="J303" s="6"/>
      <c r="L303" s="6"/>
      <c r="N303" s="6"/>
    </row>
    <row r="304" spans="1:14">
      <c r="A304" s="6"/>
      <c r="B304" s="6"/>
      <c r="C304" s="6"/>
      <c r="D304" s="6"/>
      <c r="F304" s="6"/>
      <c r="H304" s="6"/>
      <c r="J304" s="6"/>
      <c r="L304" s="6"/>
      <c r="N304" s="6"/>
    </row>
    <row r="305" spans="1:14">
      <c r="A305" s="6"/>
      <c r="B305" s="6"/>
      <c r="C305" s="6"/>
      <c r="D305" s="6"/>
      <c r="F305" s="6"/>
      <c r="H305" s="6"/>
      <c r="J305" s="6"/>
      <c r="L305" s="6"/>
      <c r="N305" s="6"/>
    </row>
    <row r="306" spans="1:14">
      <c r="A306" s="6"/>
      <c r="B306" s="6"/>
      <c r="C306" s="6"/>
      <c r="D306" s="6"/>
      <c r="F306" s="6"/>
      <c r="H306" s="6"/>
      <c r="J306" s="6"/>
      <c r="L306" s="6"/>
      <c r="N306" s="6"/>
    </row>
    <row r="307" spans="1:14">
      <c r="A307" s="6"/>
      <c r="B307" s="6"/>
      <c r="C307" s="6"/>
      <c r="D307" s="6"/>
      <c r="F307" s="6"/>
      <c r="H307" s="6"/>
      <c r="J307" s="6"/>
      <c r="L307" s="6"/>
      <c r="N307" s="6"/>
    </row>
    <row r="308" spans="1:14">
      <c r="A308" s="6"/>
      <c r="B308" s="6"/>
      <c r="C308" s="6"/>
      <c r="D308" s="6"/>
      <c r="F308" s="6"/>
      <c r="H308" s="6"/>
      <c r="J308" s="6"/>
      <c r="L308" s="6"/>
      <c r="N308" s="6"/>
    </row>
    <row r="309" spans="1:14">
      <c r="A309" s="6"/>
      <c r="B309" s="6"/>
      <c r="C309" s="6"/>
      <c r="D309" s="6"/>
      <c r="F309" s="6"/>
      <c r="H309" s="6"/>
      <c r="J309" s="6"/>
      <c r="L309" s="6"/>
      <c r="N309" s="6"/>
    </row>
    <row r="310" spans="1:14">
      <c r="A310" s="6"/>
      <c r="B310" s="6"/>
      <c r="C310" s="6"/>
      <c r="D310" s="6"/>
      <c r="F310" s="6"/>
      <c r="H310" s="6"/>
      <c r="J310" s="6"/>
      <c r="L310" s="6"/>
      <c r="N310" s="6"/>
    </row>
    <row r="311" spans="1:14">
      <c r="A311" s="6"/>
      <c r="B311" s="6"/>
      <c r="C311" s="6"/>
      <c r="D311" s="6"/>
      <c r="F311" s="6"/>
      <c r="H311" s="6"/>
      <c r="J311" s="6"/>
      <c r="L311" s="6"/>
      <c r="N311" s="6"/>
    </row>
    <row r="312" spans="1:14">
      <c r="A312" s="6"/>
      <c r="B312" s="6"/>
      <c r="C312" s="6"/>
      <c r="D312" s="6"/>
      <c r="F312" s="6"/>
      <c r="H312" s="6"/>
      <c r="J312" s="6"/>
      <c r="L312" s="6"/>
      <c r="N312" s="6"/>
    </row>
    <row r="313" spans="1:14">
      <c r="A313" s="6"/>
      <c r="B313" s="6"/>
      <c r="C313" s="6"/>
      <c r="D313" s="6"/>
      <c r="F313" s="6"/>
      <c r="H313" s="6"/>
      <c r="J313" s="6"/>
      <c r="L313" s="6"/>
      <c r="N313" s="6"/>
    </row>
    <row r="314" spans="1:14">
      <c r="A314" s="6"/>
      <c r="B314" s="6"/>
      <c r="C314" s="6"/>
      <c r="D314" s="6"/>
      <c r="F314" s="6"/>
      <c r="H314" s="6"/>
      <c r="J314" s="6"/>
      <c r="L314" s="6"/>
      <c r="N314" s="6"/>
    </row>
    <row r="315" spans="1:14">
      <c r="A315" s="6"/>
      <c r="B315" s="6"/>
      <c r="C315" s="6"/>
      <c r="D315" s="6"/>
      <c r="F315" s="6"/>
      <c r="H315" s="6"/>
      <c r="J315" s="6"/>
      <c r="L315" s="6"/>
      <c r="N315" s="6"/>
    </row>
    <row r="316" spans="1:14">
      <c r="A316" s="6"/>
      <c r="B316" s="6"/>
      <c r="C316" s="6"/>
      <c r="D316" s="6"/>
      <c r="F316" s="6"/>
      <c r="H316" s="6"/>
      <c r="J316" s="6"/>
      <c r="L316" s="6"/>
      <c r="N316" s="6"/>
    </row>
    <row r="317" spans="1:14">
      <c r="A317" s="6"/>
      <c r="B317" s="6"/>
      <c r="C317" s="6"/>
      <c r="D317" s="6"/>
      <c r="F317" s="6"/>
      <c r="H317" s="6"/>
      <c r="J317" s="6"/>
      <c r="L317" s="6"/>
      <c r="N317" s="6"/>
    </row>
    <row r="318" spans="1:14">
      <c r="A318" s="6"/>
      <c r="B318" s="6"/>
      <c r="C318" s="6"/>
      <c r="D318" s="6"/>
      <c r="F318" s="6"/>
      <c r="H318" s="6"/>
      <c r="J318" s="6"/>
      <c r="L318" s="6"/>
      <c r="N318" s="6"/>
    </row>
    <row r="319" spans="1:14">
      <c r="A319" s="6"/>
      <c r="B319" s="6"/>
      <c r="C319" s="6"/>
      <c r="D319" s="6"/>
      <c r="F319" s="6"/>
      <c r="H319" s="6"/>
      <c r="J319" s="6"/>
      <c r="L319" s="6"/>
      <c r="N319" s="6"/>
    </row>
    <row r="320" spans="1:14">
      <c r="A320" s="6"/>
      <c r="B320" s="6"/>
      <c r="C320" s="6"/>
      <c r="D320" s="6"/>
      <c r="F320" s="6"/>
      <c r="H320" s="6"/>
      <c r="J320" s="6"/>
      <c r="L320" s="6"/>
      <c r="N320" s="6"/>
    </row>
    <row r="321" spans="1:14">
      <c r="A321" s="6"/>
      <c r="B321" s="6"/>
      <c r="C321" s="6"/>
      <c r="D321" s="6"/>
      <c r="F321" s="6"/>
      <c r="H321" s="6"/>
      <c r="J321" s="6"/>
      <c r="L321" s="6"/>
      <c r="N321" s="6"/>
    </row>
    <row r="322" spans="1:14">
      <c r="A322" s="6"/>
      <c r="B322" s="6"/>
      <c r="C322" s="6"/>
      <c r="D322" s="6"/>
      <c r="F322" s="6"/>
      <c r="H322" s="6"/>
      <c r="J322" s="6"/>
      <c r="L322" s="6"/>
      <c r="N322" s="6"/>
    </row>
    <row r="323" spans="1:14">
      <c r="A323" s="6"/>
      <c r="B323" s="6"/>
      <c r="C323" s="6"/>
      <c r="D323" s="6"/>
      <c r="F323" s="6"/>
      <c r="H323" s="6"/>
      <c r="J323" s="6"/>
      <c r="L323" s="6"/>
      <c r="N323" s="6"/>
    </row>
    <row r="324" spans="1:14">
      <c r="A324" s="6"/>
      <c r="B324" s="6"/>
      <c r="C324" s="6"/>
      <c r="D324" s="6"/>
      <c r="F324" s="6"/>
      <c r="H324" s="6"/>
      <c r="J324" s="6"/>
      <c r="L324" s="6"/>
      <c r="N324" s="6"/>
    </row>
    <row r="325" spans="1:14">
      <c r="A325" s="6"/>
      <c r="B325" s="6"/>
      <c r="C325" s="6"/>
      <c r="D325" s="6"/>
      <c r="F325" s="6"/>
      <c r="H325" s="6"/>
      <c r="J325" s="6"/>
      <c r="L325" s="6"/>
      <c r="N325" s="6"/>
    </row>
    <row r="326" spans="1:14">
      <c r="A326" s="6"/>
      <c r="B326" s="6"/>
      <c r="C326" s="6"/>
      <c r="D326" s="6"/>
      <c r="F326" s="6"/>
      <c r="H326" s="6"/>
      <c r="J326" s="6"/>
      <c r="L326" s="6"/>
      <c r="N326" s="6"/>
    </row>
    <row r="327" spans="1:14">
      <c r="A327" s="6"/>
      <c r="B327" s="6"/>
      <c r="C327" s="6"/>
      <c r="D327" s="6"/>
      <c r="F327" s="6"/>
      <c r="H327" s="6"/>
      <c r="J327" s="6"/>
      <c r="L327" s="6"/>
      <c r="N327" s="6"/>
    </row>
    <row r="328" spans="1:14">
      <c r="A328" s="6"/>
      <c r="B328" s="6"/>
      <c r="C328" s="6"/>
      <c r="D328" s="6"/>
      <c r="F328" s="6"/>
      <c r="H328" s="6"/>
      <c r="J328" s="6"/>
      <c r="L328" s="6"/>
      <c r="N328" s="6"/>
    </row>
    <row r="329" spans="1:14">
      <c r="A329" s="6"/>
      <c r="B329" s="6"/>
      <c r="C329" s="6"/>
      <c r="D329" s="6"/>
      <c r="F329" s="6"/>
      <c r="H329" s="6"/>
      <c r="J329" s="6"/>
      <c r="L329" s="6"/>
      <c r="N329" s="6"/>
    </row>
    <row r="330" spans="1:14">
      <c r="A330" s="6"/>
      <c r="B330" s="6"/>
      <c r="C330" s="6"/>
      <c r="D330" s="6"/>
      <c r="F330" s="6"/>
      <c r="H330" s="6"/>
      <c r="J330" s="6"/>
      <c r="L330" s="6"/>
      <c r="N330" s="6"/>
    </row>
    <row r="331" spans="1:14">
      <c r="A331" s="6"/>
      <c r="B331" s="6"/>
      <c r="C331" s="6"/>
      <c r="D331" s="6"/>
      <c r="F331" s="6"/>
      <c r="H331" s="6"/>
      <c r="J331" s="6"/>
      <c r="L331" s="6"/>
      <c r="N331" s="6"/>
    </row>
    <row r="332" spans="1:14">
      <c r="A332" s="6"/>
      <c r="B332" s="6"/>
      <c r="C332" s="6"/>
      <c r="D332" s="6"/>
      <c r="F332" s="6"/>
      <c r="H332" s="6"/>
      <c r="J332" s="6"/>
      <c r="L332" s="6"/>
      <c r="N332" s="6"/>
    </row>
    <row r="333" spans="1:14">
      <c r="A333" s="6"/>
      <c r="B333" s="6"/>
      <c r="C333" s="6"/>
      <c r="D333" s="6"/>
      <c r="F333" s="6"/>
      <c r="H333" s="6"/>
      <c r="J333" s="6"/>
      <c r="L333" s="6"/>
      <c r="N333" s="6"/>
    </row>
    <row r="334" spans="1:14">
      <c r="A334" s="6"/>
      <c r="B334" s="6"/>
      <c r="C334" s="6"/>
      <c r="D334" s="6"/>
      <c r="F334" s="6"/>
      <c r="H334" s="6"/>
      <c r="J334" s="6"/>
      <c r="L334" s="6"/>
      <c r="N334" s="6"/>
    </row>
    <row r="335" spans="1:14">
      <c r="A335" s="6"/>
      <c r="B335" s="6"/>
      <c r="C335" s="6"/>
      <c r="D335" s="6"/>
      <c r="F335" s="6"/>
      <c r="H335" s="6"/>
      <c r="J335" s="6"/>
      <c r="L335" s="6"/>
      <c r="N335" s="6"/>
    </row>
    <row r="336" spans="1:14">
      <c r="A336" s="6"/>
      <c r="B336" s="6"/>
      <c r="C336" s="6"/>
      <c r="D336" s="6"/>
      <c r="F336" s="6"/>
      <c r="H336" s="6"/>
      <c r="J336" s="6"/>
      <c r="L336" s="6"/>
      <c r="N336" s="6"/>
    </row>
    <row r="337" spans="1:14">
      <c r="A337" s="6"/>
      <c r="B337" s="6"/>
      <c r="C337" s="6"/>
      <c r="D337" s="6"/>
      <c r="F337" s="6"/>
      <c r="H337" s="6"/>
      <c r="J337" s="6"/>
      <c r="L337" s="6"/>
      <c r="N337" s="6"/>
    </row>
    <row r="338" spans="1:14">
      <c r="A338" s="6"/>
      <c r="B338" s="6"/>
      <c r="C338" s="6"/>
      <c r="D338" s="6"/>
      <c r="F338" s="6"/>
      <c r="H338" s="6"/>
      <c r="J338" s="6"/>
      <c r="L338" s="6"/>
      <c r="N338" s="6"/>
    </row>
    <row r="339" spans="1:14">
      <c r="A339" s="6"/>
      <c r="B339" s="6"/>
      <c r="C339" s="6"/>
      <c r="D339" s="6"/>
      <c r="F339" s="6"/>
      <c r="H339" s="6"/>
      <c r="J339" s="6"/>
      <c r="L339" s="6"/>
      <c r="N339" s="6"/>
    </row>
    <row r="340" spans="1:14">
      <c r="A340" s="6"/>
      <c r="B340" s="6"/>
      <c r="C340" s="6"/>
      <c r="D340" s="6"/>
      <c r="F340" s="6"/>
      <c r="H340" s="6"/>
      <c r="J340" s="6"/>
      <c r="L340" s="6"/>
      <c r="N340" s="6"/>
    </row>
    <row r="341" spans="1:14">
      <c r="A341" s="6"/>
      <c r="B341" s="6"/>
      <c r="C341" s="6"/>
      <c r="D341" s="6"/>
      <c r="F341" s="6"/>
      <c r="H341" s="6"/>
      <c r="J341" s="6"/>
      <c r="L341" s="6"/>
      <c r="N341" s="6"/>
    </row>
    <row r="342" spans="1:14">
      <c r="A342" s="6"/>
      <c r="B342" s="6"/>
      <c r="C342" s="6"/>
      <c r="D342" s="6"/>
      <c r="F342" s="6"/>
      <c r="H342" s="6"/>
      <c r="J342" s="6"/>
      <c r="L342" s="6"/>
      <c r="N342" s="6"/>
    </row>
    <row r="343" spans="1:14">
      <c r="A343" s="6"/>
      <c r="B343" s="6"/>
      <c r="C343" s="6"/>
      <c r="D343" s="6"/>
      <c r="F343" s="6"/>
      <c r="H343" s="6"/>
      <c r="J343" s="6"/>
      <c r="L343" s="6"/>
      <c r="N343" s="6"/>
    </row>
    <row r="344" spans="1:14">
      <c r="A344" s="6"/>
      <c r="B344" s="6"/>
      <c r="C344" s="6"/>
      <c r="D344" s="6"/>
      <c r="F344" s="6"/>
      <c r="H344" s="6"/>
      <c r="J344" s="6"/>
      <c r="L344" s="6"/>
      <c r="N344" s="6"/>
    </row>
    <row r="345" spans="1:14">
      <c r="A345" s="6"/>
      <c r="B345" s="6"/>
      <c r="C345" s="6"/>
      <c r="D345" s="6"/>
      <c r="F345" s="6"/>
      <c r="H345" s="6"/>
      <c r="J345" s="6"/>
      <c r="L345" s="6"/>
      <c r="N345" s="6"/>
    </row>
    <row r="346" spans="1:14">
      <c r="A346" s="6"/>
      <c r="B346" s="6"/>
      <c r="C346" s="6"/>
      <c r="D346" s="6"/>
      <c r="F346" s="6"/>
      <c r="H346" s="6"/>
      <c r="J346" s="6"/>
      <c r="L346" s="6"/>
      <c r="N346" s="6"/>
    </row>
    <row r="347" spans="1:14">
      <c r="A347" s="6"/>
      <c r="B347" s="6"/>
      <c r="C347" s="6"/>
      <c r="D347" s="6"/>
      <c r="F347" s="6"/>
      <c r="H347" s="6"/>
      <c r="J347" s="6"/>
      <c r="L347" s="6"/>
      <c r="N347" s="6"/>
    </row>
    <row r="348" spans="1:14">
      <c r="A348" s="6"/>
      <c r="B348" s="6"/>
      <c r="C348" s="6"/>
      <c r="D348" s="6"/>
      <c r="F348" s="6"/>
      <c r="H348" s="6"/>
      <c r="J348" s="6"/>
      <c r="L348" s="6"/>
      <c r="N348" s="6"/>
    </row>
    <row r="349" spans="1:14">
      <c r="A349" s="6"/>
      <c r="B349" s="6"/>
      <c r="C349" s="6"/>
      <c r="D349" s="6"/>
      <c r="F349" s="6"/>
      <c r="H349" s="6"/>
      <c r="J349" s="6"/>
      <c r="L349" s="6"/>
      <c r="N349" s="6"/>
    </row>
    <row r="350" spans="1:14">
      <c r="A350" s="6"/>
      <c r="B350" s="6"/>
      <c r="C350" s="6"/>
      <c r="D350" s="6"/>
      <c r="F350" s="6"/>
      <c r="H350" s="6"/>
      <c r="J350" s="6"/>
      <c r="L350" s="6"/>
      <c r="N350" s="6"/>
    </row>
    <row r="351" spans="1:14">
      <c r="A351" s="6"/>
      <c r="B351" s="6"/>
      <c r="C351" s="6"/>
      <c r="D351" s="6"/>
      <c r="F351" s="6"/>
      <c r="H351" s="6"/>
      <c r="J351" s="6"/>
      <c r="L351" s="6"/>
      <c r="N351" s="6"/>
    </row>
    <row r="352" spans="1:14">
      <c r="A352" s="6"/>
      <c r="B352" s="6"/>
      <c r="C352" s="6"/>
      <c r="D352" s="6"/>
      <c r="F352" s="6"/>
      <c r="H352" s="6"/>
      <c r="J352" s="6"/>
      <c r="L352" s="6"/>
      <c r="N352" s="6"/>
    </row>
    <row r="353" spans="1:14">
      <c r="A353" s="6"/>
      <c r="B353" s="6"/>
      <c r="C353" s="6"/>
      <c r="D353" s="6"/>
      <c r="F353" s="6"/>
      <c r="H353" s="6"/>
      <c r="J353" s="6"/>
      <c r="L353" s="6"/>
      <c r="N353" s="6"/>
    </row>
    <row r="354" spans="1:14">
      <c r="A354" s="6"/>
      <c r="B354" s="6"/>
      <c r="C354" s="6"/>
      <c r="D354" s="6"/>
      <c r="F354" s="6"/>
      <c r="H354" s="6"/>
      <c r="J354" s="6"/>
      <c r="L354" s="6"/>
      <c r="N354" s="6"/>
    </row>
    <row r="355" spans="1:14">
      <c r="A355" s="6"/>
      <c r="B355" s="6"/>
      <c r="C355" s="6"/>
      <c r="D355" s="6"/>
      <c r="F355" s="6"/>
      <c r="H355" s="6"/>
      <c r="J355" s="6"/>
      <c r="L355" s="6"/>
      <c r="N355" s="6"/>
    </row>
    <row r="356" spans="1:14">
      <c r="A356" s="6"/>
      <c r="B356" s="6"/>
      <c r="C356" s="6"/>
      <c r="D356" s="6"/>
      <c r="F356" s="6"/>
      <c r="H356" s="6"/>
      <c r="J356" s="6"/>
      <c r="L356" s="6"/>
      <c r="N356" s="6"/>
    </row>
    <row r="357" spans="1:14">
      <c r="A357" s="6"/>
      <c r="B357" s="6"/>
      <c r="C357" s="6"/>
      <c r="D357" s="6"/>
      <c r="F357" s="6"/>
      <c r="H357" s="6"/>
      <c r="J357" s="6"/>
      <c r="L357" s="6"/>
      <c r="N357" s="6"/>
    </row>
    <row r="358" spans="1:14">
      <c r="A358" s="6"/>
      <c r="B358" s="6"/>
      <c r="C358" s="6"/>
      <c r="D358" s="6"/>
      <c r="F358" s="6"/>
      <c r="H358" s="6"/>
      <c r="J358" s="6"/>
      <c r="L358" s="6"/>
      <c r="N358" s="6"/>
    </row>
    <row r="359" spans="1:14">
      <c r="A359" s="6"/>
      <c r="B359" s="6"/>
      <c r="C359" s="6"/>
      <c r="D359" s="6"/>
      <c r="F359" s="6"/>
      <c r="H359" s="6"/>
      <c r="J359" s="6"/>
      <c r="L359" s="6"/>
      <c r="N359" s="6"/>
    </row>
    <row r="360" spans="1:14">
      <c r="A360" s="6"/>
      <c r="B360" s="6"/>
      <c r="C360" s="6"/>
      <c r="D360" s="6"/>
      <c r="F360" s="6"/>
      <c r="H360" s="6"/>
      <c r="J360" s="6"/>
      <c r="L360" s="6"/>
      <c r="N360" s="6"/>
    </row>
    <row r="361" spans="1:14">
      <c r="A361" s="6"/>
      <c r="B361" s="6"/>
      <c r="C361" s="6"/>
      <c r="D361" s="6"/>
      <c r="F361" s="6"/>
      <c r="H361" s="6"/>
      <c r="J361" s="6"/>
      <c r="L361" s="6"/>
      <c r="N361" s="6"/>
    </row>
    <row r="362" spans="1:14">
      <c r="A362" s="6"/>
      <c r="B362" s="6"/>
      <c r="C362" s="6"/>
      <c r="D362" s="6"/>
      <c r="F362" s="6"/>
      <c r="H362" s="6"/>
      <c r="J362" s="6"/>
      <c r="L362" s="6"/>
      <c r="N362" s="6"/>
    </row>
    <row r="363" spans="1:14">
      <c r="A363" s="6"/>
      <c r="B363" s="6"/>
      <c r="C363" s="6"/>
      <c r="D363" s="6"/>
      <c r="F363" s="6"/>
      <c r="H363" s="6"/>
      <c r="J363" s="6"/>
      <c r="L363" s="6"/>
      <c r="N363" s="6"/>
    </row>
    <row r="364" spans="1:14">
      <c r="A364" s="6"/>
      <c r="B364" s="6"/>
      <c r="C364" s="6"/>
      <c r="D364" s="6"/>
      <c r="F364" s="6"/>
      <c r="H364" s="6"/>
      <c r="J364" s="6"/>
      <c r="L364" s="6"/>
      <c r="N364" s="6"/>
    </row>
    <row r="365" spans="1:14">
      <c r="A365" s="6"/>
      <c r="B365" s="6"/>
      <c r="C365" s="6"/>
      <c r="D365" s="6"/>
      <c r="F365" s="6"/>
      <c r="H365" s="6"/>
      <c r="J365" s="6"/>
      <c r="L365" s="6"/>
      <c r="N365" s="6"/>
    </row>
    <row r="366" spans="1:14">
      <c r="A366" s="6"/>
      <c r="B366" s="6"/>
      <c r="C366" s="6"/>
      <c r="D366" s="6"/>
      <c r="F366" s="6"/>
      <c r="H366" s="6"/>
      <c r="J366" s="6"/>
      <c r="L366" s="6"/>
      <c r="N366" s="6"/>
    </row>
    <row r="367" spans="1:14">
      <c r="A367" s="6"/>
      <c r="B367" s="6"/>
      <c r="C367" s="6"/>
      <c r="D367" s="6"/>
      <c r="F367" s="6"/>
      <c r="H367" s="6"/>
      <c r="J367" s="6"/>
      <c r="L367" s="6"/>
      <c r="N367" s="6"/>
    </row>
    <row r="368" spans="1:14">
      <c r="A368" s="6"/>
      <c r="B368" s="6"/>
      <c r="C368" s="6"/>
      <c r="D368" s="6"/>
      <c r="F368" s="6"/>
      <c r="H368" s="6"/>
      <c r="J368" s="6"/>
      <c r="L368" s="6"/>
      <c r="N368" s="6"/>
    </row>
    <row r="369" spans="1:14">
      <c r="A369" s="6"/>
      <c r="B369" s="6"/>
      <c r="C369" s="6"/>
      <c r="D369" s="6"/>
      <c r="F369" s="6"/>
      <c r="H369" s="6"/>
      <c r="J369" s="6"/>
      <c r="L369" s="6"/>
      <c r="N369" s="6"/>
    </row>
    <row r="370" spans="1:14">
      <c r="A370" s="6"/>
      <c r="B370" s="6"/>
      <c r="C370" s="6"/>
      <c r="D370" s="6"/>
      <c r="F370" s="6"/>
      <c r="H370" s="6"/>
      <c r="J370" s="6"/>
      <c r="L370" s="6"/>
      <c r="N370" s="6"/>
    </row>
    <row r="371" spans="1:14">
      <c r="A371" s="6"/>
      <c r="B371" s="6"/>
      <c r="C371" s="6"/>
      <c r="D371" s="6"/>
      <c r="F371" s="6"/>
      <c r="H371" s="6"/>
      <c r="J371" s="6"/>
      <c r="L371" s="6"/>
      <c r="N371" s="6"/>
    </row>
    <row r="372" spans="1:14">
      <c r="A372" s="6"/>
      <c r="B372" s="6"/>
      <c r="C372" s="6"/>
      <c r="D372" s="6"/>
      <c r="F372" s="6"/>
      <c r="H372" s="6"/>
      <c r="J372" s="6"/>
      <c r="L372" s="6"/>
      <c r="N372" s="6"/>
    </row>
    <row r="373" spans="1:14">
      <c r="A373" s="6"/>
      <c r="B373" s="6"/>
      <c r="C373" s="6"/>
      <c r="D373" s="6"/>
      <c r="F373" s="6"/>
      <c r="H373" s="6"/>
      <c r="J373" s="6"/>
      <c r="L373" s="6"/>
      <c r="N373" s="6"/>
    </row>
    <row r="374" spans="1:14">
      <c r="A374" s="6"/>
      <c r="B374" s="6"/>
      <c r="C374" s="6"/>
      <c r="D374" s="6"/>
      <c r="F374" s="6"/>
      <c r="H374" s="6"/>
      <c r="J374" s="6"/>
      <c r="L374" s="6"/>
      <c r="N374" s="6"/>
    </row>
    <row r="375" spans="1:14">
      <c r="A375" s="6"/>
      <c r="B375" s="6"/>
      <c r="C375" s="6"/>
      <c r="D375" s="6"/>
      <c r="F375" s="6"/>
      <c r="H375" s="6"/>
      <c r="J375" s="6"/>
      <c r="L375" s="6"/>
      <c r="N375" s="6"/>
    </row>
    <row r="376" spans="1:14">
      <c r="A376" s="6"/>
      <c r="B376" s="6"/>
      <c r="C376" s="6"/>
      <c r="D376" s="6"/>
      <c r="F376" s="6"/>
      <c r="H376" s="6"/>
      <c r="J376" s="6"/>
      <c r="L376" s="6"/>
      <c r="N376" s="6"/>
    </row>
    <row r="377" spans="1:14">
      <c r="A377" s="6"/>
      <c r="B377" s="6"/>
      <c r="C377" s="6"/>
      <c r="D377" s="6"/>
      <c r="F377" s="6"/>
      <c r="H377" s="6"/>
      <c r="J377" s="6"/>
      <c r="L377" s="6"/>
      <c r="N377" s="6"/>
    </row>
    <row r="378" spans="1:14">
      <c r="A378" s="6"/>
      <c r="B378" s="6"/>
      <c r="C378" s="6"/>
      <c r="D378" s="6"/>
      <c r="F378" s="6"/>
      <c r="H378" s="6"/>
      <c r="J378" s="6"/>
      <c r="L378" s="6"/>
      <c r="N378" s="6"/>
    </row>
    <row r="379" spans="1:14">
      <c r="A379" s="6"/>
      <c r="B379" s="6"/>
      <c r="C379" s="6"/>
      <c r="D379" s="6"/>
      <c r="F379" s="6"/>
      <c r="H379" s="6"/>
      <c r="J379" s="6"/>
      <c r="L379" s="6"/>
      <c r="N379" s="6"/>
    </row>
    <row r="380" spans="1:14">
      <c r="A380" s="6"/>
      <c r="B380" s="6"/>
      <c r="C380" s="6"/>
      <c r="D380" s="6"/>
      <c r="F380" s="6"/>
      <c r="H380" s="6"/>
      <c r="J380" s="6"/>
      <c r="L380" s="6"/>
      <c r="N380" s="6"/>
    </row>
    <row r="381" spans="1:14">
      <c r="A381" s="6"/>
      <c r="B381" s="6"/>
      <c r="C381" s="6"/>
      <c r="D381" s="6"/>
      <c r="F381" s="6"/>
      <c r="H381" s="6"/>
      <c r="J381" s="6"/>
      <c r="L381" s="6"/>
      <c r="N381" s="6"/>
    </row>
    <row r="382" spans="1:14">
      <c r="A382" s="6"/>
      <c r="B382" s="6"/>
      <c r="C382" s="6"/>
      <c r="D382" s="6"/>
      <c r="F382" s="6"/>
      <c r="H382" s="6"/>
      <c r="J382" s="6"/>
      <c r="L382" s="6"/>
      <c r="N382" s="6"/>
    </row>
    <row r="383" spans="1:14">
      <c r="A383" s="6"/>
      <c r="B383" s="6"/>
      <c r="C383" s="6"/>
      <c r="D383" s="6"/>
      <c r="F383" s="6"/>
      <c r="H383" s="6"/>
      <c r="J383" s="6"/>
      <c r="L383" s="6"/>
      <c r="N383" s="6"/>
    </row>
    <row r="384" spans="1:14">
      <c r="A384" s="6"/>
      <c r="B384" s="6"/>
      <c r="C384" s="6"/>
      <c r="D384" s="6"/>
      <c r="F384" s="6"/>
      <c r="H384" s="6"/>
      <c r="J384" s="6"/>
      <c r="L384" s="6"/>
      <c r="N384" s="6"/>
    </row>
    <row r="385" spans="1:14">
      <c r="A385" s="6"/>
      <c r="B385" s="6"/>
      <c r="C385" s="6"/>
      <c r="D385" s="6"/>
      <c r="F385" s="6"/>
      <c r="H385" s="6"/>
      <c r="J385" s="6"/>
      <c r="L385" s="6"/>
      <c r="N385" s="6"/>
    </row>
    <row r="386" spans="1:14">
      <c r="A386" s="6"/>
      <c r="B386" s="6"/>
      <c r="C386" s="6"/>
      <c r="D386" s="6"/>
      <c r="F386" s="6"/>
      <c r="H386" s="6"/>
      <c r="J386" s="6"/>
      <c r="L386" s="6"/>
      <c r="N386" s="6"/>
    </row>
    <row r="387" spans="1:14">
      <c r="A387" s="6"/>
      <c r="B387" s="6"/>
      <c r="C387" s="6"/>
      <c r="D387" s="6"/>
      <c r="F387" s="6"/>
      <c r="H387" s="6"/>
      <c r="J387" s="6"/>
      <c r="L387" s="6"/>
      <c r="N387" s="6"/>
    </row>
    <row r="388" spans="1:14">
      <c r="A388" s="6"/>
      <c r="B388" s="6"/>
      <c r="C388" s="6"/>
      <c r="D388" s="6"/>
      <c r="F388" s="6"/>
      <c r="H388" s="6"/>
      <c r="J388" s="6"/>
      <c r="L388" s="6"/>
      <c r="N388" s="6"/>
    </row>
    <row r="389" spans="1:14">
      <c r="A389" s="6"/>
      <c r="B389" s="6"/>
      <c r="C389" s="6"/>
      <c r="D389" s="6"/>
      <c r="F389" s="6"/>
      <c r="H389" s="6"/>
      <c r="J389" s="6"/>
      <c r="L389" s="6"/>
      <c r="N389" s="6"/>
    </row>
    <row r="390" spans="1:14">
      <c r="A390" s="6"/>
      <c r="B390" s="6"/>
      <c r="C390" s="6"/>
      <c r="D390" s="6"/>
      <c r="F390" s="6"/>
      <c r="H390" s="6"/>
      <c r="J390" s="6"/>
      <c r="L390" s="6"/>
      <c r="N390" s="6"/>
    </row>
    <row r="391" spans="1:14">
      <c r="A391" s="6"/>
      <c r="B391" s="6"/>
      <c r="C391" s="6"/>
      <c r="D391" s="6"/>
      <c r="F391" s="6"/>
      <c r="H391" s="6"/>
      <c r="J391" s="6"/>
      <c r="L391" s="6"/>
      <c r="N391" s="6"/>
    </row>
    <row r="392" spans="1:14">
      <c r="A392" s="6"/>
      <c r="B392" s="6"/>
      <c r="C392" s="6"/>
      <c r="D392" s="6"/>
      <c r="F392" s="6"/>
      <c r="H392" s="6"/>
      <c r="J392" s="6"/>
      <c r="L392" s="6"/>
      <c r="N392" s="6"/>
    </row>
    <row r="393" spans="1:14">
      <c r="A393" s="6"/>
      <c r="B393" s="6"/>
      <c r="C393" s="6"/>
      <c r="D393" s="6"/>
      <c r="F393" s="6"/>
      <c r="H393" s="6"/>
      <c r="J393" s="6"/>
      <c r="L393" s="6"/>
      <c r="N393" s="6"/>
    </row>
    <row r="394" spans="1:14">
      <c r="A394" s="6"/>
      <c r="B394" s="6"/>
      <c r="C394" s="6"/>
      <c r="D394" s="6"/>
      <c r="F394" s="6"/>
      <c r="H394" s="6"/>
      <c r="J394" s="6"/>
      <c r="L394" s="6"/>
      <c r="N394" s="6"/>
    </row>
    <row r="395" spans="1:14">
      <c r="A395" s="6"/>
      <c r="B395" s="6"/>
      <c r="C395" s="6"/>
      <c r="D395" s="6"/>
      <c r="F395" s="6"/>
      <c r="H395" s="6"/>
      <c r="J395" s="6"/>
      <c r="L395" s="6"/>
      <c r="N395" s="6"/>
    </row>
    <row r="396" spans="1:14">
      <c r="A396" s="6"/>
      <c r="B396" s="6"/>
      <c r="C396" s="6"/>
      <c r="D396" s="6"/>
      <c r="F396" s="6"/>
      <c r="H396" s="6"/>
      <c r="J396" s="6"/>
      <c r="L396" s="6"/>
      <c r="N396" s="6"/>
    </row>
    <row r="397" spans="1:14">
      <c r="A397" s="6"/>
      <c r="B397" s="6"/>
      <c r="C397" s="6"/>
      <c r="D397" s="6"/>
      <c r="F397" s="6"/>
      <c r="H397" s="6"/>
      <c r="J397" s="6"/>
      <c r="L397" s="6"/>
      <c r="N397" s="6"/>
    </row>
    <row r="398" spans="1:14">
      <c r="A398" s="6"/>
      <c r="B398" s="6"/>
      <c r="C398" s="6"/>
      <c r="D398" s="6"/>
      <c r="F398" s="6"/>
      <c r="H398" s="6"/>
      <c r="J398" s="6"/>
      <c r="L398" s="6"/>
      <c r="N398" s="6"/>
    </row>
    <row r="399" spans="1:14">
      <c r="A399" s="6"/>
      <c r="B399" s="6"/>
      <c r="C399" s="6"/>
      <c r="D399" s="6"/>
      <c r="F399" s="6"/>
      <c r="H399" s="6"/>
      <c r="J399" s="6"/>
      <c r="L399" s="6"/>
      <c r="N399" s="6"/>
    </row>
    <row r="400" spans="1:14">
      <c r="A400" s="6"/>
      <c r="B400" s="6"/>
      <c r="C400" s="6"/>
      <c r="D400" s="6"/>
      <c r="F400" s="6"/>
      <c r="H400" s="6"/>
      <c r="J400" s="6"/>
      <c r="L400" s="6"/>
      <c r="N400" s="6"/>
    </row>
    <row r="401" spans="1:14">
      <c r="A401" s="6"/>
      <c r="B401" s="6"/>
      <c r="C401" s="6"/>
      <c r="D401" s="6"/>
      <c r="F401" s="6"/>
      <c r="H401" s="6"/>
      <c r="J401" s="6"/>
      <c r="L401" s="6"/>
      <c r="N401" s="6"/>
    </row>
    <row r="402" spans="1:14">
      <c r="A402" s="6"/>
      <c r="B402" s="6"/>
      <c r="C402" s="6"/>
      <c r="D402" s="6"/>
      <c r="F402" s="6"/>
      <c r="H402" s="6"/>
      <c r="J402" s="6"/>
      <c r="L402" s="6"/>
      <c r="N402" s="6"/>
    </row>
    <row r="403" spans="1:14">
      <c r="A403" s="6"/>
      <c r="B403" s="6"/>
      <c r="C403" s="6"/>
      <c r="D403" s="6"/>
      <c r="F403" s="6"/>
      <c r="H403" s="6"/>
      <c r="J403" s="6"/>
      <c r="L403" s="6"/>
      <c r="N403" s="6"/>
    </row>
    <row r="404" spans="1:14">
      <c r="A404" s="6"/>
      <c r="B404" s="6"/>
      <c r="C404" s="6"/>
      <c r="D404" s="6"/>
      <c r="F404" s="6"/>
      <c r="H404" s="6"/>
      <c r="J404" s="6"/>
      <c r="L404" s="6"/>
      <c r="N404" s="6"/>
    </row>
    <row r="405" spans="1:14">
      <c r="A405" s="6"/>
      <c r="B405" s="6"/>
      <c r="C405" s="6"/>
      <c r="D405" s="6"/>
      <c r="F405" s="6"/>
      <c r="H405" s="6"/>
      <c r="J405" s="6"/>
      <c r="L405" s="6"/>
      <c r="N405" s="6"/>
    </row>
    <row r="406" spans="1:14">
      <c r="A406" s="6"/>
      <c r="B406" s="6"/>
      <c r="C406" s="6"/>
      <c r="D406" s="6"/>
      <c r="F406" s="6"/>
      <c r="H406" s="6"/>
      <c r="J406" s="6"/>
      <c r="L406" s="6"/>
      <c r="N406" s="6"/>
    </row>
    <row r="407" spans="1:14">
      <c r="A407" s="6"/>
      <c r="B407" s="6"/>
      <c r="C407" s="6"/>
      <c r="D407" s="6"/>
      <c r="F407" s="6"/>
      <c r="H407" s="6"/>
      <c r="J407" s="6"/>
      <c r="L407" s="6"/>
      <c r="N407" s="6"/>
    </row>
    <row r="408" spans="1:14">
      <c r="A408" s="6"/>
      <c r="B408" s="6"/>
      <c r="C408" s="6"/>
      <c r="D408" s="6"/>
      <c r="F408" s="6"/>
      <c r="H408" s="6"/>
      <c r="J408" s="6"/>
      <c r="L408" s="6"/>
      <c r="N408" s="6"/>
    </row>
    <row r="409" spans="1:14">
      <c r="A409" s="6"/>
      <c r="B409" s="6"/>
      <c r="C409" s="6"/>
      <c r="D409" s="6"/>
      <c r="F409" s="6"/>
      <c r="H409" s="6"/>
      <c r="J409" s="6"/>
      <c r="L409" s="6"/>
      <c r="N409" s="6"/>
    </row>
    <row r="410" spans="1:14">
      <c r="A410" s="6"/>
      <c r="B410" s="6"/>
      <c r="C410" s="6"/>
      <c r="D410" s="6"/>
      <c r="F410" s="6"/>
      <c r="H410" s="6"/>
      <c r="J410" s="6"/>
      <c r="L410" s="6"/>
      <c r="N410" s="6"/>
    </row>
    <row r="411" spans="1:14">
      <c r="A411" s="6"/>
      <c r="B411" s="6"/>
      <c r="C411" s="6"/>
      <c r="D411" s="6"/>
      <c r="F411" s="6"/>
      <c r="H411" s="6"/>
      <c r="J411" s="6"/>
      <c r="L411" s="6"/>
      <c r="N411" s="6"/>
    </row>
    <row r="412" spans="1:14">
      <c r="A412" s="6"/>
      <c r="B412" s="6"/>
      <c r="C412" s="6"/>
      <c r="D412" s="6"/>
      <c r="F412" s="6"/>
      <c r="H412" s="6"/>
      <c r="J412" s="6"/>
      <c r="L412" s="6"/>
      <c r="N412" s="6"/>
    </row>
    <row r="413" spans="1:14">
      <c r="A413" s="6"/>
      <c r="B413" s="6"/>
      <c r="C413" s="6"/>
      <c r="D413" s="6"/>
      <c r="F413" s="6"/>
      <c r="H413" s="6"/>
      <c r="J413" s="6"/>
      <c r="L413" s="6"/>
      <c r="N413" s="6"/>
    </row>
    <row r="414" spans="1:14">
      <c r="A414" s="6"/>
      <c r="B414" s="6"/>
      <c r="C414" s="6"/>
      <c r="D414" s="6"/>
      <c r="F414" s="6"/>
      <c r="H414" s="6"/>
      <c r="J414" s="6"/>
      <c r="L414" s="6"/>
      <c r="N414" s="6"/>
    </row>
    <row r="415" spans="1:14">
      <c r="A415" s="6"/>
      <c r="B415" s="6"/>
      <c r="C415" s="6"/>
      <c r="D415" s="6"/>
      <c r="F415" s="6"/>
      <c r="H415" s="6"/>
      <c r="J415" s="6"/>
      <c r="L415" s="6"/>
      <c r="N415" s="6"/>
    </row>
    <row r="416" spans="1:14">
      <c r="A416" s="6"/>
      <c r="B416" s="6"/>
      <c r="C416" s="6"/>
      <c r="D416" s="6"/>
      <c r="F416" s="6"/>
      <c r="H416" s="6"/>
      <c r="J416" s="6"/>
      <c r="L416" s="6"/>
      <c r="N416" s="6"/>
    </row>
    <row r="417" spans="1:14">
      <c r="A417" s="6"/>
      <c r="B417" s="6"/>
      <c r="C417" s="6"/>
      <c r="D417" s="6"/>
      <c r="F417" s="6"/>
      <c r="H417" s="6"/>
      <c r="J417" s="6"/>
      <c r="L417" s="6"/>
      <c r="N417" s="6"/>
    </row>
    <row r="418" spans="1:14">
      <c r="A418" s="6"/>
      <c r="B418" s="6"/>
      <c r="C418" s="6"/>
      <c r="D418" s="6"/>
      <c r="F418" s="6"/>
      <c r="H418" s="6"/>
      <c r="J418" s="6"/>
      <c r="L418" s="6"/>
      <c r="N418" s="6"/>
    </row>
    <row r="419" spans="1:14">
      <c r="A419" s="6"/>
      <c r="B419" s="6"/>
      <c r="C419" s="6"/>
      <c r="D419" s="6"/>
      <c r="F419" s="6"/>
      <c r="H419" s="6"/>
      <c r="J419" s="6"/>
      <c r="L419" s="6"/>
      <c r="N419" s="6"/>
    </row>
    <row r="420" spans="1:14">
      <c r="A420" s="6"/>
      <c r="B420" s="6"/>
      <c r="C420" s="6"/>
      <c r="D420" s="6"/>
      <c r="F420" s="6"/>
      <c r="H420" s="6"/>
      <c r="J420" s="6"/>
      <c r="L420" s="6"/>
      <c r="N420" s="6"/>
    </row>
    <row r="421" spans="1:14">
      <c r="A421" s="6"/>
      <c r="B421" s="6"/>
      <c r="C421" s="6"/>
      <c r="D421" s="6"/>
      <c r="F421" s="6"/>
      <c r="H421" s="6"/>
      <c r="J421" s="6"/>
      <c r="L421" s="6"/>
      <c r="N421" s="6"/>
    </row>
    <row r="422" spans="1:14">
      <c r="A422" s="6"/>
      <c r="B422" s="6"/>
      <c r="C422" s="6"/>
      <c r="D422" s="6"/>
      <c r="F422" s="6"/>
      <c r="H422" s="6"/>
      <c r="J422" s="6"/>
      <c r="L422" s="6"/>
      <c r="N422" s="6"/>
    </row>
    <row r="423" spans="1:14">
      <c r="A423" s="6"/>
      <c r="B423" s="6"/>
      <c r="C423" s="6"/>
      <c r="D423" s="6"/>
      <c r="F423" s="6"/>
      <c r="H423" s="6"/>
      <c r="J423" s="6"/>
      <c r="L423" s="6"/>
      <c r="N423" s="6"/>
    </row>
    <row r="424" spans="1:14">
      <c r="A424" s="6"/>
      <c r="B424" s="6"/>
      <c r="C424" s="6"/>
      <c r="D424" s="6"/>
      <c r="F424" s="6"/>
      <c r="H424" s="6"/>
      <c r="J424" s="6"/>
      <c r="L424" s="6"/>
      <c r="N424" s="6"/>
    </row>
    <row r="425" spans="1:14">
      <c r="A425" s="6"/>
      <c r="B425" s="6"/>
      <c r="C425" s="6"/>
      <c r="D425" s="6"/>
      <c r="F425" s="6"/>
      <c r="H425" s="6"/>
      <c r="J425" s="6"/>
      <c r="L425" s="6"/>
      <c r="N425" s="6"/>
    </row>
    <row r="426" spans="1:14">
      <c r="A426" s="6"/>
      <c r="B426" s="6"/>
      <c r="C426" s="6"/>
      <c r="D426" s="6"/>
      <c r="F426" s="6"/>
      <c r="H426" s="6"/>
      <c r="J426" s="6"/>
      <c r="L426" s="6"/>
      <c r="N426" s="6"/>
    </row>
    <row r="427" spans="1:14">
      <c r="A427" s="6"/>
      <c r="B427" s="6"/>
      <c r="C427" s="6"/>
      <c r="D427" s="6"/>
      <c r="F427" s="6"/>
      <c r="H427" s="6"/>
      <c r="J427" s="6"/>
      <c r="L427" s="6"/>
      <c r="N427" s="6"/>
    </row>
    <row r="428" spans="1:14">
      <c r="A428" s="6"/>
      <c r="B428" s="6"/>
      <c r="C428" s="6"/>
      <c r="D428" s="6"/>
      <c r="F428" s="6"/>
      <c r="H428" s="6"/>
      <c r="J428" s="6"/>
      <c r="L428" s="6"/>
      <c r="N428" s="6"/>
    </row>
    <row r="429" spans="1:14">
      <c r="A429" s="6"/>
      <c r="B429" s="6"/>
      <c r="C429" s="6"/>
      <c r="D429" s="6"/>
      <c r="F429" s="6"/>
      <c r="H429" s="6"/>
      <c r="J429" s="6"/>
      <c r="L429" s="6"/>
      <c r="N429" s="6"/>
    </row>
    <row r="430" spans="1:14">
      <c r="A430" s="6"/>
      <c r="B430" s="6"/>
      <c r="C430" s="6"/>
      <c r="D430" s="6"/>
      <c r="F430" s="6"/>
      <c r="H430" s="6"/>
      <c r="J430" s="6"/>
      <c r="L430" s="6"/>
      <c r="N430" s="6"/>
    </row>
    <row r="431" spans="1:14">
      <c r="A431" s="6"/>
      <c r="B431" s="6"/>
      <c r="C431" s="6"/>
      <c r="D431" s="6"/>
      <c r="F431" s="6"/>
      <c r="H431" s="6"/>
      <c r="J431" s="6"/>
      <c r="L431" s="6"/>
      <c r="N431" s="6"/>
    </row>
    <row r="432" spans="1:14">
      <c r="A432" s="6"/>
      <c r="B432" s="6"/>
      <c r="C432" s="6"/>
      <c r="D432" s="6"/>
      <c r="F432" s="6"/>
      <c r="H432" s="6"/>
      <c r="J432" s="6"/>
      <c r="L432" s="6"/>
      <c r="N432" s="6"/>
    </row>
    <row r="433" spans="1:14">
      <c r="A433" s="6"/>
      <c r="B433" s="6"/>
      <c r="C433" s="6"/>
      <c r="D433" s="6"/>
      <c r="F433" s="6"/>
      <c r="H433" s="6"/>
      <c r="J433" s="6"/>
      <c r="L433" s="6"/>
      <c r="N433" s="6"/>
    </row>
    <row r="434" spans="1:14">
      <c r="A434" s="6"/>
      <c r="B434" s="6"/>
      <c r="C434" s="6"/>
      <c r="D434" s="6"/>
      <c r="F434" s="6"/>
      <c r="H434" s="6"/>
      <c r="J434" s="6"/>
      <c r="L434" s="6"/>
      <c r="N434" s="6"/>
    </row>
    <row r="435" spans="1:14">
      <c r="A435" s="6"/>
      <c r="B435" s="6"/>
      <c r="C435" s="6"/>
      <c r="D435" s="6"/>
      <c r="F435" s="6"/>
      <c r="H435" s="6"/>
      <c r="J435" s="6"/>
      <c r="L435" s="6"/>
      <c r="N435" s="6"/>
    </row>
    <row r="436" spans="1:14">
      <c r="A436" s="6"/>
      <c r="B436" s="6"/>
      <c r="C436" s="6"/>
      <c r="D436" s="6"/>
      <c r="F436" s="6"/>
      <c r="H436" s="6"/>
      <c r="J436" s="6"/>
      <c r="L436" s="6"/>
      <c r="N436" s="6"/>
    </row>
    <row r="437" spans="1:14">
      <c r="A437" s="6"/>
      <c r="B437" s="6"/>
      <c r="C437" s="6"/>
      <c r="D437" s="6"/>
      <c r="F437" s="6"/>
      <c r="H437" s="6"/>
      <c r="J437" s="6"/>
      <c r="L437" s="6"/>
      <c r="N437" s="6"/>
    </row>
    <row r="438" spans="1:14">
      <c r="A438" s="6"/>
      <c r="B438" s="6"/>
      <c r="C438" s="6"/>
      <c r="D438" s="6"/>
      <c r="F438" s="6"/>
      <c r="H438" s="6"/>
      <c r="J438" s="6"/>
      <c r="L438" s="6"/>
      <c r="N438" s="6"/>
    </row>
    <row r="439" spans="1:14">
      <c r="A439" s="6"/>
      <c r="B439" s="6"/>
      <c r="C439" s="6"/>
      <c r="D439" s="6"/>
      <c r="F439" s="6"/>
      <c r="H439" s="6"/>
      <c r="J439" s="6"/>
      <c r="L439" s="6"/>
      <c r="N439" s="6"/>
    </row>
    <row r="440" spans="1:14">
      <c r="A440" s="6"/>
      <c r="B440" s="6"/>
      <c r="C440" s="6"/>
      <c r="D440" s="6"/>
      <c r="F440" s="6"/>
      <c r="H440" s="6"/>
      <c r="J440" s="6"/>
      <c r="L440" s="6"/>
      <c r="N440" s="6"/>
    </row>
    <row r="441" spans="1:14">
      <c r="A441" s="6"/>
      <c r="B441" s="6"/>
      <c r="C441" s="6"/>
      <c r="D441" s="6"/>
      <c r="F441" s="6"/>
      <c r="H441" s="6"/>
      <c r="J441" s="6"/>
      <c r="L441" s="6"/>
      <c r="N441" s="6"/>
    </row>
    <row r="442" spans="1:14">
      <c r="A442" s="6"/>
      <c r="B442" s="6"/>
      <c r="C442" s="6"/>
      <c r="D442" s="6"/>
      <c r="F442" s="6"/>
      <c r="H442" s="6"/>
      <c r="J442" s="6"/>
      <c r="L442" s="6"/>
      <c r="N442" s="6"/>
    </row>
    <row r="443" spans="1:14">
      <c r="A443" s="6"/>
      <c r="B443" s="6"/>
      <c r="C443" s="6"/>
      <c r="D443" s="6"/>
      <c r="F443" s="6"/>
      <c r="H443" s="6"/>
      <c r="J443" s="6"/>
      <c r="L443" s="6"/>
      <c r="N443" s="6"/>
    </row>
    <row r="444" spans="1:14">
      <c r="A444" s="6"/>
      <c r="B444" s="6"/>
      <c r="C444" s="6"/>
      <c r="D444" s="6"/>
      <c r="F444" s="6"/>
      <c r="H444" s="6"/>
      <c r="J444" s="6"/>
      <c r="L444" s="6"/>
      <c r="N444" s="6"/>
    </row>
    <row r="445" spans="1:14">
      <c r="A445" s="6"/>
      <c r="B445" s="6"/>
      <c r="C445" s="6"/>
      <c r="D445" s="6"/>
      <c r="F445" s="6"/>
      <c r="H445" s="6"/>
      <c r="J445" s="6"/>
      <c r="L445" s="6"/>
      <c r="N445" s="6"/>
    </row>
    <row r="446" spans="1:14">
      <c r="A446" s="6"/>
      <c r="B446" s="6"/>
      <c r="C446" s="6"/>
      <c r="D446" s="6"/>
      <c r="F446" s="6"/>
      <c r="H446" s="6"/>
      <c r="J446" s="6"/>
      <c r="L446" s="6"/>
      <c r="N446" s="6"/>
    </row>
    <row r="447" spans="1:14">
      <c r="A447" s="6"/>
      <c r="B447" s="6"/>
      <c r="C447" s="6"/>
      <c r="D447" s="6"/>
      <c r="F447" s="6"/>
      <c r="H447" s="6"/>
      <c r="J447" s="6"/>
      <c r="L447" s="6"/>
      <c r="N447" s="6"/>
    </row>
    <row r="448" spans="1:14">
      <c r="A448" s="6"/>
      <c r="B448" s="6"/>
      <c r="C448" s="6"/>
      <c r="D448" s="6"/>
      <c r="F448" s="6"/>
      <c r="H448" s="6"/>
      <c r="J448" s="6"/>
      <c r="L448" s="6"/>
      <c r="N448" s="6"/>
    </row>
    <row r="449" spans="1:14">
      <c r="A449" s="6"/>
      <c r="B449" s="6"/>
      <c r="C449" s="6"/>
      <c r="D449" s="6"/>
      <c r="F449" s="6"/>
      <c r="H449" s="6"/>
      <c r="J449" s="6"/>
      <c r="L449" s="6"/>
      <c r="N449" s="6"/>
    </row>
    <row r="450" spans="1:14">
      <c r="A450" s="6"/>
      <c r="B450" s="6"/>
      <c r="C450" s="6"/>
      <c r="D450" s="6"/>
      <c r="F450" s="6"/>
      <c r="H450" s="6"/>
      <c r="J450" s="6"/>
      <c r="L450" s="6"/>
      <c r="N450" s="6"/>
    </row>
    <row r="451" spans="1:14">
      <c r="A451" s="6"/>
      <c r="B451" s="6"/>
      <c r="C451" s="6"/>
      <c r="D451" s="6"/>
      <c r="F451" s="6"/>
      <c r="H451" s="6"/>
      <c r="J451" s="6"/>
      <c r="L451" s="6"/>
      <c r="N451" s="6"/>
    </row>
    <row r="452" spans="1:14">
      <c r="A452" s="6"/>
      <c r="B452" s="6"/>
      <c r="C452" s="6"/>
      <c r="D452" s="6"/>
      <c r="F452" s="6"/>
      <c r="H452" s="6"/>
      <c r="J452" s="6"/>
      <c r="L452" s="6"/>
      <c r="N452" s="6"/>
    </row>
    <row r="453" spans="1:14">
      <c r="A453" s="6"/>
      <c r="B453" s="6"/>
      <c r="C453" s="6"/>
      <c r="D453" s="6"/>
      <c r="F453" s="6"/>
      <c r="H453" s="6"/>
      <c r="J453" s="6"/>
      <c r="L453" s="6"/>
      <c r="N453" s="6"/>
    </row>
    <row r="454" spans="1:14">
      <c r="A454" s="6"/>
      <c r="B454" s="6"/>
      <c r="C454" s="6"/>
      <c r="D454" s="6"/>
      <c r="F454" s="6"/>
      <c r="H454" s="6"/>
      <c r="J454" s="6"/>
      <c r="L454" s="6"/>
      <c r="N454" s="6"/>
    </row>
    <row r="455" spans="1:14">
      <c r="A455" s="6"/>
      <c r="B455" s="6"/>
      <c r="C455" s="6"/>
      <c r="D455" s="6"/>
      <c r="F455" s="6"/>
      <c r="H455" s="6"/>
      <c r="J455" s="6"/>
      <c r="L455" s="6"/>
      <c r="N455" s="6"/>
    </row>
    <row r="456" spans="1:14">
      <c r="A456" s="6"/>
      <c r="B456" s="6"/>
      <c r="C456" s="6"/>
      <c r="D456" s="6"/>
      <c r="F456" s="6"/>
      <c r="H456" s="6"/>
      <c r="J456" s="6"/>
      <c r="L456" s="6"/>
      <c r="N456" s="6"/>
    </row>
    <row r="457" spans="1:14">
      <c r="A457" s="6"/>
      <c r="B457" s="6"/>
      <c r="C457" s="6"/>
      <c r="D457" s="6"/>
      <c r="F457" s="6"/>
      <c r="H457" s="6"/>
      <c r="J457" s="6"/>
      <c r="L457" s="6"/>
      <c r="N457" s="6"/>
    </row>
    <row r="458" spans="1:14">
      <c r="A458" s="6"/>
      <c r="B458" s="6"/>
      <c r="C458" s="6"/>
      <c r="D458" s="6"/>
      <c r="F458" s="6"/>
      <c r="H458" s="6"/>
      <c r="J458" s="6"/>
      <c r="L458" s="6"/>
      <c r="N458" s="6"/>
    </row>
    <row r="459" spans="1:14">
      <c r="A459" s="6"/>
      <c r="B459" s="6"/>
      <c r="C459" s="6"/>
      <c r="D459" s="6"/>
      <c r="F459" s="6"/>
      <c r="H459" s="6"/>
      <c r="J459" s="6"/>
      <c r="L459" s="6"/>
      <c r="N459" s="6"/>
    </row>
    <row r="460" spans="1:14">
      <c r="A460" s="6"/>
      <c r="B460" s="6"/>
      <c r="C460" s="6"/>
      <c r="D460" s="6"/>
      <c r="F460" s="6"/>
      <c r="H460" s="6"/>
      <c r="J460" s="6"/>
      <c r="L460" s="6"/>
      <c r="N460" s="6"/>
    </row>
    <row r="461" spans="1:14">
      <c r="A461" s="6"/>
      <c r="B461" s="6"/>
      <c r="C461" s="6"/>
      <c r="D461" s="6"/>
      <c r="F461" s="6"/>
      <c r="H461" s="6"/>
      <c r="J461" s="6"/>
      <c r="L461" s="6"/>
      <c r="N461" s="6"/>
    </row>
    <row r="462" spans="1:14">
      <c r="A462" s="6"/>
      <c r="B462" s="6"/>
      <c r="C462" s="6"/>
      <c r="D462" s="6"/>
      <c r="F462" s="6"/>
      <c r="H462" s="6"/>
      <c r="J462" s="6"/>
      <c r="L462" s="6"/>
      <c r="N462" s="6"/>
    </row>
    <row r="463" spans="1:14">
      <c r="A463" s="6"/>
      <c r="B463" s="6"/>
      <c r="C463" s="6"/>
      <c r="D463" s="6"/>
      <c r="F463" s="6"/>
      <c r="H463" s="6"/>
      <c r="J463" s="6"/>
      <c r="L463" s="6"/>
      <c r="N463" s="6"/>
    </row>
    <row r="464" spans="1:14">
      <c r="A464" s="6"/>
      <c r="B464" s="6"/>
      <c r="C464" s="6"/>
      <c r="D464" s="6"/>
      <c r="F464" s="6"/>
      <c r="H464" s="6"/>
      <c r="J464" s="6"/>
      <c r="L464" s="6"/>
      <c r="N464" s="6"/>
    </row>
    <row r="465" spans="1:14">
      <c r="A465" s="6"/>
      <c r="B465" s="6"/>
      <c r="C465" s="6"/>
      <c r="D465" s="6"/>
      <c r="F465" s="6"/>
      <c r="H465" s="6"/>
      <c r="J465" s="6"/>
      <c r="L465" s="6"/>
      <c r="N465" s="6"/>
    </row>
    <row r="466" spans="1:14">
      <c r="A466" s="6"/>
      <c r="B466" s="6"/>
      <c r="C466" s="6"/>
      <c r="D466" s="6"/>
      <c r="F466" s="6"/>
      <c r="H466" s="6"/>
      <c r="J466" s="6"/>
      <c r="L466" s="6"/>
      <c r="N466" s="6"/>
    </row>
    <row r="467" spans="1:14">
      <c r="A467" s="6"/>
      <c r="B467" s="6"/>
      <c r="C467" s="6"/>
      <c r="D467" s="6"/>
      <c r="F467" s="6"/>
      <c r="H467" s="6"/>
      <c r="J467" s="6"/>
      <c r="L467" s="6"/>
      <c r="N467" s="6"/>
    </row>
    <row r="468" spans="1:14">
      <c r="A468" s="6"/>
      <c r="B468" s="6"/>
      <c r="C468" s="6"/>
      <c r="D468" s="6"/>
      <c r="F468" s="6"/>
      <c r="H468" s="6"/>
      <c r="J468" s="6"/>
      <c r="L468" s="6"/>
      <c r="N468" s="6"/>
    </row>
    <row r="469" spans="1:14">
      <c r="A469" s="6"/>
      <c r="B469" s="6"/>
      <c r="C469" s="6"/>
      <c r="D469" s="6"/>
      <c r="F469" s="6"/>
      <c r="H469" s="6"/>
      <c r="J469" s="6"/>
      <c r="L469" s="6"/>
      <c r="N469" s="6"/>
    </row>
    <row r="470" spans="1:14">
      <c r="A470" s="6"/>
      <c r="B470" s="6"/>
      <c r="C470" s="6"/>
      <c r="D470" s="6"/>
      <c r="F470" s="6"/>
      <c r="H470" s="6"/>
      <c r="J470" s="6"/>
      <c r="L470" s="6"/>
      <c r="N470" s="6"/>
    </row>
    <row r="471" spans="1:14">
      <c r="A471" s="6"/>
      <c r="B471" s="6"/>
      <c r="C471" s="6"/>
      <c r="D471" s="6"/>
      <c r="F471" s="6"/>
      <c r="H471" s="6"/>
      <c r="J471" s="6"/>
      <c r="L471" s="6"/>
      <c r="N471" s="6"/>
    </row>
    <row r="472" spans="1:14">
      <c r="A472" s="6"/>
      <c r="B472" s="6"/>
      <c r="C472" s="6"/>
      <c r="D472" s="6"/>
      <c r="F472" s="6"/>
      <c r="H472" s="6"/>
      <c r="J472" s="6"/>
      <c r="L472" s="6"/>
      <c r="N472" s="6"/>
    </row>
    <row r="473" spans="1:14">
      <c r="A473" s="6"/>
      <c r="B473" s="6"/>
      <c r="C473" s="6"/>
      <c r="D473" s="6"/>
      <c r="F473" s="6"/>
      <c r="H473" s="6"/>
      <c r="J473" s="6"/>
      <c r="L473" s="6"/>
      <c r="N473" s="6"/>
    </row>
    <row r="474" spans="1:14">
      <c r="A474" s="6"/>
      <c r="B474" s="6"/>
      <c r="C474" s="6"/>
      <c r="D474" s="6"/>
      <c r="F474" s="6"/>
      <c r="H474" s="6"/>
      <c r="J474" s="6"/>
      <c r="L474" s="6"/>
      <c r="N474" s="6"/>
    </row>
    <row r="475" spans="1:14">
      <c r="A475" s="6"/>
      <c r="B475" s="6"/>
      <c r="C475" s="6"/>
      <c r="D475" s="6"/>
      <c r="F475" s="6"/>
      <c r="H475" s="6"/>
      <c r="J475" s="6"/>
      <c r="L475" s="6"/>
      <c r="N475" s="6"/>
    </row>
    <row r="476" spans="1:14">
      <c r="A476" s="6"/>
      <c r="B476" s="6"/>
      <c r="C476" s="6"/>
      <c r="D476" s="6"/>
      <c r="F476" s="6"/>
      <c r="H476" s="6"/>
      <c r="J476" s="6"/>
      <c r="L476" s="6"/>
      <c r="N476" s="6"/>
    </row>
    <row r="477" spans="1:14">
      <c r="A477" s="6"/>
      <c r="B477" s="6"/>
      <c r="C477" s="6"/>
      <c r="D477" s="6"/>
      <c r="F477" s="6"/>
      <c r="H477" s="6"/>
      <c r="J477" s="6"/>
      <c r="L477" s="6"/>
      <c r="N477" s="6"/>
    </row>
    <row r="478" spans="1:14">
      <c r="A478" s="6"/>
      <c r="B478" s="6"/>
      <c r="C478" s="6"/>
      <c r="D478" s="6"/>
      <c r="F478" s="6"/>
      <c r="H478" s="6"/>
      <c r="J478" s="6"/>
      <c r="L478" s="6"/>
      <c r="N478" s="6"/>
    </row>
    <row r="479" spans="1:14">
      <c r="A479" s="6"/>
      <c r="B479" s="6"/>
      <c r="C479" s="6"/>
      <c r="D479" s="6"/>
      <c r="F479" s="6"/>
      <c r="H479" s="6"/>
      <c r="J479" s="6"/>
      <c r="L479" s="6"/>
      <c r="N479" s="6"/>
    </row>
    <row r="480" spans="1:14">
      <c r="A480" s="6"/>
      <c r="B480" s="6"/>
      <c r="C480" s="6"/>
      <c r="D480" s="6"/>
      <c r="F480" s="6"/>
      <c r="H480" s="6"/>
      <c r="J480" s="6"/>
      <c r="L480" s="6"/>
      <c r="N480" s="6"/>
    </row>
    <row r="481" spans="1:14">
      <c r="A481" s="6"/>
      <c r="B481" s="6"/>
      <c r="C481" s="6"/>
      <c r="D481" s="6"/>
      <c r="F481" s="6"/>
      <c r="H481" s="6"/>
      <c r="J481" s="6"/>
      <c r="L481" s="6"/>
      <c r="N481" s="6"/>
    </row>
    <row r="482" spans="1:14">
      <c r="A482" s="6"/>
      <c r="B482" s="6"/>
      <c r="C482" s="6"/>
      <c r="D482" s="6"/>
      <c r="F482" s="6"/>
      <c r="H482" s="6"/>
      <c r="J482" s="6"/>
      <c r="L482" s="6"/>
      <c r="N482" s="6"/>
    </row>
    <row r="483" spans="1:14">
      <c r="A483" s="6"/>
      <c r="B483" s="6"/>
      <c r="C483" s="6"/>
      <c r="D483" s="6"/>
      <c r="F483" s="6"/>
      <c r="H483" s="6"/>
      <c r="J483" s="6"/>
      <c r="L483" s="6"/>
      <c r="N483" s="6"/>
    </row>
    <row r="484" spans="1:14">
      <c r="A484" s="6"/>
      <c r="B484" s="6"/>
      <c r="C484" s="6"/>
      <c r="D484" s="6"/>
      <c r="F484" s="6"/>
      <c r="H484" s="6"/>
      <c r="J484" s="6"/>
      <c r="L484" s="6"/>
      <c r="N484" s="6"/>
    </row>
    <row r="485" spans="1:14">
      <c r="A485" s="6"/>
      <c r="B485" s="6"/>
      <c r="C485" s="6"/>
      <c r="D485" s="6"/>
      <c r="F485" s="6"/>
      <c r="H485" s="6"/>
      <c r="J485" s="6"/>
      <c r="L485" s="6"/>
      <c r="N485" s="6"/>
    </row>
    <row r="486" spans="1:14">
      <c r="A486" s="6"/>
      <c r="B486" s="6"/>
      <c r="C486" s="6"/>
      <c r="D486" s="6"/>
      <c r="F486" s="6"/>
      <c r="H486" s="6"/>
      <c r="J486" s="6"/>
      <c r="L486" s="6"/>
      <c r="N486" s="6"/>
    </row>
    <row r="487" spans="1:14">
      <c r="A487" s="6"/>
      <c r="B487" s="6"/>
      <c r="C487" s="6"/>
      <c r="D487" s="6"/>
      <c r="F487" s="6"/>
      <c r="H487" s="6"/>
      <c r="J487" s="6"/>
      <c r="L487" s="6"/>
      <c r="N487" s="6"/>
    </row>
    <row r="488" spans="1:14">
      <c r="A488" s="6"/>
      <c r="B488" s="6"/>
      <c r="C488" s="6"/>
      <c r="D488" s="6"/>
      <c r="F488" s="6"/>
      <c r="H488" s="6"/>
      <c r="J488" s="6"/>
      <c r="L488" s="6"/>
      <c r="N488" s="6"/>
    </row>
    <row r="489" spans="1:14">
      <c r="A489" s="6"/>
      <c r="B489" s="6"/>
      <c r="C489" s="6"/>
      <c r="D489" s="6"/>
      <c r="F489" s="6"/>
      <c r="H489" s="6"/>
      <c r="J489" s="6"/>
      <c r="L489" s="6"/>
      <c r="N489" s="6"/>
    </row>
    <row r="490" spans="1:14">
      <c r="A490" s="6"/>
      <c r="B490" s="6"/>
      <c r="C490" s="6"/>
      <c r="D490" s="6"/>
      <c r="F490" s="6"/>
      <c r="H490" s="6"/>
      <c r="J490" s="6"/>
      <c r="L490" s="6"/>
      <c r="N490" s="6"/>
    </row>
    <row r="491" spans="1:14">
      <c r="A491" s="6"/>
      <c r="B491" s="6"/>
      <c r="C491" s="6"/>
      <c r="D491" s="6"/>
      <c r="F491" s="6"/>
      <c r="H491" s="6"/>
      <c r="J491" s="6"/>
      <c r="L491" s="6"/>
      <c r="N491" s="6"/>
    </row>
    <row r="492" spans="1:14">
      <c r="A492" s="6"/>
      <c r="B492" s="6"/>
      <c r="C492" s="6"/>
      <c r="D492" s="6"/>
      <c r="F492" s="6"/>
      <c r="H492" s="6"/>
      <c r="J492" s="6"/>
      <c r="L492" s="6"/>
      <c r="N492" s="6"/>
    </row>
    <row r="493" spans="1:14">
      <c r="A493" s="6"/>
      <c r="B493" s="6"/>
      <c r="C493" s="6"/>
      <c r="D493" s="6"/>
      <c r="F493" s="6"/>
      <c r="H493" s="6"/>
      <c r="J493" s="6"/>
      <c r="L493" s="6"/>
      <c r="N493" s="6"/>
    </row>
    <row r="494" spans="1:14">
      <c r="A494" s="6"/>
      <c r="B494" s="6"/>
      <c r="C494" s="6"/>
      <c r="D494" s="6"/>
      <c r="F494" s="6"/>
      <c r="H494" s="6"/>
      <c r="J494" s="6"/>
      <c r="L494" s="6"/>
      <c r="N494" s="6"/>
    </row>
    <row r="495" spans="1:14">
      <c r="A495" s="6"/>
      <c r="B495" s="6"/>
      <c r="C495" s="6"/>
      <c r="D495" s="6"/>
      <c r="F495" s="6"/>
      <c r="H495" s="6"/>
      <c r="J495" s="6"/>
      <c r="L495" s="6"/>
      <c r="N495" s="6"/>
    </row>
    <row r="496" spans="1:14">
      <c r="A496" s="6"/>
      <c r="B496" s="6"/>
      <c r="C496" s="6"/>
      <c r="D496" s="6"/>
      <c r="F496" s="6"/>
      <c r="H496" s="6"/>
      <c r="J496" s="6"/>
      <c r="L496" s="6"/>
      <c r="N496" s="6"/>
    </row>
    <row r="497" spans="1:14">
      <c r="A497" s="6"/>
      <c r="B497" s="6"/>
      <c r="C497" s="6"/>
      <c r="D497" s="6"/>
      <c r="F497" s="6"/>
      <c r="H497" s="6"/>
      <c r="J497" s="6"/>
      <c r="L497" s="6"/>
      <c r="N497" s="6"/>
    </row>
    <row r="498" spans="1:14">
      <c r="A498" s="6"/>
      <c r="B498" s="6"/>
      <c r="C498" s="6"/>
      <c r="D498" s="6"/>
      <c r="F498" s="6"/>
      <c r="H498" s="6"/>
      <c r="J498" s="6"/>
      <c r="L498" s="6"/>
      <c r="N498" s="6"/>
    </row>
    <row r="499" spans="1:14">
      <c r="A499" s="6"/>
      <c r="B499" s="6"/>
      <c r="C499" s="6"/>
      <c r="D499" s="6"/>
      <c r="F499" s="6"/>
      <c r="H499" s="6"/>
      <c r="J499" s="6"/>
      <c r="L499" s="6"/>
      <c r="N499" s="6"/>
    </row>
    <row r="500" spans="1:14">
      <c r="A500" s="6"/>
      <c r="B500" s="6"/>
      <c r="C500" s="6"/>
      <c r="D500" s="6"/>
      <c r="F500" s="6"/>
      <c r="H500" s="6"/>
      <c r="J500" s="6"/>
      <c r="L500" s="6"/>
      <c r="N500" s="6"/>
    </row>
    <row r="501" spans="1:14">
      <c r="A501" s="6"/>
      <c r="B501" s="6"/>
      <c r="C501" s="6"/>
      <c r="D501" s="6"/>
      <c r="F501" s="6"/>
      <c r="H501" s="6"/>
      <c r="J501" s="6"/>
      <c r="L501" s="6"/>
      <c r="N501" s="6"/>
    </row>
    <row r="502" spans="1:14">
      <c r="A502" s="6"/>
      <c r="B502" s="6"/>
      <c r="C502" s="6"/>
      <c r="D502" s="6"/>
      <c r="F502" s="6"/>
      <c r="H502" s="6"/>
      <c r="J502" s="6"/>
      <c r="L502" s="6"/>
      <c r="N502" s="6"/>
    </row>
    <row r="503" spans="1:14">
      <c r="A503" s="6"/>
      <c r="B503" s="6"/>
      <c r="C503" s="6"/>
      <c r="D503" s="6"/>
      <c r="F503" s="6"/>
      <c r="H503" s="6"/>
      <c r="J503" s="6"/>
      <c r="L503" s="6"/>
      <c r="N503" s="6"/>
    </row>
    <row r="504" spans="1:14">
      <c r="A504" s="6"/>
      <c r="B504" s="6"/>
      <c r="C504" s="6"/>
      <c r="D504" s="6"/>
      <c r="F504" s="6"/>
      <c r="H504" s="6"/>
      <c r="J504" s="6"/>
      <c r="L504" s="6"/>
      <c r="N504" s="6"/>
    </row>
    <row r="505" spans="1:14">
      <c r="A505" s="6"/>
      <c r="B505" s="6"/>
      <c r="C505" s="6"/>
      <c r="D505" s="6"/>
      <c r="F505" s="6"/>
      <c r="H505" s="6"/>
      <c r="J505" s="6"/>
      <c r="L505" s="6"/>
      <c r="N505" s="6"/>
    </row>
    <row r="506" spans="1:14">
      <c r="A506" s="6"/>
      <c r="B506" s="6"/>
      <c r="C506" s="6"/>
      <c r="D506" s="6"/>
      <c r="F506" s="6"/>
      <c r="H506" s="6"/>
      <c r="J506" s="6"/>
      <c r="L506" s="6"/>
      <c r="N506" s="6"/>
    </row>
    <row r="507" spans="1:14">
      <c r="A507" s="6"/>
      <c r="B507" s="6"/>
      <c r="C507" s="6"/>
      <c r="D507" s="6"/>
      <c r="F507" s="6"/>
      <c r="H507" s="6"/>
      <c r="J507" s="6"/>
      <c r="L507" s="6"/>
      <c r="N507" s="6"/>
    </row>
    <row r="508" spans="1:14">
      <c r="A508" s="6"/>
      <c r="B508" s="6"/>
      <c r="C508" s="6"/>
      <c r="D508" s="6"/>
      <c r="F508" s="6"/>
      <c r="H508" s="6"/>
      <c r="J508" s="6"/>
      <c r="L508" s="6"/>
      <c r="N508" s="6"/>
    </row>
    <row r="509" spans="1:14">
      <c r="A509" s="6"/>
      <c r="B509" s="6"/>
      <c r="C509" s="6"/>
      <c r="D509" s="6"/>
      <c r="F509" s="6"/>
      <c r="H509" s="6"/>
      <c r="J509" s="6"/>
      <c r="L509" s="6"/>
      <c r="N509" s="6"/>
    </row>
    <row r="510" spans="1:14">
      <c r="A510" s="6"/>
      <c r="B510" s="6"/>
      <c r="C510" s="6"/>
      <c r="D510" s="6"/>
      <c r="F510" s="6"/>
      <c r="H510" s="6"/>
      <c r="J510" s="6"/>
      <c r="L510" s="6"/>
      <c r="N510" s="6"/>
    </row>
    <row r="511" spans="1:14">
      <c r="A511" s="6"/>
      <c r="B511" s="6"/>
      <c r="C511" s="6"/>
      <c r="D511" s="6"/>
      <c r="F511" s="6"/>
      <c r="H511" s="6"/>
      <c r="J511" s="6"/>
      <c r="L511" s="6"/>
      <c r="N511" s="6"/>
    </row>
    <row r="512" spans="1:14">
      <c r="A512" s="6"/>
      <c r="B512" s="6"/>
      <c r="C512" s="6"/>
      <c r="D512" s="6"/>
      <c r="F512" s="6"/>
      <c r="H512" s="6"/>
      <c r="J512" s="6"/>
      <c r="L512" s="6"/>
      <c r="N512" s="6"/>
    </row>
    <row r="513" spans="1:14">
      <c r="A513" s="6"/>
      <c r="B513" s="6"/>
      <c r="C513" s="6"/>
      <c r="D513" s="6"/>
      <c r="F513" s="6"/>
      <c r="H513" s="6"/>
      <c r="J513" s="6"/>
      <c r="L513" s="6"/>
      <c r="N513" s="6"/>
    </row>
    <row r="514" spans="1:14">
      <c r="A514" s="6"/>
      <c r="B514" s="6"/>
      <c r="C514" s="6"/>
      <c r="D514" s="6"/>
      <c r="F514" s="6"/>
      <c r="H514" s="6"/>
      <c r="J514" s="6"/>
      <c r="L514" s="6"/>
      <c r="N514" s="6"/>
    </row>
    <row r="515" spans="1:14">
      <c r="A515" s="6"/>
      <c r="B515" s="6"/>
      <c r="C515" s="6"/>
      <c r="D515" s="6"/>
      <c r="F515" s="6"/>
      <c r="H515" s="6"/>
      <c r="J515" s="6"/>
      <c r="L515" s="6"/>
      <c r="N515" s="6"/>
    </row>
    <row r="516" spans="1:14">
      <c r="A516" s="6"/>
      <c r="B516" s="6"/>
      <c r="C516" s="6"/>
      <c r="D516" s="6"/>
      <c r="F516" s="6"/>
      <c r="H516" s="6"/>
      <c r="J516" s="6"/>
      <c r="L516" s="6"/>
      <c r="N516" s="6"/>
    </row>
    <row r="517" spans="1:14">
      <c r="A517" s="6"/>
      <c r="B517" s="6"/>
      <c r="C517" s="6"/>
      <c r="D517" s="6"/>
      <c r="F517" s="6"/>
      <c r="H517" s="6"/>
      <c r="J517" s="6"/>
      <c r="L517" s="6"/>
      <c r="N517" s="6"/>
    </row>
    <row r="518" spans="1:14">
      <c r="A518" s="6"/>
      <c r="B518" s="6"/>
      <c r="C518" s="6"/>
      <c r="D518" s="6"/>
      <c r="F518" s="6"/>
      <c r="H518" s="6"/>
      <c r="J518" s="6"/>
      <c r="L518" s="6"/>
      <c r="N518" s="6"/>
    </row>
    <row r="519" spans="1:14">
      <c r="A519" s="6"/>
      <c r="B519" s="6"/>
      <c r="C519" s="6"/>
      <c r="D519" s="6"/>
      <c r="F519" s="6"/>
      <c r="H519" s="6"/>
      <c r="J519" s="6"/>
      <c r="L519" s="6"/>
      <c r="N519" s="6"/>
    </row>
    <row r="520" spans="1:14">
      <c r="A520" s="6"/>
      <c r="B520" s="6"/>
      <c r="C520" s="6"/>
      <c r="D520" s="6"/>
      <c r="F520" s="6"/>
      <c r="H520" s="6"/>
      <c r="J520" s="6"/>
      <c r="L520" s="6"/>
      <c r="N520" s="6"/>
    </row>
    <row r="521" spans="1:14">
      <c r="A521" s="6"/>
      <c r="B521" s="6"/>
      <c r="C521" s="6"/>
      <c r="D521" s="6"/>
      <c r="F521" s="6"/>
      <c r="H521" s="6"/>
      <c r="J521" s="6"/>
      <c r="L521" s="6"/>
      <c r="N521" s="6"/>
    </row>
    <row r="522" spans="1:14">
      <c r="A522" s="6"/>
      <c r="B522" s="6"/>
      <c r="C522" s="6"/>
      <c r="D522" s="6"/>
      <c r="F522" s="6"/>
      <c r="H522" s="6"/>
      <c r="J522" s="6"/>
      <c r="L522" s="6"/>
      <c r="N522" s="6"/>
    </row>
    <row r="523" spans="1:14">
      <c r="A523" s="6"/>
      <c r="B523" s="6"/>
      <c r="C523" s="6"/>
      <c r="D523" s="6"/>
      <c r="F523" s="6"/>
      <c r="H523" s="6"/>
      <c r="J523" s="6"/>
      <c r="L523" s="6"/>
      <c r="N523" s="6"/>
    </row>
    <row r="524" spans="1:14">
      <c r="A524" s="6"/>
      <c r="B524" s="6"/>
      <c r="C524" s="6"/>
      <c r="D524" s="6"/>
      <c r="F524" s="6"/>
      <c r="H524" s="6"/>
      <c r="J524" s="6"/>
      <c r="L524" s="6"/>
      <c r="N524" s="6"/>
    </row>
    <row r="525" spans="1:14">
      <c r="A525" s="6"/>
      <c r="B525" s="6"/>
      <c r="C525" s="6"/>
      <c r="D525" s="6"/>
      <c r="F525" s="6"/>
      <c r="H525" s="6"/>
      <c r="J525" s="6"/>
      <c r="L525" s="6"/>
      <c r="N525" s="6"/>
    </row>
    <row r="526" spans="1:14">
      <c r="A526" s="6"/>
      <c r="B526" s="6"/>
      <c r="C526" s="6"/>
      <c r="D526" s="6"/>
      <c r="F526" s="6"/>
      <c r="H526" s="6"/>
      <c r="J526" s="6"/>
      <c r="L526" s="6"/>
      <c r="N526" s="6"/>
    </row>
    <row r="527" spans="1:14">
      <c r="A527" s="6"/>
      <c r="B527" s="6"/>
      <c r="C527" s="6"/>
      <c r="D527" s="6"/>
      <c r="F527" s="6"/>
      <c r="H527" s="6"/>
      <c r="J527" s="6"/>
      <c r="L527" s="6"/>
      <c r="N527" s="6"/>
    </row>
    <row r="528" spans="1:14">
      <c r="A528" s="6"/>
      <c r="B528" s="6"/>
      <c r="C528" s="6"/>
      <c r="D528" s="6"/>
      <c r="F528" s="6"/>
      <c r="H528" s="6"/>
      <c r="J528" s="6"/>
      <c r="L528" s="6"/>
      <c r="N528" s="6"/>
    </row>
    <row r="529" spans="1:14">
      <c r="A529" s="6"/>
      <c r="B529" s="6"/>
      <c r="C529" s="6"/>
      <c r="D529" s="6"/>
      <c r="F529" s="6"/>
      <c r="H529" s="6"/>
      <c r="J529" s="6"/>
      <c r="L529" s="6"/>
      <c r="N529" s="6"/>
    </row>
    <row r="530" spans="1:14">
      <c r="A530" s="6"/>
      <c r="B530" s="6"/>
      <c r="C530" s="6"/>
      <c r="D530" s="6"/>
      <c r="F530" s="6"/>
      <c r="H530" s="6"/>
      <c r="J530" s="6"/>
      <c r="L530" s="6"/>
      <c r="N530" s="6"/>
    </row>
    <row r="531" spans="1:14">
      <c r="A531" s="6"/>
      <c r="B531" s="6"/>
      <c r="C531" s="6"/>
      <c r="D531" s="6"/>
      <c r="F531" s="6"/>
      <c r="H531" s="6"/>
      <c r="J531" s="6"/>
      <c r="L531" s="6"/>
      <c r="N531" s="6"/>
    </row>
    <row r="532" spans="1:14">
      <c r="A532" s="6"/>
      <c r="B532" s="6"/>
      <c r="C532" s="6"/>
      <c r="D532" s="6"/>
      <c r="F532" s="6"/>
      <c r="H532" s="6"/>
      <c r="J532" s="6"/>
      <c r="L532" s="6"/>
      <c r="N532" s="6"/>
    </row>
    <row r="533" spans="1:14">
      <c r="A533" s="6"/>
      <c r="B533" s="6"/>
      <c r="C533" s="6"/>
      <c r="D533" s="6"/>
      <c r="F533" s="6"/>
      <c r="H533" s="6"/>
      <c r="J533" s="6"/>
      <c r="L533" s="6"/>
      <c r="N533" s="6"/>
    </row>
    <row r="534" spans="1:14">
      <c r="A534" s="6"/>
      <c r="B534" s="6"/>
      <c r="C534" s="6"/>
      <c r="D534" s="6"/>
      <c r="F534" s="6"/>
      <c r="H534" s="6"/>
      <c r="J534" s="6"/>
      <c r="L534" s="6"/>
      <c r="N534" s="6"/>
    </row>
    <row r="535" spans="1:14">
      <c r="A535" s="6"/>
      <c r="B535" s="6"/>
      <c r="C535" s="6"/>
      <c r="D535" s="6"/>
      <c r="F535" s="6"/>
      <c r="H535" s="6"/>
      <c r="J535" s="6"/>
      <c r="L535" s="6"/>
      <c r="N535" s="6"/>
    </row>
    <row r="536" spans="1:14">
      <c r="A536" s="6"/>
      <c r="B536" s="6"/>
      <c r="C536" s="6"/>
      <c r="D536" s="6"/>
      <c r="F536" s="6"/>
      <c r="H536" s="6"/>
      <c r="J536" s="6"/>
      <c r="L536" s="6"/>
      <c r="N536" s="6"/>
    </row>
    <row r="537" spans="1:14">
      <c r="A537" s="6"/>
      <c r="B537" s="6"/>
      <c r="C537" s="6"/>
      <c r="D537" s="6"/>
      <c r="F537" s="6"/>
      <c r="H537" s="6"/>
      <c r="J537" s="6"/>
      <c r="L537" s="6"/>
      <c r="N537" s="6"/>
    </row>
    <row r="538" spans="1:14">
      <c r="A538" s="6"/>
      <c r="B538" s="6"/>
      <c r="C538" s="6"/>
      <c r="D538" s="6"/>
      <c r="F538" s="6"/>
      <c r="H538" s="6"/>
      <c r="J538" s="6"/>
      <c r="L538" s="6"/>
      <c r="N538" s="6"/>
    </row>
    <row r="539" spans="1:14">
      <c r="A539" s="6"/>
      <c r="B539" s="6"/>
      <c r="C539" s="6"/>
      <c r="D539" s="6"/>
      <c r="F539" s="6"/>
      <c r="H539" s="6"/>
      <c r="J539" s="6"/>
      <c r="L539" s="6"/>
      <c r="N539" s="6"/>
    </row>
    <row r="540" spans="1:14">
      <c r="A540" s="6"/>
      <c r="B540" s="6"/>
      <c r="C540" s="6"/>
      <c r="D540" s="6"/>
      <c r="F540" s="6"/>
      <c r="H540" s="6"/>
      <c r="J540" s="6"/>
      <c r="L540" s="6"/>
      <c r="N540" s="6"/>
    </row>
    <row r="541" spans="1:14">
      <c r="A541" s="6"/>
      <c r="B541" s="6"/>
      <c r="C541" s="6"/>
      <c r="D541" s="6"/>
      <c r="F541" s="6"/>
      <c r="H541" s="6"/>
      <c r="J541" s="6"/>
      <c r="L541" s="6"/>
      <c r="N541" s="6"/>
    </row>
    <row r="542" spans="1:14">
      <c r="A542" s="6"/>
      <c r="B542" s="6"/>
      <c r="C542" s="6"/>
      <c r="D542" s="6"/>
      <c r="F542" s="6"/>
      <c r="H542" s="6"/>
      <c r="J542" s="6"/>
      <c r="L542" s="6"/>
      <c r="N542" s="6"/>
    </row>
    <row r="543" spans="1:14">
      <c r="A543" s="6"/>
      <c r="B543" s="6"/>
      <c r="C543" s="6"/>
      <c r="D543" s="6"/>
      <c r="F543" s="6"/>
      <c r="H543" s="6"/>
      <c r="J543" s="6"/>
      <c r="L543" s="6"/>
      <c r="N543" s="6"/>
    </row>
    <row r="544" spans="1:14">
      <c r="A544" s="6"/>
      <c r="B544" s="6"/>
      <c r="C544" s="6"/>
      <c r="D544" s="6"/>
      <c r="F544" s="6"/>
      <c r="H544" s="6"/>
      <c r="J544" s="6"/>
      <c r="L544" s="6"/>
      <c r="N544" s="6"/>
    </row>
    <row r="545" spans="1:14">
      <c r="A545" s="6"/>
      <c r="B545" s="6"/>
      <c r="C545" s="6"/>
      <c r="D545" s="6"/>
      <c r="F545" s="6"/>
      <c r="H545" s="6"/>
      <c r="J545" s="6"/>
      <c r="L545" s="6"/>
      <c r="N545" s="6"/>
    </row>
    <row r="546" spans="1:14">
      <c r="A546" s="6"/>
      <c r="B546" s="6"/>
      <c r="C546" s="6"/>
      <c r="D546" s="6"/>
      <c r="F546" s="6"/>
      <c r="H546" s="6"/>
      <c r="J546" s="6"/>
      <c r="L546" s="6"/>
      <c r="N546" s="6"/>
    </row>
    <row r="547" spans="1:14">
      <c r="A547" s="6"/>
      <c r="B547" s="6"/>
      <c r="C547" s="6"/>
      <c r="D547" s="6"/>
      <c r="F547" s="6"/>
      <c r="H547" s="6"/>
      <c r="J547" s="6"/>
      <c r="L547" s="6"/>
      <c r="N547" s="6"/>
    </row>
    <row r="548" spans="1:14">
      <c r="A548" s="6"/>
      <c r="B548" s="6"/>
      <c r="C548" s="6"/>
      <c r="D548" s="6"/>
      <c r="F548" s="6"/>
      <c r="H548" s="6"/>
      <c r="J548" s="6"/>
      <c r="L548" s="6"/>
      <c r="N548" s="6"/>
    </row>
    <row r="549" spans="1:14">
      <c r="A549" s="6"/>
      <c r="B549" s="6"/>
      <c r="C549" s="6"/>
      <c r="D549" s="6"/>
      <c r="F549" s="6"/>
      <c r="H549" s="6"/>
      <c r="J549" s="6"/>
      <c r="L549" s="6"/>
      <c r="N549" s="6"/>
    </row>
    <row r="550" spans="1:14">
      <c r="A550" s="6"/>
      <c r="B550" s="6"/>
      <c r="C550" s="6"/>
      <c r="D550" s="6"/>
      <c r="F550" s="6"/>
      <c r="H550" s="6"/>
      <c r="J550" s="6"/>
      <c r="L550" s="6"/>
      <c r="N550" s="6"/>
    </row>
    <row r="551" spans="1:14">
      <c r="A551" s="6"/>
      <c r="B551" s="6"/>
      <c r="C551" s="6"/>
      <c r="D551" s="6"/>
      <c r="F551" s="6"/>
      <c r="H551" s="6"/>
      <c r="J551" s="6"/>
      <c r="L551" s="6"/>
      <c r="N551" s="6"/>
    </row>
    <row r="552" spans="1:14">
      <c r="A552" s="6"/>
      <c r="B552" s="6"/>
      <c r="C552" s="6"/>
      <c r="D552" s="6"/>
      <c r="F552" s="6"/>
      <c r="H552" s="6"/>
      <c r="J552" s="6"/>
      <c r="L552" s="6"/>
      <c r="N552" s="6"/>
    </row>
    <row r="553" spans="1:14">
      <c r="A553" s="6"/>
      <c r="B553" s="6"/>
      <c r="C553" s="6"/>
      <c r="D553" s="6"/>
      <c r="F553" s="6"/>
      <c r="H553" s="6"/>
      <c r="J553" s="6"/>
      <c r="L553" s="6"/>
      <c r="N553" s="6"/>
    </row>
    <row r="554" spans="1:14">
      <c r="A554" s="6"/>
      <c r="B554" s="6"/>
      <c r="C554" s="6"/>
      <c r="D554" s="6"/>
      <c r="F554" s="6"/>
      <c r="H554" s="6"/>
      <c r="J554" s="6"/>
      <c r="L554" s="6"/>
      <c r="N554" s="6"/>
    </row>
    <row r="555" spans="1:14">
      <c r="A555" s="6"/>
      <c r="B555" s="6"/>
      <c r="C555" s="6"/>
      <c r="D555" s="6"/>
      <c r="F555" s="6"/>
      <c r="H555" s="6"/>
      <c r="J555" s="6"/>
      <c r="L555" s="6"/>
      <c r="N555" s="6"/>
    </row>
    <row r="556" spans="1:14">
      <c r="A556" s="6"/>
      <c r="B556" s="6"/>
      <c r="C556" s="6"/>
      <c r="D556" s="6"/>
      <c r="F556" s="6"/>
      <c r="H556" s="6"/>
      <c r="J556" s="6"/>
      <c r="L556" s="6"/>
      <c r="N556" s="6"/>
    </row>
    <row r="557" spans="1:14">
      <c r="A557" s="6"/>
      <c r="B557" s="6"/>
      <c r="C557" s="6"/>
      <c r="D557" s="6"/>
      <c r="F557" s="6"/>
      <c r="H557" s="6"/>
      <c r="J557" s="6"/>
      <c r="L557" s="6"/>
      <c r="N557" s="6"/>
    </row>
    <row r="558" spans="1:14">
      <c r="A558" s="6"/>
      <c r="B558" s="6"/>
      <c r="C558" s="6"/>
      <c r="D558" s="6"/>
      <c r="F558" s="6"/>
      <c r="H558" s="6"/>
      <c r="J558" s="6"/>
      <c r="L558" s="6"/>
      <c r="N558" s="6"/>
    </row>
    <row r="559" spans="1:14">
      <c r="A559" s="6"/>
      <c r="B559" s="6"/>
      <c r="C559" s="6"/>
      <c r="D559" s="6"/>
      <c r="F559" s="6"/>
      <c r="H559" s="6"/>
      <c r="J559" s="6"/>
      <c r="L559" s="6"/>
      <c r="N559" s="6"/>
    </row>
    <row r="560" spans="1:14">
      <c r="A560" s="6"/>
      <c r="B560" s="6"/>
      <c r="C560" s="6"/>
      <c r="D560" s="6"/>
      <c r="F560" s="6"/>
      <c r="H560" s="6"/>
      <c r="J560" s="6"/>
      <c r="L560" s="6"/>
      <c r="N560" s="6"/>
    </row>
    <row r="561" spans="1:14">
      <c r="A561" s="6"/>
      <c r="B561" s="6"/>
      <c r="C561" s="6"/>
      <c r="D561" s="6"/>
      <c r="F561" s="6"/>
      <c r="H561" s="6"/>
      <c r="J561" s="6"/>
      <c r="L561" s="6"/>
      <c r="N561" s="6"/>
    </row>
    <row r="562" spans="1:14">
      <c r="A562" s="6"/>
      <c r="B562" s="6"/>
      <c r="C562" s="6"/>
      <c r="D562" s="6"/>
      <c r="F562" s="6"/>
      <c r="H562" s="6"/>
      <c r="J562" s="6"/>
      <c r="L562" s="6"/>
      <c r="N562" s="6"/>
    </row>
    <row r="563" spans="1:14">
      <c r="A563" s="6"/>
      <c r="B563" s="6"/>
      <c r="C563" s="6"/>
      <c r="D563" s="6"/>
      <c r="F563" s="6"/>
      <c r="H563" s="6"/>
      <c r="J563" s="6"/>
      <c r="L563" s="6"/>
      <c r="N563" s="6"/>
    </row>
    <row r="564" spans="1:14">
      <c r="A564" s="6"/>
      <c r="B564" s="6"/>
      <c r="C564" s="6"/>
      <c r="D564" s="6"/>
      <c r="F564" s="6"/>
      <c r="H564" s="6"/>
      <c r="J564" s="6"/>
      <c r="L564" s="6"/>
      <c r="N564" s="6"/>
    </row>
    <row r="565" spans="1:14">
      <c r="A565" s="6"/>
      <c r="B565" s="6"/>
      <c r="C565" s="6"/>
      <c r="D565" s="6"/>
      <c r="F565" s="6"/>
      <c r="H565" s="6"/>
      <c r="J565" s="6"/>
      <c r="L565" s="6"/>
      <c r="N565" s="6"/>
    </row>
    <row r="566" spans="1:14">
      <c r="A566" s="6"/>
      <c r="B566" s="6"/>
      <c r="C566" s="6"/>
      <c r="D566" s="6"/>
      <c r="F566" s="6"/>
      <c r="H566" s="6"/>
      <c r="J566" s="6"/>
      <c r="L566" s="6"/>
      <c r="N566" s="6"/>
    </row>
    <row r="567" spans="1:14">
      <c r="A567" s="6"/>
      <c r="B567" s="6"/>
      <c r="C567" s="6"/>
      <c r="D567" s="6"/>
      <c r="F567" s="6"/>
      <c r="H567" s="6"/>
      <c r="J567" s="6"/>
      <c r="L567" s="6"/>
      <c r="N567" s="6"/>
    </row>
    <row r="568" spans="1:14">
      <c r="A568" s="6"/>
      <c r="B568" s="6"/>
      <c r="C568" s="6"/>
      <c r="D568" s="6"/>
      <c r="F568" s="6"/>
      <c r="H568" s="6"/>
      <c r="J568" s="6"/>
      <c r="L568" s="6"/>
      <c r="N568" s="6"/>
    </row>
    <row r="569" spans="1:14">
      <c r="A569" s="6"/>
      <c r="B569" s="6"/>
      <c r="C569" s="6"/>
      <c r="D569" s="6"/>
      <c r="F569" s="6"/>
      <c r="H569" s="6"/>
      <c r="J569" s="6"/>
      <c r="L569" s="6"/>
      <c r="N569" s="6"/>
    </row>
    <row r="570" spans="1:14">
      <c r="A570" s="6"/>
      <c r="B570" s="6"/>
      <c r="C570" s="6"/>
      <c r="D570" s="6"/>
      <c r="F570" s="6"/>
      <c r="H570" s="6"/>
      <c r="J570" s="6"/>
      <c r="L570" s="6"/>
      <c r="N570" s="6"/>
    </row>
    <row r="571" spans="1:14">
      <c r="A571" s="6"/>
      <c r="B571" s="6"/>
      <c r="C571" s="6"/>
      <c r="D571" s="6"/>
      <c r="F571" s="6"/>
      <c r="H571" s="6"/>
      <c r="J571" s="6"/>
      <c r="L571" s="6"/>
      <c r="N571" s="6"/>
    </row>
    <row r="572" spans="1:14">
      <c r="A572" s="6"/>
      <c r="B572" s="6"/>
      <c r="C572" s="6"/>
      <c r="D572" s="6"/>
      <c r="F572" s="6"/>
      <c r="H572" s="6"/>
      <c r="J572" s="6"/>
      <c r="L572" s="6"/>
      <c r="N572" s="6"/>
    </row>
    <row r="573" spans="1:14">
      <c r="A573" s="6"/>
      <c r="B573" s="6"/>
      <c r="C573" s="6"/>
      <c r="D573" s="6"/>
      <c r="F573" s="6"/>
      <c r="H573" s="6"/>
      <c r="J573" s="6"/>
      <c r="L573" s="6"/>
      <c r="N573" s="6"/>
    </row>
    <row r="574" spans="1:14">
      <c r="A574" s="6"/>
      <c r="B574" s="6"/>
      <c r="C574" s="6"/>
      <c r="D574" s="6"/>
      <c r="F574" s="6"/>
      <c r="H574" s="6"/>
      <c r="J574" s="6"/>
      <c r="L574" s="6"/>
      <c r="N574" s="6"/>
    </row>
    <row r="575" spans="1:14">
      <c r="A575" s="6"/>
      <c r="B575" s="6"/>
      <c r="C575" s="6"/>
      <c r="D575" s="6"/>
      <c r="F575" s="6"/>
      <c r="H575" s="6"/>
      <c r="J575" s="6"/>
      <c r="L575" s="6"/>
      <c r="N575" s="6"/>
    </row>
    <row r="576" spans="1:14">
      <c r="A576" s="6"/>
      <c r="B576" s="6"/>
      <c r="C576" s="6"/>
      <c r="D576" s="6"/>
      <c r="F576" s="6"/>
      <c r="H576" s="6"/>
      <c r="J576" s="6"/>
      <c r="L576" s="6"/>
      <c r="N576" s="6"/>
    </row>
    <row r="577" spans="1:14">
      <c r="A577" s="6"/>
      <c r="B577" s="6"/>
      <c r="C577" s="6"/>
      <c r="D577" s="6"/>
      <c r="F577" s="6"/>
      <c r="H577" s="6"/>
      <c r="J577" s="6"/>
      <c r="L577" s="6"/>
      <c r="N577" s="6"/>
    </row>
    <row r="578" spans="1:14">
      <c r="A578" s="6"/>
      <c r="B578" s="6"/>
      <c r="C578" s="6"/>
      <c r="D578" s="6"/>
      <c r="F578" s="6"/>
      <c r="H578" s="6"/>
      <c r="J578" s="6"/>
      <c r="L578" s="6"/>
      <c r="N578" s="6"/>
    </row>
    <row r="579" spans="1:14">
      <c r="A579" s="6"/>
      <c r="B579" s="6"/>
      <c r="C579" s="6"/>
      <c r="D579" s="6"/>
      <c r="F579" s="6"/>
      <c r="H579" s="6"/>
      <c r="J579" s="6"/>
      <c r="L579" s="6"/>
      <c r="N579" s="6"/>
    </row>
    <row r="580" spans="1:14">
      <c r="A580" s="6"/>
      <c r="B580" s="6"/>
      <c r="C580" s="6"/>
      <c r="D580" s="6"/>
      <c r="F580" s="6"/>
      <c r="H580" s="6"/>
      <c r="J580" s="6"/>
      <c r="L580" s="6"/>
      <c r="N580" s="6"/>
    </row>
    <row r="581" spans="1:14">
      <c r="A581" s="6"/>
      <c r="B581" s="6"/>
      <c r="C581" s="6"/>
      <c r="D581" s="6"/>
      <c r="F581" s="6"/>
      <c r="H581" s="6"/>
      <c r="J581" s="6"/>
      <c r="L581" s="6"/>
      <c r="N581" s="6"/>
    </row>
    <row r="582" spans="1:14">
      <c r="A582" s="6"/>
      <c r="B582" s="6"/>
      <c r="C582" s="6"/>
      <c r="D582" s="6"/>
      <c r="F582" s="6"/>
      <c r="H582" s="6"/>
      <c r="J582" s="6"/>
      <c r="L582" s="6"/>
      <c r="N582" s="6"/>
    </row>
    <row r="583" spans="1:14">
      <c r="A583" s="6"/>
      <c r="B583" s="6"/>
      <c r="C583" s="6"/>
      <c r="D583" s="6"/>
      <c r="F583" s="6"/>
      <c r="H583" s="6"/>
      <c r="J583" s="6"/>
      <c r="L583" s="6"/>
      <c r="N583" s="6"/>
    </row>
    <row r="584" spans="1:14">
      <c r="A584" s="6"/>
      <c r="B584" s="6"/>
      <c r="C584" s="6"/>
      <c r="D584" s="6"/>
      <c r="F584" s="6"/>
      <c r="H584" s="6"/>
      <c r="J584" s="6"/>
      <c r="L584" s="6"/>
      <c r="N584" s="6"/>
    </row>
    <row r="585" spans="1:14">
      <c r="A585" s="6"/>
      <c r="B585" s="6"/>
      <c r="C585" s="6"/>
      <c r="D585" s="6"/>
      <c r="F585" s="6"/>
      <c r="H585" s="6"/>
      <c r="J585" s="6"/>
      <c r="L585" s="6"/>
      <c r="N585" s="6"/>
    </row>
    <row r="586" spans="1:14">
      <c r="A586" s="6"/>
      <c r="B586" s="6"/>
      <c r="C586" s="6"/>
      <c r="D586" s="6"/>
      <c r="F586" s="6"/>
      <c r="H586" s="6"/>
      <c r="J586" s="6"/>
      <c r="L586" s="6"/>
      <c r="N586" s="6"/>
    </row>
    <row r="587" spans="1:14">
      <c r="A587" s="6"/>
      <c r="B587" s="6"/>
      <c r="C587" s="6"/>
      <c r="D587" s="6"/>
      <c r="F587" s="6"/>
      <c r="H587" s="6"/>
      <c r="J587" s="6"/>
      <c r="L587" s="6"/>
      <c r="N587" s="6"/>
    </row>
    <row r="588" spans="1:14">
      <c r="A588" s="6"/>
      <c r="B588" s="6"/>
      <c r="C588" s="6"/>
      <c r="D588" s="6"/>
      <c r="F588" s="6"/>
      <c r="H588" s="6"/>
      <c r="J588" s="6"/>
      <c r="L588" s="6"/>
      <c r="N588" s="6"/>
    </row>
    <row r="589" spans="1:14">
      <c r="A589" s="6"/>
      <c r="B589" s="6"/>
      <c r="C589" s="6"/>
      <c r="D589" s="6"/>
      <c r="F589" s="6"/>
      <c r="H589" s="6"/>
      <c r="J589" s="6"/>
      <c r="L589" s="6"/>
      <c r="N589" s="6"/>
    </row>
    <row r="590" spans="1:14">
      <c r="A590" s="6"/>
      <c r="B590" s="6"/>
      <c r="C590" s="6"/>
      <c r="D590" s="6"/>
      <c r="F590" s="6"/>
      <c r="H590" s="6"/>
      <c r="J590" s="6"/>
      <c r="L590" s="6"/>
      <c r="N590" s="6"/>
    </row>
    <row r="591" spans="1:14">
      <c r="A591" s="6"/>
      <c r="B591" s="6"/>
      <c r="C591" s="6"/>
      <c r="D591" s="6"/>
      <c r="F591" s="6"/>
      <c r="H591" s="6"/>
      <c r="J591" s="6"/>
      <c r="L591" s="6"/>
      <c r="N591" s="6"/>
    </row>
    <row r="592" spans="1:14">
      <c r="A592" s="6"/>
      <c r="B592" s="6"/>
      <c r="C592" s="6"/>
      <c r="D592" s="6"/>
      <c r="F592" s="6"/>
      <c r="H592" s="6"/>
      <c r="J592" s="6"/>
      <c r="L592" s="6"/>
      <c r="N592" s="6"/>
    </row>
    <row r="593" spans="1:14">
      <c r="A593" s="6"/>
      <c r="B593" s="6"/>
      <c r="C593" s="6"/>
      <c r="D593" s="6"/>
      <c r="F593" s="6"/>
      <c r="H593" s="6"/>
      <c r="J593" s="6"/>
      <c r="L593" s="6"/>
      <c r="N593" s="6"/>
    </row>
    <row r="594" spans="1:14">
      <c r="A594" s="6"/>
      <c r="B594" s="6"/>
      <c r="C594" s="6"/>
      <c r="D594" s="6"/>
      <c r="F594" s="6"/>
      <c r="H594" s="6"/>
      <c r="J594" s="6"/>
      <c r="L594" s="6"/>
      <c r="N594" s="6"/>
    </row>
    <row r="595" spans="1:14">
      <c r="A595" s="6"/>
      <c r="B595" s="6"/>
      <c r="C595" s="6"/>
      <c r="D595" s="6"/>
      <c r="F595" s="6"/>
      <c r="H595" s="6"/>
      <c r="J595" s="6"/>
      <c r="L595" s="6"/>
      <c r="N595" s="6"/>
    </row>
    <row r="596" spans="1:14">
      <c r="A596" s="6"/>
      <c r="B596" s="6"/>
      <c r="C596" s="6"/>
      <c r="D596" s="6"/>
      <c r="F596" s="6"/>
      <c r="H596" s="6"/>
      <c r="J596" s="6"/>
      <c r="L596" s="6"/>
      <c r="N596" s="6"/>
    </row>
    <row r="597" spans="1:14">
      <c r="A597" s="6"/>
      <c r="B597" s="6"/>
      <c r="C597" s="6"/>
      <c r="D597" s="6"/>
      <c r="F597" s="6"/>
      <c r="H597" s="6"/>
      <c r="J597" s="6"/>
      <c r="L597" s="6"/>
      <c r="N597" s="6"/>
    </row>
    <row r="598" spans="1:14">
      <c r="A598" s="6"/>
      <c r="B598" s="6"/>
      <c r="C598" s="6"/>
      <c r="D598" s="6"/>
      <c r="F598" s="6"/>
      <c r="H598" s="6"/>
      <c r="J598" s="6"/>
      <c r="L598" s="6"/>
      <c r="N598" s="6"/>
    </row>
    <row r="599" spans="1:14">
      <c r="A599" s="6"/>
      <c r="B599" s="6"/>
      <c r="C599" s="6"/>
      <c r="D599" s="6"/>
      <c r="F599" s="6"/>
      <c r="H599" s="6"/>
      <c r="J599" s="6"/>
      <c r="L599" s="6"/>
      <c r="N599" s="6"/>
    </row>
    <row r="600" spans="1:14">
      <c r="A600" s="6"/>
      <c r="B600" s="6"/>
      <c r="C600" s="6"/>
      <c r="D600" s="6"/>
      <c r="F600" s="6"/>
      <c r="H600" s="6"/>
      <c r="J600" s="6"/>
      <c r="L600" s="6"/>
      <c r="N600" s="6"/>
    </row>
    <row r="601" spans="1:14">
      <c r="A601" s="6"/>
      <c r="B601" s="6"/>
      <c r="C601" s="6"/>
      <c r="D601" s="6"/>
      <c r="F601" s="6"/>
      <c r="H601" s="6"/>
      <c r="J601" s="6"/>
      <c r="L601" s="6"/>
      <c r="N601" s="6"/>
    </row>
    <row r="602" spans="1:14">
      <c r="A602" s="6"/>
      <c r="B602" s="6"/>
      <c r="C602" s="6"/>
      <c r="D602" s="6"/>
      <c r="F602" s="6"/>
      <c r="H602" s="6"/>
      <c r="J602" s="6"/>
      <c r="L602" s="6"/>
      <c r="N602" s="6"/>
    </row>
    <row r="603" spans="1:14">
      <c r="A603" s="6"/>
      <c r="B603" s="6"/>
      <c r="C603" s="6"/>
      <c r="D603" s="6"/>
      <c r="F603" s="6"/>
      <c r="H603" s="6"/>
      <c r="J603" s="6"/>
      <c r="L603" s="6"/>
      <c r="N603" s="6"/>
    </row>
    <row r="604" spans="1:14">
      <c r="A604" s="6"/>
      <c r="B604" s="6"/>
      <c r="C604" s="6"/>
      <c r="D604" s="6"/>
      <c r="F604" s="6"/>
      <c r="H604" s="6"/>
      <c r="J604" s="6"/>
      <c r="L604" s="6"/>
      <c r="N604" s="6"/>
    </row>
    <row r="605" spans="1:14">
      <c r="A605" s="6"/>
      <c r="B605" s="6"/>
      <c r="C605" s="6"/>
      <c r="D605" s="6"/>
      <c r="F605" s="6"/>
      <c r="H605" s="6"/>
      <c r="J605" s="6"/>
      <c r="L605" s="6"/>
      <c r="N605" s="6"/>
    </row>
    <row r="606" spans="1:14">
      <c r="A606" s="6"/>
      <c r="B606" s="6"/>
      <c r="C606" s="6"/>
      <c r="D606" s="6"/>
      <c r="F606" s="6"/>
      <c r="H606" s="6"/>
      <c r="J606" s="6"/>
      <c r="L606" s="6"/>
      <c r="N606" s="6"/>
    </row>
    <row r="607" spans="1:14">
      <c r="A607" s="6"/>
      <c r="B607" s="6"/>
      <c r="C607" s="6"/>
      <c r="D607" s="6"/>
      <c r="F607" s="6"/>
      <c r="H607" s="6"/>
      <c r="J607" s="6"/>
      <c r="L607" s="6"/>
      <c r="N607" s="6"/>
    </row>
    <row r="608" spans="1:14">
      <c r="A608" s="6"/>
      <c r="B608" s="6"/>
      <c r="C608" s="6"/>
      <c r="D608" s="6"/>
      <c r="F608" s="6"/>
      <c r="H608" s="6"/>
      <c r="J608" s="6"/>
      <c r="L608" s="6"/>
      <c r="N608" s="6"/>
    </row>
    <row r="609" spans="1:14">
      <c r="A609" s="6"/>
      <c r="B609" s="6"/>
      <c r="C609" s="6"/>
      <c r="D609" s="6"/>
      <c r="F609" s="6"/>
      <c r="H609" s="6"/>
      <c r="J609" s="6"/>
      <c r="L609" s="6"/>
      <c r="N609" s="6"/>
    </row>
    <row r="610" spans="1:14">
      <c r="A610" s="6"/>
      <c r="B610" s="6"/>
      <c r="C610" s="6"/>
      <c r="D610" s="6"/>
      <c r="F610" s="6"/>
      <c r="H610" s="6"/>
      <c r="J610" s="6"/>
      <c r="L610" s="6"/>
      <c r="N610" s="6"/>
    </row>
    <row r="611" spans="1:14">
      <c r="A611" s="6"/>
      <c r="B611" s="6"/>
      <c r="C611" s="6"/>
      <c r="D611" s="6"/>
      <c r="F611" s="6"/>
      <c r="H611" s="6"/>
      <c r="J611" s="6"/>
      <c r="L611" s="6"/>
      <c r="N611" s="6"/>
    </row>
    <row r="612" spans="1:14">
      <c r="A612" s="6"/>
      <c r="B612" s="6"/>
      <c r="C612" s="6"/>
      <c r="D612" s="6"/>
      <c r="F612" s="6"/>
      <c r="H612" s="6"/>
      <c r="J612" s="6"/>
      <c r="L612" s="6"/>
      <c r="N612" s="6"/>
    </row>
    <row r="613" spans="1:14">
      <c r="A613" s="6"/>
      <c r="B613" s="6"/>
      <c r="C613" s="6"/>
      <c r="D613" s="6"/>
      <c r="F613" s="6"/>
      <c r="H613" s="6"/>
      <c r="J613" s="6"/>
      <c r="L613" s="6"/>
      <c r="N613" s="6"/>
    </row>
    <row r="614" spans="1:14">
      <c r="A614" s="6"/>
      <c r="B614" s="6"/>
      <c r="C614" s="6"/>
      <c r="D614" s="6"/>
      <c r="F614" s="6"/>
      <c r="H614" s="6"/>
      <c r="J614" s="6"/>
      <c r="L614" s="6"/>
      <c r="N614" s="6"/>
    </row>
    <row r="615" spans="1:14">
      <c r="A615" s="6"/>
      <c r="B615" s="6"/>
      <c r="C615" s="6"/>
      <c r="D615" s="6"/>
      <c r="F615" s="6"/>
      <c r="H615" s="6"/>
      <c r="J615" s="6"/>
      <c r="L615" s="6"/>
      <c r="N615" s="6"/>
    </row>
    <row r="616" spans="1:14">
      <c r="A616" s="6"/>
      <c r="B616" s="6"/>
      <c r="C616" s="6"/>
      <c r="D616" s="6"/>
      <c r="F616" s="6"/>
      <c r="H616" s="6"/>
      <c r="J616" s="6"/>
      <c r="L616" s="6"/>
      <c r="N616" s="6"/>
    </row>
    <row r="617" spans="1:14">
      <c r="A617" s="6"/>
      <c r="B617" s="6"/>
      <c r="C617" s="6"/>
      <c r="D617" s="6"/>
      <c r="F617" s="6"/>
      <c r="H617" s="6"/>
      <c r="J617" s="6"/>
      <c r="L617" s="6"/>
      <c r="N617" s="6"/>
    </row>
    <row r="618" spans="1:14">
      <c r="A618" s="6"/>
      <c r="B618" s="6"/>
      <c r="C618" s="6"/>
      <c r="D618" s="6"/>
      <c r="F618" s="6"/>
      <c r="H618" s="6"/>
      <c r="J618" s="6"/>
      <c r="L618" s="6"/>
      <c r="N618" s="6"/>
    </row>
    <row r="619" spans="1:14">
      <c r="A619" s="6"/>
      <c r="B619" s="6"/>
      <c r="C619" s="6"/>
      <c r="D619" s="6"/>
      <c r="F619" s="6"/>
      <c r="H619" s="6"/>
      <c r="J619" s="6"/>
      <c r="L619" s="6"/>
      <c r="N619" s="6"/>
    </row>
    <row r="620" spans="1:14">
      <c r="A620" s="6"/>
      <c r="B620" s="6"/>
      <c r="C620" s="6"/>
      <c r="D620" s="6"/>
      <c r="F620" s="6"/>
      <c r="H620" s="6"/>
      <c r="J620" s="6"/>
      <c r="L620" s="6"/>
      <c r="N620" s="6"/>
    </row>
    <row r="621" spans="1:14">
      <c r="A621" s="6"/>
      <c r="B621" s="6"/>
      <c r="C621" s="6"/>
      <c r="D621" s="6"/>
      <c r="F621" s="6"/>
      <c r="H621" s="6"/>
      <c r="J621" s="6"/>
      <c r="L621" s="6"/>
      <c r="N621" s="6"/>
    </row>
    <row r="622" spans="1:14">
      <c r="A622" s="6"/>
      <c r="B622" s="6"/>
      <c r="C622" s="6"/>
      <c r="D622" s="6"/>
      <c r="F622" s="6"/>
      <c r="H622" s="6"/>
      <c r="J622" s="6"/>
      <c r="L622" s="6"/>
      <c r="N622" s="6"/>
    </row>
    <row r="623" spans="1:14">
      <c r="A623" s="6"/>
      <c r="B623" s="6"/>
      <c r="C623" s="6"/>
      <c r="D623" s="6"/>
      <c r="F623" s="6"/>
      <c r="H623" s="6"/>
      <c r="J623" s="6"/>
      <c r="L623" s="6"/>
      <c r="N623" s="6"/>
    </row>
    <row r="624" spans="1:14">
      <c r="A624" s="6"/>
      <c r="B624" s="6"/>
      <c r="C624" s="6"/>
      <c r="D624" s="6"/>
      <c r="F624" s="6"/>
      <c r="H624" s="6"/>
      <c r="J624" s="6"/>
      <c r="L624" s="6"/>
      <c r="N624" s="6"/>
    </row>
    <row r="625" spans="1:14">
      <c r="A625" s="6"/>
      <c r="B625" s="6"/>
      <c r="C625" s="6"/>
      <c r="D625" s="6"/>
      <c r="F625" s="6"/>
      <c r="H625" s="6"/>
      <c r="J625" s="6"/>
      <c r="L625" s="6"/>
      <c r="N625" s="6"/>
    </row>
    <row r="626" spans="1:14">
      <c r="A626" s="6"/>
      <c r="B626" s="6"/>
      <c r="C626" s="6"/>
      <c r="D626" s="6"/>
      <c r="F626" s="6"/>
      <c r="H626" s="6"/>
      <c r="J626" s="6"/>
      <c r="L626" s="6"/>
      <c r="N626" s="6"/>
    </row>
    <row r="627" spans="1:14">
      <c r="A627" s="6"/>
      <c r="B627" s="6"/>
      <c r="C627" s="6"/>
      <c r="D627" s="6"/>
      <c r="F627" s="6"/>
      <c r="H627" s="6"/>
      <c r="J627" s="6"/>
      <c r="L627" s="6"/>
      <c r="N627" s="6"/>
    </row>
    <row r="628" spans="1:14">
      <c r="A628" s="6"/>
      <c r="B628" s="6"/>
      <c r="C628" s="6"/>
      <c r="D628" s="6"/>
      <c r="F628" s="6"/>
      <c r="H628" s="6"/>
      <c r="J628" s="6"/>
      <c r="L628" s="6"/>
      <c r="N628" s="6"/>
    </row>
    <row r="629" spans="1:14">
      <c r="A629" s="6"/>
      <c r="B629" s="6"/>
      <c r="C629" s="6"/>
      <c r="D629" s="6"/>
      <c r="F629" s="6"/>
      <c r="H629" s="6"/>
      <c r="J629" s="6"/>
      <c r="L629" s="6"/>
      <c r="N629" s="6"/>
    </row>
    <row r="630" spans="1:14">
      <c r="A630" s="6"/>
      <c r="B630" s="6"/>
      <c r="C630" s="6"/>
      <c r="D630" s="6"/>
      <c r="F630" s="6"/>
      <c r="H630" s="6"/>
      <c r="J630" s="6"/>
      <c r="L630" s="6"/>
      <c r="N630" s="6"/>
    </row>
    <row r="631" spans="1:14">
      <c r="A631" s="6"/>
      <c r="B631" s="6"/>
      <c r="C631" s="6"/>
      <c r="D631" s="6"/>
      <c r="F631" s="6"/>
      <c r="H631" s="6"/>
      <c r="J631" s="6"/>
      <c r="L631" s="6"/>
      <c r="N631" s="6"/>
    </row>
    <row r="632" spans="1:14">
      <c r="A632" s="6"/>
      <c r="B632" s="6"/>
      <c r="C632" s="6"/>
      <c r="D632" s="6"/>
      <c r="F632" s="6"/>
      <c r="H632" s="6"/>
      <c r="J632" s="6"/>
      <c r="L632" s="6"/>
      <c r="N632" s="6"/>
    </row>
    <row r="633" spans="1:14">
      <c r="A633" s="6"/>
      <c r="B633" s="6"/>
      <c r="C633" s="6"/>
      <c r="D633" s="6"/>
      <c r="F633" s="6"/>
      <c r="H633" s="6"/>
      <c r="J633" s="6"/>
      <c r="L633" s="6"/>
      <c r="N633" s="6"/>
    </row>
    <row r="634" spans="1:14">
      <c r="A634" s="6"/>
      <c r="B634" s="6"/>
      <c r="C634" s="6"/>
      <c r="D634" s="6"/>
      <c r="F634" s="6"/>
      <c r="H634" s="6"/>
      <c r="J634" s="6"/>
      <c r="L634" s="6"/>
      <c r="N634" s="6"/>
    </row>
    <row r="635" spans="1:14">
      <c r="A635" s="6"/>
      <c r="B635" s="6"/>
      <c r="C635" s="6"/>
      <c r="D635" s="6"/>
      <c r="F635" s="6"/>
      <c r="H635" s="6"/>
      <c r="J635" s="6"/>
      <c r="L635" s="6"/>
      <c r="N635" s="6"/>
    </row>
    <row r="636" spans="1:14">
      <c r="A636" s="6"/>
      <c r="B636" s="6"/>
      <c r="C636" s="6"/>
      <c r="D636" s="6"/>
      <c r="F636" s="6"/>
      <c r="H636" s="6"/>
      <c r="J636" s="6"/>
      <c r="L636" s="6"/>
      <c r="N636" s="6"/>
    </row>
    <row r="637" spans="1:14">
      <c r="A637" s="6"/>
      <c r="B637" s="6"/>
      <c r="C637" s="6"/>
      <c r="D637" s="6"/>
      <c r="F637" s="6"/>
      <c r="H637" s="6"/>
      <c r="J637" s="6"/>
      <c r="L637" s="6"/>
      <c r="N637" s="6"/>
    </row>
    <row r="638" spans="1:14">
      <c r="A638" s="6"/>
      <c r="B638" s="6"/>
      <c r="C638" s="6"/>
      <c r="D638" s="6"/>
      <c r="F638" s="6"/>
      <c r="H638" s="6"/>
      <c r="J638" s="6"/>
      <c r="L638" s="6"/>
      <c r="N638" s="6"/>
    </row>
    <row r="639" spans="1:14">
      <c r="A639" s="6"/>
      <c r="B639" s="6"/>
      <c r="C639" s="6"/>
      <c r="D639" s="6"/>
      <c r="F639" s="6"/>
      <c r="H639" s="6"/>
      <c r="J639" s="6"/>
      <c r="L639" s="6"/>
      <c r="N639" s="6"/>
    </row>
    <row r="640" spans="1:14">
      <c r="A640" s="6"/>
      <c r="B640" s="6"/>
      <c r="C640" s="6"/>
      <c r="D640" s="6"/>
      <c r="F640" s="6"/>
      <c r="H640" s="6"/>
      <c r="J640" s="6"/>
      <c r="L640" s="6"/>
      <c r="N640" s="6"/>
    </row>
    <row r="641" spans="1:14">
      <c r="A641" s="6"/>
      <c r="B641" s="6"/>
      <c r="C641" s="6"/>
      <c r="D641" s="6"/>
      <c r="F641" s="6"/>
      <c r="H641" s="6"/>
      <c r="J641" s="6"/>
      <c r="L641" s="6"/>
      <c r="N641" s="6"/>
    </row>
    <row r="642" spans="1:14">
      <c r="A642" s="6"/>
      <c r="B642" s="6"/>
      <c r="C642" s="6"/>
      <c r="D642" s="6"/>
      <c r="F642" s="6"/>
      <c r="H642" s="6"/>
      <c r="J642" s="6"/>
      <c r="L642" s="6"/>
      <c r="N642" s="6"/>
    </row>
    <row r="643" spans="1:14">
      <c r="A643" s="6"/>
      <c r="B643" s="6"/>
      <c r="C643" s="6"/>
      <c r="D643" s="6"/>
      <c r="F643" s="6"/>
      <c r="H643" s="6"/>
      <c r="J643" s="6"/>
      <c r="L643" s="6"/>
      <c r="N643" s="6"/>
    </row>
    <row r="644" spans="1:14">
      <c r="A644" s="6"/>
      <c r="B644" s="6"/>
      <c r="C644" s="6"/>
      <c r="D644" s="6"/>
      <c r="F644" s="6"/>
      <c r="H644" s="6"/>
      <c r="J644" s="6"/>
      <c r="L644" s="6"/>
      <c r="N644" s="6"/>
    </row>
    <row r="645" spans="1:14">
      <c r="A645" s="6"/>
      <c r="B645" s="6"/>
      <c r="C645" s="6"/>
      <c r="D645" s="6"/>
      <c r="F645" s="6"/>
      <c r="H645" s="6"/>
      <c r="J645" s="6"/>
      <c r="L645" s="6"/>
      <c r="N645" s="6"/>
    </row>
    <row r="646" spans="1:14">
      <c r="A646" s="6"/>
      <c r="B646" s="6"/>
      <c r="C646" s="6"/>
      <c r="D646" s="6"/>
      <c r="F646" s="6"/>
      <c r="H646" s="6"/>
      <c r="J646" s="6"/>
      <c r="L646" s="6"/>
      <c r="N646" s="6"/>
    </row>
    <row r="647" spans="1:14">
      <c r="A647" s="6"/>
      <c r="B647" s="6"/>
      <c r="C647" s="6"/>
      <c r="D647" s="6"/>
      <c r="F647" s="6"/>
      <c r="H647" s="6"/>
      <c r="J647" s="6"/>
      <c r="L647" s="6"/>
      <c r="N647" s="6"/>
    </row>
    <row r="648" spans="1:14">
      <c r="A648" s="6"/>
      <c r="B648" s="6"/>
      <c r="C648" s="6"/>
      <c r="D648" s="6"/>
      <c r="F648" s="6"/>
      <c r="H648" s="6"/>
      <c r="J648" s="6"/>
      <c r="L648" s="6"/>
      <c r="N648" s="6"/>
    </row>
    <row r="649" spans="1:14">
      <c r="A649" s="6"/>
      <c r="B649" s="6"/>
      <c r="C649" s="6"/>
      <c r="D649" s="6"/>
      <c r="F649" s="6"/>
      <c r="H649" s="6"/>
      <c r="J649" s="6"/>
      <c r="L649" s="6"/>
      <c r="N649" s="6"/>
    </row>
    <row r="650" spans="1:14">
      <c r="A650" s="6"/>
      <c r="B650" s="6"/>
      <c r="C650" s="6"/>
      <c r="D650" s="6"/>
      <c r="F650" s="6"/>
      <c r="H650" s="6"/>
      <c r="J650" s="6"/>
      <c r="L650" s="6"/>
      <c r="N650" s="6"/>
    </row>
    <row r="651" spans="1:14">
      <c r="A651" s="6"/>
      <c r="B651" s="6"/>
      <c r="C651" s="6"/>
      <c r="D651" s="6"/>
      <c r="F651" s="6"/>
      <c r="H651" s="6"/>
      <c r="J651" s="6"/>
      <c r="L651" s="6"/>
      <c r="N651" s="6"/>
    </row>
    <row r="652" spans="1:14">
      <c r="A652" s="6"/>
      <c r="B652" s="6"/>
      <c r="C652" s="6"/>
      <c r="D652" s="6"/>
      <c r="F652" s="6"/>
      <c r="H652" s="6"/>
      <c r="J652" s="6"/>
      <c r="L652" s="6"/>
      <c r="N652" s="6"/>
    </row>
    <row r="653" spans="1:14">
      <c r="A653" s="6"/>
      <c r="B653" s="6"/>
      <c r="C653" s="6"/>
      <c r="D653" s="6"/>
      <c r="F653" s="6"/>
      <c r="H653" s="6"/>
      <c r="J653" s="6"/>
      <c r="L653" s="6"/>
      <c r="N653" s="6"/>
    </row>
    <row r="654" spans="1:14">
      <c r="A654" s="6"/>
      <c r="B654" s="6"/>
      <c r="C654" s="6"/>
      <c r="D654" s="6"/>
      <c r="F654" s="6"/>
      <c r="H654" s="6"/>
      <c r="J654" s="6"/>
      <c r="L654" s="6"/>
      <c r="N654" s="6"/>
    </row>
    <row r="655" spans="1:14">
      <c r="A655" s="6"/>
      <c r="B655" s="6"/>
      <c r="C655" s="6"/>
      <c r="D655" s="6"/>
      <c r="F655" s="6"/>
      <c r="H655" s="6"/>
      <c r="J655" s="6"/>
      <c r="L655" s="6"/>
      <c r="N655" s="6"/>
    </row>
    <row r="656" spans="1:14">
      <c r="A656" s="6"/>
      <c r="B656" s="6"/>
      <c r="C656" s="6"/>
      <c r="D656" s="6"/>
      <c r="F656" s="6"/>
      <c r="H656" s="6"/>
      <c r="J656" s="6"/>
      <c r="L656" s="6"/>
      <c r="N656" s="6"/>
    </row>
    <row r="657" spans="1:14">
      <c r="A657" s="6"/>
      <c r="B657" s="6"/>
      <c r="C657" s="6"/>
      <c r="D657" s="6"/>
      <c r="F657" s="6"/>
      <c r="H657" s="6"/>
      <c r="J657" s="6"/>
      <c r="L657" s="6"/>
      <c r="N657" s="6"/>
    </row>
    <row r="658" spans="1:14">
      <c r="A658" s="6"/>
      <c r="B658" s="6"/>
      <c r="C658" s="6"/>
      <c r="D658" s="6"/>
      <c r="F658" s="6"/>
      <c r="H658" s="6"/>
      <c r="J658" s="6"/>
      <c r="L658" s="6"/>
      <c r="N658" s="6"/>
    </row>
    <row r="659" spans="1:14">
      <c r="A659" s="6"/>
      <c r="B659" s="6"/>
      <c r="C659" s="6"/>
      <c r="D659" s="6"/>
      <c r="F659" s="6"/>
      <c r="H659" s="6"/>
      <c r="J659" s="6"/>
      <c r="L659" s="6"/>
      <c r="N659" s="6"/>
    </row>
    <row r="660" spans="1:14">
      <c r="A660" s="6"/>
      <c r="B660" s="6"/>
      <c r="C660" s="6"/>
      <c r="D660" s="6"/>
      <c r="F660" s="6"/>
      <c r="H660" s="6"/>
      <c r="J660" s="6"/>
      <c r="L660" s="6"/>
      <c r="N660" s="6"/>
    </row>
    <row r="661" spans="1:14">
      <c r="A661" s="6"/>
      <c r="B661" s="6"/>
      <c r="C661" s="6"/>
      <c r="D661" s="6"/>
      <c r="F661" s="6"/>
      <c r="H661" s="6"/>
      <c r="J661" s="6"/>
      <c r="L661" s="6"/>
      <c r="N661" s="6"/>
    </row>
    <row r="662" spans="1:14">
      <c r="A662" s="6"/>
      <c r="B662" s="6"/>
      <c r="C662" s="6"/>
      <c r="D662" s="6"/>
      <c r="F662" s="6"/>
      <c r="H662" s="6"/>
      <c r="J662" s="6"/>
      <c r="L662" s="6"/>
      <c r="N662" s="6"/>
    </row>
    <row r="663" spans="1:14">
      <c r="A663" s="6"/>
      <c r="B663" s="6"/>
      <c r="C663" s="6"/>
      <c r="D663" s="6"/>
      <c r="F663" s="6"/>
      <c r="H663" s="6"/>
      <c r="J663" s="6"/>
      <c r="L663" s="6"/>
      <c r="N663" s="6"/>
    </row>
    <row r="664" spans="1:14">
      <c r="A664" s="6"/>
      <c r="B664" s="6"/>
      <c r="C664" s="6"/>
      <c r="D664" s="6"/>
      <c r="F664" s="6"/>
      <c r="H664" s="6"/>
      <c r="J664" s="6"/>
      <c r="L664" s="6"/>
      <c r="N664" s="6"/>
    </row>
    <row r="665" spans="1:14">
      <c r="A665" s="6"/>
      <c r="B665" s="6"/>
      <c r="C665" s="6"/>
      <c r="D665" s="6"/>
      <c r="F665" s="6"/>
      <c r="H665" s="6"/>
      <c r="J665" s="6"/>
      <c r="L665" s="6"/>
      <c r="N665" s="6"/>
    </row>
    <row r="666" spans="1:14">
      <c r="A666" s="6"/>
      <c r="B666" s="6"/>
      <c r="C666" s="6"/>
      <c r="D666" s="6"/>
      <c r="F666" s="6"/>
      <c r="H666" s="6"/>
      <c r="J666" s="6"/>
      <c r="L666" s="6"/>
      <c r="N666" s="6"/>
    </row>
    <row r="667" spans="1:14">
      <c r="A667" s="6"/>
      <c r="B667" s="6"/>
      <c r="C667" s="6"/>
      <c r="D667" s="6"/>
      <c r="F667" s="6"/>
      <c r="H667" s="6"/>
      <c r="J667" s="6"/>
      <c r="L667" s="6"/>
      <c r="N667" s="6"/>
    </row>
    <row r="668" spans="1:14">
      <c r="A668" s="6"/>
      <c r="B668" s="6"/>
      <c r="C668" s="6"/>
      <c r="D668" s="6"/>
      <c r="F668" s="6"/>
      <c r="H668" s="6"/>
      <c r="J668" s="6"/>
      <c r="L668" s="6"/>
      <c r="N668" s="6"/>
    </row>
    <row r="669" spans="1:14">
      <c r="A669" s="6"/>
      <c r="B669" s="6"/>
      <c r="C669" s="6"/>
      <c r="D669" s="6"/>
      <c r="F669" s="6"/>
      <c r="H669" s="6"/>
      <c r="J669" s="6"/>
      <c r="L669" s="6"/>
      <c r="N669" s="6"/>
    </row>
    <row r="670" spans="1:14">
      <c r="A670" s="6"/>
      <c r="B670" s="6"/>
      <c r="C670" s="6"/>
      <c r="D670" s="6"/>
      <c r="F670" s="6"/>
      <c r="H670" s="6"/>
      <c r="J670" s="6"/>
      <c r="L670" s="6"/>
      <c r="N670" s="6"/>
    </row>
    <row r="671" spans="1:14">
      <c r="A671" s="6"/>
      <c r="B671" s="6"/>
      <c r="C671" s="6"/>
      <c r="D671" s="6"/>
      <c r="F671" s="6"/>
      <c r="H671" s="6"/>
      <c r="J671" s="6"/>
      <c r="L671" s="6"/>
      <c r="N671" s="6"/>
    </row>
    <row r="672" spans="1:14">
      <c r="A672" s="6"/>
      <c r="B672" s="6"/>
      <c r="C672" s="6"/>
      <c r="D672" s="6"/>
      <c r="F672" s="6"/>
      <c r="H672" s="6"/>
      <c r="J672" s="6"/>
      <c r="L672" s="6"/>
      <c r="N672" s="6"/>
    </row>
    <row r="673" spans="1:14">
      <c r="A673" s="6"/>
      <c r="B673" s="6"/>
      <c r="C673" s="6"/>
      <c r="D673" s="6"/>
      <c r="F673" s="6"/>
      <c r="H673" s="6"/>
      <c r="J673" s="6"/>
      <c r="L673" s="6"/>
      <c r="N673" s="6"/>
    </row>
    <row r="674" spans="1:14">
      <c r="A674" s="6"/>
      <c r="B674" s="6"/>
      <c r="C674" s="6"/>
      <c r="D674" s="6"/>
      <c r="F674" s="6"/>
      <c r="H674" s="6"/>
      <c r="J674" s="6"/>
      <c r="L674" s="6"/>
      <c r="N674" s="6"/>
    </row>
    <row r="675" spans="1:14">
      <c r="A675" s="6"/>
      <c r="B675" s="6"/>
      <c r="C675" s="6"/>
      <c r="D675" s="6"/>
      <c r="F675" s="6"/>
      <c r="H675" s="6"/>
      <c r="J675" s="6"/>
      <c r="L675" s="6"/>
      <c r="N675" s="6"/>
    </row>
    <row r="676" spans="1:14">
      <c r="A676" s="6"/>
      <c r="B676" s="6"/>
      <c r="C676" s="6"/>
      <c r="D676" s="6"/>
      <c r="F676" s="6"/>
      <c r="H676" s="6"/>
      <c r="J676" s="6"/>
      <c r="L676" s="6"/>
      <c r="N676" s="6"/>
    </row>
    <row r="677" spans="1:14">
      <c r="A677" s="6"/>
      <c r="B677" s="6"/>
      <c r="C677" s="6"/>
      <c r="D677" s="6"/>
      <c r="F677" s="6"/>
      <c r="H677" s="6"/>
      <c r="J677" s="6"/>
      <c r="L677" s="6"/>
      <c r="N677" s="6"/>
    </row>
    <row r="678" spans="1:14">
      <c r="A678" s="6"/>
      <c r="B678" s="6"/>
      <c r="C678" s="6"/>
      <c r="D678" s="6"/>
      <c r="F678" s="6"/>
      <c r="H678" s="6"/>
      <c r="J678" s="6"/>
      <c r="L678" s="6"/>
      <c r="N678" s="6"/>
    </row>
    <row r="679" spans="1:14">
      <c r="A679" s="6"/>
      <c r="B679" s="6"/>
      <c r="C679" s="6"/>
      <c r="D679" s="6"/>
      <c r="F679" s="6"/>
      <c r="H679" s="6"/>
      <c r="J679" s="6"/>
      <c r="L679" s="6"/>
      <c r="N679" s="6"/>
    </row>
    <row r="680" spans="1:14">
      <c r="A680" s="6"/>
      <c r="B680" s="6"/>
      <c r="C680" s="6"/>
      <c r="D680" s="6"/>
      <c r="F680" s="6"/>
      <c r="H680" s="6"/>
      <c r="J680" s="6"/>
      <c r="L680" s="6"/>
      <c r="N680" s="6"/>
    </row>
    <row r="681" spans="1:14">
      <c r="A681" s="6"/>
      <c r="B681" s="6"/>
      <c r="C681" s="6"/>
      <c r="D681" s="6"/>
      <c r="F681" s="6"/>
      <c r="H681" s="6"/>
      <c r="J681" s="6"/>
      <c r="L681" s="6"/>
      <c r="N681" s="6"/>
    </row>
    <row r="682" spans="1:14">
      <c r="A682" s="6"/>
      <c r="B682" s="6"/>
      <c r="C682" s="6"/>
      <c r="D682" s="6"/>
      <c r="F682" s="6"/>
      <c r="H682" s="6"/>
      <c r="J682" s="6"/>
      <c r="L682" s="6"/>
      <c r="N682" s="6"/>
    </row>
    <row r="683" spans="1:14">
      <c r="A683" s="6"/>
      <c r="B683" s="6"/>
      <c r="C683" s="6"/>
      <c r="D683" s="6"/>
      <c r="F683" s="6"/>
      <c r="H683" s="6"/>
      <c r="J683" s="6"/>
      <c r="L683" s="6"/>
      <c r="N683" s="6"/>
    </row>
    <row r="684" spans="1:14">
      <c r="A684" s="6"/>
      <c r="B684" s="6"/>
      <c r="C684" s="6"/>
      <c r="D684" s="6"/>
      <c r="F684" s="6"/>
      <c r="H684" s="6"/>
      <c r="J684" s="6"/>
      <c r="L684" s="6"/>
      <c r="N684" s="6"/>
    </row>
    <row r="685" spans="1:14">
      <c r="A685" s="6"/>
      <c r="B685" s="6"/>
      <c r="C685" s="6"/>
      <c r="D685" s="6"/>
      <c r="F685" s="6"/>
      <c r="H685" s="6"/>
      <c r="J685" s="6"/>
      <c r="L685" s="6"/>
      <c r="N685" s="6"/>
    </row>
    <row r="686" spans="1:14">
      <c r="A686" s="6"/>
      <c r="B686" s="6"/>
      <c r="C686" s="6"/>
      <c r="D686" s="6"/>
      <c r="F686" s="6"/>
      <c r="H686" s="6"/>
      <c r="J686" s="6"/>
      <c r="L686" s="6"/>
      <c r="N686" s="6"/>
    </row>
    <row r="687" spans="1:14">
      <c r="A687" s="6"/>
      <c r="B687" s="6"/>
      <c r="C687" s="6"/>
      <c r="D687" s="6"/>
      <c r="F687" s="6"/>
      <c r="H687" s="6"/>
      <c r="J687" s="6"/>
      <c r="L687" s="6"/>
      <c r="N687" s="6"/>
    </row>
    <row r="688" spans="1:14">
      <c r="A688" s="6"/>
      <c r="B688" s="6"/>
      <c r="C688" s="6"/>
      <c r="D688" s="6"/>
      <c r="F688" s="6"/>
      <c r="H688" s="6"/>
      <c r="J688" s="6"/>
      <c r="L688" s="6"/>
      <c r="N688" s="6"/>
    </row>
    <row r="689" spans="1:14">
      <c r="A689" s="6"/>
      <c r="B689" s="6"/>
      <c r="C689" s="6"/>
      <c r="D689" s="6"/>
      <c r="F689" s="6"/>
      <c r="H689" s="6"/>
      <c r="J689" s="6"/>
      <c r="L689" s="6"/>
      <c r="N689" s="6"/>
    </row>
    <row r="690" spans="1:14">
      <c r="A690" s="6"/>
      <c r="B690" s="6"/>
      <c r="C690" s="6"/>
      <c r="D690" s="6"/>
      <c r="F690" s="6"/>
      <c r="H690" s="6"/>
      <c r="J690" s="6"/>
      <c r="L690" s="6"/>
      <c r="N690" s="6"/>
    </row>
    <row r="691" spans="1:14">
      <c r="A691" s="6"/>
      <c r="B691" s="6"/>
      <c r="C691" s="6"/>
      <c r="D691" s="6"/>
      <c r="F691" s="6"/>
      <c r="H691" s="6"/>
      <c r="J691" s="6"/>
      <c r="L691" s="6"/>
      <c r="N691" s="6"/>
    </row>
    <row r="692" spans="1:14">
      <c r="A692" s="6"/>
      <c r="B692" s="6"/>
      <c r="C692" s="6"/>
      <c r="D692" s="6"/>
      <c r="F692" s="6"/>
      <c r="H692" s="6"/>
      <c r="J692" s="6"/>
      <c r="L692" s="6"/>
      <c r="N692" s="6"/>
    </row>
    <row r="693" spans="1:14">
      <c r="A693" s="6"/>
      <c r="B693" s="6"/>
      <c r="C693" s="6"/>
      <c r="D693" s="6"/>
      <c r="F693" s="6"/>
      <c r="H693" s="6"/>
      <c r="J693" s="6"/>
      <c r="L693" s="6"/>
      <c r="N693" s="6"/>
    </row>
    <row r="694" spans="1:14">
      <c r="A694" s="6"/>
      <c r="B694" s="6"/>
      <c r="C694" s="6"/>
      <c r="D694" s="6"/>
      <c r="F694" s="6"/>
      <c r="H694" s="6"/>
      <c r="J694" s="6"/>
      <c r="L694" s="6"/>
      <c r="N694" s="6"/>
    </row>
    <row r="695" spans="1:14">
      <c r="A695" s="6"/>
      <c r="B695" s="6"/>
      <c r="C695" s="6"/>
      <c r="D695" s="6"/>
      <c r="F695" s="6"/>
      <c r="H695" s="6"/>
      <c r="J695" s="6"/>
      <c r="L695" s="6"/>
      <c r="N695" s="6"/>
    </row>
    <row r="696" spans="1:14">
      <c r="A696" s="6"/>
      <c r="B696" s="6"/>
      <c r="C696" s="6"/>
      <c r="D696" s="6"/>
      <c r="F696" s="6"/>
      <c r="H696" s="6"/>
      <c r="J696" s="6"/>
      <c r="L696" s="6"/>
      <c r="N696" s="6"/>
    </row>
    <row r="697" spans="1:14">
      <c r="A697" s="6"/>
      <c r="B697" s="6"/>
      <c r="C697" s="6"/>
      <c r="D697" s="6"/>
      <c r="F697" s="6"/>
      <c r="H697" s="6"/>
      <c r="J697" s="6"/>
      <c r="L697" s="6"/>
      <c r="N697" s="6"/>
    </row>
    <row r="698" spans="1:14">
      <c r="A698" s="6"/>
      <c r="B698" s="6"/>
      <c r="C698" s="6"/>
      <c r="D698" s="6"/>
      <c r="F698" s="6"/>
      <c r="H698" s="6"/>
      <c r="J698" s="6"/>
      <c r="L698" s="6"/>
      <c r="N698" s="6"/>
    </row>
    <row r="699" spans="1:14">
      <c r="A699" s="6"/>
      <c r="B699" s="6"/>
      <c r="C699" s="6"/>
      <c r="D699" s="6"/>
      <c r="F699" s="6"/>
      <c r="H699" s="6"/>
      <c r="J699" s="6"/>
      <c r="L699" s="6"/>
      <c r="N699" s="6"/>
    </row>
    <row r="700" spans="1:14">
      <c r="A700" s="6"/>
      <c r="B700" s="6"/>
      <c r="C700" s="6"/>
      <c r="D700" s="6"/>
      <c r="F700" s="6"/>
      <c r="H700" s="6"/>
      <c r="J700" s="6"/>
      <c r="L700" s="6"/>
      <c r="N700" s="6"/>
    </row>
    <row r="701" spans="1:14">
      <c r="A701" s="6"/>
      <c r="B701" s="6"/>
      <c r="C701" s="6"/>
      <c r="D701" s="6"/>
      <c r="F701" s="6"/>
      <c r="H701" s="6"/>
      <c r="J701" s="6"/>
      <c r="L701" s="6"/>
      <c r="N701" s="6"/>
    </row>
    <row r="702" spans="1:14">
      <c r="A702" s="6"/>
      <c r="B702" s="6"/>
      <c r="C702" s="6"/>
      <c r="D702" s="6"/>
      <c r="F702" s="6"/>
      <c r="H702" s="6"/>
      <c r="J702" s="6"/>
      <c r="L702" s="6"/>
      <c r="N702" s="6"/>
    </row>
    <row r="703" spans="1:14">
      <c r="A703" s="6"/>
      <c r="B703" s="6"/>
      <c r="C703" s="6"/>
      <c r="D703" s="6"/>
      <c r="F703" s="6"/>
      <c r="H703" s="6"/>
      <c r="J703" s="6"/>
      <c r="L703" s="6"/>
      <c r="N703" s="6"/>
    </row>
    <row r="704" spans="1:14">
      <c r="A704" s="6"/>
      <c r="B704" s="6"/>
      <c r="C704" s="6"/>
      <c r="D704" s="6"/>
      <c r="F704" s="6"/>
      <c r="H704" s="6"/>
      <c r="J704" s="6"/>
      <c r="L704" s="6"/>
      <c r="N704" s="6"/>
    </row>
    <row r="705" spans="1:14">
      <c r="A705" s="6"/>
      <c r="B705" s="6"/>
      <c r="C705" s="6"/>
      <c r="D705" s="6"/>
      <c r="F705" s="6"/>
      <c r="H705" s="6"/>
      <c r="J705" s="6"/>
      <c r="L705" s="6"/>
      <c r="N705" s="6"/>
    </row>
    <row r="706" spans="1:14">
      <c r="A706" s="6"/>
      <c r="B706" s="6"/>
      <c r="C706" s="6"/>
      <c r="D706" s="6"/>
      <c r="F706" s="6"/>
      <c r="H706" s="6"/>
      <c r="J706" s="6"/>
      <c r="L706" s="6"/>
      <c r="N706" s="6"/>
    </row>
    <row r="707" spans="1:14">
      <c r="A707" s="6"/>
      <c r="B707" s="6"/>
      <c r="C707" s="6"/>
      <c r="D707" s="6"/>
      <c r="F707" s="6"/>
      <c r="H707" s="6"/>
      <c r="J707" s="6"/>
      <c r="L707" s="6"/>
      <c r="N707" s="6"/>
    </row>
    <row r="708" spans="1:14">
      <c r="A708" s="6"/>
      <c r="B708" s="6"/>
      <c r="C708" s="6"/>
      <c r="D708" s="6"/>
      <c r="F708" s="6"/>
      <c r="H708" s="6"/>
      <c r="J708" s="6"/>
      <c r="L708" s="6"/>
      <c r="N708" s="6"/>
    </row>
    <row r="709" spans="1:14">
      <c r="A709" s="6"/>
      <c r="B709" s="6"/>
      <c r="C709" s="6"/>
      <c r="D709" s="6"/>
      <c r="F709" s="6"/>
      <c r="H709" s="6"/>
      <c r="J709" s="6"/>
      <c r="L709" s="6"/>
      <c r="N709" s="6"/>
    </row>
    <row r="710" spans="1:14">
      <c r="A710" s="6"/>
      <c r="B710" s="6"/>
      <c r="C710" s="6"/>
      <c r="D710" s="6"/>
      <c r="F710" s="6"/>
      <c r="H710" s="6"/>
      <c r="J710" s="6"/>
      <c r="L710" s="6"/>
      <c r="N710" s="6"/>
    </row>
    <row r="711" spans="1:14">
      <c r="A711" s="6"/>
      <c r="B711" s="6"/>
      <c r="C711" s="6"/>
      <c r="D711" s="6"/>
      <c r="F711" s="6"/>
      <c r="H711" s="6"/>
      <c r="J711" s="6"/>
      <c r="L711" s="6"/>
      <c r="N711" s="6"/>
    </row>
    <row r="712" spans="1:14">
      <c r="A712" s="6"/>
      <c r="B712" s="6"/>
      <c r="C712" s="6"/>
      <c r="D712" s="6"/>
      <c r="F712" s="6"/>
      <c r="H712" s="6"/>
      <c r="J712" s="6"/>
      <c r="L712" s="6"/>
      <c r="N712" s="6"/>
    </row>
    <row r="713" spans="1:14">
      <c r="A713" s="6"/>
      <c r="B713" s="6"/>
      <c r="C713" s="6"/>
      <c r="D713" s="6"/>
      <c r="F713" s="6"/>
      <c r="H713" s="6"/>
      <c r="J713" s="6"/>
      <c r="L713" s="6"/>
      <c r="N713" s="6"/>
    </row>
    <row r="714" spans="1:14">
      <c r="A714" s="6"/>
      <c r="B714" s="6"/>
      <c r="C714" s="6"/>
      <c r="D714" s="6"/>
      <c r="F714" s="6"/>
      <c r="H714" s="6"/>
      <c r="J714" s="6"/>
      <c r="L714" s="6"/>
      <c r="N714" s="6"/>
    </row>
    <row r="715" spans="1:14">
      <c r="A715" s="6"/>
      <c r="B715" s="6"/>
      <c r="C715" s="6"/>
      <c r="D715" s="6"/>
      <c r="F715" s="6"/>
      <c r="H715" s="6"/>
      <c r="J715" s="6"/>
      <c r="L715" s="6"/>
      <c r="N715" s="6"/>
    </row>
    <row r="716" spans="1:14">
      <c r="A716" s="6"/>
      <c r="B716" s="6"/>
      <c r="C716" s="6"/>
      <c r="D716" s="6"/>
      <c r="F716" s="6"/>
      <c r="H716" s="6"/>
      <c r="J716" s="6"/>
      <c r="L716" s="6"/>
      <c r="N716" s="6"/>
    </row>
    <row r="717" spans="1:14">
      <c r="A717" s="6"/>
      <c r="B717" s="6"/>
      <c r="C717" s="6"/>
      <c r="D717" s="6"/>
      <c r="F717" s="6"/>
      <c r="H717" s="6"/>
      <c r="J717" s="6"/>
      <c r="L717" s="6"/>
      <c r="N717" s="6"/>
    </row>
    <row r="718" spans="1:14">
      <c r="A718" s="6"/>
      <c r="B718" s="6"/>
      <c r="C718" s="6"/>
      <c r="D718" s="6"/>
      <c r="F718" s="6"/>
      <c r="H718" s="6"/>
      <c r="J718" s="6"/>
      <c r="L718" s="6"/>
      <c r="N718" s="6"/>
    </row>
    <row r="719" spans="1:14">
      <c r="A719" s="6"/>
      <c r="B719" s="6"/>
      <c r="C719" s="6"/>
      <c r="D719" s="6"/>
      <c r="F719" s="6"/>
      <c r="H719" s="6"/>
      <c r="J719" s="6"/>
      <c r="L719" s="6"/>
      <c r="N719" s="6"/>
    </row>
    <row r="720" spans="1:14">
      <c r="A720" s="6"/>
      <c r="B720" s="6"/>
      <c r="C720" s="6"/>
      <c r="D720" s="6"/>
      <c r="F720" s="6"/>
      <c r="H720" s="6"/>
      <c r="J720" s="6"/>
      <c r="L720" s="6"/>
      <c r="N720" s="6"/>
    </row>
    <row r="721" spans="1:14">
      <c r="A721" s="6"/>
      <c r="B721" s="6"/>
      <c r="C721" s="6"/>
      <c r="D721" s="6"/>
      <c r="F721" s="6"/>
      <c r="H721" s="6"/>
      <c r="J721" s="6"/>
      <c r="L721" s="6"/>
      <c r="N721" s="6"/>
    </row>
    <row r="722" spans="1:14">
      <c r="A722" s="6"/>
      <c r="B722" s="6"/>
      <c r="C722" s="6"/>
      <c r="D722" s="6"/>
      <c r="F722" s="6"/>
      <c r="H722" s="6"/>
      <c r="J722" s="6"/>
      <c r="L722" s="6"/>
      <c r="N722" s="6"/>
    </row>
    <row r="723" spans="1:14">
      <c r="A723" s="6"/>
      <c r="B723" s="6"/>
      <c r="C723" s="6"/>
      <c r="D723" s="6"/>
      <c r="F723" s="6"/>
      <c r="H723" s="6"/>
      <c r="J723" s="6"/>
      <c r="L723" s="6"/>
      <c r="N723" s="6"/>
    </row>
    <row r="724" spans="1:14">
      <c r="A724" s="6"/>
      <c r="B724" s="6"/>
      <c r="C724" s="6"/>
      <c r="D724" s="6"/>
      <c r="F724" s="6"/>
      <c r="H724" s="6"/>
      <c r="J724" s="6"/>
      <c r="L724" s="6"/>
      <c r="N724" s="6"/>
    </row>
    <row r="725" spans="1:14">
      <c r="A725" s="6"/>
      <c r="B725" s="6"/>
      <c r="C725" s="6"/>
      <c r="D725" s="6"/>
      <c r="F725" s="6"/>
      <c r="H725" s="6"/>
      <c r="J725" s="6"/>
      <c r="L725" s="6"/>
      <c r="N725" s="6"/>
    </row>
    <row r="726" spans="1:14">
      <c r="A726" s="6"/>
      <c r="B726" s="6"/>
      <c r="C726" s="6"/>
      <c r="D726" s="6"/>
      <c r="F726" s="6"/>
      <c r="H726" s="6"/>
      <c r="J726" s="6"/>
      <c r="L726" s="6"/>
      <c r="N726" s="6"/>
    </row>
    <row r="727" spans="1:14">
      <c r="A727" s="6"/>
      <c r="B727" s="6"/>
      <c r="C727" s="6"/>
      <c r="D727" s="6"/>
      <c r="F727" s="6"/>
      <c r="H727" s="6"/>
      <c r="J727" s="6"/>
      <c r="L727" s="6"/>
      <c r="N727" s="6"/>
    </row>
    <row r="728" spans="1:14">
      <c r="A728" s="6"/>
      <c r="B728" s="6"/>
      <c r="C728" s="6"/>
      <c r="D728" s="6"/>
      <c r="F728" s="6"/>
      <c r="H728" s="6"/>
      <c r="J728" s="6"/>
      <c r="L728" s="6"/>
      <c r="N728" s="6"/>
    </row>
    <row r="729" spans="1:14">
      <c r="A729" s="6"/>
      <c r="B729" s="6"/>
      <c r="C729" s="6"/>
      <c r="D729" s="6"/>
      <c r="F729" s="6"/>
      <c r="H729" s="6"/>
      <c r="J729" s="6"/>
      <c r="L729" s="6"/>
      <c r="N729" s="6"/>
    </row>
    <row r="730" spans="1:14">
      <c r="A730" s="6"/>
      <c r="B730" s="6"/>
      <c r="C730" s="6"/>
      <c r="D730" s="6"/>
      <c r="F730" s="6"/>
      <c r="H730" s="6"/>
      <c r="J730" s="6"/>
      <c r="L730" s="6"/>
      <c r="N730" s="6"/>
    </row>
    <row r="731" spans="1:14">
      <c r="A731" s="6"/>
      <c r="B731" s="6"/>
      <c r="C731" s="6"/>
      <c r="D731" s="6"/>
      <c r="F731" s="6"/>
      <c r="H731" s="6"/>
      <c r="J731" s="6"/>
      <c r="L731" s="6"/>
      <c r="N731" s="6"/>
    </row>
    <row r="732" spans="1:14">
      <c r="A732" s="6"/>
      <c r="B732" s="6"/>
      <c r="C732" s="6"/>
      <c r="D732" s="6"/>
      <c r="F732" s="6"/>
      <c r="H732" s="6"/>
      <c r="J732" s="6"/>
      <c r="L732" s="6"/>
      <c r="N732" s="6"/>
    </row>
    <row r="733" spans="1:14">
      <c r="A733" s="6"/>
      <c r="B733" s="6"/>
      <c r="C733" s="6"/>
      <c r="D733" s="6"/>
      <c r="F733" s="6"/>
      <c r="H733" s="6"/>
      <c r="J733" s="6"/>
      <c r="L733" s="6"/>
      <c r="N733" s="6"/>
    </row>
    <row r="734" spans="1:14">
      <c r="A734" s="6"/>
      <c r="B734" s="6"/>
      <c r="C734" s="6"/>
      <c r="D734" s="6"/>
      <c r="F734" s="6"/>
      <c r="H734" s="6"/>
      <c r="J734" s="6"/>
      <c r="L734" s="6"/>
      <c r="N734" s="6"/>
    </row>
    <row r="735" spans="1:14">
      <c r="A735" s="6"/>
      <c r="B735" s="6"/>
      <c r="C735" s="6"/>
      <c r="D735" s="6"/>
      <c r="F735" s="6"/>
      <c r="H735" s="6"/>
      <c r="J735" s="6"/>
      <c r="L735" s="6"/>
      <c r="N735" s="6"/>
    </row>
    <row r="736" spans="1:14">
      <c r="A736" s="6"/>
      <c r="B736" s="6"/>
      <c r="C736" s="6"/>
      <c r="D736" s="6"/>
      <c r="F736" s="6"/>
      <c r="H736" s="6"/>
      <c r="J736" s="6"/>
      <c r="L736" s="6"/>
      <c r="N736" s="6"/>
    </row>
    <row r="737" spans="1:14">
      <c r="A737" s="6"/>
      <c r="B737" s="6"/>
      <c r="C737" s="6"/>
      <c r="D737" s="6"/>
      <c r="F737" s="6"/>
      <c r="H737" s="6"/>
      <c r="J737" s="6"/>
      <c r="L737" s="6"/>
      <c r="N737" s="6"/>
    </row>
    <row r="738" spans="1:14">
      <c r="A738" s="6"/>
      <c r="B738" s="6"/>
      <c r="C738" s="6"/>
      <c r="D738" s="6"/>
      <c r="F738" s="6"/>
      <c r="H738" s="6"/>
      <c r="J738" s="6"/>
      <c r="L738" s="6"/>
      <c r="N738" s="6"/>
    </row>
    <row r="739" spans="1:14">
      <c r="A739" s="6"/>
      <c r="B739" s="6"/>
      <c r="C739" s="6"/>
      <c r="D739" s="6"/>
      <c r="F739" s="6"/>
      <c r="H739" s="6"/>
      <c r="J739" s="6"/>
      <c r="L739" s="6"/>
      <c r="N739" s="6"/>
    </row>
    <row r="740" spans="1:14">
      <c r="A740" s="6"/>
      <c r="B740" s="6"/>
      <c r="C740" s="6"/>
      <c r="D740" s="6"/>
      <c r="F740" s="6"/>
      <c r="H740" s="6"/>
      <c r="J740" s="6"/>
      <c r="L740" s="6"/>
      <c r="N740" s="6"/>
    </row>
    <row r="741" spans="1:14">
      <c r="A741" s="6"/>
      <c r="B741" s="6"/>
      <c r="C741" s="6"/>
      <c r="D741" s="6"/>
      <c r="F741" s="6"/>
      <c r="H741" s="6"/>
      <c r="J741" s="6"/>
      <c r="L741" s="6"/>
      <c r="N741" s="6"/>
    </row>
    <row r="742" spans="1:14">
      <c r="A742" s="6"/>
      <c r="B742" s="6"/>
      <c r="C742" s="6"/>
      <c r="D742" s="6"/>
      <c r="F742" s="6"/>
      <c r="H742" s="6"/>
      <c r="J742" s="6"/>
      <c r="L742" s="6"/>
      <c r="N742" s="6"/>
    </row>
    <row r="743" spans="1:14">
      <c r="A743" s="6"/>
      <c r="B743" s="6"/>
      <c r="C743" s="6"/>
      <c r="D743" s="6"/>
      <c r="F743" s="6"/>
      <c r="H743" s="6"/>
      <c r="J743" s="6"/>
      <c r="L743" s="6"/>
      <c r="N743" s="6"/>
    </row>
    <row r="744" spans="1:14">
      <c r="A744" s="6"/>
      <c r="B744" s="6"/>
      <c r="C744" s="6"/>
      <c r="D744" s="6"/>
      <c r="F744" s="6"/>
      <c r="H744" s="6"/>
      <c r="J744" s="6"/>
      <c r="L744" s="6"/>
      <c r="N744" s="6"/>
    </row>
    <row r="745" spans="1:14">
      <c r="A745" s="6"/>
      <c r="B745" s="6"/>
      <c r="C745" s="6"/>
      <c r="D745" s="6"/>
      <c r="F745" s="6"/>
      <c r="H745" s="6"/>
      <c r="J745" s="6"/>
      <c r="L745" s="6"/>
      <c r="N745" s="6"/>
    </row>
    <row r="746" spans="1:14">
      <c r="A746" s="6"/>
      <c r="B746" s="6"/>
      <c r="C746" s="6"/>
      <c r="D746" s="6"/>
      <c r="F746" s="6"/>
      <c r="H746" s="6"/>
      <c r="J746" s="6"/>
      <c r="L746" s="6"/>
      <c r="N746" s="6"/>
    </row>
    <row r="747" spans="1:14">
      <c r="A747" s="6"/>
      <c r="B747" s="6"/>
      <c r="C747" s="6"/>
      <c r="D747" s="6"/>
      <c r="F747" s="6"/>
      <c r="H747" s="6"/>
      <c r="J747" s="6"/>
      <c r="L747" s="6"/>
      <c r="N747" s="6"/>
    </row>
    <row r="748" spans="1:14">
      <c r="A748" s="6"/>
      <c r="B748" s="6"/>
      <c r="C748" s="6"/>
      <c r="D748" s="6"/>
      <c r="F748" s="6"/>
      <c r="H748" s="6"/>
      <c r="J748" s="6"/>
      <c r="L748" s="6"/>
      <c r="N748" s="6"/>
    </row>
    <row r="749" spans="1:14">
      <c r="A749" s="6"/>
      <c r="B749" s="6"/>
      <c r="C749" s="6"/>
      <c r="D749" s="6"/>
      <c r="F749" s="6"/>
      <c r="H749" s="6"/>
      <c r="J749" s="6"/>
      <c r="L749" s="6"/>
      <c r="N749" s="6"/>
    </row>
    <row r="750" spans="1:14">
      <c r="A750" s="6"/>
      <c r="B750" s="6"/>
      <c r="C750" s="6"/>
      <c r="D750" s="6"/>
      <c r="F750" s="6"/>
      <c r="H750" s="6"/>
      <c r="J750" s="6"/>
      <c r="L750" s="6"/>
      <c r="N750" s="6"/>
    </row>
    <row r="751" spans="1:14">
      <c r="A751" s="6"/>
      <c r="B751" s="6"/>
      <c r="C751" s="6"/>
      <c r="D751" s="6"/>
      <c r="F751" s="6"/>
      <c r="H751" s="6"/>
      <c r="J751" s="6"/>
      <c r="L751" s="6"/>
      <c r="N751" s="6"/>
    </row>
    <row r="752" spans="1:14">
      <c r="A752" s="6"/>
      <c r="B752" s="6"/>
      <c r="C752" s="6"/>
      <c r="D752" s="6"/>
      <c r="F752" s="6"/>
      <c r="H752" s="6"/>
      <c r="J752" s="6"/>
      <c r="L752" s="6"/>
      <c r="N752" s="6"/>
    </row>
    <row r="753" spans="1:14">
      <c r="A753" s="6"/>
      <c r="B753" s="6"/>
      <c r="C753" s="6"/>
      <c r="D753" s="6"/>
      <c r="F753" s="6"/>
      <c r="H753" s="6"/>
      <c r="J753" s="6"/>
      <c r="L753" s="6"/>
      <c r="N753" s="6"/>
    </row>
    <row r="754" spans="1:14">
      <c r="A754" s="6"/>
      <c r="B754" s="6"/>
      <c r="C754" s="6"/>
      <c r="D754" s="6"/>
      <c r="F754" s="6"/>
      <c r="H754" s="6"/>
      <c r="J754" s="6"/>
      <c r="L754" s="6"/>
      <c r="N754" s="6"/>
    </row>
    <row r="755" spans="1:14">
      <c r="A755" s="6"/>
      <c r="B755" s="6"/>
      <c r="C755" s="6"/>
      <c r="D755" s="6"/>
      <c r="F755" s="6"/>
      <c r="H755" s="6"/>
      <c r="J755" s="6"/>
      <c r="L755" s="6"/>
      <c r="N755" s="6"/>
    </row>
    <row r="756" spans="1:14">
      <c r="A756" s="6"/>
      <c r="B756" s="6"/>
      <c r="C756" s="6"/>
      <c r="D756" s="6"/>
      <c r="F756" s="6"/>
      <c r="H756" s="6"/>
      <c r="J756" s="6"/>
      <c r="L756" s="6"/>
      <c r="N756" s="6"/>
    </row>
    <row r="757" spans="1:14">
      <c r="A757" s="6"/>
      <c r="B757" s="6"/>
      <c r="C757" s="6"/>
      <c r="D757" s="6"/>
      <c r="F757" s="6"/>
      <c r="H757" s="6"/>
      <c r="J757" s="6"/>
      <c r="L757" s="6"/>
      <c r="N757" s="6"/>
    </row>
    <row r="758" spans="1:14">
      <c r="A758" s="6"/>
      <c r="B758" s="6"/>
      <c r="C758" s="6"/>
      <c r="D758" s="6"/>
      <c r="F758" s="6"/>
      <c r="H758" s="6"/>
      <c r="J758" s="6"/>
      <c r="L758" s="6"/>
      <c r="N758" s="6"/>
    </row>
    <row r="759" spans="1:14">
      <c r="A759" s="6"/>
      <c r="B759" s="6"/>
      <c r="C759" s="6"/>
      <c r="D759" s="6"/>
      <c r="F759" s="6"/>
      <c r="H759" s="6"/>
      <c r="J759" s="6"/>
      <c r="L759" s="6"/>
      <c r="N759" s="6"/>
    </row>
    <row r="760" spans="1:14">
      <c r="A760" s="6"/>
      <c r="B760" s="6"/>
      <c r="C760" s="6"/>
      <c r="D760" s="6"/>
      <c r="F760" s="6"/>
      <c r="H760" s="6"/>
      <c r="J760" s="6"/>
      <c r="L760" s="6"/>
      <c r="N760" s="6"/>
    </row>
    <row r="761" spans="1:14">
      <c r="A761" s="6"/>
      <c r="B761" s="6"/>
      <c r="C761" s="6"/>
      <c r="D761" s="6"/>
      <c r="F761" s="6"/>
      <c r="H761" s="6"/>
      <c r="J761" s="6"/>
      <c r="L761" s="6"/>
      <c r="N761" s="6"/>
    </row>
    <row r="762" spans="1:14">
      <c r="A762" s="6"/>
      <c r="B762" s="6"/>
      <c r="C762" s="6"/>
      <c r="D762" s="6"/>
      <c r="F762" s="6"/>
      <c r="H762" s="6"/>
      <c r="J762" s="6"/>
      <c r="L762" s="6"/>
      <c r="N762" s="6"/>
    </row>
    <row r="763" spans="1:14">
      <c r="A763" s="6"/>
      <c r="B763" s="6"/>
      <c r="C763" s="6"/>
      <c r="D763" s="6"/>
      <c r="F763" s="6"/>
      <c r="H763" s="6"/>
      <c r="J763" s="6"/>
      <c r="L763" s="6"/>
      <c r="N763" s="6"/>
    </row>
    <row r="764" spans="1:14">
      <c r="A764" s="6"/>
      <c r="B764" s="6"/>
      <c r="C764" s="6"/>
      <c r="D764" s="6"/>
      <c r="F764" s="6"/>
      <c r="H764" s="6"/>
      <c r="J764" s="6"/>
      <c r="L764" s="6"/>
      <c r="N764" s="6"/>
    </row>
    <row r="765" spans="1:14">
      <c r="A765" s="6"/>
      <c r="B765" s="6"/>
      <c r="C765" s="6"/>
      <c r="D765" s="6"/>
      <c r="F765" s="6"/>
      <c r="H765" s="6"/>
      <c r="J765" s="6"/>
      <c r="L765" s="6"/>
      <c r="N765" s="6"/>
    </row>
    <row r="766" spans="1:14">
      <c r="A766" s="6"/>
      <c r="B766" s="6"/>
      <c r="C766" s="6"/>
      <c r="D766" s="6"/>
      <c r="F766" s="6"/>
      <c r="H766" s="6"/>
      <c r="J766" s="6"/>
      <c r="L766" s="6"/>
      <c r="N766" s="6"/>
    </row>
    <row r="767" spans="1:14">
      <c r="A767" s="6"/>
      <c r="B767" s="6"/>
      <c r="C767" s="6"/>
      <c r="D767" s="6"/>
      <c r="F767" s="6"/>
      <c r="H767" s="6"/>
      <c r="J767" s="6"/>
      <c r="L767" s="6"/>
      <c r="N767" s="6"/>
    </row>
    <row r="768" spans="1:14">
      <c r="A768" s="6"/>
      <c r="B768" s="6"/>
      <c r="C768" s="6"/>
      <c r="D768" s="6"/>
      <c r="F768" s="6"/>
      <c r="H768" s="6"/>
      <c r="J768" s="6"/>
      <c r="L768" s="6"/>
      <c r="N768" s="6"/>
    </row>
    <row r="769" spans="1:14">
      <c r="A769" s="6"/>
      <c r="B769" s="6"/>
      <c r="C769" s="6"/>
      <c r="D769" s="6"/>
      <c r="F769" s="6"/>
      <c r="H769" s="6"/>
      <c r="J769" s="6"/>
      <c r="L769" s="6"/>
      <c r="N769" s="6"/>
    </row>
    <row r="770" spans="1:14">
      <c r="A770" s="6"/>
      <c r="B770" s="6"/>
      <c r="C770" s="6"/>
      <c r="D770" s="6"/>
      <c r="F770" s="6"/>
      <c r="H770" s="6"/>
      <c r="J770" s="6"/>
      <c r="L770" s="6"/>
      <c r="N770" s="6"/>
    </row>
    <row r="771" spans="1:14">
      <c r="A771" s="6"/>
      <c r="B771" s="6"/>
      <c r="C771" s="6"/>
      <c r="D771" s="6"/>
      <c r="F771" s="6"/>
      <c r="H771" s="6"/>
      <c r="J771" s="6"/>
      <c r="L771" s="6"/>
      <c r="N771" s="6"/>
    </row>
    <row r="772" spans="1:14">
      <c r="A772" s="6"/>
      <c r="B772" s="6"/>
      <c r="C772" s="6"/>
      <c r="D772" s="6"/>
      <c r="F772" s="6"/>
      <c r="H772" s="6"/>
      <c r="J772" s="6"/>
      <c r="L772" s="6"/>
      <c r="N772" s="6"/>
    </row>
    <row r="773" spans="1:14">
      <c r="A773" s="6"/>
      <c r="B773" s="6"/>
      <c r="C773" s="6"/>
      <c r="D773" s="6"/>
      <c r="F773" s="6"/>
      <c r="H773" s="6"/>
      <c r="J773" s="6"/>
      <c r="L773" s="6"/>
      <c r="N773" s="6"/>
    </row>
    <row r="774" spans="1:14">
      <c r="A774" s="6"/>
      <c r="B774" s="6"/>
      <c r="C774" s="6"/>
      <c r="D774" s="6"/>
      <c r="F774" s="6"/>
      <c r="H774" s="6"/>
      <c r="J774" s="6"/>
      <c r="L774" s="6"/>
      <c r="N774" s="6"/>
    </row>
    <row r="775" spans="1:14">
      <c r="A775" s="6"/>
      <c r="B775" s="6"/>
      <c r="C775" s="6"/>
      <c r="D775" s="6"/>
      <c r="F775" s="6"/>
      <c r="H775" s="6"/>
      <c r="J775" s="6"/>
      <c r="L775" s="6"/>
      <c r="N775" s="6"/>
    </row>
    <row r="776" spans="1:14">
      <c r="A776" s="6"/>
      <c r="B776" s="6"/>
      <c r="C776" s="6"/>
      <c r="D776" s="6"/>
      <c r="F776" s="6"/>
      <c r="H776" s="6"/>
      <c r="J776" s="6"/>
      <c r="L776" s="6"/>
      <c r="N776" s="6"/>
    </row>
    <row r="777" spans="1:14">
      <c r="A777" s="6"/>
      <c r="B777" s="6"/>
      <c r="C777" s="6"/>
      <c r="D777" s="6"/>
      <c r="F777" s="6"/>
      <c r="H777" s="6"/>
      <c r="J777" s="6"/>
      <c r="L777" s="6"/>
      <c r="N777" s="6"/>
    </row>
    <row r="778" spans="1:14">
      <c r="A778" s="6"/>
      <c r="B778" s="6"/>
      <c r="C778" s="6"/>
      <c r="D778" s="6"/>
      <c r="F778" s="6"/>
      <c r="H778" s="6"/>
      <c r="J778" s="6"/>
      <c r="L778" s="6"/>
      <c r="N778" s="6"/>
    </row>
    <row r="779" spans="1:14">
      <c r="A779" s="6"/>
      <c r="B779" s="6"/>
      <c r="C779" s="6"/>
      <c r="D779" s="6"/>
      <c r="F779" s="6"/>
      <c r="H779" s="6"/>
      <c r="J779" s="6"/>
      <c r="L779" s="6"/>
      <c r="N779" s="6"/>
    </row>
    <row r="780" spans="1:14">
      <c r="A780" s="6"/>
      <c r="B780" s="6"/>
      <c r="C780" s="6"/>
      <c r="D780" s="6"/>
      <c r="F780" s="6"/>
      <c r="H780" s="6"/>
      <c r="J780" s="6"/>
      <c r="L780" s="6"/>
      <c r="N780" s="6"/>
    </row>
    <row r="781" spans="1:14">
      <c r="A781" s="6"/>
      <c r="B781" s="6"/>
      <c r="C781" s="6"/>
      <c r="D781" s="6"/>
      <c r="F781" s="6"/>
      <c r="H781" s="6"/>
      <c r="J781" s="6"/>
      <c r="L781" s="6"/>
      <c r="N781" s="6"/>
    </row>
    <row r="782" spans="1:14">
      <c r="A782" s="6"/>
      <c r="B782" s="6"/>
      <c r="C782" s="6"/>
      <c r="D782" s="6"/>
      <c r="F782" s="6"/>
      <c r="H782" s="6"/>
      <c r="J782" s="6"/>
      <c r="L782" s="6"/>
      <c r="N782" s="6"/>
    </row>
    <row r="783" spans="1:14">
      <c r="A783" s="6"/>
      <c r="B783" s="6"/>
      <c r="C783" s="6"/>
      <c r="D783" s="6"/>
      <c r="F783" s="6"/>
      <c r="H783" s="6"/>
      <c r="J783" s="6"/>
      <c r="L783" s="6"/>
      <c r="N783" s="6"/>
    </row>
    <row r="784" spans="1:14">
      <c r="A784" s="6"/>
      <c r="B784" s="6"/>
      <c r="C784" s="6"/>
      <c r="D784" s="6"/>
      <c r="F784" s="6"/>
      <c r="H784" s="6"/>
      <c r="J784" s="6"/>
      <c r="L784" s="6"/>
      <c r="N784" s="6"/>
    </row>
    <row r="785" spans="1:14">
      <c r="A785" s="6"/>
      <c r="B785" s="6"/>
      <c r="C785" s="6"/>
      <c r="D785" s="6"/>
      <c r="F785" s="6"/>
      <c r="H785" s="6"/>
      <c r="J785" s="6"/>
      <c r="L785" s="6"/>
      <c r="N785" s="6"/>
    </row>
    <row r="786" spans="1:14">
      <c r="A786" s="6"/>
      <c r="B786" s="6"/>
      <c r="C786" s="6"/>
      <c r="D786" s="6"/>
      <c r="F786" s="6"/>
      <c r="H786" s="6"/>
      <c r="J786" s="6"/>
      <c r="L786" s="6"/>
      <c r="N786" s="6"/>
    </row>
    <row r="787" spans="1:14">
      <c r="A787" s="6"/>
      <c r="B787" s="6"/>
      <c r="C787" s="6"/>
      <c r="D787" s="6"/>
      <c r="F787" s="6"/>
      <c r="H787" s="6"/>
      <c r="J787" s="6"/>
      <c r="L787" s="6"/>
      <c r="N787" s="6"/>
    </row>
    <row r="788" spans="1:14">
      <c r="A788" s="6"/>
      <c r="B788" s="6"/>
      <c r="C788" s="6"/>
      <c r="D788" s="6"/>
      <c r="F788" s="6"/>
      <c r="H788" s="6"/>
      <c r="J788" s="6"/>
      <c r="L788" s="6"/>
      <c r="N788" s="6"/>
    </row>
    <row r="789" spans="1:14">
      <c r="A789" s="6"/>
      <c r="B789" s="6"/>
      <c r="C789" s="6"/>
      <c r="D789" s="6"/>
      <c r="F789" s="6"/>
      <c r="H789" s="6"/>
      <c r="J789" s="6"/>
      <c r="L789" s="6"/>
      <c r="N789" s="6"/>
    </row>
    <row r="790" spans="1:14">
      <c r="A790" s="6"/>
      <c r="B790" s="6"/>
      <c r="C790" s="6"/>
      <c r="D790" s="6"/>
      <c r="F790" s="6"/>
      <c r="H790" s="6"/>
      <c r="J790" s="6"/>
      <c r="L790" s="6"/>
      <c r="N790" s="6"/>
    </row>
    <row r="791" spans="1:14">
      <c r="A791" s="6"/>
      <c r="B791" s="6"/>
      <c r="C791" s="6"/>
      <c r="D791" s="6"/>
      <c r="F791" s="6"/>
      <c r="H791" s="6"/>
      <c r="J791" s="6"/>
      <c r="L791" s="6"/>
      <c r="N791" s="6"/>
    </row>
    <row r="792" spans="1:14">
      <c r="A792" s="6"/>
      <c r="B792" s="6"/>
      <c r="C792" s="6"/>
      <c r="D792" s="6"/>
      <c r="F792" s="6"/>
      <c r="H792" s="6"/>
      <c r="J792" s="6"/>
      <c r="L792" s="6"/>
      <c r="N792" s="6"/>
    </row>
    <row r="793" spans="1:14">
      <c r="A793" s="6"/>
      <c r="B793" s="6"/>
      <c r="C793" s="6"/>
      <c r="D793" s="6"/>
      <c r="F793" s="6"/>
      <c r="H793" s="6"/>
      <c r="J793" s="6"/>
      <c r="L793" s="6"/>
      <c r="N793" s="6"/>
    </row>
    <row r="794" spans="1:14">
      <c r="A794" s="6"/>
      <c r="B794" s="6"/>
      <c r="C794" s="6"/>
      <c r="D794" s="6"/>
      <c r="F794" s="6"/>
      <c r="H794" s="6"/>
      <c r="J794" s="6"/>
      <c r="L794" s="6"/>
      <c r="N794" s="6"/>
    </row>
    <row r="795" spans="1:14">
      <c r="A795" s="6"/>
      <c r="B795" s="6"/>
      <c r="C795" s="6"/>
      <c r="D795" s="6"/>
      <c r="F795" s="6"/>
      <c r="H795" s="6"/>
      <c r="J795" s="6"/>
      <c r="L795" s="6"/>
      <c r="N795" s="6"/>
    </row>
    <row r="796" spans="1:14">
      <c r="A796" s="6"/>
      <c r="B796" s="6"/>
      <c r="C796" s="6"/>
      <c r="D796" s="6"/>
      <c r="F796" s="6"/>
      <c r="H796" s="6"/>
      <c r="J796" s="6"/>
      <c r="L796" s="6"/>
      <c r="N796" s="6"/>
    </row>
    <row r="797" spans="1:14">
      <c r="A797" s="6"/>
      <c r="B797" s="6"/>
      <c r="C797" s="6"/>
      <c r="D797" s="6"/>
      <c r="F797" s="6"/>
      <c r="H797" s="6"/>
      <c r="J797" s="6"/>
      <c r="L797" s="6"/>
      <c r="N797" s="6"/>
    </row>
    <row r="798" spans="1:14">
      <c r="A798" s="6"/>
      <c r="B798" s="6"/>
      <c r="C798" s="6"/>
      <c r="D798" s="6"/>
      <c r="F798" s="6"/>
      <c r="H798" s="6"/>
      <c r="J798" s="6"/>
      <c r="L798" s="6"/>
      <c r="N798" s="6"/>
    </row>
    <row r="799" spans="1:14">
      <c r="A799" s="6"/>
      <c r="B799" s="6"/>
      <c r="C799" s="6"/>
      <c r="D799" s="6"/>
      <c r="F799" s="6"/>
      <c r="H799" s="6"/>
      <c r="J799" s="6"/>
      <c r="L799" s="6"/>
      <c r="N799" s="6"/>
    </row>
    <row r="800" spans="1:14">
      <c r="A800" s="6"/>
      <c r="B800" s="6"/>
      <c r="C800" s="6"/>
      <c r="D800" s="6"/>
      <c r="F800" s="6"/>
      <c r="H800" s="6"/>
      <c r="J800" s="6"/>
      <c r="L800" s="6"/>
      <c r="N800" s="6"/>
    </row>
    <row r="801" spans="1:14">
      <c r="A801" s="6"/>
      <c r="B801" s="6"/>
      <c r="C801" s="6"/>
      <c r="D801" s="6"/>
      <c r="F801" s="6"/>
      <c r="H801" s="6"/>
      <c r="J801" s="6"/>
      <c r="L801" s="6"/>
      <c r="N801" s="6"/>
    </row>
    <row r="802" spans="1:14">
      <c r="A802" s="6"/>
      <c r="B802" s="6"/>
      <c r="C802" s="6"/>
      <c r="D802" s="6"/>
      <c r="F802" s="6"/>
      <c r="H802" s="6"/>
      <c r="J802" s="6"/>
      <c r="L802" s="6"/>
      <c r="N802" s="6"/>
    </row>
    <row r="803" spans="1:14">
      <c r="A803" s="6"/>
      <c r="B803" s="6"/>
      <c r="C803" s="6"/>
      <c r="D803" s="6"/>
      <c r="F803" s="6"/>
      <c r="H803" s="6"/>
      <c r="J803" s="6"/>
      <c r="L803" s="6"/>
      <c r="N803" s="6"/>
    </row>
    <row r="804" spans="1:14">
      <c r="A804" s="6"/>
      <c r="B804" s="6"/>
      <c r="C804" s="6"/>
      <c r="D804" s="6"/>
      <c r="F804" s="6"/>
      <c r="H804" s="6"/>
      <c r="J804" s="6"/>
      <c r="L804" s="6"/>
      <c r="N804" s="6"/>
    </row>
    <row r="805" spans="1:14">
      <c r="A805" s="6"/>
      <c r="B805" s="6"/>
      <c r="C805" s="6"/>
      <c r="D805" s="6"/>
      <c r="F805" s="6"/>
      <c r="H805" s="6"/>
      <c r="J805" s="6"/>
      <c r="L805" s="6"/>
      <c r="N805" s="6"/>
    </row>
    <row r="806" spans="1:14">
      <c r="A806" s="6"/>
      <c r="B806" s="6"/>
      <c r="C806" s="6"/>
      <c r="D806" s="6"/>
      <c r="F806" s="6"/>
      <c r="H806" s="6"/>
      <c r="J806" s="6"/>
      <c r="L806" s="6"/>
      <c r="N806" s="6"/>
    </row>
    <row r="807" spans="1:14">
      <c r="A807" s="6"/>
      <c r="B807" s="6"/>
      <c r="C807" s="6"/>
      <c r="D807" s="6"/>
      <c r="F807" s="6"/>
      <c r="H807" s="6"/>
      <c r="J807" s="6"/>
      <c r="L807" s="6"/>
      <c r="N807" s="6"/>
    </row>
    <row r="808" spans="1:14">
      <c r="A808" s="6"/>
      <c r="B808" s="6"/>
      <c r="C808" s="6"/>
      <c r="D808" s="6"/>
      <c r="F808" s="6"/>
      <c r="H808" s="6"/>
      <c r="J808" s="6"/>
      <c r="L808" s="6"/>
      <c r="N808" s="6"/>
    </row>
    <row r="809" spans="1:14">
      <c r="A809" s="6"/>
      <c r="B809" s="6"/>
      <c r="C809" s="6"/>
      <c r="D809" s="6"/>
      <c r="F809" s="6"/>
      <c r="H809" s="6"/>
      <c r="J809" s="6"/>
      <c r="L809" s="6"/>
      <c r="N809" s="6"/>
    </row>
    <row r="810" spans="1:14">
      <c r="A810" s="6"/>
      <c r="B810" s="6"/>
      <c r="C810" s="6"/>
      <c r="D810" s="6"/>
      <c r="F810" s="6"/>
      <c r="H810" s="6"/>
      <c r="J810" s="6"/>
      <c r="L810" s="6"/>
      <c r="N810" s="6"/>
    </row>
    <row r="811" spans="1:14">
      <c r="A811" s="6"/>
      <c r="B811" s="6"/>
      <c r="C811" s="6"/>
      <c r="D811" s="6"/>
      <c r="F811" s="6"/>
      <c r="H811" s="6"/>
      <c r="J811" s="6"/>
      <c r="L811" s="6"/>
      <c r="N811" s="6"/>
    </row>
    <row r="812" spans="1:14">
      <c r="A812" s="6"/>
      <c r="B812" s="6"/>
      <c r="C812" s="6"/>
      <c r="D812" s="6"/>
      <c r="F812" s="6"/>
      <c r="H812" s="6"/>
      <c r="J812" s="6"/>
      <c r="L812" s="6"/>
      <c r="N812" s="6"/>
    </row>
    <row r="813" spans="1:14">
      <c r="A813" s="6"/>
      <c r="B813" s="6"/>
      <c r="C813" s="6"/>
      <c r="D813" s="6"/>
      <c r="F813" s="6"/>
      <c r="H813" s="6"/>
      <c r="J813" s="6"/>
      <c r="L813" s="6"/>
      <c r="N813" s="6"/>
    </row>
    <row r="814" spans="1:14">
      <c r="A814" s="6"/>
      <c r="B814" s="6"/>
      <c r="C814" s="6"/>
      <c r="D814" s="6"/>
      <c r="F814" s="6"/>
      <c r="H814" s="6"/>
      <c r="J814" s="6"/>
      <c r="L814" s="6"/>
      <c r="N814" s="6"/>
    </row>
    <row r="815" spans="1:14">
      <c r="A815" s="6"/>
      <c r="B815" s="6"/>
      <c r="C815" s="6"/>
      <c r="D815" s="6"/>
      <c r="F815" s="6"/>
      <c r="H815" s="6"/>
      <c r="J815" s="6"/>
      <c r="L815" s="6"/>
      <c r="N815" s="6"/>
    </row>
    <row r="816" spans="1:14">
      <c r="A816" s="6"/>
      <c r="B816" s="6"/>
      <c r="C816" s="6"/>
      <c r="D816" s="6"/>
      <c r="F816" s="6"/>
      <c r="H816" s="6"/>
      <c r="J816" s="6"/>
      <c r="L816" s="6"/>
      <c r="N816" s="6"/>
    </row>
    <row r="817" spans="1:14">
      <c r="A817" s="6"/>
      <c r="B817" s="6"/>
      <c r="C817" s="6"/>
      <c r="D817" s="6"/>
      <c r="F817" s="6"/>
      <c r="H817" s="6"/>
      <c r="J817" s="6"/>
      <c r="L817" s="6"/>
      <c r="N817" s="6"/>
    </row>
    <row r="818" spans="1:14">
      <c r="A818" s="6"/>
      <c r="B818" s="6"/>
      <c r="C818" s="6"/>
      <c r="D818" s="6"/>
      <c r="F818" s="6"/>
      <c r="H818" s="6"/>
      <c r="J818" s="6"/>
      <c r="L818" s="6"/>
      <c r="N818" s="6"/>
    </row>
    <row r="819" spans="1:14">
      <c r="A819" s="6"/>
      <c r="B819" s="6"/>
      <c r="C819" s="6"/>
      <c r="D819" s="6"/>
      <c r="F819" s="6"/>
      <c r="H819" s="6"/>
      <c r="J819" s="6"/>
      <c r="L819" s="6"/>
      <c r="N819" s="6"/>
    </row>
    <row r="820" spans="1:14">
      <c r="A820" s="6"/>
      <c r="B820" s="6"/>
      <c r="C820" s="6"/>
      <c r="D820" s="6"/>
      <c r="F820" s="6"/>
      <c r="H820" s="6"/>
      <c r="J820" s="6"/>
      <c r="L820" s="6"/>
      <c r="N820" s="6"/>
    </row>
    <row r="821" spans="1:14">
      <c r="A821" s="6"/>
      <c r="B821" s="6"/>
      <c r="C821" s="6"/>
      <c r="D821" s="6"/>
      <c r="F821" s="6"/>
      <c r="H821" s="6"/>
      <c r="J821" s="6"/>
      <c r="L821" s="6"/>
      <c r="N821" s="6"/>
    </row>
    <row r="822" spans="1:14">
      <c r="A822" s="6"/>
      <c r="B822" s="6"/>
      <c r="C822" s="6"/>
      <c r="D822" s="6"/>
      <c r="F822" s="6"/>
      <c r="H822" s="6"/>
      <c r="J822" s="6"/>
      <c r="L822" s="6"/>
      <c r="N822" s="6"/>
    </row>
    <row r="823" spans="1:14">
      <c r="A823" s="6"/>
      <c r="B823" s="6"/>
      <c r="C823" s="6"/>
      <c r="D823" s="6"/>
      <c r="F823" s="6"/>
      <c r="H823" s="6"/>
      <c r="J823" s="6"/>
      <c r="L823" s="6"/>
      <c r="N823" s="6"/>
    </row>
    <row r="824" spans="1:14">
      <c r="A824" s="6"/>
      <c r="B824" s="6"/>
      <c r="C824" s="6"/>
      <c r="D824" s="6"/>
      <c r="F824" s="6"/>
      <c r="H824" s="6"/>
      <c r="J824" s="6"/>
      <c r="L824" s="6"/>
      <c r="N824" s="6"/>
    </row>
    <row r="825" spans="1:14">
      <c r="A825" s="6"/>
      <c r="B825" s="6"/>
      <c r="C825" s="6"/>
      <c r="D825" s="6"/>
      <c r="F825" s="6"/>
      <c r="H825" s="6"/>
      <c r="J825" s="6"/>
      <c r="L825" s="6"/>
      <c r="N825" s="6"/>
    </row>
    <row r="826" spans="1:14">
      <c r="A826" s="6"/>
      <c r="B826" s="6"/>
      <c r="C826" s="6"/>
      <c r="D826" s="6"/>
      <c r="F826" s="6"/>
      <c r="H826" s="6"/>
      <c r="J826" s="6"/>
      <c r="L826" s="6"/>
      <c r="N826" s="6"/>
    </row>
    <row r="827" spans="1:14">
      <c r="A827" s="6"/>
      <c r="B827" s="6"/>
      <c r="C827" s="6"/>
      <c r="D827" s="6"/>
      <c r="F827" s="6"/>
      <c r="H827" s="6"/>
      <c r="J827" s="6"/>
      <c r="L827" s="6"/>
      <c r="N827" s="6"/>
    </row>
    <row r="828" spans="1:14">
      <c r="A828" s="6"/>
      <c r="B828" s="6"/>
      <c r="C828" s="6"/>
      <c r="D828" s="6"/>
      <c r="F828" s="6"/>
      <c r="H828" s="6"/>
      <c r="J828" s="6"/>
      <c r="L828" s="6"/>
      <c r="N828" s="6"/>
    </row>
    <row r="829" spans="1:14">
      <c r="A829" s="6"/>
      <c r="B829" s="6"/>
      <c r="C829" s="6"/>
      <c r="D829" s="6"/>
      <c r="F829" s="6"/>
      <c r="H829" s="6"/>
      <c r="J829" s="6"/>
      <c r="L829" s="6"/>
      <c r="N829" s="6"/>
    </row>
    <row r="830" spans="1:14">
      <c r="A830" s="6"/>
      <c r="B830" s="6"/>
      <c r="C830" s="6"/>
      <c r="D830" s="6"/>
      <c r="F830" s="6"/>
      <c r="H830" s="6"/>
      <c r="J830" s="6"/>
      <c r="L830" s="6"/>
      <c r="N830" s="6"/>
    </row>
    <row r="831" spans="1:14">
      <c r="A831" s="6"/>
      <c r="B831" s="6"/>
      <c r="C831" s="6"/>
      <c r="D831" s="6"/>
      <c r="F831" s="6"/>
      <c r="H831" s="6"/>
      <c r="J831" s="6"/>
      <c r="L831" s="6"/>
      <c r="N831" s="6"/>
    </row>
    <row r="832" spans="1:14">
      <c r="A832" s="6"/>
      <c r="B832" s="6"/>
      <c r="C832" s="6"/>
      <c r="D832" s="6"/>
      <c r="F832" s="6"/>
      <c r="H832" s="6"/>
      <c r="J832" s="6"/>
      <c r="L832" s="6"/>
      <c r="N832" s="6"/>
    </row>
    <row r="833" spans="1:14">
      <c r="A833" s="6"/>
      <c r="B833" s="6"/>
      <c r="C833" s="6"/>
      <c r="D833" s="6"/>
      <c r="F833" s="6"/>
      <c r="H833" s="6"/>
      <c r="J833" s="6"/>
      <c r="L833" s="6"/>
      <c r="N833" s="6"/>
    </row>
    <row r="834" spans="1:14">
      <c r="A834" s="6"/>
      <c r="B834" s="6"/>
      <c r="C834" s="6"/>
      <c r="D834" s="6"/>
      <c r="F834" s="6"/>
      <c r="H834" s="6"/>
      <c r="J834" s="6"/>
      <c r="L834" s="6"/>
      <c r="N834" s="6"/>
    </row>
    <row r="835" spans="1:14">
      <c r="A835" s="6"/>
      <c r="B835" s="6"/>
      <c r="C835" s="6"/>
      <c r="D835" s="6"/>
      <c r="F835" s="6"/>
      <c r="H835" s="6"/>
      <c r="J835" s="6"/>
      <c r="L835" s="6"/>
      <c r="N835" s="6"/>
    </row>
    <row r="836" spans="1:14">
      <c r="A836" s="6"/>
      <c r="B836" s="6"/>
      <c r="C836" s="6"/>
      <c r="D836" s="6"/>
      <c r="F836" s="6"/>
      <c r="H836" s="6"/>
      <c r="J836" s="6"/>
      <c r="L836" s="6"/>
      <c r="N836" s="6"/>
    </row>
    <row r="837" spans="1:14">
      <c r="A837" s="6"/>
      <c r="B837" s="6"/>
      <c r="C837" s="6"/>
      <c r="D837" s="6"/>
      <c r="F837" s="6"/>
      <c r="H837" s="6"/>
      <c r="J837" s="6"/>
      <c r="L837" s="6"/>
      <c r="N837" s="6"/>
    </row>
    <row r="838" spans="1:14">
      <c r="A838" s="6"/>
      <c r="B838" s="6"/>
      <c r="C838" s="6"/>
      <c r="D838" s="6"/>
      <c r="F838" s="6"/>
      <c r="H838" s="6"/>
      <c r="J838" s="6"/>
      <c r="L838" s="6"/>
      <c r="N838" s="6"/>
    </row>
    <row r="839" spans="1:14">
      <c r="A839" s="6"/>
      <c r="B839" s="6"/>
      <c r="C839" s="6"/>
      <c r="D839" s="6"/>
      <c r="F839" s="6"/>
      <c r="H839" s="6"/>
      <c r="J839" s="6"/>
      <c r="L839" s="6"/>
      <c r="N839" s="6"/>
    </row>
    <row r="840" spans="1:14">
      <c r="A840" s="6"/>
      <c r="B840" s="6"/>
      <c r="C840" s="6"/>
      <c r="D840" s="6"/>
      <c r="F840" s="6"/>
      <c r="H840" s="6"/>
      <c r="J840" s="6"/>
      <c r="L840" s="6"/>
      <c r="N840" s="6"/>
    </row>
    <row r="841" spans="1:14">
      <c r="A841" s="6"/>
      <c r="B841" s="6"/>
      <c r="C841" s="6"/>
      <c r="D841" s="6"/>
      <c r="F841" s="6"/>
      <c r="H841" s="6"/>
      <c r="J841" s="6"/>
      <c r="L841" s="6"/>
      <c r="N841" s="6"/>
    </row>
    <row r="842" spans="1:14">
      <c r="A842" s="6"/>
      <c r="B842" s="6"/>
      <c r="C842" s="6"/>
      <c r="D842" s="6"/>
      <c r="F842" s="6"/>
      <c r="H842" s="6"/>
      <c r="J842" s="6"/>
      <c r="L842" s="6"/>
      <c r="N842" s="6"/>
    </row>
    <row r="843" spans="1:14">
      <c r="A843" s="6"/>
      <c r="B843" s="6"/>
      <c r="C843" s="6"/>
      <c r="D843" s="6"/>
      <c r="F843" s="6"/>
      <c r="H843" s="6"/>
      <c r="J843" s="6"/>
      <c r="L843" s="6"/>
      <c r="N843" s="6"/>
    </row>
    <row r="844" spans="1:14">
      <c r="A844" s="6"/>
      <c r="B844" s="6"/>
      <c r="C844" s="6"/>
      <c r="D844" s="6"/>
      <c r="F844" s="6"/>
      <c r="H844" s="6"/>
      <c r="J844" s="6"/>
      <c r="L844" s="6"/>
      <c r="N844" s="6"/>
    </row>
    <row r="845" spans="1:14">
      <c r="A845" s="6"/>
      <c r="B845" s="6"/>
      <c r="C845" s="6"/>
      <c r="D845" s="6"/>
      <c r="F845" s="6"/>
      <c r="H845" s="6"/>
      <c r="J845" s="6"/>
      <c r="L845" s="6"/>
      <c r="N845" s="6"/>
    </row>
    <row r="846" spans="1:14">
      <c r="A846" s="6"/>
      <c r="B846" s="6"/>
      <c r="C846" s="6"/>
      <c r="D846" s="6"/>
      <c r="F846" s="6"/>
      <c r="H846" s="6"/>
      <c r="J846" s="6"/>
      <c r="L846" s="6"/>
      <c r="N846" s="6"/>
    </row>
    <row r="847" spans="1:14">
      <c r="A847" s="6"/>
      <c r="B847" s="6"/>
      <c r="C847" s="6"/>
      <c r="D847" s="6"/>
      <c r="F847" s="6"/>
      <c r="H847" s="6"/>
      <c r="J847" s="6"/>
      <c r="L847" s="6"/>
      <c r="N847" s="6"/>
    </row>
    <row r="848" spans="1:14">
      <c r="A848" s="6"/>
      <c r="B848" s="6"/>
      <c r="C848" s="6"/>
      <c r="D848" s="6"/>
      <c r="F848" s="6"/>
      <c r="H848" s="6"/>
      <c r="J848" s="6"/>
      <c r="L848" s="6"/>
      <c r="N848" s="6"/>
    </row>
    <row r="849" spans="1:14">
      <c r="A849" s="6"/>
      <c r="B849" s="6"/>
      <c r="C849" s="6"/>
      <c r="D849" s="6"/>
      <c r="F849" s="6"/>
      <c r="H849" s="6"/>
      <c r="J849" s="6"/>
      <c r="L849" s="6"/>
      <c r="N849" s="6"/>
    </row>
    <row r="850" spans="1:14">
      <c r="A850" s="6"/>
      <c r="B850" s="6"/>
      <c r="C850" s="6"/>
      <c r="D850" s="6"/>
      <c r="F850" s="6"/>
      <c r="H850" s="6"/>
      <c r="J850" s="6"/>
      <c r="L850" s="6"/>
      <c r="N850" s="6"/>
    </row>
    <row r="851" spans="1:14">
      <c r="A851" s="6"/>
      <c r="B851" s="6"/>
      <c r="C851" s="6"/>
      <c r="D851" s="6"/>
      <c r="F851" s="6"/>
      <c r="H851" s="6"/>
      <c r="J851" s="6"/>
      <c r="L851" s="6"/>
      <c r="N851" s="6"/>
    </row>
    <row r="852" spans="1:14">
      <c r="A852" s="6"/>
      <c r="B852" s="6"/>
      <c r="C852" s="6"/>
      <c r="D852" s="6"/>
      <c r="F852" s="6"/>
      <c r="H852" s="6"/>
      <c r="J852" s="6"/>
      <c r="L852" s="6"/>
      <c r="N852" s="6"/>
    </row>
    <row r="853" spans="1:14">
      <c r="A853" s="6"/>
      <c r="B853" s="6"/>
      <c r="C853" s="6"/>
      <c r="D853" s="6"/>
      <c r="F853" s="6"/>
      <c r="H853" s="6"/>
      <c r="J853" s="6"/>
      <c r="L853" s="6"/>
      <c r="N853" s="6"/>
    </row>
    <row r="854" spans="1:14">
      <c r="A854" s="6"/>
      <c r="B854" s="6"/>
      <c r="C854" s="6"/>
      <c r="D854" s="6"/>
      <c r="F854" s="6"/>
      <c r="H854" s="6"/>
      <c r="J854" s="6"/>
      <c r="L854" s="6"/>
      <c r="N854" s="6"/>
    </row>
    <row r="855" spans="1:14">
      <c r="A855" s="6"/>
      <c r="B855" s="6"/>
      <c r="C855" s="6"/>
      <c r="D855" s="6"/>
      <c r="F855" s="6"/>
      <c r="H855" s="6"/>
      <c r="J855" s="6"/>
      <c r="L855" s="6"/>
      <c r="N855" s="6"/>
    </row>
    <row r="856" spans="1:14">
      <c r="A856" s="6"/>
      <c r="B856" s="6"/>
      <c r="C856" s="6"/>
      <c r="D856" s="6"/>
      <c r="F856" s="6"/>
      <c r="H856" s="6"/>
      <c r="J856" s="6"/>
      <c r="L856" s="6"/>
      <c r="N856" s="6"/>
    </row>
    <row r="857" spans="1:14">
      <c r="A857" s="6"/>
      <c r="B857" s="6"/>
      <c r="C857" s="6"/>
      <c r="D857" s="6"/>
      <c r="F857" s="6"/>
      <c r="H857" s="6"/>
      <c r="J857" s="6"/>
      <c r="L857" s="6"/>
      <c r="N857" s="6"/>
    </row>
    <row r="858" spans="1:14">
      <c r="A858" s="6"/>
      <c r="B858" s="6"/>
      <c r="C858" s="6"/>
      <c r="D858" s="6"/>
      <c r="F858" s="6"/>
      <c r="H858" s="6"/>
      <c r="J858" s="6"/>
      <c r="L858" s="6"/>
      <c r="N858" s="6"/>
    </row>
    <row r="859" spans="1:14">
      <c r="A859" s="6"/>
      <c r="B859" s="6"/>
      <c r="C859" s="6"/>
      <c r="D859" s="6"/>
      <c r="F859" s="6"/>
      <c r="H859" s="6"/>
      <c r="J859" s="6"/>
      <c r="L859" s="6"/>
      <c r="N859" s="6"/>
    </row>
    <row r="860" spans="1:14">
      <c r="A860" s="6"/>
      <c r="B860" s="6"/>
      <c r="C860" s="6"/>
      <c r="D860" s="6"/>
      <c r="F860" s="6"/>
      <c r="H860" s="6"/>
      <c r="J860" s="6"/>
      <c r="L860" s="6"/>
      <c r="N860" s="6"/>
    </row>
    <row r="861" spans="1:14">
      <c r="A861" s="6"/>
      <c r="B861" s="6"/>
      <c r="C861" s="6"/>
      <c r="D861" s="6"/>
      <c r="F861" s="6"/>
      <c r="H861" s="6"/>
      <c r="J861" s="6"/>
      <c r="L861" s="6"/>
      <c r="N861" s="6"/>
    </row>
    <row r="862" spans="1:14">
      <c r="A862" s="6"/>
      <c r="B862" s="6"/>
      <c r="C862" s="6"/>
      <c r="D862" s="6"/>
      <c r="F862" s="6"/>
      <c r="H862" s="6"/>
      <c r="J862" s="6"/>
      <c r="L862" s="6"/>
      <c r="N862" s="6"/>
    </row>
    <row r="863" spans="1:14">
      <c r="A863" s="6"/>
      <c r="B863" s="6"/>
      <c r="C863" s="6"/>
      <c r="D863" s="6"/>
      <c r="F863" s="6"/>
      <c r="H863" s="6"/>
      <c r="J863" s="6"/>
      <c r="L863" s="6"/>
      <c r="N863" s="6"/>
    </row>
    <row r="864" spans="1:14">
      <c r="A864" s="6"/>
      <c r="B864" s="6"/>
      <c r="C864" s="6"/>
      <c r="D864" s="6"/>
      <c r="F864" s="6"/>
      <c r="H864" s="6"/>
      <c r="J864" s="6"/>
      <c r="L864" s="6"/>
      <c r="N864" s="6"/>
    </row>
    <row r="865" spans="1:14">
      <c r="A865" s="6"/>
      <c r="B865" s="6"/>
      <c r="C865" s="6"/>
      <c r="D865" s="6"/>
      <c r="F865" s="6"/>
      <c r="H865" s="6"/>
      <c r="J865" s="6"/>
      <c r="L865" s="6"/>
      <c r="N865" s="6"/>
    </row>
    <row r="866" spans="1:14">
      <c r="A866" s="6"/>
      <c r="B866" s="6"/>
      <c r="C866" s="6"/>
      <c r="D866" s="6"/>
      <c r="F866" s="6"/>
      <c r="H866" s="6"/>
      <c r="J866" s="6"/>
      <c r="L866" s="6"/>
      <c r="N866" s="6"/>
    </row>
    <row r="867" spans="1:14">
      <c r="A867" s="6"/>
      <c r="B867" s="6"/>
      <c r="C867" s="6"/>
      <c r="D867" s="6"/>
      <c r="F867" s="6"/>
      <c r="H867" s="6"/>
      <c r="J867" s="6"/>
      <c r="L867" s="6"/>
      <c r="N867" s="6"/>
    </row>
    <row r="868" spans="1:14">
      <c r="A868" s="6"/>
      <c r="B868" s="6"/>
      <c r="C868" s="6"/>
      <c r="D868" s="6"/>
      <c r="F868" s="6"/>
      <c r="H868" s="6"/>
      <c r="J868" s="6"/>
      <c r="L868" s="6"/>
      <c r="N868" s="6"/>
    </row>
    <row r="869" spans="1:14">
      <c r="A869" s="6"/>
      <c r="B869" s="6"/>
      <c r="C869" s="6"/>
      <c r="D869" s="6"/>
      <c r="F869" s="6"/>
      <c r="H869" s="6"/>
      <c r="J869" s="6"/>
      <c r="L869" s="6"/>
      <c r="N869" s="6"/>
    </row>
    <row r="870" spans="1:14">
      <c r="A870" s="6"/>
      <c r="B870" s="6"/>
      <c r="C870" s="6"/>
      <c r="D870" s="6"/>
      <c r="F870" s="6"/>
      <c r="H870" s="6"/>
      <c r="J870" s="6"/>
      <c r="L870" s="6"/>
      <c r="N870" s="6"/>
    </row>
    <row r="871" spans="1:14">
      <c r="A871" s="6"/>
      <c r="B871" s="6"/>
      <c r="C871" s="6"/>
      <c r="D871" s="6"/>
      <c r="F871" s="6"/>
      <c r="H871" s="6"/>
      <c r="J871" s="6"/>
      <c r="L871" s="6"/>
      <c r="N871" s="6"/>
    </row>
    <row r="872" spans="1:14">
      <c r="A872" s="6"/>
      <c r="B872" s="6"/>
      <c r="C872" s="6"/>
      <c r="D872" s="6"/>
      <c r="F872" s="6"/>
      <c r="H872" s="6"/>
      <c r="J872" s="6"/>
      <c r="L872" s="6"/>
      <c r="N872" s="6"/>
    </row>
    <row r="873" spans="1:14">
      <c r="A873" s="6"/>
      <c r="B873" s="6"/>
      <c r="C873" s="6"/>
      <c r="D873" s="6"/>
      <c r="F873" s="6"/>
      <c r="H873" s="6"/>
      <c r="J873" s="6"/>
      <c r="L873" s="6"/>
      <c r="N873" s="6"/>
    </row>
    <row r="874" spans="1:14">
      <c r="A874" s="6"/>
      <c r="B874" s="6"/>
      <c r="C874" s="6"/>
      <c r="D874" s="6"/>
      <c r="F874" s="6"/>
      <c r="H874" s="6"/>
      <c r="J874" s="6"/>
      <c r="L874" s="6"/>
      <c r="N874" s="6"/>
    </row>
    <row r="875" spans="1:14">
      <c r="A875" s="6"/>
      <c r="B875" s="6"/>
      <c r="C875" s="6"/>
      <c r="D875" s="6"/>
      <c r="F875" s="6"/>
      <c r="H875" s="6"/>
      <c r="J875" s="6"/>
      <c r="L875" s="6"/>
      <c r="N875" s="6"/>
    </row>
    <row r="876" spans="1:14">
      <c r="A876" s="6"/>
      <c r="B876" s="6"/>
      <c r="C876" s="6"/>
      <c r="D876" s="6"/>
      <c r="F876" s="6"/>
      <c r="H876" s="6"/>
      <c r="J876" s="6"/>
      <c r="L876" s="6"/>
      <c r="N876" s="6"/>
    </row>
    <row r="877" spans="1:14">
      <c r="A877" s="6"/>
      <c r="B877" s="6"/>
      <c r="C877" s="6"/>
      <c r="D877" s="6"/>
      <c r="F877" s="6"/>
      <c r="H877" s="6"/>
      <c r="J877" s="6"/>
      <c r="L877" s="6"/>
      <c r="N877" s="6"/>
    </row>
    <row r="878" spans="1:14">
      <c r="A878" s="6"/>
      <c r="B878" s="6"/>
      <c r="C878" s="6"/>
      <c r="D878" s="6"/>
      <c r="F878" s="6"/>
      <c r="H878" s="6"/>
      <c r="J878" s="6"/>
      <c r="L878" s="6"/>
      <c r="N878" s="6"/>
    </row>
    <row r="879" spans="1:14">
      <c r="A879" s="6"/>
      <c r="B879" s="6"/>
      <c r="C879" s="6"/>
      <c r="D879" s="6"/>
      <c r="F879" s="6"/>
      <c r="H879" s="6"/>
      <c r="J879" s="6"/>
      <c r="L879" s="6"/>
      <c r="N879" s="6"/>
    </row>
    <row r="880" spans="1:14">
      <c r="A880" s="6"/>
      <c r="B880" s="6"/>
      <c r="C880" s="6"/>
      <c r="D880" s="6"/>
      <c r="F880" s="6"/>
      <c r="H880" s="6"/>
      <c r="J880" s="6"/>
      <c r="L880" s="6"/>
      <c r="N880" s="6"/>
    </row>
    <row r="881" spans="1:14">
      <c r="A881" s="6"/>
      <c r="B881" s="6"/>
      <c r="C881" s="6"/>
      <c r="D881" s="6"/>
      <c r="F881" s="6"/>
      <c r="H881" s="6"/>
      <c r="J881" s="6"/>
      <c r="L881" s="6"/>
      <c r="N881" s="6"/>
    </row>
    <row r="882" spans="1:14">
      <c r="A882" s="6"/>
      <c r="B882" s="6"/>
      <c r="C882" s="6"/>
      <c r="D882" s="6"/>
      <c r="F882" s="6"/>
      <c r="H882" s="6"/>
      <c r="J882" s="6"/>
      <c r="L882" s="6"/>
      <c r="N882" s="6"/>
    </row>
    <row r="883" spans="1:14">
      <c r="A883" s="6"/>
      <c r="B883" s="6"/>
      <c r="C883" s="6"/>
      <c r="D883" s="6"/>
      <c r="F883" s="6"/>
      <c r="H883" s="6"/>
      <c r="J883" s="6"/>
      <c r="L883" s="6"/>
      <c r="N883" s="6"/>
    </row>
    <row r="884" spans="1:14">
      <c r="A884" s="6"/>
      <c r="B884" s="6"/>
      <c r="C884" s="6"/>
      <c r="D884" s="6"/>
      <c r="F884" s="6"/>
      <c r="H884" s="6"/>
      <c r="J884" s="6"/>
      <c r="L884" s="6"/>
      <c r="N884" s="6"/>
    </row>
    <row r="885" spans="1:14">
      <c r="A885" s="6"/>
      <c r="B885" s="6"/>
      <c r="C885" s="6"/>
      <c r="D885" s="6"/>
      <c r="F885" s="6"/>
      <c r="H885" s="6"/>
      <c r="J885" s="6"/>
      <c r="L885" s="6"/>
      <c r="N885" s="6"/>
    </row>
    <row r="886" spans="1:14">
      <c r="A886" s="6"/>
      <c r="B886" s="6"/>
      <c r="C886" s="6"/>
      <c r="D886" s="6"/>
      <c r="F886" s="6"/>
      <c r="H886" s="6"/>
      <c r="J886" s="6"/>
      <c r="L886" s="6"/>
      <c r="N886" s="6"/>
    </row>
    <row r="887" spans="1:14">
      <c r="A887" s="6"/>
      <c r="B887" s="6"/>
      <c r="C887" s="6"/>
      <c r="D887" s="6"/>
      <c r="F887" s="6"/>
      <c r="H887" s="6"/>
      <c r="J887" s="6"/>
      <c r="L887" s="6"/>
      <c r="N887" s="6"/>
    </row>
    <row r="888" spans="1:14">
      <c r="A888" s="6"/>
      <c r="B888" s="6"/>
      <c r="C888" s="6"/>
      <c r="D888" s="6"/>
      <c r="F888" s="6"/>
      <c r="H888" s="6"/>
      <c r="J888" s="6"/>
      <c r="L888" s="6"/>
      <c r="N888" s="6"/>
    </row>
    <row r="889" spans="1:14">
      <c r="A889" s="6"/>
      <c r="B889" s="6"/>
      <c r="C889" s="6"/>
      <c r="D889" s="6"/>
      <c r="F889" s="6"/>
      <c r="H889" s="6"/>
      <c r="J889" s="6"/>
      <c r="L889" s="6"/>
      <c r="N889" s="6"/>
    </row>
    <row r="890" spans="1:14">
      <c r="A890" s="6"/>
      <c r="B890" s="6"/>
      <c r="C890" s="6"/>
      <c r="D890" s="6"/>
      <c r="F890" s="6"/>
      <c r="H890" s="6"/>
      <c r="J890" s="6"/>
      <c r="L890" s="6"/>
      <c r="N890" s="6"/>
    </row>
    <row r="891" spans="1:14">
      <c r="A891" s="6"/>
      <c r="B891" s="6"/>
      <c r="C891" s="6"/>
      <c r="D891" s="6"/>
      <c r="F891" s="6"/>
      <c r="H891" s="6"/>
      <c r="J891" s="6"/>
      <c r="L891" s="6"/>
      <c r="N891" s="6"/>
    </row>
    <row r="892" spans="1:14">
      <c r="A892" s="6"/>
      <c r="B892" s="6"/>
      <c r="C892" s="6"/>
      <c r="D892" s="6"/>
      <c r="F892" s="6"/>
      <c r="H892" s="6"/>
      <c r="J892" s="6"/>
      <c r="L892" s="6"/>
      <c r="N892" s="6"/>
    </row>
    <row r="893" spans="1:14">
      <c r="A893" s="6"/>
      <c r="B893" s="6"/>
      <c r="C893" s="6"/>
      <c r="D893" s="6"/>
      <c r="F893" s="6"/>
      <c r="H893" s="6"/>
      <c r="J893" s="6"/>
      <c r="L893" s="6"/>
      <c r="N893" s="6"/>
    </row>
    <row r="894" spans="1:14">
      <c r="A894" s="6"/>
      <c r="B894" s="6"/>
      <c r="C894" s="6"/>
      <c r="D894" s="6"/>
      <c r="F894" s="6"/>
      <c r="H894" s="6"/>
      <c r="J894" s="6"/>
      <c r="L894" s="6"/>
      <c r="N894" s="6"/>
    </row>
    <row r="895" spans="1:14">
      <c r="A895" s="6"/>
      <c r="B895" s="6"/>
      <c r="C895" s="6"/>
      <c r="D895" s="6"/>
      <c r="F895" s="6"/>
      <c r="H895" s="6"/>
      <c r="J895" s="6"/>
      <c r="L895" s="6"/>
      <c r="N895" s="6"/>
    </row>
    <row r="896" spans="1:14">
      <c r="A896" s="6"/>
      <c r="B896" s="6"/>
      <c r="C896" s="6"/>
      <c r="D896" s="6"/>
      <c r="F896" s="6"/>
      <c r="H896" s="6"/>
      <c r="J896" s="6"/>
      <c r="L896" s="6"/>
      <c r="N896" s="6"/>
    </row>
    <row r="897" spans="1:14">
      <c r="A897" s="6"/>
      <c r="B897" s="6"/>
      <c r="C897" s="6"/>
      <c r="D897" s="6"/>
      <c r="F897" s="6"/>
      <c r="H897" s="6"/>
      <c r="J897" s="6"/>
      <c r="L897" s="6"/>
      <c r="N897" s="6"/>
    </row>
    <row r="898" spans="1:14">
      <c r="A898" s="6"/>
      <c r="B898" s="6"/>
      <c r="C898" s="6"/>
      <c r="D898" s="6"/>
      <c r="F898" s="6"/>
      <c r="H898" s="6"/>
      <c r="J898" s="6"/>
      <c r="L898" s="6"/>
      <c r="N898" s="6"/>
    </row>
    <row r="899" spans="1:14">
      <c r="A899" s="6"/>
      <c r="B899" s="6"/>
      <c r="C899" s="6"/>
      <c r="D899" s="6"/>
      <c r="F899" s="6"/>
      <c r="H899" s="6"/>
      <c r="J899" s="6"/>
      <c r="L899" s="6"/>
      <c r="N899" s="6"/>
    </row>
    <row r="900" spans="1:14">
      <c r="A900" s="6"/>
      <c r="B900" s="6"/>
      <c r="C900" s="6"/>
      <c r="D900" s="6"/>
      <c r="F900" s="6"/>
      <c r="H900" s="6"/>
      <c r="J900" s="6"/>
      <c r="L900" s="6"/>
      <c r="N900" s="6"/>
    </row>
    <row r="901" spans="1:14">
      <c r="A901" s="6"/>
      <c r="B901" s="6"/>
      <c r="C901" s="6"/>
      <c r="D901" s="6"/>
      <c r="F901" s="6"/>
      <c r="H901" s="6"/>
      <c r="J901" s="6"/>
      <c r="L901" s="6"/>
      <c r="N901" s="6"/>
    </row>
    <row r="902" spans="1:14">
      <c r="A902" s="6"/>
      <c r="B902" s="6"/>
      <c r="C902" s="6"/>
      <c r="D902" s="6"/>
      <c r="F902" s="6"/>
      <c r="H902" s="6"/>
      <c r="J902" s="6"/>
      <c r="L902" s="6"/>
      <c r="N902" s="6"/>
    </row>
    <row r="903" spans="1:14">
      <c r="A903" s="6"/>
      <c r="B903" s="6"/>
      <c r="C903" s="6"/>
      <c r="D903" s="6"/>
      <c r="F903" s="6"/>
      <c r="H903" s="6"/>
      <c r="J903" s="6"/>
      <c r="L903" s="6"/>
      <c r="N903" s="6"/>
    </row>
    <row r="904" spans="1:14">
      <c r="A904" s="6"/>
      <c r="B904" s="6"/>
      <c r="C904" s="6"/>
      <c r="D904" s="6"/>
      <c r="F904" s="6"/>
      <c r="H904" s="6"/>
      <c r="J904" s="6"/>
      <c r="L904" s="6"/>
      <c r="N904" s="6"/>
    </row>
    <row r="905" spans="1:14">
      <c r="A905" s="6"/>
      <c r="B905" s="6"/>
      <c r="C905" s="6"/>
      <c r="D905" s="6"/>
      <c r="F905" s="6"/>
      <c r="H905" s="6"/>
      <c r="J905" s="6"/>
      <c r="L905" s="6"/>
      <c r="N905" s="6"/>
    </row>
    <row r="906" spans="1:14">
      <c r="A906" s="6"/>
      <c r="B906" s="6"/>
      <c r="C906" s="6"/>
      <c r="D906" s="6"/>
      <c r="F906" s="6"/>
      <c r="H906" s="6"/>
      <c r="J906" s="6"/>
      <c r="L906" s="6"/>
      <c r="N906" s="6"/>
    </row>
    <row r="907" spans="1:14">
      <c r="A907" s="6"/>
      <c r="B907" s="6"/>
      <c r="C907" s="6"/>
      <c r="D907" s="6"/>
      <c r="F907" s="6"/>
      <c r="H907" s="6"/>
      <c r="J907" s="6"/>
      <c r="L907" s="6"/>
      <c r="N907" s="6"/>
    </row>
    <row r="908" spans="1:14">
      <c r="A908" s="6"/>
      <c r="B908" s="6"/>
      <c r="C908" s="6"/>
      <c r="D908" s="6"/>
      <c r="F908" s="6"/>
      <c r="H908" s="6"/>
      <c r="J908" s="6"/>
      <c r="L908" s="6"/>
      <c r="N908" s="6"/>
    </row>
    <row r="909" spans="1:14">
      <c r="A909" s="6"/>
      <c r="B909" s="6"/>
      <c r="C909" s="6"/>
      <c r="D909" s="6"/>
      <c r="F909" s="6"/>
      <c r="H909" s="6"/>
      <c r="J909" s="6"/>
      <c r="L909" s="6"/>
      <c r="N909" s="6"/>
    </row>
    <row r="910" spans="1:14">
      <c r="A910" s="6"/>
      <c r="B910" s="6"/>
      <c r="C910" s="6"/>
      <c r="D910" s="6"/>
      <c r="F910" s="6"/>
      <c r="H910" s="6"/>
      <c r="J910" s="6"/>
      <c r="L910" s="6"/>
      <c r="N910" s="6"/>
    </row>
    <row r="911" spans="1:14">
      <c r="A911" s="6"/>
      <c r="B911" s="6"/>
      <c r="C911" s="6"/>
      <c r="D911" s="6"/>
      <c r="F911" s="6"/>
      <c r="H911" s="6"/>
      <c r="J911" s="6"/>
      <c r="L911" s="6"/>
      <c r="N911" s="6"/>
    </row>
    <row r="912" spans="1:14">
      <c r="A912" s="6"/>
      <c r="B912" s="6"/>
      <c r="C912" s="6"/>
      <c r="D912" s="6"/>
      <c r="F912" s="6"/>
      <c r="H912" s="6"/>
      <c r="J912" s="6"/>
      <c r="L912" s="6"/>
      <c r="N912" s="6"/>
    </row>
    <row r="913" spans="1:14">
      <c r="A913" s="6"/>
      <c r="B913" s="6"/>
      <c r="C913" s="6"/>
      <c r="D913" s="6"/>
      <c r="F913" s="6"/>
      <c r="H913" s="6"/>
      <c r="J913" s="6"/>
      <c r="L913" s="6"/>
      <c r="N913" s="6"/>
    </row>
    <row r="914" spans="1:14">
      <c r="A914" s="6"/>
      <c r="B914" s="6"/>
      <c r="C914" s="6"/>
      <c r="D914" s="6"/>
      <c r="F914" s="6"/>
      <c r="H914" s="6"/>
      <c r="J914" s="6"/>
      <c r="L914" s="6"/>
      <c r="N914" s="6"/>
    </row>
    <row r="915" spans="1:14">
      <c r="A915" s="6"/>
      <c r="B915" s="6"/>
      <c r="C915" s="6"/>
      <c r="D915" s="6"/>
      <c r="F915" s="6"/>
      <c r="H915" s="6"/>
      <c r="J915" s="6"/>
      <c r="L915" s="6"/>
      <c r="N915" s="6"/>
    </row>
    <row r="916" spans="1:14">
      <c r="A916" s="6"/>
      <c r="B916" s="6"/>
      <c r="C916" s="6"/>
      <c r="D916" s="6"/>
      <c r="F916" s="6"/>
      <c r="H916" s="6"/>
      <c r="J916" s="6"/>
      <c r="L916" s="6"/>
      <c r="N916" s="6"/>
    </row>
    <row r="917" spans="1:14">
      <c r="A917" s="6"/>
      <c r="B917" s="6"/>
      <c r="C917" s="6"/>
      <c r="D917" s="6"/>
      <c r="F917" s="6"/>
      <c r="H917" s="6"/>
      <c r="J917" s="6"/>
      <c r="L917" s="6"/>
      <c r="N917" s="6"/>
    </row>
    <row r="918" spans="1:14">
      <c r="A918" s="6"/>
      <c r="B918" s="6"/>
      <c r="C918" s="6"/>
      <c r="D918" s="6"/>
      <c r="F918" s="6"/>
      <c r="H918" s="6"/>
      <c r="J918" s="6"/>
      <c r="L918" s="6"/>
      <c r="N918" s="6"/>
    </row>
    <row r="919" spans="1:14">
      <c r="A919" s="6"/>
      <c r="B919" s="6"/>
      <c r="C919" s="6"/>
      <c r="D919" s="6"/>
      <c r="F919" s="6"/>
      <c r="H919" s="6"/>
      <c r="J919" s="6"/>
      <c r="L919" s="6"/>
      <c r="N919" s="6"/>
    </row>
    <row r="920" spans="1:14">
      <c r="A920" s="6"/>
      <c r="B920" s="6"/>
      <c r="C920" s="6"/>
      <c r="D920" s="6"/>
      <c r="F920" s="6"/>
      <c r="H920" s="6"/>
      <c r="J920" s="6"/>
      <c r="L920" s="6"/>
      <c r="N920" s="6"/>
    </row>
    <row r="921" spans="1:14">
      <c r="A921" s="6"/>
      <c r="B921" s="6"/>
      <c r="C921" s="6"/>
      <c r="D921" s="6"/>
      <c r="F921" s="6"/>
      <c r="H921" s="6"/>
      <c r="J921" s="6"/>
      <c r="L921" s="6"/>
      <c r="N921" s="6"/>
    </row>
    <row r="922" spans="1:14">
      <c r="A922" s="6"/>
      <c r="B922" s="6"/>
      <c r="C922" s="6"/>
      <c r="D922" s="6"/>
      <c r="F922" s="6"/>
      <c r="H922" s="6"/>
      <c r="J922" s="6"/>
      <c r="L922" s="6"/>
      <c r="N922" s="6"/>
    </row>
    <row r="923" spans="1:14">
      <c r="A923" s="6"/>
      <c r="B923" s="6"/>
      <c r="C923" s="6"/>
      <c r="D923" s="6"/>
      <c r="F923" s="6"/>
      <c r="H923" s="6"/>
      <c r="J923" s="6"/>
      <c r="L923" s="6"/>
      <c r="N923" s="6"/>
    </row>
    <row r="924" spans="1:14">
      <c r="A924" s="6"/>
      <c r="B924" s="6"/>
      <c r="C924" s="6"/>
      <c r="D924" s="6"/>
      <c r="F924" s="6"/>
      <c r="H924" s="6"/>
      <c r="J924" s="6"/>
      <c r="L924" s="6"/>
      <c r="N924" s="6"/>
    </row>
    <row r="925" spans="1:14">
      <c r="A925" s="6"/>
      <c r="B925" s="6"/>
      <c r="C925" s="6"/>
      <c r="D925" s="6"/>
      <c r="F925" s="6"/>
      <c r="H925" s="6"/>
      <c r="J925" s="6"/>
      <c r="L925" s="6"/>
      <c r="N925" s="6"/>
    </row>
    <row r="926" spans="1:14">
      <c r="A926" s="6"/>
      <c r="B926" s="6"/>
      <c r="C926" s="6"/>
      <c r="D926" s="6"/>
      <c r="F926" s="6"/>
      <c r="H926" s="6"/>
      <c r="J926" s="6"/>
      <c r="L926" s="6"/>
      <c r="N926" s="6"/>
    </row>
    <row r="927" spans="1:14">
      <c r="A927" s="6"/>
      <c r="B927" s="6"/>
      <c r="C927" s="6"/>
      <c r="D927" s="6"/>
      <c r="F927" s="6"/>
      <c r="H927" s="6"/>
      <c r="J927" s="6"/>
      <c r="L927" s="6"/>
      <c r="N927" s="6"/>
    </row>
    <row r="928" spans="1:14">
      <c r="A928" s="6"/>
      <c r="B928" s="6"/>
      <c r="C928" s="6"/>
      <c r="D928" s="6"/>
      <c r="F928" s="6"/>
      <c r="H928" s="6"/>
      <c r="J928" s="6"/>
      <c r="L928" s="6"/>
      <c r="N928" s="6"/>
    </row>
    <row r="929" spans="1:14">
      <c r="A929" s="6"/>
      <c r="B929" s="6"/>
      <c r="C929" s="6"/>
      <c r="D929" s="6"/>
      <c r="F929" s="6"/>
      <c r="H929" s="6"/>
      <c r="J929" s="6"/>
      <c r="L929" s="6"/>
      <c r="N929" s="6"/>
    </row>
    <row r="930" spans="1:14">
      <c r="A930" s="6"/>
      <c r="B930" s="6"/>
      <c r="C930" s="6"/>
      <c r="D930" s="6"/>
      <c r="F930" s="6"/>
      <c r="H930" s="6"/>
      <c r="J930" s="6"/>
      <c r="L930" s="6"/>
      <c r="N930" s="6"/>
    </row>
    <row r="931" spans="1:14">
      <c r="A931" s="6"/>
      <c r="B931" s="6"/>
      <c r="C931" s="6"/>
      <c r="D931" s="6"/>
      <c r="F931" s="6"/>
      <c r="H931" s="6"/>
      <c r="J931" s="6"/>
      <c r="L931" s="6"/>
      <c r="N931" s="6"/>
    </row>
    <row r="932" spans="1:14">
      <c r="A932" s="6"/>
      <c r="B932" s="6"/>
      <c r="C932" s="6"/>
      <c r="D932" s="6"/>
      <c r="F932" s="6"/>
      <c r="H932" s="6"/>
      <c r="J932" s="6"/>
      <c r="L932" s="6"/>
      <c r="N932" s="6"/>
    </row>
    <row r="933" spans="1:14">
      <c r="A933" s="6"/>
      <c r="B933" s="6"/>
      <c r="C933" s="6"/>
      <c r="D933" s="6"/>
      <c r="F933" s="6"/>
      <c r="H933" s="6"/>
      <c r="J933" s="6"/>
      <c r="L933" s="6"/>
      <c r="N933" s="6"/>
    </row>
    <row r="934" spans="1:14">
      <c r="A934" s="6"/>
      <c r="B934" s="6"/>
      <c r="C934" s="6"/>
      <c r="D934" s="6"/>
      <c r="F934" s="6"/>
      <c r="H934" s="6"/>
      <c r="J934" s="6"/>
      <c r="L934" s="6"/>
      <c r="N934" s="6"/>
    </row>
    <row r="935" spans="1:14">
      <c r="A935" s="6"/>
      <c r="B935" s="6"/>
      <c r="C935" s="6"/>
      <c r="D935" s="6"/>
      <c r="F935" s="6"/>
      <c r="H935" s="6"/>
      <c r="J935" s="6"/>
      <c r="L935" s="6"/>
      <c r="N935" s="6"/>
    </row>
    <row r="936" spans="1:14">
      <c r="A936" s="6"/>
      <c r="B936" s="6"/>
      <c r="C936" s="6"/>
      <c r="D936" s="6"/>
      <c r="F936" s="6"/>
      <c r="H936" s="6"/>
      <c r="J936" s="6"/>
      <c r="L936" s="6"/>
      <c r="N936" s="6"/>
    </row>
    <row r="937" spans="1:14">
      <c r="A937" s="6"/>
      <c r="B937" s="6"/>
      <c r="C937" s="6"/>
      <c r="D937" s="6"/>
      <c r="F937" s="6"/>
      <c r="H937" s="6"/>
      <c r="J937" s="6"/>
      <c r="L937" s="6"/>
      <c r="N937" s="6"/>
    </row>
    <row r="938" spans="1:14">
      <c r="A938" s="6"/>
      <c r="B938" s="6"/>
      <c r="C938" s="6"/>
      <c r="D938" s="6"/>
      <c r="F938" s="6"/>
      <c r="H938" s="6"/>
      <c r="J938" s="6"/>
      <c r="L938" s="6"/>
      <c r="N938" s="6"/>
    </row>
    <row r="939" spans="1:14">
      <c r="A939" s="6"/>
      <c r="B939" s="6"/>
      <c r="C939" s="6"/>
      <c r="D939" s="6"/>
      <c r="F939" s="6"/>
      <c r="H939" s="6"/>
      <c r="J939" s="6"/>
      <c r="L939" s="6"/>
      <c r="N939" s="6"/>
    </row>
    <row r="940" spans="1:14">
      <c r="A940" s="6"/>
      <c r="B940" s="6"/>
      <c r="C940" s="6"/>
      <c r="D940" s="6"/>
      <c r="F940" s="6"/>
      <c r="H940" s="6"/>
      <c r="J940" s="6"/>
      <c r="L940" s="6"/>
      <c r="N940" s="6"/>
    </row>
    <row r="941" spans="1:14">
      <c r="A941" s="6"/>
      <c r="B941" s="6"/>
      <c r="C941" s="6"/>
      <c r="D941" s="6"/>
      <c r="F941" s="6"/>
      <c r="H941" s="6"/>
      <c r="J941" s="6"/>
      <c r="L941" s="6"/>
      <c r="N941" s="6"/>
    </row>
    <row r="942" spans="1:14">
      <c r="A942" s="6"/>
      <c r="B942" s="6"/>
      <c r="C942" s="6"/>
      <c r="D942" s="6"/>
      <c r="F942" s="6"/>
      <c r="H942" s="6"/>
      <c r="J942" s="6"/>
      <c r="L942" s="6"/>
      <c r="N942" s="6"/>
    </row>
    <row r="943" spans="1:14">
      <c r="A943" s="6"/>
      <c r="B943" s="6"/>
      <c r="C943" s="6"/>
      <c r="D943" s="6"/>
      <c r="F943" s="6"/>
      <c r="H943" s="6"/>
      <c r="J943" s="6"/>
      <c r="L943" s="6"/>
      <c r="N943" s="6"/>
    </row>
    <row r="944" spans="1:14">
      <c r="A944" s="6"/>
      <c r="B944" s="6"/>
      <c r="C944" s="6"/>
      <c r="D944" s="6"/>
      <c r="F944" s="6"/>
      <c r="H944" s="6"/>
      <c r="J944" s="6"/>
      <c r="L944" s="6"/>
      <c r="N944" s="6"/>
    </row>
    <row r="945" spans="1:14">
      <c r="A945" s="6"/>
      <c r="B945" s="6"/>
      <c r="C945" s="6"/>
      <c r="D945" s="6"/>
      <c r="F945" s="6"/>
      <c r="H945" s="6"/>
      <c r="J945" s="6"/>
      <c r="L945" s="6"/>
      <c r="N945" s="6"/>
    </row>
    <row r="946" spans="1:14">
      <c r="A946" s="6"/>
      <c r="B946" s="6"/>
      <c r="C946" s="6"/>
      <c r="D946" s="6"/>
      <c r="F946" s="6"/>
      <c r="H946" s="6"/>
      <c r="J946" s="6"/>
      <c r="L946" s="6"/>
      <c r="N946" s="6"/>
    </row>
    <row r="947" spans="1:14">
      <c r="A947" s="6"/>
      <c r="B947" s="6"/>
      <c r="C947" s="6"/>
      <c r="D947" s="6"/>
      <c r="F947" s="6"/>
      <c r="H947" s="6"/>
      <c r="J947" s="6"/>
      <c r="L947" s="6"/>
      <c r="N947" s="6"/>
    </row>
    <row r="948" spans="1:14">
      <c r="A948" s="6"/>
      <c r="B948" s="6"/>
      <c r="C948" s="6"/>
      <c r="D948" s="6"/>
      <c r="F948" s="6"/>
      <c r="H948" s="6"/>
      <c r="J948" s="6"/>
      <c r="L948" s="6"/>
      <c r="N948" s="6"/>
    </row>
    <row r="949" spans="1:14">
      <c r="A949" s="6"/>
      <c r="B949" s="6"/>
      <c r="C949" s="6"/>
      <c r="D949" s="6"/>
      <c r="F949" s="6"/>
      <c r="H949" s="6"/>
      <c r="J949" s="6"/>
      <c r="L949" s="6"/>
      <c r="N949" s="6"/>
    </row>
    <row r="950" spans="1:14">
      <c r="A950" s="6"/>
      <c r="B950" s="6"/>
      <c r="C950" s="6"/>
      <c r="D950" s="6"/>
      <c r="F950" s="6"/>
      <c r="H950" s="6"/>
      <c r="J950" s="6"/>
      <c r="L950" s="6"/>
      <c r="N950" s="6"/>
    </row>
    <row r="951" spans="1:14">
      <c r="A951" s="6"/>
      <c r="B951" s="6"/>
      <c r="C951" s="6"/>
      <c r="D951" s="6"/>
      <c r="F951" s="6"/>
      <c r="H951" s="6"/>
      <c r="J951" s="6"/>
      <c r="L951" s="6"/>
      <c r="N951" s="6"/>
    </row>
    <row r="952" spans="1:14">
      <c r="A952" s="6"/>
      <c r="B952" s="6"/>
      <c r="C952" s="6"/>
      <c r="D952" s="6"/>
      <c r="F952" s="6"/>
      <c r="H952" s="6"/>
      <c r="J952" s="6"/>
      <c r="L952" s="6"/>
      <c r="N952" s="6"/>
    </row>
    <row r="953" spans="1:14">
      <c r="A953" s="6"/>
      <c r="B953" s="6"/>
      <c r="C953" s="6"/>
      <c r="D953" s="6"/>
      <c r="F953" s="6"/>
      <c r="H953" s="6"/>
      <c r="J953" s="6"/>
      <c r="L953" s="6"/>
      <c r="N953" s="6"/>
    </row>
    <row r="954" spans="1:14">
      <c r="A954" s="6"/>
      <c r="B954" s="6"/>
      <c r="C954" s="6"/>
      <c r="D954" s="6"/>
      <c r="F954" s="6"/>
      <c r="H954" s="6"/>
      <c r="J954" s="6"/>
      <c r="L954" s="6"/>
      <c r="N954" s="6"/>
    </row>
    <row r="955" spans="1:14">
      <c r="A955" s="6"/>
      <c r="B955" s="6"/>
      <c r="C955" s="6"/>
      <c r="D955" s="6"/>
      <c r="F955" s="6"/>
      <c r="H955" s="6"/>
      <c r="J955" s="6"/>
      <c r="L955" s="6"/>
      <c r="N955" s="6"/>
    </row>
    <row r="956" spans="1:14">
      <c r="A956" s="6"/>
      <c r="B956" s="6"/>
      <c r="C956" s="6"/>
      <c r="D956" s="6"/>
      <c r="F956" s="6"/>
      <c r="H956" s="6"/>
      <c r="J956" s="6"/>
      <c r="L956" s="6"/>
      <c r="N956" s="6"/>
    </row>
    <row r="957" spans="1:14">
      <c r="A957" s="6"/>
      <c r="B957" s="6"/>
      <c r="C957" s="6"/>
      <c r="D957" s="6"/>
      <c r="F957" s="6"/>
      <c r="H957" s="6"/>
      <c r="J957" s="6"/>
      <c r="L957" s="6"/>
      <c r="N957" s="6"/>
    </row>
    <row r="958" spans="1:14">
      <c r="A958" s="6"/>
      <c r="B958" s="6"/>
      <c r="C958" s="6"/>
      <c r="D958" s="6"/>
      <c r="F958" s="6"/>
      <c r="H958" s="6"/>
      <c r="J958" s="6"/>
      <c r="L958" s="6"/>
      <c r="N958" s="6"/>
    </row>
    <row r="959" spans="1:14">
      <c r="A959" s="6"/>
      <c r="B959" s="6"/>
      <c r="C959" s="6"/>
      <c r="D959" s="6"/>
      <c r="F959" s="6"/>
      <c r="H959" s="6"/>
      <c r="J959" s="6"/>
      <c r="L959" s="6"/>
      <c r="N959" s="6"/>
    </row>
    <row r="960" spans="1:14">
      <c r="A960" s="6"/>
      <c r="B960" s="6"/>
      <c r="C960" s="6"/>
      <c r="D960" s="6"/>
      <c r="F960" s="6"/>
      <c r="H960" s="6"/>
      <c r="J960" s="6"/>
      <c r="L960" s="6"/>
      <c r="N960" s="6"/>
    </row>
    <row r="961" spans="1:14">
      <c r="A961" s="6"/>
      <c r="B961" s="6"/>
      <c r="C961" s="6"/>
      <c r="D961" s="6"/>
      <c r="F961" s="6"/>
      <c r="H961" s="6"/>
      <c r="J961" s="6"/>
      <c r="L961" s="6"/>
      <c r="N961" s="6"/>
    </row>
    <row r="962" spans="1:14">
      <c r="A962" s="6"/>
      <c r="B962" s="6"/>
      <c r="C962" s="6"/>
      <c r="D962" s="6"/>
      <c r="F962" s="6"/>
      <c r="H962" s="6"/>
      <c r="J962" s="6"/>
      <c r="L962" s="6"/>
      <c r="N962" s="6"/>
    </row>
    <row r="963" spans="1:14">
      <c r="A963" s="6"/>
      <c r="B963" s="6"/>
      <c r="C963" s="6"/>
      <c r="D963" s="6"/>
      <c r="F963" s="6"/>
      <c r="H963" s="6"/>
      <c r="J963" s="6"/>
      <c r="L963" s="6"/>
      <c r="N963" s="6"/>
    </row>
    <row r="964" spans="1:14">
      <c r="A964" s="6"/>
      <c r="B964" s="6"/>
      <c r="C964" s="6"/>
      <c r="D964" s="6"/>
      <c r="F964" s="6"/>
      <c r="H964" s="6"/>
      <c r="J964" s="6"/>
      <c r="L964" s="6"/>
      <c r="N964" s="6"/>
    </row>
    <row r="965" spans="1:14">
      <c r="A965" s="6"/>
      <c r="B965" s="6"/>
      <c r="C965" s="6"/>
      <c r="D965" s="6"/>
      <c r="F965" s="6"/>
      <c r="H965" s="6"/>
      <c r="J965" s="6"/>
      <c r="L965" s="6"/>
      <c r="N965" s="6"/>
    </row>
    <row r="966" spans="1:14">
      <c r="A966" s="6"/>
      <c r="B966" s="6"/>
      <c r="C966" s="6"/>
      <c r="D966" s="6"/>
      <c r="F966" s="6"/>
      <c r="H966" s="6"/>
      <c r="J966" s="6"/>
      <c r="L966" s="6"/>
      <c r="N966" s="6"/>
    </row>
    <row r="967" spans="1:14">
      <c r="A967" s="6"/>
      <c r="B967" s="6"/>
      <c r="C967" s="6"/>
      <c r="D967" s="6"/>
      <c r="F967" s="6"/>
      <c r="H967" s="6"/>
      <c r="J967" s="6"/>
      <c r="L967" s="6"/>
      <c r="N967" s="6"/>
    </row>
    <row r="968" spans="1:14">
      <c r="A968" s="6"/>
      <c r="B968" s="6"/>
      <c r="C968" s="6"/>
      <c r="D968" s="6"/>
      <c r="F968" s="6"/>
      <c r="H968" s="6"/>
      <c r="J968" s="6"/>
      <c r="L968" s="6"/>
      <c r="N968" s="6"/>
    </row>
    <row r="969" spans="1:14">
      <c r="A969" s="6"/>
      <c r="B969" s="6"/>
      <c r="C969" s="6"/>
      <c r="D969" s="6"/>
      <c r="F969" s="6"/>
      <c r="H969" s="6"/>
      <c r="J969" s="6"/>
      <c r="L969" s="6"/>
      <c r="N969" s="6"/>
    </row>
    <row r="970" spans="1:14">
      <c r="A970" s="6"/>
      <c r="B970" s="6"/>
      <c r="C970" s="6"/>
      <c r="D970" s="6"/>
      <c r="F970" s="6"/>
      <c r="H970" s="6"/>
      <c r="J970" s="6"/>
      <c r="L970" s="6"/>
      <c r="N970" s="6"/>
    </row>
    <row r="971" spans="1:14">
      <c r="A971" s="6"/>
      <c r="B971" s="6"/>
      <c r="C971" s="6"/>
      <c r="D971" s="6"/>
      <c r="F971" s="6"/>
      <c r="H971" s="6"/>
      <c r="J971" s="6"/>
      <c r="L971" s="6"/>
      <c r="N971" s="6"/>
    </row>
    <row r="972" spans="1:14">
      <c r="A972" s="6"/>
      <c r="B972" s="6"/>
      <c r="C972" s="6"/>
      <c r="D972" s="6"/>
      <c r="F972" s="6"/>
      <c r="H972" s="6"/>
      <c r="J972" s="6"/>
      <c r="L972" s="6"/>
      <c r="N972" s="6"/>
    </row>
    <row r="973" spans="1:14">
      <c r="A973" s="6"/>
      <c r="B973" s="6"/>
      <c r="C973" s="6"/>
      <c r="D973" s="6"/>
      <c r="F973" s="6"/>
      <c r="H973" s="6"/>
      <c r="J973" s="6"/>
      <c r="L973" s="6"/>
      <c r="N973" s="6"/>
    </row>
    <row r="974" spans="1:14">
      <c r="A974" s="6"/>
      <c r="B974" s="6"/>
      <c r="C974" s="6"/>
      <c r="D974" s="6"/>
      <c r="F974" s="6"/>
      <c r="H974" s="6"/>
      <c r="J974" s="6"/>
      <c r="L974" s="6"/>
      <c r="N974" s="6"/>
    </row>
    <row r="975" spans="1:14">
      <c r="A975" s="6"/>
      <c r="B975" s="6"/>
      <c r="C975" s="6"/>
      <c r="D975" s="6"/>
      <c r="F975" s="6"/>
      <c r="H975" s="6"/>
      <c r="J975" s="6"/>
      <c r="L975" s="6"/>
      <c r="N975" s="6"/>
    </row>
    <row r="976" spans="1:14">
      <c r="A976" s="6"/>
      <c r="B976" s="6"/>
      <c r="C976" s="6"/>
      <c r="D976" s="6"/>
      <c r="F976" s="6"/>
      <c r="H976" s="6"/>
      <c r="J976" s="6"/>
      <c r="L976" s="6"/>
      <c r="N976" s="6"/>
    </row>
    <row r="977" spans="1:14">
      <c r="A977" s="6"/>
      <c r="B977" s="6"/>
      <c r="C977" s="6"/>
      <c r="D977" s="6"/>
      <c r="F977" s="6"/>
      <c r="H977" s="6"/>
      <c r="J977" s="6"/>
      <c r="L977" s="6"/>
      <c r="N977" s="6"/>
    </row>
    <row r="978" spans="1:14">
      <c r="A978" s="6"/>
      <c r="B978" s="6"/>
      <c r="C978" s="6"/>
      <c r="D978" s="6"/>
      <c r="F978" s="6"/>
      <c r="H978" s="6"/>
      <c r="J978" s="6"/>
      <c r="L978" s="6"/>
      <c r="N978" s="6"/>
    </row>
    <row r="979" spans="1:14">
      <c r="A979" s="6"/>
      <c r="B979" s="6"/>
      <c r="C979" s="6"/>
      <c r="D979" s="6"/>
      <c r="F979" s="6"/>
      <c r="H979" s="6"/>
      <c r="J979" s="6"/>
      <c r="L979" s="6"/>
      <c r="N979" s="6"/>
    </row>
    <row r="980" spans="1:14">
      <c r="A980" s="6"/>
      <c r="B980" s="6"/>
      <c r="C980" s="6"/>
      <c r="D980" s="6"/>
      <c r="F980" s="6"/>
      <c r="H980" s="6"/>
      <c r="J980" s="6"/>
      <c r="L980" s="6"/>
      <c r="N980" s="6"/>
    </row>
    <row r="981" spans="1:14">
      <c r="A981" s="6"/>
      <c r="B981" s="6"/>
      <c r="C981" s="6"/>
      <c r="D981" s="6"/>
      <c r="F981" s="6"/>
      <c r="H981" s="6"/>
      <c r="J981" s="6"/>
      <c r="L981" s="6"/>
      <c r="N981" s="6"/>
    </row>
    <row r="982" spans="1:14">
      <c r="A982" s="6"/>
      <c r="B982" s="6"/>
      <c r="C982" s="6"/>
      <c r="D982" s="6"/>
      <c r="F982" s="6"/>
      <c r="H982" s="6"/>
      <c r="J982" s="6"/>
      <c r="L982" s="6"/>
      <c r="N982" s="6"/>
    </row>
    <row r="983" spans="1:14">
      <c r="A983" s="6"/>
      <c r="B983" s="6"/>
      <c r="C983" s="6"/>
      <c r="D983" s="6"/>
      <c r="F983" s="6"/>
      <c r="H983" s="6"/>
      <c r="J983" s="6"/>
      <c r="L983" s="6"/>
      <c r="N983" s="6"/>
    </row>
    <row r="984" spans="1:14">
      <c r="A984" s="6"/>
      <c r="B984" s="6"/>
      <c r="C984" s="6"/>
      <c r="D984" s="6"/>
      <c r="F984" s="6"/>
      <c r="H984" s="6"/>
      <c r="J984" s="6"/>
      <c r="L984" s="6"/>
      <c r="N984" s="6"/>
    </row>
    <row r="985" spans="1:14">
      <c r="A985" s="6"/>
      <c r="B985" s="6"/>
      <c r="C985" s="6"/>
      <c r="D985" s="6"/>
      <c r="F985" s="6"/>
      <c r="H985" s="6"/>
      <c r="J985" s="6"/>
      <c r="L985" s="6"/>
      <c r="N985" s="6"/>
    </row>
    <row r="986" spans="1:14">
      <c r="A986" s="6"/>
      <c r="B986" s="6"/>
      <c r="C986" s="6"/>
      <c r="D986" s="6"/>
      <c r="F986" s="6"/>
      <c r="H986" s="6"/>
      <c r="J986" s="6"/>
      <c r="L986" s="6"/>
      <c r="N986" s="6"/>
    </row>
    <row r="987" spans="1:14">
      <c r="A987" s="6"/>
      <c r="B987" s="6"/>
      <c r="C987" s="6"/>
      <c r="D987" s="6"/>
      <c r="F987" s="6"/>
      <c r="H987" s="6"/>
      <c r="J987" s="6"/>
      <c r="L987" s="6"/>
      <c r="N987" s="6"/>
    </row>
    <row r="988" spans="1:14">
      <c r="A988" s="6"/>
      <c r="B988" s="6"/>
      <c r="C988" s="6"/>
      <c r="D988" s="6"/>
      <c r="F988" s="6"/>
      <c r="H988" s="6"/>
      <c r="J988" s="6"/>
      <c r="L988" s="6"/>
      <c r="N988" s="6"/>
    </row>
    <row r="989" spans="1:14">
      <c r="A989" s="6"/>
      <c r="B989" s="6"/>
      <c r="C989" s="6"/>
      <c r="D989" s="6"/>
      <c r="F989" s="6"/>
      <c r="H989" s="6"/>
      <c r="J989" s="6"/>
      <c r="L989" s="6"/>
      <c r="N989" s="6"/>
    </row>
    <row r="990" spans="1:14">
      <c r="A990" s="6"/>
      <c r="B990" s="6"/>
      <c r="C990" s="6"/>
      <c r="D990" s="6"/>
      <c r="F990" s="6"/>
      <c r="H990" s="6"/>
      <c r="J990" s="6"/>
      <c r="L990" s="6"/>
      <c r="N990" s="6"/>
    </row>
    <row r="991" spans="1:14">
      <c r="A991" s="6"/>
      <c r="B991" s="6"/>
      <c r="C991" s="6"/>
      <c r="D991" s="6"/>
      <c r="F991" s="6"/>
      <c r="H991" s="6"/>
      <c r="J991" s="6"/>
      <c r="L991" s="6"/>
      <c r="N991" s="6"/>
    </row>
    <row r="992" spans="1:14">
      <c r="A992" s="6"/>
      <c r="B992" s="6"/>
      <c r="C992" s="6"/>
      <c r="D992" s="6"/>
      <c r="F992" s="6"/>
      <c r="H992" s="6"/>
      <c r="J992" s="6"/>
      <c r="L992" s="6"/>
      <c r="N992" s="6"/>
    </row>
    <row r="993" spans="1:14">
      <c r="A993" s="6"/>
      <c r="B993" s="6"/>
      <c r="C993" s="6"/>
      <c r="D993" s="6"/>
      <c r="F993" s="6"/>
      <c r="H993" s="6"/>
      <c r="J993" s="6"/>
      <c r="L993" s="6"/>
      <c r="N993" s="6"/>
    </row>
    <row r="994" spans="1:14">
      <c r="A994" s="6"/>
      <c r="B994" s="6"/>
      <c r="C994" s="6"/>
      <c r="D994" s="6"/>
      <c r="F994" s="6"/>
      <c r="H994" s="6"/>
      <c r="J994" s="6"/>
      <c r="L994" s="6"/>
      <c r="N994" s="6"/>
    </row>
    <row r="995" spans="1:14">
      <c r="A995" s="6"/>
      <c r="B995" s="6"/>
      <c r="C995" s="6"/>
      <c r="D995" s="6"/>
      <c r="F995" s="6"/>
      <c r="H995" s="6"/>
      <c r="J995" s="6"/>
      <c r="L995" s="6"/>
      <c r="N995" s="6"/>
    </row>
    <row r="996" spans="1:14">
      <c r="A996" s="6"/>
      <c r="B996" s="6"/>
      <c r="C996" s="6"/>
      <c r="D996" s="6"/>
      <c r="F996" s="6"/>
      <c r="H996" s="6"/>
      <c r="J996" s="6"/>
      <c r="L996" s="6"/>
      <c r="N996" s="6"/>
    </row>
    <row r="997" spans="1:14">
      <c r="A997" s="6"/>
      <c r="B997" s="6"/>
      <c r="C997" s="6"/>
      <c r="D997" s="6"/>
      <c r="F997" s="6"/>
      <c r="H997" s="6"/>
      <c r="J997" s="6"/>
      <c r="L997" s="6"/>
      <c r="N997" s="6"/>
    </row>
    <row r="998" spans="1:14">
      <c r="A998" s="6"/>
      <c r="B998" s="6"/>
      <c r="C998" s="6"/>
      <c r="D998" s="6"/>
      <c r="F998" s="6"/>
      <c r="H998" s="6"/>
      <c r="J998" s="6"/>
      <c r="L998" s="6"/>
      <c r="N998" s="6"/>
    </row>
    <row r="999" spans="1:14">
      <c r="A999" s="6"/>
      <c r="B999" s="6"/>
      <c r="C999" s="6"/>
      <c r="D999" s="6"/>
      <c r="F999" s="6"/>
      <c r="H999" s="6"/>
      <c r="J999" s="6"/>
      <c r="L999" s="6"/>
      <c r="N999" s="6"/>
    </row>
    <row r="1000" spans="1:14">
      <c r="A1000" s="6"/>
      <c r="B1000" s="6"/>
      <c r="C1000" s="6"/>
      <c r="D1000" s="6"/>
      <c r="F1000" s="6"/>
      <c r="H1000" s="6"/>
      <c r="J1000" s="6"/>
      <c r="L1000" s="6"/>
      <c r="N1000" s="6"/>
    </row>
  </sheetData>
  <hyperlinks>
    <hyperlink ref="A5" r:id="rId1" xr:uid="{00000000-0004-0000-1100-000000000000}"/>
    <hyperlink ref="H5" r:id="rId2" xr:uid="{00000000-0004-0000-1100-000001000000}"/>
    <hyperlink ref="J5" r:id="rId3" xr:uid="{00000000-0004-0000-1100-000002000000}"/>
    <hyperlink ref="L5" r:id="rId4" xr:uid="{00000000-0004-0000-1100-000003000000}"/>
    <hyperlink ref="N5" r:id="rId5" xr:uid="{00000000-0004-0000-1100-000004000000}"/>
    <hyperlink ref="P5" r:id="rId6" xr:uid="{00000000-0004-0000-1100-000005000000}"/>
    <hyperlink ref="R5" r:id="rId7" xr:uid="{00000000-0004-0000-1100-000006000000}"/>
    <hyperlink ref="T5" r:id="rId8" xr:uid="{00000000-0004-0000-1100-000007000000}"/>
    <hyperlink ref="V5" r:id="rId9" xr:uid="{00000000-0004-0000-1100-000008000000}"/>
    <hyperlink ref="X5" r:id="rId10" xr:uid="{00000000-0004-0000-1100-000009000000}"/>
    <hyperlink ref="Z5" r:id="rId11" location="/" xr:uid="{00000000-0004-0000-1100-00000A000000}"/>
    <hyperlink ref="F6" r:id="rId12" xr:uid="{00000000-0004-0000-1100-00000B000000}"/>
    <hyperlink ref="N6" r:id="rId13" xr:uid="{00000000-0004-0000-1100-00000C000000}"/>
    <hyperlink ref="N7" r:id="rId14" xr:uid="{00000000-0004-0000-1100-00000D000000}"/>
    <hyperlink ref="F9" r:id="rId15" xr:uid="{00000000-0004-0000-1100-00000E000000}"/>
    <hyperlink ref="A15" r:id="rId16" xr:uid="{00000000-0004-0000-1100-00000F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2:D7"/>
  <sheetViews>
    <sheetView workbookViewId="0"/>
  </sheetViews>
  <sheetFormatPr defaultColWidth="12.5703125" defaultRowHeight="15.75" customHeight="1"/>
  <sheetData>
    <row r="2" spans="1:4">
      <c r="A2" s="7" t="s">
        <v>5869</v>
      </c>
      <c r="B2" s="7">
        <v>1920</v>
      </c>
      <c r="C2" s="7">
        <v>1080</v>
      </c>
      <c r="D2" s="7">
        <f t="shared" ref="D2:D3" si="0">B2/C2</f>
        <v>1.7777777777777777</v>
      </c>
    </row>
    <row r="3" spans="1:4">
      <c r="A3" s="7" t="s">
        <v>5870</v>
      </c>
      <c r="B3" s="7">
        <v>841</v>
      </c>
      <c r="C3" s="7">
        <v>594</v>
      </c>
      <c r="D3" s="7">
        <f t="shared" si="0"/>
        <v>1.4158249158249159</v>
      </c>
    </row>
    <row r="7" spans="1:4">
      <c r="A7" s="7">
        <v>5</v>
      </c>
      <c r="B7" s="192">
        <v>0.01</v>
      </c>
      <c r="C7" s="192">
        <v>1</v>
      </c>
      <c r="D7" s="7">
        <f>A7*100</f>
        <v>500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C151"/>
  <sheetViews>
    <sheetView workbookViewId="0"/>
  </sheetViews>
  <sheetFormatPr defaultColWidth="12.5703125" defaultRowHeight="15.75" customHeight="1"/>
  <cols>
    <col min="1" max="1" width="21.42578125" customWidth="1"/>
    <col min="2" max="2" width="49.5703125" customWidth="1"/>
  </cols>
  <sheetData>
    <row r="1" spans="1:3">
      <c r="A1" s="2" t="s">
        <v>0</v>
      </c>
      <c r="B1" s="2" t="s">
        <v>1</v>
      </c>
      <c r="C1" s="176" t="s">
        <v>4182</v>
      </c>
    </row>
    <row r="2" spans="1:3">
      <c r="A2" s="3" t="s">
        <v>6</v>
      </c>
      <c r="B2" s="3" t="s">
        <v>7</v>
      </c>
      <c r="C2" s="4">
        <v>3</v>
      </c>
    </row>
    <row r="3" spans="1:3">
      <c r="A3" s="3" t="s">
        <v>26</v>
      </c>
      <c r="B3" s="3" t="s">
        <v>27</v>
      </c>
      <c r="C3" s="4">
        <v>3</v>
      </c>
    </row>
    <row r="4" spans="1:3">
      <c r="A4" s="3" t="s">
        <v>82</v>
      </c>
      <c r="B4" s="3" t="s">
        <v>83</v>
      </c>
      <c r="C4" s="4">
        <v>3</v>
      </c>
    </row>
    <row r="5" spans="1:3">
      <c r="A5" s="3" t="s">
        <v>98</v>
      </c>
      <c r="B5" s="3" t="s">
        <v>99</v>
      </c>
      <c r="C5" s="4">
        <v>3</v>
      </c>
    </row>
    <row r="6" spans="1:3">
      <c r="A6" s="3" t="s">
        <v>134</v>
      </c>
      <c r="B6" s="3" t="s">
        <v>135</v>
      </c>
      <c r="C6" s="4">
        <v>3</v>
      </c>
    </row>
    <row r="7" spans="1:3">
      <c r="A7" s="3" t="s">
        <v>150</v>
      </c>
      <c r="B7" s="3" t="s">
        <v>151</v>
      </c>
      <c r="C7" s="4">
        <v>3</v>
      </c>
    </row>
    <row r="8" spans="1:3">
      <c r="A8" s="3" t="s">
        <v>178</v>
      </c>
      <c r="B8" s="3" t="s">
        <v>179</v>
      </c>
      <c r="C8" s="4">
        <v>3</v>
      </c>
    </row>
    <row r="9" spans="1:3">
      <c r="A9" s="3" t="s">
        <v>182</v>
      </c>
      <c r="B9" s="3" t="s">
        <v>183</v>
      </c>
      <c r="C9" s="4">
        <v>3</v>
      </c>
    </row>
    <row r="10" spans="1:3">
      <c r="A10" s="3" t="s">
        <v>186</v>
      </c>
      <c r="B10" s="3" t="s">
        <v>187</v>
      </c>
      <c r="C10" s="4">
        <v>3</v>
      </c>
    </row>
    <row r="11" spans="1:3">
      <c r="A11" s="3" t="s">
        <v>190</v>
      </c>
      <c r="B11" s="3" t="s">
        <v>191</v>
      </c>
      <c r="C11" s="4">
        <v>3</v>
      </c>
    </row>
    <row r="12" spans="1:3">
      <c r="A12" s="3" t="s">
        <v>194</v>
      </c>
      <c r="B12" s="3" t="s">
        <v>195</v>
      </c>
      <c r="C12" s="4">
        <v>3</v>
      </c>
    </row>
    <row r="13" spans="1:3">
      <c r="A13" s="3" t="s">
        <v>206</v>
      </c>
      <c r="B13" s="3" t="s">
        <v>207</v>
      </c>
      <c r="C13" s="4">
        <v>3</v>
      </c>
    </row>
    <row r="14" spans="1:3">
      <c r="A14" s="3" t="s">
        <v>222</v>
      </c>
      <c r="B14" s="3" t="s">
        <v>223</v>
      </c>
      <c r="C14" s="4">
        <v>3</v>
      </c>
    </row>
    <row r="15" spans="1:3">
      <c r="A15" s="3" t="s">
        <v>282</v>
      </c>
      <c r="B15" s="3" t="s">
        <v>283</v>
      </c>
      <c r="C15" s="4">
        <v>3</v>
      </c>
    </row>
    <row r="16" spans="1:3">
      <c r="A16" s="3" t="s">
        <v>302</v>
      </c>
      <c r="B16" s="3" t="s">
        <v>303</v>
      </c>
      <c r="C16" s="4">
        <v>3</v>
      </c>
    </row>
    <row r="17" spans="1:3">
      <c r="A17" s="3" t="s">
        <v>338</v>
      </c>
      <c r="B17" s="3" t="s">
        <v>339</v>
      </c>
      <c r="C17" s="4">
        <v>3</v>
      </c>
    </row>
    <row r="18" spans="1:3">
      <c r="A18" s="3" t="s">
        <v>354</v>
      </c>
      <c r="B18" s="3" t="s">
        <v>355</v>
      </c>
      <c r="C18" s="4">
        <v>3</v>
      </c>
    </row>
    <row r="19" spans="1:3">
      <c r="A19" s="3" t="s">
        <v>370</v>
      </c>
      <c r="B19" s="3" t="s">
        <v>371</v>
      </c>
      <c r="C19" s="4">
        <v>3</v>
      </c>
    </row>
    <row r="20" spans="1:3">
      <c r="A20" s="3" t="s">
        <v>390</v>
      </c>
      <c r="B20" s="3" t="s">
        <v>391</v>
      </c>
      <c r="C20" s="4">
        <v>3</v>
      </c>
    </row>
    <row r="21" spans="1:3">
      <c r="A21" s="3" t="s">
        <v>446</v>
      </c>
      <c r="B21" s="3" t="s">
        <v>447</v>
      </c>
      <c r="C21" s="4">
        <v>3</v>
      </c>
    </row>
    <row r="22" spans="1:3">
      <c r="A22" s="3" t="s">
        <v>498</v>
      </c>
      <c r="B22" s="3" t="s">
        <v>499</v>
      </c>
      <c r="C22" s="4">
        <v>3</v>
      </c>
    </row>
    <row r="23" spans="1:3">
      <c r="A23" s="3" t="s">
        <v>538</v>
      </c>
      <c r="B23" s="3" t="s">
        <v>539</v>
      </c>
      <c r="C23" s="4">
        <v>3</v>
      </c>
    </row>
    <row r="24" spans="1:3">
      <c r="A24" s="3" t="s">
        <v>558</v>
      </c>
      <c r="B24" s="3" t="s">
        <v>559</v>
      </c>
      <c r="C24" s="4">
        <v>3</v>
      </c>
    </row>
    <row r="25" spans="1:3">
      <c r="A25" s="3" t="s">
        <v>614</v>
      </c>
      <c r="B25" s="3" t="s">
        <v>615</v>
      </c>
      <c r="C25" s="4">
        <v>3</v>
      </c>
    </row>
    <row r="26" spans="1:3">
      <c r="A26" s="3" t="s">
        <v>702</v>
      </c>
      <c r="B26" s="3" t="s">
        <v>703</v>
      </c>
      <c r="C26" s="4">
        <v>3</v>
      </c>
    </row>
    <row r="27" spans="1:3">
      <c r="A27" s="7" t="s">
        <v>722</v>
      </c>
      <c r="B27" s="7" t="s">
        <v>723</v>
      </c>
      <c r="C27" s="4">
        <v>3</v>
      </c>
    </row>
    <row r="28" spans="1:3">
      <c r="A28" s="3" t="s">
        <v>750</v>
      </c>
      <c r="B28" s="3" t="s">
        <v>751</v>
      </c>
      <c r="C28" s="4">
        <v>3</v>
      </c>
    </row>
    <row r="29" spans="1:3">
      <c r="A29" s="3" t="s">
        <v>778</v>
      </c>
      <c r="B29" s="3" t="s">
        <v>779</v>
      </c>
      <c r="C29" s="4">
        <v>3</v>
      </c>
    </row>
    <row r="30" spans="1:3">
      <c r="A30" s="3" t="s">
        <v>790</v>
      </c>
      <c r="B30" s="3" t="s">
        <v>791</v>
      </c>
      <c r="C30" s="4">
        <v>3</v>
      </c>
    </row>
    <row r="31" spans="1:3">
      <c r="A31" s="3" t="s">
        <v>818</v>
      </c>
      <c r="B31" s="3" t="s">
        <v>819</v>
      </c>
      <c r="C31" s="4">
        <v>3</v>
      </c>
    </row>
    <row r="32" spans="1:3">
      <c r="A32" s="3" t="s">
        <v>830</v>
      </c>
      <c r="B32" s="3" t="s">
        <v>831</v>
      </c>
      <c r="C32" s="4">
        <v>3</v>
      </c>
    </row>
    <row r="33" spans="1:3">
      <c r="A33" s="3" t="s">
        <v>870</v>
      </c>
      <c r="B33" s="3" t="s">
        <v>871</v>
      </c>
      <c r="C33" s="4">
        <v>3</v>
      </c>
    </row>
    <row r="34" spans="1:3">
      <c r="A34" s="3" t="s">
        <v>894</v>
      </c>
      <c r="B34" s="3" t="s">
        <v>895</v>
      </c>
      <c r="C34" s="4">
        <v>3</v>
      </c>
    </row>
    <row r="35" spans="1:3">
      <c r="A35" s="3" t="s">
        <v>914</v>
      </c>
      <c r="B35" s="3" t="s">
        <v>915</v>
      </c>
      <c r="C35" s="4">
        <v>3</v>
      </c>
    </row>
    <row r="36" spans="1:3">
      <c r="A36" s="3" t="s">
        <v>938</v>
      </c>
      <c r="B36" s="3" t="s">
        <v>939</v>
      </c>
      <c r="C36" s="4">
        <v>3</v>
      </c>
    </row>
    <row r="37" spans="1:3">
      <c r="A37" s="3" t="s">
        <v>942</v>
      </c>
      <c r="B37" s="3" t="s">
        <v>943</v>
      </c>
      <c r="C37" s="4">
        <v>3</v>
      </c>
    </row>
    <row r="38" spans="1:3">
      <c r="A38" s="3" t="s">
        <v>946</v>
      </c>
      <c r="B38" s="3" t="s">
        <v>947</v>
      </c>
      <c r="C38" s="4">
        <v>3</v>
      </c>
    </row>
    <row r="39" spans="1:3">
      <c r="A39" s="3" t="s">
        <v>950</v>
      </c>
      <c r="B39" s="3" t="s">
        <v>951</v>
      </c>
      <c r="C39" s="4">
        <v>3</v>
      </c>
    </row>
    <row r="40" spans="1:3">
      <c r="A40" s="3" t="s">
        <v>958</v>
      </c>
      <c r="B40" s="3" t="s">
        <v>959</v>
      </c>
      <c r="C40" s="4">
        <v>3</v>
      </c>
    </row>
    <row r="41" spans="1:3">
      <c r="A41" s="3" t="s">
        <v>994</v>
      </c>
      <c r="B41" s="3" t="s">
        <v>995</v>
      </c>
      <c r="C41" s="4">
        <v>3</v>
      </c>
    </row>
    <row r="42" spans="1:3">
      <c r="A42" s="3" t="s">
        <v>1050</v>
      </c>
      <c r="B42" s="3" t="s">
        <v>1051</v>
      </c>
      <c r="C42" s="4">
        <v>3</v>
      </c>
    </row>
    <row r="43" spans="1:3">
      <c r="A43" s="3" t="s">
        <v>1054</v>
      </c>
      <c r="B43" s="3" t="s">
        <v>1055</v>
      </c>
      <c r="C43" s="4">
        <v>3</v>
      </c>
    </row>
    <row r="44" spans="1:3">
      <c r="A44" s="3" t="s">
        <v>1058</v>
      </c>
      <c r="B44" s="3" t="s">
        <v>1059</v>
      </c>
      <c r="C44" s="4">
        <v>3</v>
      </c>
    </row>
    <row r="45" spans="1:3">
      <c r="A45" s="3" t="s">
        <v>1062</v>
      </c>
      <c r="B45" s="3" t="s">
        <v>1063</v>
      </c>
      <c r="C45" s="4">
        <v>3</v>
      </c>
    </row>
    <row r="46" spans="1:3">
      <c r="A46" s="3" t="s">
        <v>1070</v>
      </c>
      <c r="B46" s="3" t="s">
        <v>1071</v>
      </c>
      <c r="C46" s="4">
        <v>3</v>
      </c>
    </row>
    <row r="47" spans="1:3">
      <c r="A47" s="3" t="s">
        <v>1074</v>
      </c>
      <c r="B47" s="3" t="s">
        <v>1075</v>
      </c>
      <c r="C47" s="4">
        <v>3</v>
      </c>
    </row>
    <row r="48" spans="1:3">
      <c r="A48" s="3" t="s">
        <v>1078</v>
      </c>
      <c r="B48" s="3" t="s">
        <v>1079</v>
      </c>
      <c r="C48" s="4">
        <v>3</v>
      </c>
    </row>
    <row r="49" spans="1:3">
      <c r="A49" s="3" t="s">
        <v>1082</v>
      </c>
      <c r="B49" s="3" t="s">
        <v>1083</v>
      </c>
      <c r="C49" s="4">
        <v>3</v>
      </c>
    </row>
    <row r="50" spans="1:3">
      <c r="A50" s="3" t="s">
        <v>1090</v>
      </c>
      <c r="B50" s="3" t="s">
        <v>1091</v>
      </c>
      <c r="C50" s="4">
        <v>3</v>
      </c>
    </row>
    <row r="51" spans="1:3">
      <c r="A51" s="3" t="s">
        <v>1106</v>
      </c>
      <c r="B51" s="3" t="s">
        <v>1107</v>
      </c>
      <c r="C51" s="4">
        <v>3</v>
      </c>
    </row>
    <row r="52" spans="1:3">
      <c r="A52" s="3" t="s">
        <v>1134</v>
      </c>
      <c r="B52" s="3" t="s">
        <v>1135</v>
      </c>
      <c r="C52" s="4">
        <v>3</v>
      </c>
    </row>
    <row r="53" spans="1:3">
      <c r="A53" s="3" t="s">
        <v>1158</v>
      </c>
      <c r="B53" s="3" t="s">
        <v>1159</v>
      </c>
      <c r="C53" s="4">
        <v>3</v>
      </c>
    </row>
    <row r="54" spans="1:3">
      <c r="A54" s="3" t="s">
        <v>1174</v>
      </c>
      <c r="B54" s="3" t="s">
        <v>1175</v>
      </c>
      <c r="C54" s="4">
        <v>3</v>
      </c>
    </row>
    <row r="55" spans="1:3">
      <c r="A55" s="3" t="s">
        <v>1230</v>
      </c>
      <c r="B55" s="3" t="s">
        <v>1231</v>
      </c>
      <c r="C55" s="4">
        <v>3</v>
      </c>
    </row>
    <row r="56" spans="1:3">
      <c r="A56" s="3" t="s">
        <v>1274</v>
      </c>
      <c r="B56" s="3" t="s">
        <v>1275</v>
      </c>
      <c r="C56" s="4">
        <v>3</v>
      </c>
    </row>
    <row r="57" spans="1:3">
      <c r="A57" s="3" t="s">
        <v>1290</v>
      </c>
      <c r="B57" s="3" t="s">
        <v>1291</v>
      </c>
      <c r="C57" s="4">
        <v>3</v>
      </c>
    </row>
    <row r="58" spans="1:3">
      <c r="A58" s="3" t="s">
        <v>1302</v>
      </c>
      <c r="B58" s="3" t="s">
        <v>1303</v>
      </c>
      <c r="C58" s="4">
        <v>3</v>
      </c>
    </row>
    <row r="59" spans="1:3">
      <c r="A59" s="3" t="s">
        <v>1306</v>
      </c>
      <c r="B59" s="3" t="s">
        <v>1307</v>
      </c>
      <c r="C59" s="4">
        <v>3</v>
      </c>
    </row>
    <row r="60" spans="1:3">
      <c r="A60" s="3" t="s">
        <v>1342</v>
      </c>
      <c r="B60" s="3" t="s">
        <v>1343</v>
      </c>
      <c r="C60" s="4">
        <v>3</v>
      </c>
    </row>
    <row r="61" spans="1:3">
      <c r="A61" s="3" t="s">
        <v>1382</v>
      </c>
      <c r="B61" s="3" t="s">
        <v>1383</v>
      </c>
      <c r="C61" s="4">
        <v>3</v>
      </c>
    </row>
    <row r="62" spans="1:3">
      <c r="A62" s="3" t="s">
        <v>1406</v>
      </c>
      <c r="B62" s="3" t="s">
        <v>1407</v>
      </c>
      <c r="C62" s="4">
        <v>3</v>
      </c>
    </row>
    <row r="63" spans="1:3">
      <c r="A63" s="3" t="s">
        <v>1430</v>
      </c>
      <c r="B63" s="3" t="s">
        <v>1431</v>
      </c>
      <c r="C63" s="4">
        <v>3</v>
      </c>
    </row>
    <row r="64" spans="1:3">
      <c r="A64" s="3" t="s">
        <v>1438</v>
      </c>
      <c r="B64" s="3" t="s">
        <v>1439</v>
      </c>
      <c r="C64" s="4">
        <v>3</v>
      </c>
    </row>
    <row r="65" spans="1:3">
      <c r="A65" s="3" t="s">
        <v>1450</v>
      </c>
      <c r="B65" s="3" t="s">
        <v>1451</v>
      </c>
      <c r="C65" s="4">
        <v>3</v>
      </c>
    </row>
    <row r="66" spans="1:3">
      <c r="A66" s="3" t="s">
        <v>1474</v>
      </c>
      <c r="B66" s="3" t="s">
        <v>1475</v>
      </c>
      <c r="C66" s="4">
        <v>3</v>
      </c>
    </row>
    <row r="67" spans="1:3">
      <c r="A67" s="3" t="s">
        <v>1486</v>
      </c>
      <c r="B67" s="3" t="s">
        <v>1487</v>
      </c>
      <c r="C67" s="4">
        <v>3</v>
      </c>
    </row>
    <row r="68" spans="1:3">
      <c r="A68" s="3" t="s">
        <v>1490</v>
      </c>
      <c r="B68" s="3" t="s">
        <v>1491</v>
      </c>
      <c r="C68" s="4">
        <v>3</v>
      </c>
    </row>
    <row r="69" spans="1:3">
      <c r="A69" s="3" t="s">
        <v>1494</v>
      </c>
      <c r="B69" s="3" t="s">
        <v>1495</v>
      </c>
      <c r="C69" s="4">
        <v>3</v>
      </c>
    </row>
    <row r="70" spans="1:3">
      <c r="A70" s="3" t="s">
        <v>1502</v>
      </c>
      <c r="B70" s="3" t="s">
        <v>1503</v>
      </c>
      <c r="C70" s="4">
        <v>3</v>
      </c>
    </row>
    <row r="71" spans="1:3">
      <c r="A71" s="3" t="s">
        <v>1518</v>
      </c>
      <c r="B71" s="3" t="s">
        <v>1519</v>
      </c>
      <c r="C71" s="4">
        <v>3</v>
      </c>
    </row>
    <row r="72" spans="1:3">
      <c r="A72" s="3" t="s">
        <v>1522</v>
      </c>
      <c r="B72" s="3" t="s">
        <v>1523</v>
      </c>
      <c r="C72" s="4">
        <v>3</v>
      </c>
    </row>
    <row r="73" spans="1:3">
      <c r="A73" s="3" t="s">
        <v>1526</v>
      </c>
      <c r="B73" s="3" t="s">
        <v>1527</v>
      </c>
      <c r="C73" s="4">
        <v>3</v>
      </c>
    </row>
    <row r="74" spans="1:3">
      <c r="A74" s="3" t="s">
        <v>1534</v>
      </c>
      <c r="B74" s="3" t="s">
        <v>1535</v>
      </c>
      <c r="C74" s="4">
        <v>3</v>
      </c>
    </row>
    <row r="75" spans="1:3">
      <c r="A75" s="3" t="s">
        <v>1538</v>
      </c>
      <c r="B75" s="3" t="s">
        <v>1539</v>
      </c>
      <c r="C75" s="4">
        <v>3</v>
      </c>
    </row>
    <row r="76" spans="1:3">
      <c r="A76" s="3" t="s">
        <v>1542</v>
      </c>
      <c r="B76" s="3" t="s">
        <v>1543</v>
      </c>
      <c r="C76" s="4">
        <v>3</v>
      </c>
    </row>
    <row r="77" spans="1:3">
      <c r="A77" s="3" t="s">
        <v>1546</v>
      </c>
      <c r="B77" s="3" t="s">
        <v>1547</v>
      </c>
      <c r="C77" s="4">
        <v>3</v>
      </c>
    </row>
    <row r="78" spans="1:3">
      <c r="A78" s="3" t="s">
        <v>1550</v>
      </c>
      <c r="B78" s="3" t="s">
        <v>1551</v>
      </c>
      <c r="C78" s="4">
        <v>3</v>
      </c>
    </row>
    <row r="79" spans="1:3">
      <c r="A79" s="3" t="s">
        <v>1554</v>
      </c>
      <c r="B79" s="3" t="s">
        <v>1555</v>
      </c>
      <c r="C79" s="4">
        <v>3</v>
      </c>
    </row>
    <row r="80" spans="1:3">
      <c r="A80" s="3" t="s">
        <v>1558</v>
      </c>
      <c r="B80" s="3" t="s">
        <v>1559</v>
      </c>
      <c r="C80" s="4">
        <v>3</v>
      </c>
    </row>
    <row r="81" spans="1:3">
      <c r="A81" s="3" t="s">
        <v>1590</v>
      </c>
      <c r="B81" s="3" t="s">
        <v>1591</v>
      </c>
      <c r="C81" s="4">
        <v>3</v>
      </c>
    </row>
    <row r="82" spans="1:3">
      <c r="A82" s="3" t="s">
        <v>1622</v>
      </c>
      <c r="B82" s="3" t="s">
        <v>1623</v>
      </c>
      <c r="C82" s="4">
        <v>3</v>
      </c>
    </row>
    <row r="83" spans="1:3">
      <c r="A83" s="3" t="s">
        <v>1634</v>
      </c>
      <c r="B83" s="3" t="s">
        <v>1635</v>
      </c>
      <c r="C83" s="4">
        <v>3</v>
      </c>
    </row>
    <row r="84" spans="1:3">
      <c r="A84" s="3" t="s">
        <v>1666</v>
      </c>
      <c r="B84" s="3" t="s">
        <v>1667</v>
      </c>
      <c r="C84" s="4">
        <v>3</v>
      </c>
    </row>
    <row r="85" spans="1:3">
      <c r="A85" s="3" t="s">
        <v>1670</v>
      </c>
      <c r="B85" s="3" t="s">
        <v>1671</v>
      </c>
      <c r="C85" s="4">
        <v>3</v>
      </c>
    </row>
    <row r="86" spans="1:3">
      <c r="A86" s="3" t="s">
        <v>1698</v>
      </c>
      <c r="B86" s="3" t="s">
        <v>1699</v>
      </c>
      <c r="C86" s="4">
        <v>3</v>
      </c>
    </row>
    <row r="87" spans="1:3">
      <c r="A87" s="9" t="s">
        <v>1702</v>
      </c>
      <c r="B87" s="3" t="s">
        <v>1703</v>
      </c>
      <c r="C87" s="4">
        <v>3</v>
      </c>
    </row>
    <row r="88" spans="1:3">
      <c r="A88" s="3" t="s">
        <v>1706</v>
      </c>
      <c r="B88" s="3" t="s">
        <v>1707</v>
      </c>
      <c r="C88" s="4">
        <v>3</v>
      </c>
    </row>
    <row r="89" spans="1:3">
      <c r="A89" s="3" t="s">
        <v>1714</v>
      </c>
      <c r="B89" s="3" t="s">
        <v>1715</v>
      </c>
      <c r="C89" s="4">
        <v>3</v>
      </c>
    </row>
    <row r="90" spans="1:3">
      <c r="A90" s="3" t="s">
        <v>1718</v>
      </c>
      <c r="B90" s="3" t="s">
        <v>1719</v>
      </c>
      <c r="C90" s="4">
        <v>3</v>
      </c>
    </row>
    <row r="91" spans="1:3">
      <c r="A91" s="3" t="s">
        <v>1722</v>
      </c>
      <c r="B91" s="3" t="s">
        <v>1723</v>
      </c>
      <c r="C91" s="4">
        <v>3</v>
      </c>
    </row>
    <row r="92" spans="1:3">
      <c r="A92" s="3" t="s">
        <v>1754</v>
      </c>
      <c r="B92" s="3" t="s">
        <v>1755</v>
      </c>
      <c r="C92" s="4">
        <v>3</v>
      </c>
    </row>
    <row r="93" spans="1:3">
      <c r="A93" s="3" t="s">
        <v>1762</v>
      </c>
      <c r="B93" s="3" t="s">
        <v>1763</v>
      </c>
      <c r="C93" s="4">
        <v>3</v>
      </c>
    </row>
    <row r="94" spans="1:3">
      <c r="A94" s="3" t="s">
        <v>1794</v>
      </c>
      <c r="B94" s="3" t="s">
        <v>1795</v>
      </c>
      <c r="C94" s="4">
        <v>3</v>
      </c>
    </row>
    <row r="95" spans="1:3">
      <c r="A95" s="3" t="s">
        <v>1806</v>
      </c>
      <c r="B95" s="3" t="s">
        <v>1807</v>
      </c>
      <c r="C95" s="4">
        <v>3</v>
      </c>
    </row>
    <row r="96" spans="1:3">
      <c r="A96" s="3" t="s">
        <v>1834</v>
      </c>
      <c r="B96" s="3" t="s">
        <v>1835</v>
      </c>
      <c r="C96" s="4">
        <v>3</v>
      </c>
    </row>
    <row r="97" spans="1:3">
      <c r="A97" s="3" t="s">
        <v>1838</v>
      </c>
      <c r="B97" s="3" t="s">
        <v>1839</v>
      </c>
      <c r="C97" s="4">
        <v>3</v>
      </c>
    </row>
    <row r="98" spans="1:3">
      <c r="A98" s="3" t="s">
        <v>1858</v>
      </c>
      <c r="B98" s="3" t="s">
        <v>1859</v>
      </c>
      <c r="C98" s="4">
        <v>3</v>
      </c>
    </row>
    <row r="99" spans="1:3">
      <c r="A99" s="3" t="s">
        <v>1862</v>
      </c>
      <c r="B99" s="3" t="s">
        <v>1863</v>
      </c>
      <c r="C99" s="4">
        <v>3</v>
      </c>
    </row>
    <row r="100" spans="1:3">
      <c r="A100" s="3" t="s">
        <v>1882</v>
      </c>
      <c r="B100" s="3" t="s">
        <v>1883</v>
      </c>
      <c r="C100" s="4">
        <v>3</v>
      </c>
    </row>
    <row r="101" spans="1:3">
      <c r="A101" s="3" t="s">
        <v>1910</v>
      </c>
      <c r="B101" s="3" t="s">
        <v>1911</v>
      </c>
      <c r="C101" s="4">
        <v>3</v>
      </c>
    </row>
    <row r="102" spans="1:3">
      <c r="A102" s="3" t="s">
        <v>1930</v>
      </c>
      <c r="B102" s="3" t="s">
        <v>1931</v>
      </c>
      <c r="C102" s="4">
        <v>3</v>
      </c>
    </row>
    <row r="103" spans="1:3">
      <c r="A103" s="3" t="s">
        <v>1962</v>
      </c>
      <c r="B103" s="3" t="s">
        <v>1963</v>
      </c>
      <c r="C103" s="4">
        <v>3</v>
      </c>
    </row>
    <row r="104" spans="1:3">
      <c r="A104" s="3" t="s">
        <v>1998</v>
      </c>
      <c r="B104" s="3" t="s">
        <v>1999</v>
      </c>
      <c r="C104" s="4">
        <v>3</v>
      </c>
    </row>
    <row r="105" spans="1:3">
      <c r="A105" s="3" t="s">
        <v>2002</v>
      </c>
      <c r="B105" s="3" t="s">
        <v>2003</v>
      </c>
      <c r="C105" s="4">
        <v>3</v>
      </c>
    </row>
    <row r="106" spans="1:3">
      <c r="A106" s="3" t="s">
        <v>2010</v>
      </c>
      <c r="B106" s="3" t="s">
        <v>2011</v>
      </c>
      <c r="C106" s="4">
        <v>3</v>
      </c>
    </row>
    <row r="107" spans="1:3">
      <c r="A107" s="3" t="s">
        <v>2018</v>
      </c>
      <c r="B107" s="3" t="s">
        <v>2019</v>
      </c>
      <c r="C107" s="4">
        <v>3</v>
      </c>
    </row>
    <row r="108" spans="1:3">
      <c r="A108" s="3" t="s">
        <v>2026</v>
      </c>
      <c r="B108" s="3" t="s">
        <v>2027</v>
      </c>
      <c r="C108" s="4">
        <v>3</v>
      </c>
    </row>
    <row r="109" spans="1:3">
      <c r="A109" s="3" t="s">
        <v>2034</v>
      </c>
      <c r="B109" s="3" t="s">
        <v>2035</v>
      </c>
      <c r="C109" s="4">
        <v>3</v>
      </c>
    </row>
    <row r="110" spans="1:3">
      <c r="A110" s="3" t="s">
        <v>2054</v>
      </c>
      <c r="B110" s="3" t="s">
        <v>2055</v>
      </c>
      <c r="C110" s="4">
        <v>3</v>
      </c>
    </row>
    <row r="111" spans="1:3">
      <c r="A111" s="3" t="s">
        <v>2086</v>
      </c>
      <c r="B111" s="3" t="s">
        <v>2087</v>
      </c>
      <c r="C111" s="4">
        <v>3</v>
      </c>
    </row>
    <row r="112" spans="1:3">
      <c r="A112" s="3" t="s">
        <v>2098</v>
      </c>
      <c r="B112" s="3" t="s">
        <v>2099</v>
      </c>
      <c r="C112" s="4">
        <v>3</v>
      </c>
    </row>
    <row r="113" spans="1:3">
      <c r="A113" s="3" t="s">
        <v>2122</v>
      </c>
      <c r="B113" s="3" t="s">
        <v>2123</v>
      </c>
      <c r="C113" s="4">
        <v>3</v>
      </c>
    </row>
    <row r="114" spans="1:3">
      <c r="A114" s="3" t="s">
        <v>2166</v>
      </c>
      <c r="B114" s="3" t="s">
        <v>2167</v>
      </c>
      <c r="C114" s="4">
        <v>3</v>
      </c>
    </row>
    <row r="115" spans="1:3">
      <c r="A115" s="3" t="s">
        <v>2210</v>
      </c>
      <c r="B115" s="3" t="s">
        <v>2211</v>
      </c>
      <c r="C115" s="4">
        <v>3</v>
      </c>
    </row>
    <row r="116" spans="1:3">
      <c r="A116" s="3" t="s">
        <v>2222</v>
      </c>
      <c r="B116" s="3" t="s">
        <v>2223</v>
      </c>
      <c r="C116" s="4">
        <v>3</v>
      </c>
    </row>
    <row r="117" spans="1:3">
      <c r="A117" s="3" t="s">
        <v>2258</v>
      </c>
      <c r="B117" s="3" t="s">
        <v>2259</v>
      </c>
      <c r="C117" s="4">
        <v>3</v>
      </c>
    </row>
    <row r="118" spans="1:3">
      <c r="A118" s="3" t="s">
        <v>2305</v>
      </c>
      <c r="B118" s="3" t="s">
        <v>2306</v>
      </c>
      <c r="C118" s="4">
        <v>3</v>
      </c>
    </row>
    <row r="119" spans="1:3">
      <c r="A119" s="3" t="s">
        <v>2373</v>
      </c>
      <c r="B119" s="3" t="s">
        <v>2374</v>
      </c>
      <c r="C119" s="4">
        <v>3</v>
      </c>
    </row>
    <row r="120" spans="1:3">
      <c r="A120" s="3" t="s">
        <v>2405</v>
      </c>
      <c r="B120" s="3" t="s">
        <v>2406</v>
      </c>
      <c r="C120" s="4">
        <v>3</v>
      </c>
    </row>
    <row r="121" spans="1:3">
      <c r="A121" s="3" t="s">
        <v>2437</v>
      </c>
      <c r="B121" s="3" t="s">
        <v>2438</v>
      </c>
      <c r="C121" s="4">
        <v>3</v>
      </c>
    </row>
    <row r="122" spans="1:3">
      <c r="A122" s="3" t="s">
        <v>2465</v>
      </c>
      <c r="B122" s="3" t="s">
        <v>2466</v>
      </c>
      <c r="C122" s="4">
        <v>3</v>
      </c>
    </row>
    <row r="123" spans="1:3">
      <c r="A123" s="3" t="s">
        <v>2497</v>
      </c>
      <c r="B123" s="3" t="s">
        <v>2498</v>
      </c>
      <c r="C123" s="4">
        <v>3</v>
      </c>
    </row>
    <row r="124" spans="1:3">
      <c r="A124" s="3" t="s">
        <v>2553</v>
      </c>
      <c r="B124" s="3" t="s">
        <v>2554</v>
      </c>
      <c r="C124" s="4">
        <v>3</v>
      </c>
    </row>
    <row r="125" spans="1:3">
      <c r="A125" s="3" t="s">
        <v>2593</v>
      </c>
      <c r="B125" s="3" t="s">
        <v>2594</v>
      </c>
      <c r="C125" s="4">
        <v>3</v>
      </c>
    </row>
    <row r="126" spans="1:3">
      <c r="A126" s="3" t="s">
        <v>2633</v>
      </c>
      <c r="B126" s="3" t="s">
        <v>2634</v>
      </c>
      <c r="C126" s="4">
        <v>3</v>
      </c>
    </row>
    <row r="127" spans="1:3">
      <c r="A127" s="3" t="s">
        <v>2677</v>
      </c>
      <c r="B127" s="3" t="s">
        <v>2678</v>
      </c>
      <c r="C127" s="4">
        <v>3</v>
      </c>
    </row>
    <row r="128" spans="1:3">
      <c r="A128" s="3" t="s">
        <v>2681</v>
      </c>
      <c r="B128" s="3" t="s">
        <v>2682</v>
      </c>
      <c r="C128" s="4">
        <v>3</v>
      </c>
    </row>
    <row r="129" spans="1:3">
      <c r="A129" s="3" t="s">
        <v>2685</v>
      </c>
      <c r="B129" s="3" t="s">
        <v>2686</v>
      </c>
      <c r="C129" s="4">
        <v>3</v>
      </c>
    </row>
    <row r="130" spans="1:3">
      <c r="A130" s="3" t="s">
        <v>2689</v>
      </c>
      <c r="B130" s="3" t="s">
        <v>2690</v>
      </c>
      <c r="C130" s="4">
        <v>3</v>
      </c>
    </row>
    <row r="131" spans="1:3">
      <c r="A131" s="3" t="s">
        <v>2697</v>
      </c>
      <c r="B131" s="3" t="s">
        <v>2698</v>
      </c>
      <c r="C131" s="4">
        <v>3</v>
      </c>
    </row>
    <row r="132" spans="1:3">
      <c r="A132" s="3" t="s">
        <v>2701</v>
      </c>
      <c r="B132" s="3" t="s">
        <v>2702</v>
      </c>
      <c r="C132" s="4">
        <v>3</v>
      </c>
    </row>
    <row r="133" spans="1:3">
      <c r="A133" s="3" t="s">
        <v>2709</v>
      </c>
      <c r="B133" s="3" t="s">
        <v>2710</v>
      </c>
      <c r="C133" s="4">
        <v>3</v>
      </c>
    </row>
    <row r="134" spans="1:3">
      <c r="A134" s="3" t="s">
        <v>2729</v>
      </c>
      <c r="B134" s="3" t="s">
        <v>2730</v>
      </c>
      <c r="C134" s="4">
        <v>3</v>
      </c>
    </row>
    <row r="135" spans="1:3">
      <c r="A135" s="3" t="s">
        <v>2737</v>
      </c>
      <c r="B135" s="3" t="s">
        <v>2738</v>
      </c>
      <c r="C135" s="4">
        <v>3</v>
      </c>
    </row>
    <row r="136" spans="1:3">
      <c r="A136" s="3" t="s">
        <v>2745</v>
      </c>
      <c r="B136" s="3" t="s">
        <v>2746</v>
      </c>
      <c r="C136" s="4">
        <v>3</v>
      </c>
    </row>
    <row r="137" spans="1:3">
      <c r="A137" s="3" t="s">
        <v>2755</v>
      </c>
      <c r="B137" s="3" t="s">
        <v>2756</v>
      </c>
      <c r="C137" s="4">
        <v>3</v>
      </c>
    </row>
    <row r="138" spans="1:3">
      <c r="A138" s="3" t="s">
        <v>2767</v>
      </c>
      <c r="B138" s="3" t="s">
        <v>2768</v>
      </c>
      <c r="C138" s="4">
        <v>3</v>
      </c>
    </row>
    <row r="139" spans="1:3">
      <c r="A139" s="3" t="s">
        <v>2771</v>
      </c>
      <c r="B139" s="3" t="s">
        <v>2772</v>
      </c>
      <c r="C139" s="4">
        <v>3</v>
      </c>
    </row>
    <row r="140" spans="1:3">
      <c r="A140" s="3" t="s">
        <v>2775</v>
      </c>
      <c r="B140" s="3" t="s">
        <v>2776</v>
      </c>
      <c r="C140" s="4">
        <v>3</v>
      </c>
    </row>
    <row r="141" spans="1:3">
      <c r="A141" s="3" t="s">
        <v>2779</v>
      </c>
      <c r="B141" s="3" t="s">
        <v>2780</v>
      </c>
      <c r="C141" s="4">
        <v>3</v>
      </c>
    </row>
    <row r="142" spans="1:3">
      <c r="A142" s="3" t="s">
        <v>2823</v>
      </c>
      <c r="B142" s="3" t="s">
        <v>2824</v>
      </c>
      <c r="C142" s="4">
        <v>3</v>
      </c>
    </row>
    <row r="143" spans="1:3">
      <c r="A143" s="3" t="s">
        <v>2827</v>
      </c>
      <c r="B143" s="3" t="s">
        <v>2828</v>
      </c>
      <c r="C143" s="4">
        <v>3</v>
      </c>
    </row>
    <row r="144" spans="1:3">
      <c r="A144" s="3" t="s">
        <v>2831</v>
      </c>
      <c r="B144" s="3" t="s">
        <v>2832</v>
      </c>
      <c r="C144" s="4">
        <v>3</v>
      </c>
    </row>
    <row r="145" spans="1:3">
      <c r="A145" s="3" t="s">
        <v>2835</v>
      </c>
      <c r="B145" s="3" t="s">
        <v>2836</v>
      </c>
      <c r="C145" s="4">
        <v>3</v>
      </c>
    </row>
    <row r="146" spans="1:3">
      <c r="A146" s="3" t="s">
        <v>2839</v>
      </c>
      <c r="B146" s="3" t="s">
        <v>2840</v>
      </c>
      <c r="C146" s="4">
        <v>3</v>
      </c>
    </row>
    <row r="147" spans="1:3">
      <c r="A147" s="3" t="s">
        <v>2847</v>
      </c>
      <c r="B147" s="3" t="s">
        <v>2848</v>
      </c>
      <c r="C147" s="4">
        <v>3</v>
      </c>
    </row>
    <row r="148" spans="1:3">
      <c r="A148" s="3" t="s">
        <v>2851</v>
      </c>
      <c r="B148" s="3" t="s">
        <v>2852</v>
      </c>
      <c r="C148" s="4">
        <v>3</v>
      </c>
    </row>
    <row r="149" spans="1:3">
      <c r="A149" s="3" t="s">
        <v>2855</v>
      </c>
      <c r="B149" s="3" t="s">
        <v>2856</v>
      </c>
      <c r="C149" s="4">
        <v>3</v>
      </c>
    </row>
    <row r="150" spans="1:3">
      <c r="A150" s="3" t="s">
        <v>2859</v>
      </c>
      <c r="B150" s="3" t="s">
        <v>2860</v>
      </c>
      <c r="C150" s="4">
        <v>3</v>
      </c>
    </row>
    <row r="151" spans="1:3">
      <c r="A151" s="3" t="s">
        <v>2863</v>
      </c>
      <c r="B151" s="3" t="s">
        <v>2864</v>
      </c>
      <c r="C151" s="4">
        <v>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M999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21.28515625" customWidth="1"/>
    <col min="2" max="2" width="51.7109375" customWidth="1"/>
    <col min="3" max="3" width="17.28515625" customWidth="1"/>
    <col min="4" max="4" width="37.5703125" customWidth="1"/>
    <col min="5" max="5" width="27" customWidth="1"/>
    <col min="6" max="6" width="25.42578125" customWidth="1"/>
    <col min="7" max="7" width="34" customWidth="1"/>
    <col min="8" max="8" width="18" customWidth="1"/>
    <col min="9" max="9" width="20.5703125" customWidth="1"/>
    <col min="10" max="10" width="20.42578125" customWidth="1"/>
    <col min="11" max="11" width="20" customWidth="1"/>
    <col min="12" max="12" width="23.140625" customWidth="1"/>
    <col min="13" max="13" width="27.42578125" customWidth="1"/>
    <col min="14" max="14" width="31.85546875" customWidth="1"/>
    <col min="15" max="15" width="26.42578125" customWidth="1"/>
    <col min="16" max="16" width="41.5703125" customWidth="1"/>
    <col min="17" max="17" width="40.42578125" customWidth="1"/>
    <col min="18" max="18" width="21" customWidth="1"/>
    <col min="19" max="19" width="29.5703125" customWidth="1"/>
    <col min="20" max="21" width="45.5703125" customWidth="1"/>
    <col min="22" max="22" width="42.42578125" customWidth="1"/>
    <col min="23" max="23" width="30.42578125" customWidth="1"/>
    <col min="24" max="24" width="33.7109375" customWidth="1"/>
    <col min="25" max="25" width="29.5703125" customWidth="1"/>
    <col min="26" max="26" width="36.5703125" customWidth="1"/>
    <col min="27" max="27" width="37" customWidth="1"/>
    <col min="28" max="28" width="32" customWidth="1"/>
    <col min="29" max="29" width="32.7109375" customWidth="1"/>
    <col min="30" max="30" width="29" customWidth="1"/>
    <col min="31" max="31" width="15.42578125" customWidth="1"/>
    <col min="32" max="32" width="21.28515625" customWidth="1"/>
    <col min="33" max="33" width="50.42578125" customWidth="1"/>
    <col min="34" max="34" width="28.140625" customWidth="1"/>
    <col min="35" max="35" width="30.140625" customWidth="1"/>
    <col min="36" max="39" width="75.140625" customWidth="1"/>
  </cols>
  <sheetData>
    <row r="1" spans="1:39" ht="12.75">
      <c r="A1" s="208" t="s">
        <v>5871</v>
      </c>
      <c r="B1" s="208" t="s">
        <v>5872</v>
      </c>
      <c r="C1" s="209" t="s">
        <v>5873</v>
      </c>
      <c r="D1" s="210" t="s">
        <v>4195</v>
      </c>
      <c r="E1" s="210" t="s">
        <v>4</v>
      </c>
      <c r="F1" s="210" t="s">
        <v>175</v>
      </c>
      <c r="G1" s="210" t="s">
        <v>203</v>
      </c>
      <c r="H1" s="210" t="s">
        <v>367</v>
      </c>
      <c r="I1" s="210" t="s">
        <v>535</v>
      </c>
      <c r="J1" s="210" t="s">
        <v>611</v>
      </c>
      <c r="K1" s="210" t="s">
        <v>815</v>
      </c>
      <c r="L1" s="210" t="s">
        <v>867</v>
      </c>
      <c r="M1" s="210" t="s">
        <v>935</v>
      </c>
      <c r="N1" s="210" t="s">
        <v>955</v>
      </c>
      <c r="O1" s="210" t="s">
        <v>1047</v>
      </c>
      <c r="P1" s="210" t="s">
        <v>1067</v>
      </c>
      <c r="Q1" s="210" t="s">
        <v>1087</v>
      </c>
      <c r="R1" s="210" t="s">
        <v>1379</v>
      </c>
      <c r="S1" s="210" t="s">
        <v>1435</v>
      </c>
      <c r="T1" s="210" t="s">
        <v>1471</v>
      </c>
      <c r="U1" s="210" t="s">
        <v>1499</v>
      </c>
      <c r="V1" s="210" t="s">
        <v>1531</v>
      </c>
      <c r="W1" s="210" t="s">
        <v>1587</v>
      </c>
      <c r="X1" s="210" t="s">
        <v>1711</v>
      </c>
      <c r="Y1" s="210" t="s">
        <v>1759</v>
      </c>
      <c r="Z1" s="210" t="s">
        <v>1927</v>
      </c>
      <c r="AA1" s="210" t="s">
        <v>1995</v>
      </c>
      <c r="AB1" s="210" t="s">
        <v>2031</v>
      </c>
      <c r="AC1" s="210" t="s">
        <v>2370</v>
      </c>
      <c r="AD1" s="210" t="s">
        <v>2494</v>
      </c>
      <c r="AE1" s="210" t="s">
        <v>2674</v>
      </c>
      <c r="AF1" s="210" t="s">
        <v>2694</v>
      </c>
      <c r="AG1" s="210" t="s">
        <v>2706</v>
      </c>
      <c r="AH1" s="210" t="s">
        <v>2752</v>
      </c>
      <c r="AI1" s="210" t="s">
        <v>2844</v>
      </c>
      <c r="AJ1" s="211" t="s">
        <v>5874</v>
      </c>
      <c r="AK1" s="211" t="s">
        <v>5875</v>
      </c>
      <c r="AL1" s="211" t="s">
        <v>5876</v>
      </c>
      <c r="AM1" s="211" t="s">
        <v>5877</v>
      </c>
    </row>
    <row r="2" spans="1:39" ht="30" customHeight="1">
      <c r="A2" s="212" t="s">
        <v>4194</v>
      </c>
      <c r="B2" s="212" t="s">
        <v>4195</v>
      </c>
      <c r="C2" s="213">
        <v>10</v>
      </c>
      <c r="D2" s="214" t="s">
        <v>5878</v>
      </c>
      <c r="E2" s="215" t="s">
        <v>5879</v>
      </c>
      <c r="F2" s="216" t="s">
        <v>5880</v>
      </c>
      <c r="G2" s="215" t="s">
        <v>5879</v>
      </c>
      <c r="H2" s="215" t="s">
        <v>5879</v>
      </c>
      <c r="I2" s="215" t="s">
        <v>5881</v>
      </c>
      <c r="J2" s="215" t="s">
        <v>5880</v>
      </c>
      <c r="K2" s="215" t="s">
        <v>5880</v>
      </c>
      <c r="L2" s="216" t="s">
        <v>5880</v>
      </c>
      <c r="M2" s="215" t="s">
        <v>5882</v>
      </c>
      <c r="N2" s="215" t="s">
        <v>5883</v>
      </c>
      <c r="O2" s="215" t="s">
        <v>5879</v>
      </c>
      <c r="P2" s="216" t="s">
        <v>5879</v>
      </c>
      <c r="Q2" s="216" t="s">
        <v>5879</v>
      </c>
      <c r="R2" s="216" t="s">
        <v>5879</v>
      </c>
      <c r="S2" s="215" t="s">
        <v>5879</v>
      </c>
      <c r="T2" s="216" t="s">
        <v>5883</v>
      </c>
      <c r="U2" s="216" t="s">
        <v>5879</v>
      </c>
      <c r="V2" s="216" t="s">
        <v>5879</v>
      </c>
      <c r="W2" s="215" t="s">
        <v>5879</v>
      </c>
      <c r="X2" s="215" t="s">
        <v>5879</v>
      </c>
      <c r="Y2" s="215" t="s">
        <v>5879</v>
      </c>
      <c r="Z2" s="216" t="s">
        <v>5879</v>
      </c>
      <c r="AA2" s="216" t="s">
        <v>5880</v>
      </c>
      <c r="AB2" s="216" t="s">
        <v>5879</v>
      </c>
      <c r="AC2" s="216" t="s">
        <v>5879</v>
      </c>
      <c r="AD2" s="216" t="s">
        <v>5879</v>
      </c>
      <c r="AE2" s="216" t="s">
        <v>5879</v>
      </c>
      <c r="AF2" s="216" t="s">
        <v>5879</v>
      </c>
      <c r="AG2" s="216" t="s">
        <v>5879</v>
      </c>
      <c r="AH2" s="216" t="s">
        <v>5879</v>
      </c>
      <c r="AI2" s="216" t="s">
        <v>5879</v>
      </c>
      <c r="AJ2" s="217" t="s">
        <v>5884</v>
      </c>
      <c r="AK2" s="218"/>
      <c r="AL2" s="218"/>
      <c r="AM2" s="218"/>
    </row>
    <row r="3" spans="1:39" ht="30" customHeight="1">
      <c r="A3" s="212" t="s">
        <v>202</v>
      </c>
      <c r="B3" s="212" t="s">
        <v>203</v>
      </c>
      <c r="C3" s="213">
        <v>2</v>
      </c>
      <c r="D3" s="219" t="s">
        <v>5879</v>
      </c>
      <c r="E3" s="220" t="s">
        <v>5879</v>
      </c>
      <c r="F3" s="221" t="s">
        <v>5879</v>
      </c>
      <c r="G3" s="222" t="s">
        <v>5878</v>
      </c>
      <c r="H3" s="220" t="s">
        <v>5879</v>
      </c>
      <c r="I3" s="223" t="s">
        <v>5885</v>
      </c>
      <c r="J3" s="223" t="s">
        <v>5886</v>
      </c>
      <c r="K3" s="220" t="s">
        <v>5886</v>
      </c>
      <c r="L3" s="220" t="s">
        <v>5886</v>
      </c>
      <c r="M3" s="220" t="s">
        <v>5882</v>
      </c>
      <c r="N3" s="220" t="s">
        <v>5886</v>
      </c>
      <c r="O3" s="220" t="s">
        <v>5887</v>
      </c>
      <c r="P3" s="223" t="s">
        <v>5879</v>
      </c>
      <c r="Q3" s="220" t="s">
        <v>5879</v>
      </c>
      <c r="R3" s="220" t="s">
        <v>5879</v>
      </c>
      <c r="S3" s="220" t="s">
        <v>5879</v>
      </c>
      <c r="T3" s="216" t="s">
        <v>5883</v>
      </c>
      <c r="U3" s="220" t="s">
        <v>5879</v>
      </c>
      <c r="V3" s="220" t="s">
        <v>5879</v>
      </c>
      <c r="W3" s="220" t="s">
        <v>5879</v>
      </c>
      <c r="X3" s="220" t="s">
        <v>5879</v>
      </c>
      <c r="Y3" s="220" t="s">
        <v>5879</v>
      </c>
      <c r="Z3" s="223" t="s">
        <v>5879</v>
      </c>
      <c r="AA3" s="220" t="s">
        <v>5879</v>
      </c>
      <c r="AB3" s="220" t="s">
        <v>5879</v>
      </c>
      <c r="AC3" s="220" t="s">
        <v>5879</v>
      </c>
      <c r="AD3" s="220" t="s">
        <v>5879</v>
      </c>
      <c r="AE3" s="220" t="s">
        <v>5879</v>
      </c>
      <c r="AF3" s="220" t="s">
        <v>5879</v>
      </c>
      <c r="AG3" s="220" t="s">
        <v>5879</v>
      </c>
      <c r="AH3" s="220" t="s">
        <v>5879</v>
      </c>
      <c r="AI3" s="220" t="s">
        <v>5879</v>
      </c>
      <c r="AJ3" s="218"/>
      <c r="AK3" s="218"/>
      <c r="AL3" s="218"/>
      <c r="AM3" s="218"/>
    </row>
    <row r="4" spans="1:39" ht="30" customHeight="1">
      <c r="A4" s="212" t="s">
        <v>366</v>
      </c>
      <c r="B4" s="212" t="s">
        <v>367</v>
      </c>
      <c r="C4" s="213">
        <v>5</v>
      </c>
      <c r="D4" s="219" t="s">
        <v>5879</v>
      </c>
      <c r="E4" s="220" t="s">
        <v>5879</v>
      </c>
      <c r="F4" s="220" t="s">
        <v>5879</v>
      </c>
      <c r="G4" s="223" t="s">
        <v>5879</v>
      </c>
      <c r="H4" s="222" t="s">
        <v>5878</v>
      </c>
      <c r="I4" s="223" t="s">
        <v>5879</v>
      </c>
      <c r="J4" s="223" t="s">
        <v>5879</v>
      </c>
      <c r="K4" s="223" t="s">
        <v>5879</v>
      </c>
      <c r="L4" s="223" t="s">
        <v>5879</v>
      </c>
      <c r="M4" s="223" t="s">
        <v>5879</v>
      </c>
      <c r="N4" s="223" t="s">
        <v>5879</v>
      </c>
      <c r="O4" s="220" t="s">
        <v>5879</v>
      </c>
      <c r="P4" s="220" t="s">
        <v>5879</v>
      </c>
      <c r="Q4" s="223" t="s">
        <v>5879</v>
      </c>
      <c r="R4" s="223" t="s">
        <v>5879</v>
      </c>
      <c r="S4" s="223" t="s">
        <v>5879</v>
      </c>
      <c r="T4" s="216" t="s">
        <v>5883</v>
      </c>
      <c r="U4" s="220" t="s">
        <v>5879</v>
      </c>
      <c r="V4" s="223" t="s">
        <v>5879</v>
      </c>
      <c r="W4" s="223" t="s">
        <v>5879</v>
      </c>
      <c r="X4" s="223" t="s">
        <v>5879</v>
      </c>
      <c r="Y4" s="223" t="s">
        <v>5879</v>
      </c>
      <c r="Z4" s="223" t="s">
        <v>5879</v>
      </c>
      <c r="AA4" s="220" t="s">
        <v>5879</v>
      </c>
      <c r="AB4" s="223" t="s">
        <v>5879</v>
      </c>
      <c r="AC4" s="223" t="s">
        <v>5879</v>
      </c>
      <c r="AD4" s="220" t="s">
        <v>5879</v>
      </c>
      <c r="AE4" s="220" t="s">
        <v>5879</v>
      </c>
      <c r="AF4" s="220" t="s">
        <v>5879</v>
      </c>
      <c r="AG4" s="223" t="s">
        <v>5879</v>
      </c>
      <c r="AH4" s="223" t="s">
        <v>5879</v>
      </c>
      <c r="AI4" s="223" t="s">
        <v>5879</v>
      </c>
      <c r="AJ4" s="218"/>
      <c r="AK4" s="218"/>
      <c r="AL4" s="218"/>
      <c r="AM4" s="218"/>
    </row>
    <row r="5" spans="1:39" ht="30" customHeight="1">
      <c r="A5" s="212" t="s">
        <v>534</v>
      </c>
      <c r="B5" s="212" t="s">
        <v>535</v>
      </c>
      <c r="C5" s="213">
        <v>1</v>
      </c>
      <c r="D5" s="219" t="s">
        <v>5879</v>
      </c>
      <c r="E5" s="220" t="s">
        <v>5879</v>
      </c>
      <c r="F5" s="220" t="s">
        <v>5881</v>
      </c>
      <c r="G5" s="220" t="s">
        <v>5885</v>
      </c>
      <c r="H5" s="220" t="s">
        <v>5879</v>
      </c>
      <c r="I5" s="222" t="s">
        <v>5878</v>
      </c>
      <c r="J5" s="220" t="s">
        <v>5879</v>
      </c>
      <c r="K5" s="220" t="s">
        <v>5881</v>
      </c>
      <c r="L5" s="220" t="s">
        <v>5886</v>
      </c>
      <c r="M5" s="220" t="s">
        <v>5882</v>
      </c>
      <c r="N5" s="220" t="s">
        <v>5882</v>
      </c>
      <c r="O5" s="220" t="s">
        <v>5883</v>
      </c>
      <c r="P5" s="220" t="s">
        <v>5882</v>
      </c>
      <c r="Q5" s="220" t="s">
        <v>5882</v>
      </c>
      <c r="R5" s="220" t="s">
        <v>5885</v>
      </c>
      <c r="S5" s="220" t="s">
        <v>5882</v>
      </c>
      <c r="T5" s="216" t="s">
        <v>5885</v>
      </c>
      <c r="U5" s="220" t="s">
        <v>5882</v>
      </c>
      <c r="V5" s="220" t="s">
        <v>5882</v>
      </c>
      <c r="W5" s="220" t="s">
        <v>5882</v>
      </c>
      <c r="X5" s="220" t="s">
        <v>5885</v>
      </c>
      <c r="Y5" s="220" t="s">
        <v>5882</v>
      </c>
      <c r="Z5" s="220" t="s">
        <v>5885</v>
      </c>
      <c r="AA5" s="220" t="s">
        <v>5879</v>
      </c>
      <c r="AB5" s="220" t="s">
        <v>5885</v>
      </c>
      <c r="AC5" s="220" t="s">
        <v>5885</v>
      </c>
      <c r="AD5" s="220" t="s">
        <v>5882</v>
      </c>
      <c r="AE5" s="220" t="s">
        <v>5879</v>
      </c>
      <c r="AF5" s="220" t="s">
        <v>5881</v>
      </c>
      <c r="AG5" s="220" t="s">
        <v>5885</v>
      </c>
      <c r="AH5" s="220" t="s">
        <v>5885</v>
      </c>
      <c r="AI5" s="222" t="s">
        <v>5879</v>
      </c>
      <c r="AJ5" s="218"/>
      <c r="AK5" s="218"/>
      <c r="AL5" s="218"/>
      <c r="AM5" s="218"/>
    </row>
    <row r="6" spans="1:39" ht="30" customHeight="1">
      <c r="A6" s="212" t="s">
        <v>610</v>
      </c>
      <c r="B6" s="212" t="s">
        <v>611</v>
      </c>
      <c r="C6" s="213">
        <v>1</v>
      </c>
      <c r="D6" s="219" t="s">
        <v>5879</v>
      </c>
      <c r="E6" s="220" t="s">
        <v>5879</v>
      </c>
      <c r="F6" s="220" t="s">
        <v>5879</v>
      </c>
      <c r="G6" s="220" t="s">
        <v>5885</v>
      </c>
      <c r="H6" s="220" t="s">
        <v>5879</v>
      </c>
      <c r="I6" s="220" t="s">
        <v>5879</v>
      </c>
      <c r="J6" s="220" t="s">
        <v>5878</v>
      </c>
      <c r="K6" s="220" t="s">
        <v>5881</v>
      </c>
      <c r="L6" s="220" t="s">
        <v>5882</v>
      </c>
      <c r="M6" s="220" t="s">
        <v>5882</v>
      </c>
      <c r="N6" s="220" t="s">
        <v>5882</v>
      </c>
      <c r="O6" s="220" t="s">
        <v>5883</v>
      </c>
      <c r="P6" s="220" t="s">
        <v>5882</v>
      </c>
      <c r="Q6" s="220" t="s">
        <v>5882</v>
      </c>
      <c r="R6" s="220" t="s">
        <v>5885</v>
      </c>
      <c r="S6" s="220" t="s">
        <v>5882</v>
      </c>
      <c r="T6" s="216" t="s">
        <v>5885</v>
      </c>
      <c r="U6" s="220" t="s">
        <v>5882</v>
      </c>
      <c r="V6" s="220" t="s">
        <v>5882</v>
      </c>
      <c r="W6" s="220" t="s">
        <v>5882</v>
      </c>
      <c r="X6" s="220" t="s">
        <v>5885</v>
      </c>
      <c r="Y6" s="220" t="s">
        <v>5882</v>
      </c>
      <c r="Z6" s="220" t="s">
        <v>5885</v>
      </c>
      <c r="AA6" s="220" t="s">
        <v>5879</v>
      </c>
      <c r="AB6" s="220" t="s">
        <v>5885</v>
      </c>
      <c r="AC6" s="220" t="s">
        <v>5885</v>
      </c>
      <c r="AD6" s="220" t="s">
        <v>5882</v>
      </c>
      <c r="AE6" s="220" t="s">
        <v>5879</v>
      </c>
      <c r="AF6" s="220" t="s">
        <v>5881</v>
      </c>
      <c r="AG6" s="220" t="s">
        <v>5885</v>
      </c>
      <c r="AH6" s="220" t="s">
        <v>5885</v>
      </c>
      <c r="AI6" s="220" t="s">
        <v>5879</v>
      </c>
      <c r="AJ6" s="218"/>
      <c r="AK6" s="218"/>
      <c r="AL6" s="218"/>
      <c r="AM6" s="218"/>
    </row>
    <row r="7" spans="1:39" ht="30" customHeight="1">
      <c r="A7" s="212" t="s">
        <v>814</v>
      </c>
      <c r="B7" s="212" t="s">
        <v>815</v>
      </c>
      <c r="C7" s="213">
        <v>4</v>
      </c>
      <c r="D7" s="219" t="s">
        <v>5879</v>
      </c>
      <c r="E7" s="220" t="s">
        <v>5879</v>
      </c>
      <c r="F7" s="220" t="s">
        <v>5879</v>
      </c>
      <c r="G7" s="223" t="s">
        <v>5883</v>
      </c>
      <c r="H7" s="220" t="s">
        <v>5879</v>
      </c>
      <c r="I7" s="223" t="s">
        <v>5882</v>
      </c>
      <c r="J7" s="223" t="s">
        <v>5879</v>
      </c>
      <c r="K7" s="220" t="s">
        <v>5878</v>
      </c>
      <c r="L7" s="220" t="s">
        <v>5882</v>
      </c>
      <c r="M7" s="220" t="s">
        <v>5882</v>
      </c>
      <c r="N7" s="223" t="s">
        <v>5882</v>
      </c>
      <c r="O7" s="220" t="s">
        <v>5882</v>
      </c>
      <c r="P7" s="223" t="s">
        <v>5882</v>
      </c>
      <c r="Q7" s="220" t="s">
        <v>5882</v>
      </c>
      <c r="R7" s="220" t="s">
        <v>5885</v>
      </c>
      <c r="S7" s="220" t="s">
        <v>5882</v>
      </c>
      <c r="T7" s="216" t="s">
        <v>5885</v>
      </c>
      <c r="U7" s="220" t="s">
        <v>5888</v>
      </c>
      <c r="V7" s="220" t="s">
        <v>5885</v>
      </c>
      <c r="W7" s="220" t="s">
        <v>5882</v>
      </c>
      <c r="X7" s="220" t="s">
        <v>5885</v>
      </c>
      <c r="Y7" s="220" t="s">
        <v>5882</v>
      </c>
      <c r="Z7" s="220" t="s">
        <v>5885</v>
      </c>
      <c r="AA7" s="220" t="s">
        <v>5879</v>
      </c>
      <c r="AB7" s="220" t="s">
        <v>5885</v>
      </c>
      <c r="AC7" s="220" t="s">
        <v>5882</v>
      </c>
      <c r="AD7" s="220" t="s">
        <v>5882</v>
      </c>
      <c r="AE7" s="220" t="s">
        <v>5879</v>
      </c>
      <c r="AF7" s="220" t="s">
        <v>5885</v>
      </c>
      <c r="AG7" s="220" t="s">
        <v>5885</v>
      </c>
      <c r="AH7" s="220" t="s">
        <v>5885</v>
      </c>
      <c r="AI7" s="220" t="s">
        <v>5879</v>
      </c>
      <c r="AJ7" s="218"/>
      <c r="AK7" s="218"/>
      <c r="AL7" s="218"/>
      <c r="AM7" s="218"/>
    </row>
    <row r="8" spans="1:39" ht="30" customHeight="1">
      <c r="A8" s="212" t="s">
        <v>866</v>
      </c>
      <c r="B8" s="212" t="s">
        <v>867</v>
      </c>
      <c r="C8" s="213">
        <v>8</v>
      </c>
      <c r="D8" s="219" t="s">
        <v>5880</v>
      </c>
      <c r="E8" s="220" t="s">
        <v>5880</v>
      </c>
      <c r="F8" s="220" t="s">
        <v>5880</v>
      </c>
      <c r="G8" s="223" t="s">
        <v>5885</v>
      </c>
      <c r="H8" s="223" t="s">
        <v>5879</v>
      </c>
      <c r="I8" s="223" t="s">
        <v>5885</v>
      </c>
      <c r="J8" s="223" t="s">
        <v>5883</v>
      </c>
      <c r="K8" s="223" t="s">
        <v>5883</v>
      </c>
      <c r="L8" s="222" t="s">
        <v>5878</v>
      </c>
      <c r="M8" s="223" t="s">
        <v>5882</v>
      </c>
      <c r="N8" s="223" t="s">
        <v>5882</v>
      </c>
      <c r="O8" s="220" t="s">
        <v>5888</v>
      </c>
      <c r="P8" s="220" t="s">
        <v>5882</v>
      </c>
      <c r="Q8" s="223" t="s">
        <v>5882</v>
      </c>
      <c r="R8" s="223" t="s">
        <v>5882</v>
      </c>
      <c r="S8" s="223" t="s">
        <v>5888</v>
      </c>
      <c r="T8" s="223" t="s">
        <v>5888</v>
      </c>
      <c r="U8" s="223" t="s">
        <v>5883</v>
      </c>
      <c r="V8" s="223" t="s">
        <v>5888</v>
      </c>
      <c r="W8" s="223" t="s">
        <v>5888</v>
      </c>
      <c r="X8" s="223" t="s">
        <v>5883</v>
      </c>
      <c r="Y8" s="223" t="s">
        <v>5887</v>
      </c>
      <c r="Z8" s="223" t="s">
        <v>5887</v>
      </c>
      <c r="AA8" s="220" t="s">
        <v>5879</v>
      </c>
      <c r="AB8" s="223" t="s">
        <v>5885</v>
      </c>
      <c r="AC8" s="223" t="s">
        <v>5888</v>
      </c>
      <c r="AD8" s="220" t="s">
        <v>5882</v>
      </c>
      <c r="AE8" s="220" t="s">
        <v>5879</v>
      </c>
      <c r="AF8" s="220" t="s">
        <v>5887</v>
      </c>
      <c r="AG8" s="220" t="s">
        <v>5887</v>
      </c>
      <c r="AH8" s="220" t="s">
        <v>5887</v>
      </c>
      <c r="AI8" s="220" t="s">
        <v>5879</v>
      </c>
      <c r="AJ8" s="218"/>
      <c r="AK8" s="218"/>
      <c r="AL8" s="218"/>
      <c r="AM8" s="218"/>
    </row>
    <row r="9" spans="1:39" ht="30" customHeight="1">
      <c r="A9" s="212" t="s">
        <v>934</v>
      </c>
      <c r="B9" s="212" t="s">
        <v>935</v>
      </c>
      <c r="C9" s="213">
        <v>3</v>
      </c>
      <c r="D9" s="219" t="s">
        <v>5879</v>
      </c>
      <c r="E9" s="220" t="s">
        <v>5879</v>
      </c>
      <c r="F9" s="220" t="s">
        <v>5879</v>
      </c>
      <c r="G9" s="223" t="s">
        <v>5882</v>
      </c>
      <c r="H9" s="220" t="s">
        <v>5879</v>
      </c>
      <c r="I9" s="223" t="s">
        <v>5882</v>
      </c>
      <c r="J9" s="223" t="s">
        <v>5887</v>
      </c>
      <c r="K9" s="223" t="s">
        <v>5888</v>
      </c>
      <c r="L9" s="223" t="s">
        <v>5889</v>
      </c>
      <c r="M9" s="222" t="s">
        <v>5878</v>
      </c>
      <c r="N9" s="220" t="s">
        <v>5889</v>
      </c>
      <c r="O9" s="220" t="s">
        <v>5883</v>
      </c>
      <c r="P9" s="220" t="s">
        <v>5888</v>
      </c>
      <c r="Q9" s="220" t="s">
        <v>5888</v>
      </c>
      <c r="R9" s="220" t="s">
        <v>5888</v>
      </c>
      <c r="S9" s="220" t="s">
        <v>5888</v>
      </c>
      <c r="T9" s="220" t="s">
        <v>5882</v>
      </c>
      <c r="U9" s="220" t="s">
        <v>5880</v>
      </c>
      <c r="V9" s="223" t="s">
        <v>5887</v>
      </c>
      <c r="W9" s="223" t="s">
        <v>5887</v>
      </c>
      <c r="X9" s="223" t="s">
        <v>5887</v>
      </c>
      <c r="Y9" s="223" t="s">
        <v>5883</v>
      </c>
      <c r="Z9" s="223" t="s">
        <v>5887</v>
      </c>
      <c r="AA9" s="220" t="s">
        <v>5879</v>
      </c>
      <c r="AB9" s="220" t="s">
        <v>5885</v>
      </c>
      <c r="AC9" s="220" t="s">
        <v>5887</v>
      </c>
      <c r="AD9" s="220" t="s">
        <v>5888</v>
      </c>
      <c r="AE9" s="220" t="s">
        <v>5879</v>
      </c>
      <c r="AF9" s="220" t="s">
        <v>5887</v>
      </c>
      <c r="AG9" s="220" t="s">
        <v>5887</v>
      </c>
      <c r="AH9" s="220" t="s">
        <v>5887</v>
      </c>
      <c r="AI9" s="220" t="s">
        <v>5879</v>
      </c>
      <c r="AJ9" s="218"/>
      <c r="AK9" s="218"/>
      <c r="AL9" s="218"/>
      <c r="AM9" s="218"/>
    </row>
    <row r="10" spans="1:39" ht="30" customHeight="1">
      <c r="A10" s="212" t="s">
        <v>954</v>
      </c>
      <c r="B10" s="212" t="s">
        <v>955</v>
      </c>
      <c r="C10" s="213">
        <v>6</v>
      </c>
      <c r="D10" s="219" t="s">
        <v>5879</v>
      </c>
      <c r="E10" s="220" t="s">
        <v>5883</v>
      </c>
      <c r="F10" s="220" t="s">
        <v>5888</v>
      </c>
      <c r="G10" s="223" t="s">
        <v>5882</v>
      </c>
      <c r="H10" s="223" t="s">
        <v>5879</v>
      </c>
      <c r="I10" s="223" t="s">
        <v>5885</v>
      </c>
      <c r="J10" s="223" t="s">
        <v>5887</v>
      </c>
      <c r="K10" s="223" t="s">
        <v>5882</v>
      </c>
      <c r="L10" s="223" t="s">
        <v>5882</v>
      </c>
      <c r="M10" s="223" t="s">
        <v>5887</v>
      </c>
      <c r="N10" s="222" t="s">
        <v>5878</v>
      </c>
      <c r="O10" s="220" t="s">
        <v>5882</v>
      </c>
      <c r="P10" s="220" t="s">
        <v>5882</v>
      </c>
      <c r="Q10" s="223" t="s">
        <v>5888</v>
      </c>
      <c r="R10" s="220" t="s">
        <v>5882</v>
      </c>
      <c r="S10" s="223" t="s">
        <v>5882</v>
      </c>
      <c r="T10" s="220" t="s">
        <v>5882</v>
      </c>
      <c r="U10" s="220" t="s">
        <v>5882</v>
      </c>
      <c r="V10" s="223" t="s">
        <v>5882</v>
      </c>
      <c r="W10" s="223" t="s">
        <v>5882</v>
      </c>
      <c r="X10" s="223" t="s">
        <v>5882</v>
      </c>
      <c r="Y10" s="223" t="s">
        <v>5883</v>
      </c>
      <c r="Z10" s="223" t="s">
        <v>5885</v>
      </c>
      <c r="AA10" s="220" t="s">
        <v>5879</v>
      </c>
      <c r="AB10" s="223" t="s">
        <v>5885</v>
      </c>
      <c r="AC10" s="223" t="s">
        <v>5882</v>
      </c>
      <c r="AD10" s="223" t="s">
        <v>5882</v>
      </c>
      <c r="AE10" s="220" t="s">
        <v>5879</v>
      </c>
      <c r="AF10" s="223" t="s">
        <v>5887</v>
      </c>
      <c r="AG10" s="223" t="s">
        <v>5882</v>
      </c>
      <c r="AH10" s="223" t="s">
        <v>5887</v>
      </c>
      <c r="AI10" s="220" t="s">
        <v>5879</v>
      </c>
      <c r="AJ10" s="218"/>
      <c r="AK10" s="218"/>
      <c r="AL10" s="218"/>
      <c r="AM10" s="218"/>
    </row>
    <row r="11" spans="1:39" ht="30" customHeight="1">
      <c r="A11" s="212" t="s">
        <v>1046</v>
      </c>
      <c r="B11" s="212" t="s">
        <v>1047</v>
      </c>
      <c r="C11" s="213">
        <v>15</v>
      </c>
      <c r="D11" s="224" t="s">
        <v>5879</v>
      </c>
      <c r="E11" s="220" t="s">
        <v>5879</v>
      </c>
      <c r="F11" s="220" t="s">
        <v>5879</v>
      </c>
      <c r="G11" s="223" t="s">
        <v>5883</v>
      </c>
      <c r="H11" s="220" t="s">
        <v>5879</v>
      </c>
      <c r="I11" s="223" t="s">
        <v>5885</v>
      </c>
      <c r="J11" s="223" t="s">
        <v>5887</v>
      </c>
      <c r="K11" s="223" t="s">
        <v>5882</v>
      </c>
      <c r="L11" s="220" t="s">
        <v>5887</v>
      </c>
      <c r="M11" s="223" t="s">
        <v>5888</v>
      </c>
      <c r="N11" s="223" t="s">
        <v>5882</v>
      </c>
      <c r="O11" s="222" t="s">
        <v>5878</v>
      </c>
      <c r="P11" s="223" t="s">
        <v>5883</v>
      </c>
      <c r="Q11" s="223" t="s">
        <v>5882</v>
      </c>
      <c r="R11" s="220" t="s">
        <v>5888</v>
      </c>
      <c r="S11" s="223" t="s">
        <v>5888</v>
      </c>
      <c r="T11" s="220" t="s">
        <v>5888</v>
      </c>
      <c r="U11" s="220" t="s">
        <v>5888</v>
      </c>
      <c r="V11" s="223" t="s">
        <v>5887</v>
      </c>
      <c r="W11" s="223" t="s">
        <v>5887</v>
      </c>
      <c r="X11" s="223" t="s">
        <v>5887</v>
      </c>
      <c r="Y11" s="223" t="s">
        <v>5879</v>
      </c>
      <c r="Z11" s="223" t="s">
        <v>5885</v>
      </c>
      <c r="AA11" s="220" t="s">
        <v>5879</v>
      </c>
      <c r="AB11" s="223" t="s">
        <v>5887</v>
      </c>
      <c r="AC11" s="223" t="s">
        <v>5888</v>
      </c>
      <c r="AD11" s="223" t="s">
        <v>5883</v>
      </c>
      <c r="AE11" s="220" t="s">
        <v>5879</v>
      </c>
      <c r="AF11" s="223" t="s">
        <v>5883</v>
      </c>
      <c r="AG11" s="223" t="s">
        <v>5883</v>
      </c>
      <c r="AH11" s="223" t="s">
        <v>5883</v>
      </c>
      <c r="AI11" s="220" t="s">
        <v>5879</v>
      </c>
      <c r="AJ11" s="218"/>
      <c r="AK11" s="218"/>
      <c r="AL11" s="218"/>
      <c r="AM11" s="218"/>
    </row>
    <row r="12" spans="1:39" ht="30" customHeight="1">
      <c r="A12" s="212" t="s">
        <v>4197</v>
      </c>
      <c r="B12" s="212" t="s">
        <v>4</v>
      </c>
      <c r="C12" s="213">
        <v>10</v>
      </c>
      <c r="D12" s="224" t="s">
        <v>5880</v>
      </c>
      <c r="E12" s="222" t="s">
        <v>5878</v>
      </c>
      <c r="F12" s="220" t="s">
        <v>5880</v>
      </c>
      <c r="G12" s="223" t="s">
        <v>5880</v>
      </c>
      <c r="H12" s="223" t="s">
        <v>5883</v>
      </c>
      <c r="I12" s="223" t="s">
        <v>5879</v>
      </c>
      <c r="J12" s="223" t="s">
        <v>5883</v>
      </c>
      <c r="K12" s="223" t="s">
        <v>5879</v>
      </c>
      <c r="L12" s="223" t="s">
        <v>5879</v>
      </c>
      <c r="M12" s="223" t="s">
        <v>5879</v>
      </c>
      <c r="N12" s="223" t="s">
        <v>5882</v>
      </c>
      <c r="O12" s="223" t="s">
        <v>5879</v>
      </c>
      <c r="P12" s="223" t="s">
        <v>5883</v>
      </c>
      <c r="Q12" s="223" t="s">
        <v>5883</v>
      </c>
      <c r="R12" s="223" t="s">
        <v>5880</v>
      </c>
      <c r="S12" s="223" t="s">
        <v>5879</v>
      </c>
      <c r="T12" s="223" t="s">
        <v>5888</v>
      </c>
      <c r="U12" s="223" t="s">
        <v>5879</v>
      </c>
      <c r="V12" s="223" t="s">
        <v>5879</v>
      </c>
      <c r="W12" s="223" t="s">
        <v>5879</v>
      </c>
      <c r="X12" s="223" t="s">
        <v>5879</v>
      </c>
      <c r="Y12" s="223" t="s">
        <v>5883</v>
      </c>
      <c r="Z12" s="223" t="s">
        <v>5879</v>
      </c>
      <c r="AA12" s="223" t="s">
        <v>5879</v>
      </c>
      <c r="AB12" s="223" t="s">
        <v>5879</v>
      </c>
      <c r="AC12" s="223" t="s">
        <v>5889</v>
      </c>
      <c r="AD12" s="223" t="s">
        <v>5883</v>
      </c>
      <c r="AE12" s="223" t="s">
        <v>5879</v>
      </c>
      <c r="AF12" s="223" t="s">
        <v>5879</v>
      </c>
      <c r="AG12" s="223" t="s">
        <v>5880</v>
      </c>
      <c r="AH12" s="223" t="s">
        <v>5879</v>
      </c>
      <c r="AI12" s="223" t="s">
        <v>5879</v>
      </c>
      <c r="AJ12" s="218"/>
      <c r="AK12" s="218"/>
      <c r="AL12" s="218"/>
      <c r="AM12" s="218"/>
    </row>
    <row r="13" spans="1:39" ht="30" customHeight="1">
      <c r="A13" s="212" t="s">
        <v>1066</v>
      </c>
      <c r="B13" s="212" t="s">
        <v>1067</v>
      </c>
      <c r="C13" s="213">
        <v>9</v>
      </c>
      <c r="D13" s="219" t="s">
        <v>5879</v>
      </c>
      <c r="E13" s="220" t="s">
        <v>5879</v>
      </c>
      <c r="F13" s="220" t="s">
        <v>5887</v>
      </c>
      <c r="G13" s="223" t="s">
        <v>5879</v>
      </c>
      <c r="H13" s="223" t="s">
        <v>5879</v>
      </c>
      <c r="I13" s="223" t="s">
        <v>5886</v>
      </c>
      <c r="J13" s="223" t="s">
        <v>5883</v>
      </c>
      <c r="K13" s="223" t="s">
        <v>5879</v>
      </c>
      <c r="L13" s="223" t="s">
        <v>5879</v>
      </c>
      <c r="M13" s="220" t="s">
        <v>5879</v>
      </c>
      <c r="N13" s="223" t="s">
        <v>5882</v>
      </c>
      <c r="O13" s="220" t="s">
        <v>5882</v>
      </c>
      <c r="P13" s="222" t="s">
        <v>5878</v>
      </c>
      <c r="Q13" s="223" t="s">
        <v>5883</v>
      </c>
      <c r="R13" s="223" t="s">
        <v>5880</v>
      </c>
      <c r="S13" s="220" t="s">
        <v>5885</v>
      </c>
      <c r="T13" s="220" t="s">
        <v>5879</v>
      </c>
      <c r="U13" s="220" t="s">
        <v>5883</v>
      </c>
      <c r="V13" s="223" t="s">
        <v>5887</v>
      </c>
      <c r="W13" s="223" t="s">
        <v>5883</v>
      </c>
      <c r="X13" s="223" t="s">
        <v>5883</v>
      </c>
      <c r="Y13" s="223" t="s">
        <v>5887</v>
      </c>
      <c r="Z13" s="223" t="s">
        <v>5883</v>
      </c>
      <c r="AA13" s="220" t="s">
        <v>5889</v>
      </c>
      <c r="AB13" s="220" t="s">
        <v>5883</v>
      </c>
      <c r="AC13" s="220" t="s">
        <v>5881</v>
      </c>
      <c r="AD13" s="220" t="s">
        <v>5883</v>
      </c>
      <c r="AE13" s="220" t="s">
        <v>5879</v>
      </c>
      <c r="AF13" s="220" t="s">
        <v>5883</v>
      </c>
      <c r="AG13" s="220" t="s">
        <v>5883</v>
      </c>
      <c r="AH13" s="220" t="s">
        <v>5879</v>
      </c>
      <c r="AI13" s="220" t="s">
        <v>5879</v>
      </c>
      <c r="AJ13" s="218"/>
      <c r="AK13" s="218"/>
      <c r="AL13" s="218"/>
      <c r="AM13" s="218"/>
    </row>
    <row r="14" spans="1:39" ht="30" customHeight="1">
      <c r="A14" s="212" t="s">
        <v>174</v>
      </c>
      <c r="B14" s="212" t="s">
        <v>175</v>
      </c>
      <c r="C14" s="213">
        <v>11</v>
      </c>
      <c r="D14" s="224" t="s">
        <v>5879</v>
      </c>
      <c r="E14" s="223" t="s">
        <v>5888</v>
      </c>
      <c r="F14" s="222" t="s">
        <v>5878</v>
      </c>
      <c r="G14" s="223" t="s">
        <v>5883</v>
      </c>
      <c r="H14" s="223" t="s">
        <v>5879</v>
      </c>
      <c r="I14" s="223" t="s">
        <v>5880</v>
      </c>
      <c r="J14" s="223" t="s">
        <v>5883</v>
      </c>
      <c r="K14" s="223" t="s">
        <v>5887</v>
      </c>
      <c r="L14" s="223" t="s">
        <v>5879</v>
      </c>
      <c r="M14" s="223" t="s">
        <v>5879</v>
      </c>
      <c r="N14" s="223" t="s">
        <v>5879</v>
      </c>
      <c r="O14" s="220" t="s">
        <v>5882</v>
      </c>
      <c r="P14" s="220" t="s">
        <v>5888</v>
      </c>
      <c r="Q14" s="220" t="s">
        <v>5883</v>
      </c>
      <c r="R14" s="223" t="s">
        <v>5880</v>
      </c>
      <c r="S14" s="220" t="s">
        <v>5883</v>
      </c>
      <c r="T14" s="220" t="s">
        <v>5879</v>
      </c>
      <c r="U14" s="220" t="s">
        <v>5883</v>
      </c>
      <c r="V14" s="223" t="s">
        <v>5887</v>
      </c>
      <c r="W14" s="223" t="s">
        <v>5883</v>
      </c>
      <c r="X14" s="223" t="s">
        <v>5879</v>
      </c>
      <c r="Y14" s="223" t="s">
        <v>5883</v>
      </c>
      <c r="Z14" s="223" t="s">
        <v>5879</v>
      </c>
      <c r="AA14" s="220" t="s">
        <v>5889</v>
      </c>
      <c r="AB14" s="220" t="s">
        <v>5883</v>
      </c>
      <c r="AC14" s="220" t="s">
        <v>5887</v>
      </c>
      <c r="AD14" s="223" t="s">
        <v>5879</v>
      </c>
      <c r="AE14" s="220" t="s">
        <v>5879</v>
      </c>
      <c r="AF14" s="220" t="s">
        <v>5883</v>
      </c>
      <c r="AG14" s="223" t="s">
        <v>5887</v>
      </c>
      <c r="AH14" s="223" t="s">
        <v>5879</v>
      </c>
      <c r="AI14" s="220" t="s">
        <v>5879</v>
      </c>
      <c r="AJ14" s="218"/>
      <c r="AK14" s="218"/>
      <c r="AL14" s="218"/>
      <c r="AM14" s="218"/>
    </row>
    <row r="15" spans="1:39" ht="30" customHeight="1">
      <c r="A15" s="212" t="s">
        <v>1086</v>
      </c>
      <c r="B15" s="212" t="s">
        <v>1087</v>
      </c>
      <c r="C15" s="213">
        <v>8</v>
      </c>
      <c r="D15" s="224" t="s">
        <v>5883</v>
      </c>
      <c r="E15" s="223" t="s">
        <v>5883</v>
      </c>
      <c r="F15" s="223" t="s">
        <v>5885</v>
      </c>
      <c r="G15" s="223" t="s">
        <v>5883</v>
      </c>
      <c r="H15" s="223" t="s">
        <v>5880</v>
      </c>
      <c r="I15" s="223" t="s">
        <v>5888</v>
      </c>
      <c r="J15" s="223" t="s">
        <v>5883</v>
      </c>
      <c r="K15" s="223" t="s">
        <v>5882</v>
      </c>
      <c r="L15" s="223" t="s">
        <v>5879</v>
      </c>
      <c r="M15" s="220" t="s">
        <v>5879</v>
      </c>
      <c r="N15" s="220" t="s">
        <v>5882</v>
      </c>
      <c r="O15" s="223" t="s">
        <v>5882</v>
      </c>
      <c r="P15" s="223" t="s">
        <v>5879</v>
      </c>
      <c r="Q15" s="222" t="s">
        <v>5878</v>
      </c>
      <c r="R15" s="223" t="s">
        <v>5879</v>
      </c>
      <c r="S15" s="223" t="s">
        <v>5883</v>
      </c>
      <c r="T15" s="223" t="s">
        <v>5889</v>
      </c>
      <c r="U15" s="223" t="s">
        <v>5887</v>
      </c>
      <c r="V15" s="223" t="s">
        <v>5887</v>
      </c>
      <c r="W15" s="223" t="s">
        <v>5883</v>
      </c>
      <c r="X15" s="223" t="s">
        <v>5883</v>
      </c>
      <c r="Y15" s="223" t="s">
        <v>5883</v>
      </c>
      <c r="Z15" s="223" t="s">
        <v>5883</v>
      </c>
      <c r="AA15" s="220" t="s">
        <v>5889</v>
      </c>
      <c r="AB15" s="220" t="s">
        <v>5883</v>
      </c>
      <c r="AC15" s="220" t="s">
        <v>5883</v>
      </c>
      <c r="AD15" s="220" t="s">
        <v>5883</v>
      </c>
      <c r="AE15" s="220" t="s">
        <v>5879</v>
      </c>
      <c r="AF15" s="220" t="s">
        <v>5883</v>
      </c>
      <c r="AG15" s="220" t="s">
        <v>5883</v>
      </c>
      <c r="AH15" s="220" t="s">
        <v>5879</v>
      </c>
      <c r="AI15" s="220" t="s">
        <v>5879</v>
      </c>
      <c r="AJ15" s="218"/>
      <c r="AK15" s="218"/>
      <c r="AL15" s="218"/>
      <c r="AM15" s="218"/>
    </row>
    <row r="16" spans="1:39" ht="30" customHeight="1">
      <c r="A16" s="212" t="s">
        <v>1378</v>
      </c>
      <c r="B16" s="212" t="s">
        <v>1379</v>
      </c>
      <c r="C16" s="213">
        <v>7</v>
      </c>
      <c r="D16" s="219" t="s">
        <v>5879</v>
      </c>
      <c r="E16" s="220" t="s">
        <v>5879</v>
      </c>
      <c r="F16" s="220" t="s">
        <v>5882</v>
      </c>
      <c r="G16" s="223" t="s">
        <v>5883</v>
      </c>
      <c r="H16" s="223" t="s">
        <v>5879</v>
      </c>
      <c r="I16" s="223" t="s">
        <v>5888</v>
      </c>
      <c r="J16" s="223" t="s">
        <v>5887</v>
      </c>
      <c r="K16" s="223" t="s">
        <v>5885</v>
      </c>
      <c r="L16" s="223" t="s">
        <v>5879</v>
      </c>
      <c r="M16" s="223" t="s">
        <v>5879</v>
      </c>
      <c r="N16" s="220" t="s">
        <v>5882</v>
      </c>
      <c r="O16" s="220" t="s">
        <v>5882</v>
      </c>
      <c r="P16" s="220" t="s">
        <v>5879</v>
      </c>
      <c r="Q16" s="220" t="s">
        <v>5883</v>
      </c>
      <c r="R16" s="222" t="s">
        <v>5878</v>
      </c>
      <c r="S16" s="220" t="s">
        <v>5883</v>
      </c>
      <c r="T16" s="220" t="s">
        <v>5883</v>
      </c>
      <c r="U16" s="220" t="s">
        <v>5883</v>
      </c>
      <c r="V16" s="223" t="s">
        <v>5887</v>
      </c>
      <c r="W16" s="223" t="s">
        <v>5883</v>
      </c>
      <c r="X16" s="220" t="s">
        <v>5883</v>
      </c>
      <c r="Y16" s="223" t="s">
        <v>5883</v>
      </c>
      <c r="Z16" s="223" t="s">
        <v>5883</v>
      </c>
      <c r="AA16" s="220" t="s">
        <v>5889</v>
      </c>
      <c r="AB16" s="220" t="s">
        <v>5883</v>
      </c>
      <c r="AC16" s="220" t="s">
        <v>5883</v>
      </c>
      <c r="AD16" s="220" t="s">
        <v>5883</v>
      </c>
      <c r="AE16" s="220" t="s">
        <v>5879</v>
      </c>
      <c r="AF16" s="220" t="s">
        <v>5883</v>
      </c>
      <c r="AG16" s="220" t="s">
        <v>5883</v>
      </c>
      <c r="AH16" s="220" t="s">
        <v>5883</v>
      </c>
      <c r="AI16" s="220" t="s">
        <v>5879</v>
      </c>
      <c r="AJ16" s="218"/>
      <c r="AK16" s="218"/>
      <c r="AL16" s="218"/>
      <c r="AM16" s="218"/>
    </row>
    <row r="17" spans="1:39" ht="30" customHeight="1">
      <c r="A17" s="212" t="s">
        <v>1434</v>
      </c>
      <c r="B17" s="212" t="s">
        <v>1435</v>
      </c>
      <c r="C17" s="213">
        <v>8</v>
      </c>
      <c r="D17" s="219" t="s">
        <v>5879</v>
      </c>
      <c r="E17" s="220" t="s">
        <v>5879</v>
      </c>
      <c r="F17" s="220" t="s">
        <v>5888</v>
      </c>
      <c r="G17" s="223" t="s">
        <v>5882</v>
      </c>
      <c r="H17" s="223" t="s">
        <v>5879</v>
      </c>
      <c r="I17" s="223" t="s">
        <v>5882</v>
      </c>
      <c r="J17" s="223" t="s">
        <v>5887</v>
      </c>
      <c r="K17" s="223" t="s">
        <v>5882</v>
      </c>
      <c r="L17" s="223" t="s">
        <v>5883</v>
      </c>
      <c r="M17" s="223" t="s">
        <v>5883</v>
      </c>
      <c r="N17" s="220" t="s">
        <v>5882</v>
      </c>
      <c r="O17" s="220" t="s">
        <v>5879</v>
      </c>
      <c r="P17" s="220" t="s">
        <v>5879</v>
      </c>
      <c r="Q17" s="223" t="s">
        <v>5883</v>
      </c>
      <c r="R17" s="220" t="s">
        <v>5879</v>
      </c>
      <c r="S17" s="222" t="s">
        <v>5878</v>
      </c>
      <c r="T17" s="220" t="s">
        <v>5883</v>
      </c>
      <c r="U17" s="220" t="s">
        <v>5883</v>
      </c>
      <c r="V17" s="223" t="s">
        <v>5887</v>
      </c>
      <c r="W17" s="223" t="s">
        <v>5883</v>
      </c>
      <c r="X17" s="223" t="s">
        <v>5883</v>
      </c>
      <c r="Y17" s="223" t="s">
        <v>5879</v>
      </c>
      <c r="Z17" s="223" t="s">
        <v>5883</v>
      </c>
      <c r="AA17" s="220" t="s">
        <v>5889</v>
      </c>
      <c r="AB17" s="223" t="s">
        <v>5883</v>
      </c>
      <c r="AC17" s="223" t="s">
        <v>5883</v>
      </c>
      <c r="AD17" s="223" t="s">
        <v>5883</v>
      </c>
      <c r="AE17" s="223" t="s">
        <v>5879</v>
      </c>
      <c r="AF17" s="223" t="s">
        <v>5883</v>
      </c>
      <c r="AG17" s="223" t="s">
        <v>5883</v>
      </c>
      <c r="AH17" s="223" t="s">
        <v>5883</v>
      </c>
      <c r="AI17" s="223" t="s">
        <v>5879</v>
      </c>
      <c r="AJ17" s="218"/>
      <c r="AK17" s="218"/>
      <c r="AL17" s="218"/>
      <c r="AM17" s="218"/>
    </row>
    <row r="18" spans="1:39" ht="30" customHeight="1">
      <c r="A18" s="212" t="s">
        <v>1470</v>
      </c>
      <c r="B18" s="212" t="s">
        <v>1471</v>
      </c>
      <c r="C18" s="213">
        <v>13</v>
      </c>
      <c r="D18" s="224" t="s">
        <v>5879</v>
      </c>
      <c r="E18" s="220" t="s">
        <v>5879</v>
      </c>
      <c r="F18" s="220" t="s">
        <v>5888</v>
      </c>
      <c r="G18" s="223" t="s">
        <v>5883</v>
      </c>
      <c r="H18" s="223" t="s">
        <v>5879</v>
      </c>
      <c r="I18" s="223" t="s">
        <v>5882</v>
      </c>
      <c r="J18" s="223" t="s">
        <v>5887</v>
      </c>
      <c r="K18" s="223" t="s">
        <v>5885</v>
      </c>
      <c r="L18" s="223" t="s">
        <v>5883</v>
      </c>
      <c r="M18" s="223" t="s">
        <v>5883</v>
      </c>
      <c r="N18" s="223" t="s">
        <v>5882</v>
      </c>
      <c r="O18" s="223" t="s">
        <v>5879</v>
      </c>
      <c r="P18" s="223" t="s">
        <v>5883</v>
      </c>
      <c r="Q18" s="223" t="s">
        <v>5883</v>
      </c>
      <c r="R18" s="223" t="s">
        <v>5879</v>
      </c>
      <c r="S18" s="223" t="s">
        <v>5883</v>
      </c>
      <c r="T18" s="222" t="s">
        <v>5878</v>
      </c>
      <c r="U18" s="223" t="s">
        <v>5883</v>
      </c>
      <c r="V18" s="223" t="s">
        <v>5887</v>
      </c>
      <c r="W18" s="223" t="s">
        <v>5883</v>
      </c>
      <c r="X18" s="223" t="s">
        <v>5883</v>
      </c>
      <c r="Y18" s="223" t="s">
        <v>5879</v>
      </c>
      <c r="Z18" s="223" t="s">
        <v>5883</v>
      </c>
      <c r="AA18" s="223" t="s">
        <v>5879</v>
      </c>
      <c r="AB18" s="223" t="s">
        <v>5883</v>
      </c>
      <c r="AC18" s="223" t="s">
        <v>5883</v>
      </c>
      <c r="AD18" s="223" t="s">
        <v>5883</v>
      </c>
      <c r="AE18" s="223" t="s">
        <v>5879</v>
      </c>
      <c r="AF18" s="220" t="s">
        <v>5883</v>
      </c>
      <c r="AG18" s="223" t="s">
        <v>5883</v>
      </c>
      <c r="AH18" s="223" t="s">
        <v>5883</v>
      </c>
      <c r="AI18" s="220" t="s">
        <v>5879</v>
      </c>
      <c r="AJ18" s="218"/>
      <c r="AK18" s="218"/>
      <c r="AL18" s="218"/>
      <c r="AM18" s="218"/>
    </row>
    <row r="19" spans="1:39" ht="30" customHeight="1">
      <c r="A19" s="212" t="s">
        <v>1498</v>
      </c>
      <c r="B19" s="212" t="s">
        <v>1499</v>
      </c>
      <c r="C19" s="213">
        <v>13</v>
      </c>
      <c r="D19" s="224" t="s">
        <v>5879</v>
      </c>
      <c r="E19" s="220" t="s">
        <v>5879</v>
      </c>
      <c r="F19" s="220" t="s">
        <v>5879</v>
      </c>
      <c r="G19" s="223" t="s">
        <v>5883</v>
      </c>
      <c r="H19" s="223" t="s">
        <v>5879</v>
      </c>
      <c r="I19" s="223" t="s">
        <v>5882</v>
      </c>
      <c r="J19" s="223" t="s">
        <v>5887</v>
      </c>
      <c r="K19" s="223" t="s">
        <v>5885</v>
      </c>
      <c r="L19" s="223" t="s">
        <v>5883</v>
      </c>
      <c r="M19" s="223" t="s">
        <v>5883</v>
      </c>
      <c r="N19" s="223" t="s">
        <v>5882</v>
      </c>
      <c r="O19" s="223" t="s">
        <v>5883</v>
      </c>
      <c r="P19" s="223" t="s">
        <v>5887</v>
      </c>
      <c r="Q19" s="223" t="s">
        <v>5887</v>
      </c>
      <c r="R19" s="223" t="s">
        <v>5879</v>
      </c>
      <c r="S19" s="223" t="s">
        <v>5883</v>
      </c>
      <c r="T19" s="223" t="s">
        <v>5883</v>
      </c>
      <c r="U19" s="222" t="s">
        <v>5878</v>
      </c>
      <c r="V19" s="223" t="s">
        <v>5887</v>
      </c>
      <c r="W19" s="223" t="s">
        <v>5883</v>
      </c>
      <c r="X19" s="223" t="s">
        <v>5883</v>
      </c>
      <c r="Y19" s="223" t="s">
        <v>5879</v>
      </c>
      <c r="Z19" s="223" t="s">
        <v>5883</v>
      </c>
      <c r="AA19" s="223" t="s">
        <v>5889</v>
      </c>
      <c r="AB19" s="223" t="s">
        <v>5883</v>
      </c>
      <c r="AC19" s="223" t="s">
        <v>5883</v>
      </c>
      <c r="AD19" s="223" t="s">
        <v>5883</v>
      </c>
      <c r="AE19" s="223" t="s">
        <v>5879</v>
      </c>
      <c r="AF19" s="220" t="s">
        <v>5883</v>
      </c>
      <c r="AG19" s="223" t="s">
        <v>5883</v>
      </c>
      <c r="AH19" s="223" t="s">
        <v>5883</v>
      </c>
      <c r="AI19" s="220" t="s">
        <v>5879</v>
      </c>
      <c r="AJ19" s="218"/>
      <c r="AK19" s="218"/>
      <c r="AL19" s="218"/>
      <c r="AM19" s="218"/>
    </row>
    <row r="20" spans="1:39" ht="30" customHeight="1">
      <c r="A20" s="212" t="s">
        <v>1530</v>
      </c>
      <c r="B20" s="212" t="s">
        <v>1531</v>
      </c>
      <c r="C20" s="213">
        <v>4</v>
      </c>
      <c r="D20" s="219" t="s">
        <v>5887</v>
      </c>
      <c r="E20" s="220" t="s">
        <v>5883</v>
      </c>
      <c r="F20" s="220" t="s">
        <v>5888</v>
      </c>
      <c r="G20" s="223" t="s">
        <v>5883</v>
      </c>
      <c r="H20" s="220" t="s">
        <v>5879</v>
      </c>
      <c r="I20" s="223" t="s">
        <v>5882</v>
      </c>
      <c r="J20" s="223" t="s">
        <v>5882</v>
      </c>
      <c r="K20" s="220" t="s">
        <v>5882</v>
      </c>
      <c r="L20" s="220" t="s">
        <v>5883</v>
      </c>
      <c r="M20" s="220" t="s">
        <v>5879</v>
      </c>
      <c r="N20" s="220" t="s">
        <v>5882</v>
      </c>
      <c r="O20" s="220" t="s">
        <v>5883</v>
      </c>
      <c r="P20" s="220" t="s">
        <v>5883</v>
      </c>
      <c r="Q20" s="220" t="s">
        <v>5887</v>
      </c>
      <c r="R20" s="220" t="s">
        <v>5879</v>
      </c>
      <c r="S20" s="220" t="s">
        <v>5883</v>
      </c>
      <c r="T20" s="220" t="s">
        <v>5883</v>
      </c>
      <c r="U20" s="220" t="s">
        <v>5883</v>
      </c>
      <c r="V20" s="222" t="s">
        <v>5878</v>
      </c>
      <c r="W20" s="220" t="s">
        <v>5887</v>
      </c>
      <c r="X20" s="220" t="s">
        <v>5883</v>
      </c>
      <c r="Y20" s="220" t="s">
        <v>5887</v>
      </c>
      <c r="Z20" s="220" t="s">
        <v>5883</v>
      </c>
      <c r="AA20" s="220" t="s">
        <v>5879</v>
      </c>
      <c r="AB20" s="220" t="s">
        <v>5883</v>
      </c>
      <c r="AC20" s="220" t="s">
        <v>5883</v>
      </c>
      <c r="AD20" s="220" t="s">
        <v>5883</v>
      </c>
      <c r="AE20" s="220" t="s">
        <v>5879</v>
      </c>
      <c r="AF20" s="220" t="s">
        <v>5883</v>
      </c>
      <c r="AG20" s="220" t="s">
        <v>5883</v>
      </c>
      <c r="AH20" s="220" t="s">
        <v>5883</v>
      </c>
      <c r="AI20" s="220" t="s">
        <v>5879</v>
      </c>
      <c r="AJ20" s="218"/>
      <c r="AK20" s="218"/>
      <c r="AL20" s="218"/>
      <c r="AM20" s="218"/>
    </row>
    <row r="21" spans="1:39" ht="30" customHeight="1">
      <c r="A21" s="212" t="s">
        <v>1586</v>
      </c>
      <c r="B21" s="212" t="s">
        <v>1587</v>
      </c>
      <c r="C21" s="213">
        <v>5</v>
      </c>
      <c r="D21" s="224" t="s">
        <v>5879</v>
      </c>
      <c r="E21" s="220" t="s">
        <v>5879</v>
      </c>
      <c r="F21" s="220" t="s">
        <v>5879</v>
      </c>
      <c r="G21" s="220" t="s">
        <v>5887</v>
      </c>
      <c r="H21" s="223" t="s">
        <v>5879</v>
      </c>
      <c r="I21" s="223" t="s">
        <v>5882</v>
      </c>
      <c r="J21" s="223" t="s">
        <v>5882</v>
      </c>
      <c r="K21" s="220" t="s">
        <v>5882</v>
      </c>
      <c r="L21" s="220" t="s">
        <v>5883</v>
      </c>
      <c r="M21" s="220" t="s">
        <v>5887</v>
      </c>
      <c r="N21" s="220" t="s">
        <v>5882</v>
      </c>
      <c r="O21" s="220" t="s">
        <v>5883</v>
      </c>
      <c r="P21" s="220" t="s">
        <v>5883</v>
      </c>
      <c r="Q21" s="220" t="s">
        <v>5887</v>
      </c>
      <c r="R21" s="220" t="s">
        <v>5879</v>
      </c>
      <c r="S21" s="220" t="s">
        <v>5883</v>
      </c>
      <c r="T21" s="220" t="s">
        <v>5883</v>
      </c>
      <c r="U21" s="220" t="s">
        <v>5883</v>
      </c>
      <c r="V21" s="220" t="s">
        <v>5887</v>
      </c>
      <c r="W21" s="222" t="s">
        <v>5878</v>
      </c>
      <c r="X21" s="220" t="s">
        <v>5890</v>
      </c>
      <c r="Y21" s="220" t="s">
        <v>5887</v>
      </c>
      <c r="Z21" s="220" t="s">
        <v>5883</v>
      </c>
      <c r="AA21" s="220" t="s">
        <v>5879</v>
      </c>
      <c r="AB21" s="220" t="s">
        <v>5883</v>
      </c>
      <c r="AC21" s="220" t="s">
        <v>5883</v>
      </c>
      <c r="AD21" s="220" t="s">
        <v>5883</v>
      </c>
      <c r="AE21" s="220" t="s">
        <v>5879</v>
      </c>
      <c r="AF21" s="220" t="s">
        <v>5883</v>
      </c>
      <c r="AG21" s="220" t="s">
        <v>5883</v>
      </c>
      <c r="AH21" s="220" t="s">
        <v>5883</v>
      </c>
      <c r="AI21" s="220" t="s">
        <v>5879</v>
      </c>
      <c r="AJ21" s="218"/>
      <c r="AK21" s="218"/>
      <c r="AL21" s="218"/>
      <c r="AM21" s="218"/>
    </row>
    <row r="22" spans="1:39" ht="30" customHeight="1">
      <c r="A22" s="225" t="s">
        <v>1710</v>
      </c>
      <c r="B22" s="225" t="s">
        <v>1711</v>
      </c>
      <c r="C22" s="226">
        <v>7</v>
      </c>
      <c r="D22" s="219" t="s">
        <v>5879</v>
      </c>
      <c r="E22" s="220" t="s">
        <v>5879</v>
      </c>
      <c r="F22" s="220" t="s">
        <v>5879</v>
      </c>
      <c r="G22" s="223" t="s">
        <v>5879</v>
      </c>
      <c r="H22" s="223" t="s">
        <v>5879</v>
      </c>
      <c r="I22" s="223" t="s">
        <v>5882</v>
      </c>
      <c r="J22" s="223" t="s">
        <v>5882</v>
      </c>
      <c r="K22" s="223" t="s">
        <v>5885</v>
      </c>
      <c r="L22" s="223" t="s">
        <v>5883</v>
      </c>
      <c r="M22" s="223" t="s">
        <v>5879</v>
      </c>
      <c r="N22" s="220" t="s">
        <v>5882</v>
      </c>
      <c r="O22" s="220" t="s">
        <v>5883</v>
      </c>
      <c r="P22" s="223" t="s">
        <v>5883</v>
      </c>
      <c r="Q22" s="223" t="s">
        <v>5883</v>
      </c>
      <c r="R22" s="223" t="s">
        <v>5887</v>
      </c>
      <c r="S22" s="223" t="s">
        <v>5883</v>
      </c>
      <c r="T22" s="220" t="s">
        <v>5883</v>
      </c>
      <c r="U22" s="220" t="s">
        <v>5883</v>
      </c>
      <c r="V22" s="223" t="s">
        <v>5883</v>
      </c>
      <c r="W22" s="223" t="s">
        <v>5883</v>
      </c>
      <c r="X22" s="222" t="s">
        <v>5878</v>
      </c>
      <c r="Y22" s="223" t="s">
        <v>5889</v>
      </c>
      <c r="Z22" s="223" t="s">
        <v>5883</v>
      </c>
      <c r="AA22" s="220" t="s">
        <v>5879</v>
      </c>
      <c r="AB22" s="223" t="s">
        <v>5883</v>
      </c>
      <c r="AC22" s="223" t="s">
        <v>5883</v>
      </c>
      <c r="AD22" s="220" t="s">
        <v>5883</v>
      </c>
      <c r="AE22" s="220" t="s">
        <v>5879</v>
      </c>
      <c r="AF22" s="220" t="s">
        <v>5883</v>
      </c>
      <c r="AG22" s="220" t="s">
        <v>5883</v>
      </c>
      <c r="AH22" s="220" t="s">
        <v>5883</v>
      </c>
      <c r="AI22" s="220" t="s">
        <v>5879</v>
      </c>
      <c r="AJ22" s="218"/>
      <c r="AK22" s="218"/>
      <c r="AL22" s="218"/>
      <c r="AM22" s="218"/>
    </row>
    <row r="23" spans="1:39" ht="30" customHeight="1">
      <c r="A23" s="212" t="s">
        <v>1758</v>
      </c>
      <c r="B23" s="212" t="s">
        <v>1759</v>
      </c>
      <c r="C23" s="213">
        <v>6</v>
      </c>
      <c r="D23" s="219" t="s">
        <v>5879</v>
      </c>
      <c r="E23" s="220" t="s">
        <v>5879</v>
      </c>
      <c r="F23" s="220" t="s">
        <v>5879</v>
      </c>
      <c r="G23" s="223" t="s">
        <v>5889</v>
      </c>
      <c r="H23" s="220" t="s">
        <v>5889</v>
      </c>
      <c r="I23" s="223" t="s">
        <v>5882</v>
      </c>
      <c r="J23" s="223" t="s">
        <v>5885</v>
      </c>
      <c r="K23" s="220" t="s">
        <v>5885</v>
      </c>
      <c r="L23" s="220" t="s">
        <v>5883</v>
      </c>
      <c r="M23" s="220" t="s">
        <v>5879</v>
      </c>
      <c r="N23" s="220" t="s">
        <v>5882</v>
      </c>
      <c r="O23" s="220" t="s">
        <v>5883</v>
      </c>
      <c r="P23" s="220" t="s">
        <v>5883</v>
      </c>
      <c r="Q23" s="220" t="s">
        <v>5887</v>
      </c>
      <c r="R23" s="220" t="s">
        <v>5887</v>
      </c>
      <c r="S23" s="220" t="s">
        <v>5883</v>
      </c>
      <c r="T23" s="220" t="s">
        <v>5883</v>
      </c>
      <c r="U23" s="220" t="s">
        <v>5883</v>
      </c>
      <c r="V23" s="223" t="s">
        <v>5883</v>
      </c>
      <c r="W23" s="223" t="s">
        <v>5883</v>
      </c>
      <c r="X23" s="220" t="s">
        <v>5883</v>
      </c>
      <c r="Y23" s="222" t="s">
        <v>5878</v>
      </c>
      <c r="Z23" s="223" t="s">
        <v>5883</v>
      </c>
      <c r="AA23" s="220" t="s">
        <v>5879</v>
      </c>
      <c r="AB23" s="222" t="s">
        <v>5883</v>
      </c>
      <c r="AC23" s="222" t="s">
        <v>5883</v>
      </c>
      <c r="AD23" s="222" t="s">
        <v>5883</v>
      </c>
      <c r="AE23" s="222" t="s">
        <v>5879</v>
      </c>
      <c r="AF23" s="222" t="s">
        <v>5883</v>
      </c>
      <c r="AG23" s="222" t="s">
        <v>5883</v>
      </c>
      <c r="AH23" s="222" t="s">
        <v>5883</v>
      </c>
      <c r="AI23" s="222" t="s">
        <v>5879</v>
      </c>
      <c r="AJ23" s="218"/>
      <c r="AK23" s="218"/>
      <c r="AL23" s="218"/>
      <c r="AM23" s="218"/>
    </row>
    <row r="24" spans="1:39" ht="30" customHeight="1">
      <c r="A24" s="212" t="s">
        <v>1926</v>
      </c>
      <c r="B24" s="212" t="s">
        <v>1927</v>
      </c>
      <c r="C24" s="213">
        <v>6</v>
      </c>
      <c r="D24" s="224" t="s">
        <v>5890</v>
      </c>
      <c r="E24" s="220" t="s">
        <v>5890</v>
      </c>
      <c r="F24" s="220" t="s">
        <v>5890</v>
      </c>
      <c r="G24" s="220" t="s">
        <v>5879</v>
      </c>
      <c r="H24" s="220" t="s">
        <v>5883</v>
      </c>
      <c r="I24" s="223" t="s">
        <v>5882</v>
      </c>
      <c r="J24" s="223" t="s">
        <v>5880</v>
      </c>
      <c r="K24" s="220" t="s">
        <v>5887</v>
      </c>
      <c r="L24" s="220" t="s">
        <v>5883</v>
      </c>
      <c r="M24" s="220" t="s">
        <v>5883</v>
      </c>
      <c r="N24" s="220" t="s">
        <v>5882</v>
      </c>
      <c r="O24" s="220" t="s">
        <v>5883</v>
      </c>
      <c r="P24" s="220" t="s">
        <v>5883</v>
      </c>
      <c r="Q24" s="220" t="s">
        <v>5887</v>
      </c>
      <c r="R24" s="220" t="s">
        <v>5887</v>
      </c>
      <c r="S24" s="220" t="s">
        <v>5883</v>
      </c>
      <c r="T24" s="220" t="s">
        <v>5883</v>
      </c>
      <c r="U24" s="220" t="s">
        <v>5883</v>
      </c>
      <c r="V24" s="220" t="s">
        <v>5883</v>
      </c>
      <c r="W24" s="220" t="s">
        <v>5887</v>
      </c>
      <c r="X24" s="220" t="s">
        <v>5883</v>
      </c>
      <c r="Y24" s="220" t="s">
        <v>5887</v>
      </c>
      <c r="Z24" s="220" t="s">
        <v>5878</v>
      </c>
      <c r="AA24" s="220" t="s">
        <v>5879</v>
      </c>
      <c r="AB24" s="220" t="s">
        <v>5883</v>
      </c>
      <c r="AC24" s="220" t="s">
        <v>5883</v>
      </c>
      <c r="AD24" s="220" t="s">
        <v>5883</v>
      </c>
      <c r="AE24" s="220" t="s">
        <v>5879</v>
      </c>
      <c r="AF24" s="220" t="s">
        <v>5883</v>
      </c>
      <c r="AG24" s="220" t="s">
        <v>5883</v>
      </c>
      <c r="AH24" s="220" t="s">
        <v>5883</v>
      </c>
      <c r="AI24" s="220" t="s">
        <v>5879</v>
      </c>
      <c r="AJ24" s="218"/>
      <c r="AK24" s="218"/>
      <c r="AL24" s="218"/>
      <c r="AM24" s="218"/>
    </row>
    <row r="25" spans="1:39" ht="30" customHeight="1">
      <c r="A25" s="212" t="s">
        <v>1994</v>
      </c>
      <c r="B25" s="212" t="s">
        <v>1995</v>
      </c>
      <c r="C25" s="213">
        <v>12</v>
      </c>
      <c r="D25" s="227" t="s">
        <v>5879</v>
      </c>
      <c r="E25" s="228" t="s">
        <v>5880</v>
      </c>
      <c r="F25" s="228" t="s">
        <v>5880</v>
      </c>
      <c r="G25" s="228" t="s">
        <v>5879</v>
      </c>
      <c r="H25" s="228" t="s">
        <v>5880</v>
      </c>
      <c r="I25" s="228" t="s">
        <v>5882</v>
      </c>
      <c r="J25" s="228" t="s">
        <v>5885</v>
      </c>
      <c r="K25" s="228" t="s">
        <v>5880</v>
      </c>
      <c r="L25" s="228" t="s">
        <v>5879</v>
      </c>
      <c r="M25" s="228" t="s">
        <v>5883</v>
      </c>
      <c r="N25" s="228" t="s">
        <v>5883</v>
      </c>
      <c r="O25" s="228" t="s">
        <v>5879</v>
      </c>
      <c r="P25" s="228" t="s">
        <v>5879</v>
      </c>
      <c r="Q25" s="228" t="s">
        <v>5879</v>
      </c>
      <c r="R25" s="228" t="s">
        <v>5887</v>
      </c>
      <c r="S25" s="228" t="s">
        <v>5883</v>
      </c>
      <c r="T25" s="228" t="s">
        <v>5879</v>
      </c>
      <c r="U25" s="228" t="s">
        <v>5879</v>
      </c>
      <c r="V25" s="228" t="s">
        <v>5879</v>
      </c>
      <c r="W25" s="228" t="s">
        <v>5879</v>
      </c>
      <c r="X25" s="228" t="s">
        <v>5879</v>
      </c>
      <c r="Y25" s="228" t="s">
        <v>5883</v>
      </c>
      <c r="Z25" s="228" t="s">
        <v>5879</v>
      </c>
      <c r="AA25" s="222" t="s">
        <v>5878</v>
      </c>
      <c r="AB25" s="223" t="s">
        <v>5883</v>
      </c>
      <c r="AC25" s="223" t="s">
        <v>5883</v>
      </c>
      <c r="AD25" s="223" t="s">
        <v>5883</v>
      </c>
      <c r="AE25" s="220" t="s">
        <v>5879</v>
      </c>
      <c r="AF25" s="228" t="s">
        <v>5883</v>
      </c>
      <c r="AG25" s="228" t="s">
        <v>5879</v>
      </c>
      <c r="AH25" s="228" t="s">
        <v>5879</v>
      </c>
      <c r="AI25" s="220" t="s">
        <v>5879</v>
      </c>
      <c r="AJ25" s="218"/>
      <c r="AK25" s="218"/>
      <c r="AL25" s="218"/>
      <c r="AM25" s="218"/>
    </row>
    <row r="26" spans="1:39" ht="30" customHeight="1">
      <c r="A26" s="212" t="s">
        <v>2030</v>
      </c>
      <c r="B26" s="212" t="s">
        <v>2031</v>
      </c>
      <c r="C26" s="213">
        <v>14</v>
      </c>
      <c r="D26" s="227" t="s">
        <v>5879</v>
      </c>
      <c r="E26" s="223" t="s">
        <v>5879</v>
      </c>
      <c r="F26" s="223" t="s">
        <v>5879</v>
      </c>
      <c r="G26" s="223" t="s">
        <v>5883</v>
      </c>
      <c r="H26" s="223" t="s">
        <v>5879</v>
      </c>
      <c r="I26" s="223" t="s">
        <v>5885</v>
      </c>
      <c r="J26" s="224" t="s">
        <v>5885</v>
      </c>
      <c r="K26" s="223" t="s">
        <v>5885</v>
      </c>
      <c r="L26" s="223" t="s">
        <v>5883</v>
      </c>
      <c r="M26" s="223" t="s">
        <v>5883</v>
      </c>
      <c r="N26" s="223" t="s">
        <v>5885</v>
      </c>
      <c r="O26" s="223" t="s">
        <v>5883</v>
      </c>
      <c r="P26" s="223" t="s">
        <v>5888</v>
      </c>
      <c r="Q26" s="223" t="s">
        <v>5883</v>
      </c>
      <c r="R26" s="228" t="s">
        <v>5887</v>
      </c>
      <c r="S26" s="228" t="s">
        <v>5883</v>
      </c>
      <c r="T26" s="223" t="s">
        <v>5879</v>
      </c>
      <c r="U26" s="223" t="s">
        <v>5879</v>
      </c>
      <c r="V26" s="223" t="s">
        <v>5883</v>
      </c>
      <c r="W26" s="223" t="s">
        <v>5883</v>
      </c>
      <c r="X26" s="223" t="s">
        <v>5883</v>
      </c>
      <c r="Y26" s="228" t="s">
        <v>5883</v>
      </c>
      <c r="Z26" s="223" t="s">
        <v>5883</v>
      </c>
      <c r="AA26" s="223" t="s">
        <v>5879</v>
      </c>
      <c r="AB26" s="222" t="s">
        <v>5878</v>
      </c>
      <c r="AC26" s="223" t="s">
        <v>5883</v>
      </c>
      <c r="AD26" s="223" t="s">
        <v>5883</v>
      </c>
      <c r="AE26" s="220" t="s">
        <v>5879</v>
      </c>
      <c r="AF26" s="223" t="s">
        <v>5883</v>
      </c>
      <c r="AG26" s="223" t="s">
        <v>5879</v>
      </c>
      <c r="AH26" s="223" t="s">
        <v>5883</v>
      </c>
      <c r="AI26" s="220" t="s">
        <v>5879</v>
      </c>
      <c r="AJ26" s="218"/>
      <c r="AK26" s="218"/>
      <c r="AL26" s="218"/>
      <c r="AM26" s="218"/>
    </row>
    <row r="27" spans="1:39" ht="30" customHeight="1">
      <c r="A27" s="212" t="s">
        <v>2369</v>
      </c>
      <c r="B27" s="212" t="s">
        <v>2370</v>
      </c>
      <c r="C27" s="213">
        <v>13</v>
      </c>
      <c r="D27" s="227" t="s">
        <v>5879</v>
      </c>
      <c r="E27" s="223" t="s">
        <v>5879</v>
      </c>
      <c r="F27" s="223" t="s">
        <v>5879</v>
      </c>
      <c r="G27" s="223" t="s">
        <v>5883</v>
      </c>
      <c r="H27" s="223" t="s">
        <v>5879</v>
      </c>
      <c r="I27" s="223" t="s">
        <v>5882</v>
      </c>
      <c r="J27" s="224" t="s">
        <v>5885</v>
      </c>
      <c r="K27" s="223" t="s">
        <v>5885</v>
      </c>
      <c r="L27" s="223" t="s">
        <v>5883</v>
      </c>
      <c r="M27" s="223" t="s">
        <v>5883</v>
      </c>
      <c r="N27" s="223" t="s">
        <v>5885</v>
      </c>
      <c r="O27" s="223" t="s">
        <v>5883</v>
      </c>
      <c r="P27" s="223" t="s">
        <v>5888</v>
      </c>
      <c r="Q27" s="223" t="s">
        <v>5883</v>
      </c>
      <c r="R27" s="228" t="s">
        <v>5887</v>
      </c>
      <c r="S27" s="228" t="s">
        <v>5883</v>
      </c>
      <c r="T27" s="220" t="s">
        <v>5883</v>
      </c>
      <c r="U27" s="220" t="s">
        <v>5883</v>
      </c>
      <c r="V27" s="223" t="s">
        <v>5883</v>
      </c>
      <c r="W27" s="223" t="s">
        <v>5883</v>
      </c>
      <c r="X27" s="223" t="s">
        <v>5883</v>
      </c>
      <c r="Y27" s="228" t="s">
        <v>5883</v>
      </c>
      <c r="Z27" s="223" t="s">
        <v>5883</v>
      </c>
      <c r="AA27" s="223" t="s">
        <v>5879</v>
      </c>
      <c r="AB27" s="223" t="s">
        <v>5883</v>
      </c>
      <c r="AC27" s="222" t="s">
        <v>5878</v>
      </c>
      <c r="AD27" s="223" t="s">
        <v>5883</v>
      </c>
      <c r="AE27" s="220" t="s">
        <v>5879</v>
      </c>
      <c r="AF27" s="223" t="s">
        <v>5883</v>
      </c>
      <c r="AG27" s="223" t="s">
        <v>5879</v>
      </c>
      <c r="AH27" s="223" t="s">
        <v>5883</v>
      </c>
      <c r="AI27" s="220" t="s">
        <v>5879</v>
      </c>
      <c r="AJ27" s="218"/>
      <c r="AK27" s="218"/>
      <c r="AL27" s="218"/>
      <c r="AM27" s="218"/>
    </row>
    <row r="28" spans="1:39" ht="30" customHeight="1">
      <c r="A28" s="212" t="s">
        <v>2493</v>
      </c>
      <c r="B28" s="212" t="s">
        <v>2494</v>
      </c>
      <c r="C28" s="213">
        <v>10</v>
      </c>
      <c r="D28" s="227" t="s">
        <v>5880</v>
      </c>
      <c r="E28" s="223" t="s">
        <v>5879</v>
      </c>
      <c r="F28" s="220" t="s">
        <v>5879</v>
      </c>
      <c r="G28" s="223" t="s">
        <v>5883</v>
      </c>
      <c r="H28" s="223" t="s">
        <v>5880</v>
      </c>
      <c r="I28" s="223" t="s">
        <v>5882</v>
      </c>
      <c r="J28" s="224" t="s">
        <v>5882</v>
      </c>
      <c r="K28" s="223" t="s">
        <v>5885</v>
      </c>
      <c r="L28" s="223" t="s">
        <v>5887</v>
      </c>
      <c r="M28" s="223" t="s">
        <v>5883</v>
      </c>
      <c r="N28" s="223" t="s">
        <v>5885</v>
      </c>
      <c r="O28" s="223" t="s">
        <v>5883</v>
      </c>
      <c r="P28" s="223" t="s">
        <v>5888</v>
      </c>
      <c r="Q28" s="223" t="s">
        <v>5883</v>
      </c>
      <c r="R28" s="228" t="s">
        <v>5887</v>
      </c>
      <c r="S28" s="228" t="s">
        <v>5883</v>
      </c>
      <c r="T28" s="223" t="s">
        <v>5887</v>
      </c>
      <c r="U28" s="223" t="s">
        <v>5883</v>
      </c>
      <c r="V28" s="223" t="s">
        <v>5883</v>
      </c>
      <c r="W28" s="223" t="s">
        <v>5883</v>
      </c>
      <c r="X28" s="223" t="s">
        <v>5883</v>
      </c>
      <c r="Y28" s="228" t="s">
        <v>5883</v>
      </c>
      <c r="Z28" s="223" t="s">
        <v>5883</v>
      </c>
      <c r="AA28" s="220" t="s">
        <v>5879</v>
      </c>
      <c r="AB28" s="223" t="s">
        <v>5883</v>
      </c>
      <c r="AC28" s="223" t="s">
        <v>5883</v>
      </c>
      <c r="AD28" s="222" t="s">
        <v>5878</v>
      </c>
      <c r="AE28" s="220" t="s">
        <v>5879</v>
      </c>
      <c r="AF28" s="223" t="s">
        <v>5883</v>
      </c>
      <c r="AG28" s="223" t="s">
        <v>5879</v>
      </c>
      <c r="AH28" s="220" t="s">
        <v>5883</v>
      </c>
      <c r="AI28" s="220" t="s">
        <v>5879</v>
      </c>
      <c r="AJ28" s="218"/>
      <c r="AK28" s="218"/>
      <c r="AL28" s="218"/>
      <c r="AM28" s="218"/>
    </row>
    <row r="29" spans="1:39" ht="30" customHeight="1">
      <c r="A29" s="212" t="s">
        <v>2673</v>
      </c>
      <c r="B29" s="212" t="s">
        <v>2674</v>
      </c>
      <c r="C29" s="213">
        <v>16</v>
      </c>
      <c r="D29" s="227" t="s">
        <v>5880</v>
      </c>
      <c r="E29" s="223" t="s">
        <v>5880</v>
      </c>
      <c r="F29" s="223" t="s">
        <v>5880</v>
      </c>
      <c r="G29" s="223" t="s">
        <v>5888</v>
      </c>
      <c r="H29" s="223" t="s">
        <v>5880</v>
      </c>
      <c r="I29" s="223" t="s">
        <v>5888</v>
      </c>
      <c r="J29" s="224" t="s">
        <v>5887</v>
      </c>
      <c r="K29" s="223" t="s">
        <v>5887</v>
      </c>
      <c r="L29" s="223" t="s">
        <v>5879</v>
      </c>
      <c r="M29" s="223" t="s">
        <v>5883</v>
      </c>
      <c r="N29" s="223" t="s">
        <v>5885</v>
      </c>
      <c r="O29" s="223" t="s">
        <v>5883</v>
      </c>
      <c r="P29" s="223" t="s">
        <v>5888</v>
      </c>
      <c r="Q29" s="223" t="s">
        <v>5883</v>
      </c>
      <c r="R29" s="228" t="s">
        <v>5887</v>
      </c>
      <c r="S29" s="228" t="s">
        <v>5883</v>
      </c>
      <c r="T29" s="223" t="s">
        <v>5879</v>
      </c>
      <c r="U29" s="223" t="s">
        <v>5883</v>
      </c>
      <c r="V29" s="223" t="s">
        <v>5879</v>
      </c>
      <c r="W29" s="223" t="s">
        <v>5883</v>
      </c>
      <c r="X29" s="223" t="s">
        <v>5883</v>
      </c>
      <c r="Y29" s="228" t="s">
        <v>5883</v>
      </c>
      <c r="Z29" s="223" t="s">
        <v>5883</v>
      </c>
      <c r="AA29" s="223" t="s">
        <v>5879</v>
      </c>
      <c r="AB29" s="223" t="s">
        <v>5883</v>
      </c>
      <c r="AC29" s="223" t="s">
        <v>5883</v>
      </c>
      <c r="AD29" s="223" t="s">
        <v>5883</v>
      </c>
      <c r="AE29" s="222" t="s">
        <v>5878</v>
      </c>
      <c r="AF29" s="223" t="s">
        <v>5883</v>
      </c>
      <c r="AG29" s="223" t="s">
        <v>5879</v>
      </c>
      <c r="AH29" s="223" t="s">
        <v>5883</v>
      </c>
      <c r="AI29" s="223" t="s">
        <v>5879</v>
      </c>
      <c r="AJ29" s="218"/>
      <c r="AK29" s="218"/>
      <c r="AL29" s="218"/>
      <c r="AM29" s="218"/>
    </row>
    <row r="30" spans="1:39" ht="30" customHeight="1">
      <c r="A30" s="212" t="s">
        <v>2693</v>
      </c>
      <c r="B30" s="212" t="s">
        <v>2694</v>
      </c>
      <c r="C30" s="213">
        <v>8</v>
      </c>
      <c r="D30" s="227" t="s">
        <v>5879</v>
      </c>
      <c r="E30" s="220" t="s">
        <v>5879</v>
      </c>
      <c r="F30" s="223" t="s">
        <v>5888</v>
      </c>
      <c r="G30" s="223" t="s">
        <v>5883</v>
      </c>
      <c r="H30" s="223" t="s">
        <v>5879</v>
      </c>
      <c r="I30" s="223" t="s">
        <v>5885</v>
      </c>
      <c r="J30" s="224" t="s">
        <v>5882</v>
      </c>
      <c r="K30" s="223" t="s">
        <v>5882</v>
      </c>
      <c r="L30" s="223" t="s">
        <v>5883</v>
      </c>
      <c r="M30" s="223" t="s">
        <v>5883</v>
      </c>
      <c r="N30" s="223" t="s">
        <v>5885</v>
      </c>
      <c r="O30" s="223" t="s">
        <v>5883</v>
      </c>
      <c r="P30" s="223" t="s">
        <v>5888</v>
      </c>
      <c r="Q30" s="223" t="s">
        <v>5883</v>
      </c>
      <c r="R30" s="228" t="s">
        <v>5887</v>
      </c>
      <c r="S30" s="228" t="s">
        <v>5883</v>
      </c>
      <c r="T30" s="223" t="s">
        <v>5887</v>
      </c>
      <c r="U30" s="223" t="s">
        <v>5883</v>
      </c>
      <c r="V30" s="223" t="s">
        <v>5883</v>
      </c>
      <c r="W30" s="223" t="s">
        <v>5883</v>
      </c>
      <c r="X30" s="223" t="s">
        <v>5883</v>
      </c>
      <c r="Y30" s="228" t="s">
        <v>5883</v>
      </c>
      <c r="Z30" s="223" t="s">
        <v>5883</v>
      </c>
      <c r="AA30" s="220" t="s">
        <v>5879</v>
      </c>
      <c r="AB30" s="223" t="s">
        <v>5883</v>
      </c>
      <c r="AC30" s="223" t="s">
        <v>5883</v>
      </c>
      <c r="AD30" s="223" t="s">
        <v>5883</v>
      </c>
      <c r="AE30" s="220" t="s">
        <v>5879</v>
      </c>
      <c r="AF30" s="222" t="s">
        <v>5878</v>
      </c>
      <c r="AG30" s="220" t="s">
        <v>5879</v>
      </c>
      <c r="AH30" s="223" t="s">
        <v>5883</v>
      </c>
      <c r="AI30" s="220" t="s">
        <v>5879</v>
      </c>
      <c r="AJ30" s="218"/>
      <c r="AK30" s="218"/>
      <c r="AL30" s="218"/>
      <c r="AM30" s="218"/>
    </row>
    <row r="31" spans="1:39" ht="30" customHeight="1">
      <c r="A31" s="212" t="s">
        <v>2705</v>
      </c>
      <c r="B31" s="212" t="s">
        <v>2706</v>
      </c>
      <c r="C31" s="213">
        <v>10</v>
      </c>
      <c r="D31" s="227" t="s">
        <v>5887</v>
      </c>
      <c r="E31" s="223" t="s">
        <v>5887</v>
      </c>
      <c r="F31" s="223" t="s">
        <v>5887</v>
      </c>
      <c r="G31" s="223" t="s">
        <v>5887</v>
      </c>
      <c r="H31" s="223" t="s">
        <v>5887</v>
      </c>
      <c r="I31" s="223" t="s">
        <v>5881</v>
      </c>
      <c r="J31" s="224" t="s">
        <v>5882</v>
      </c>
      <c r="K31" s="223" t="s">
        <v>5885</v>
      </c>
      <c r="L31" s="223" t="s">
        <v>5883</v>
      </c>
      <c r="M31" s="223" t="s">
        <v>5883</v>
      </c>
      <c r="N31" s="223" t="s">
        <v>5885</v>
      </c>
      <c r="O31" s="223" t="s">
        <v>5883</v>
      </c>
      <c r="P31" s="223" t="s">
        <v>5888</v>
      </c>
      <c r="Q31" s="223" t="s">
        <v>5883</v>
      </c>
      <c r="R31" s="228" t="s">
        <v>5887</v>
      </c>
      <c r="S31" s="228" t="s">
        <v>5883</v>
      </c>
      <c r="T31" s="223" t="s">
        <v>5887</v>
      </c>
      <c r="U31" s="223" t="s">
        <v>5883</v>
      </c>
      <c r="V31" s="223" t="s">
        <v>5883</v>
      </c>
      <c r="W31" s="223" t="s">
        <v>5883</v>
      </c>
      <c r="X31" s="223" t="s">
        <v>5883</v>
      </c>
      <c r="Y31" s="228" t="s">
        <v>5883</v>
      </c>
      <c r="Z31" s="223" t="s">
        <v>5883</v>
      </c>
      <c r="AA31" s="223" t="s">
        <v>5879</v>
      </c>
      <c r="AB31" s="223" t="s">
        <v>5883</v>
      </c>
      <c r="AC31" s="223" t="s">
        <v>5883</v>
      </c>
      <c r="AD31" s="223" t="s">
        <v>5883</v>
      </c>
      <c r="AE31" s="220" t="s">
        <v>5879</v>
      </c>
      <c r="AF31" s="223" t="s">
        <v>5883</v>
      </c>
      <c r="AG31" s="222" t="s">
        <v>5878</v>
      </c>
      <c r="AH31" s="223" t="s">
        <v>5883</v>
      </c>
      <c r="AI31" s="220" t="s">
        <v>5879</v>
      </c>
      <c r="AJ31" s="218"/>
      <c r="AK31" s="218"/>
      <c r="AL31" s="218"/>
      <c r="AM31" s="218"/>
    </row>
    <row r="32" spans="1:39" ht="30" customHeight="1">
      <c r="A32" s="212" t="s">
        <v>2751</v>
      </c>
      <c r="B32" s="212" t="s">
        <v>2752</v>
      </c>
      <c r="C32" s="213">
        <v>12</v>
      </c>
      <c r="D32" s="227" t="s">
        <v>5883</v>
      </c>
      <c r="E32" s="220" t="s">
        <v>5883</v>
      </c>
      <c r="F32" s="220" t="s">
        <v>5879</v>
      </c>
      <c r="G32" s="223" t="s">
        <v>5879</v>
      </c>
      <c r="H32" s="223" t="s">
        <v>5879</v>
      </c>
      <c r="I32" s="223" t="s">
        <v>5885</v>
      </c>
      <c r="J32" s="224" t="s">
        <v>5885</v>
      </c>
      <c r="K32" s="223" t="s">
        <v>5883</v>
      </c>
      <c r="L32" s="223" t="s">
        <v>5887</v>
      </c>
      <c r="M32" s="223" t="s">
        <v>5883</v>
      </c>
      <c r="N32" s="223" t="s">
        <v>5885</v>
      </c>
      <c r="O32" s="223" t="s">
        <v>5883</v>
      </c>
      <c r="P32" s="223" t="s">
        <v>5888</v>
      </c>
      <c r="Q32" s="223" t="s">
        <v>5883</v>
      </c>
      <c r="R32" s="228" t="s">
        <v>5887</v>
      </c>
      <c r="S32" s="228" t="s">
        <v>5883</v>
      </c>
      <c r="T32" s="220" t="s">
        <v>5883</v>
      </c>
      <c r="U32" s="220" t="s">
        <v>5879</v>
      </c>
      <c r="V32" s="223" t="s">
        <v>5883</v>
      </c>
      <c r="W32" s="223" t="s">
        <v>5883</v>
      </c>
      <c r="X32" s="223" t="s">
        <v>5883</v>
      </c>
      <c r="Y32" s="228" t="s">
        <v>5883</v>
      </c>
      <c r="Z32" s="223" t="s">
        <v>5883</v>
      </c>
      <c r="AA32" s="223" t="s">
        <v>5879</v>
      </c>
      <c r="AB32" s="223" t="s">
        <v>5883</v>
      </c>
      <c r="AC32" s="223" t="s">
        <v>5883</v>
      </c>
      <c r="AD32" s="223" t="s">
        <v>5883</v>
      </c>
      <c r="AE32" s="220" t="s">
        <v>5879</v>
      </c>
      <c r="AF32" s="223" t="s">
        <v>5879</v>
      </c>
      <c r="AG32" s="223" t="s">
        <v>5879</v>
      </c>
      <c r="AH32" s="222" t="s">
        <v>5878</v>
      </c>
      <c r="AI32" s="220" t="s">
        <v>5879</v>
      </c>
      <c r="AJ32" s="218"/>
      <c r="AK32" s="218"/>
      <c r="AL32" s="218"/>
      <c r="AM32" s="218"/>
    </row>
    <row r="33" spans="1:39" ht="30" customHeight="1">
      <c r="A33" s="212" t="s">
        <v>2843</v>
      </c>
      <c r="B33" s="212" t="s">
        <v>2844</v>
      </c>
      <c r="C33" s="213">
        <v>16</v>
      </c>
      <c r="D33" s="227" t="s">
        <v>5880</v>
      </c>
      <c r="E33" s="223" t="s">
        <v>5879</v>
      </c>
      <c r="F33" s="223" t="s">
        <v>5879</v>
      </c>
      <c r="G33" s="223" t="s">
        <v>5879</v>
      </c>
      <c r="H33" s="223" t="s">
        <v>5879</v>
      </c>
      <c r="I33" s="223" t="s">
        <v>5888</v>
      </c>
      <c r="J33" s="224" t="s">
        <v>5885</v>
      </c>
      <c r="K33" s="223" t="s">
        <v>5879</v>
      </c>
      <c r="L33" s="223" t="s">
        <v>5879</v>
      </c>
      <c r="M33" s="223" t="s">
        <v>5883</v>
      </c>
      <c r="N33" s="223" t="s">
        <v>5885</v>
      </c>
      <c r="O33" s="223" t="s">
        <v>5883</v>
      </c>
      <c r="P33" s="223" t="s">
        <v>5888</v>
      </c>
      <c r="Q33" s="223" t="s">
        <v>5883</v>
      </c>
      <c r="R33" s="228" t="s">
        <v>5887</v>
      </c>
      <c r="S33" s="228" t="s">
        <v>5883</v>
      </c>
      <c r="T33" s="223" t="s">
        <v>5883</v>
      </c>
      <c r="U33" s="223" t="s">
        <v>5879</v>
      </c>
      <c r="V33" s="223" t="s">
        <v>5883</v>
      </c>
      <c r="W33" s="223" t="s">
        <v>5883</v>
      </c>
      <c r="X33" s="223" t="s">
        <v>5883</v>
      </c>
      <c r="Y33" s="228" t="s">
        <v>5883</v>
      </c>
      <c r="Z33" s="223" t="s">
        <v>5879</v>
      </c>
      <c r="AA33" s="223" t="s">
        <v>5879</v>
      </c>
      <c r="AB33" s="223" t="s">
        <v>5883</v>
      </c>
      <c r="AC33" s="223" t="s">
        <v>5883</v>
      </c>
      <c r="AD33" s="223" t="s">
        <v>5883</v>
      </c>
      <c r="AE33" s="220" t="s">
        <v>5879</v>
      </c>
      <c r="AF33" s="223" t="s">
        <v>5879</v>
      </c>
      <c r="AG33" s="223" t="s">
        <v>5879</v>
      </c>
      <c r="AH33" s="223" t="s">
        <v>5883</v>
      </c>
      <c r="AI33" s="222" t="s">
        <v>5878</v>
      </c>
      <c r="AJ33" s="218"/>
      <c r="AK33" s="218"/>
      <c r="AL33" s="218"/>
      <c r="AM33" s="218"/>
    </row>
    <row r="34" spans="1:39" ht="30" customHeight="1">
      <c r="A34" s="229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  <c r="AA34" s="229"/>
      <c r="AB34" s="229"/>
      <c r="AC34" s="229"/>
      <c r="AD34" s="229"/>
      <c r="AE34" s="229"/>
      <c r="AF34" s="229"/>
      <c r="AG34" s="229"/>
      <c r="AH34" s="229"/>
      <c r="AI34" s="229"/>
      <c r="AJ34" s="218"/>
      <c r="AK34" s="218"/>
      <c r="AL34" s="218"/>
      <c r="AM34" s="218"/>
    </row>
    <row r="35" spans="1:39" ht="30" customHeight="1">
      <c r="A35" s="229" t="s">
        <v>5891</v>
      </c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  <c r="AA35" s="229"/>
      <c r="AB35" s="229"/>
      <c r="AC35" s="229"/>
      <c r="AD35" s="229"/>
      <c r="AE35" s="229"/>
      <c r="AF35" s="229"/>
      <c r="AG35" s="229"/>
      <c r="AH35" s="229"/>
      <c r="AI35" s="229"/>
      <c r="AJ35" s="218"/>
      <c r="AK35" s="218"/>
      <c r="AL35" s="218"/>
      <c r="AM35" s="218"/>
    </row>
    <row r="36" spans="1:39" ht="30" customHeight="1">
      <c r="A36" s="229" t="s">
        <v>5892</v>
      </c>
      <c r="B36" s="229" t="s">
        <v>5893</v>
      </c>
      <c r="C36" s="230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  <c r="AA36" s="229"/>
      <c r="AB36" s="229"/>
      <c r="AC36" s="229"/>
      <c r="AD36" s="229"/>
      <c r="AE36" s="229"/>
      <c r="AF36" s="229"/>
      <c r="AG36" s="229"/>
      <c r="AH36" s="229"/>
      <c r="AI36" s="229"/>
      <c r="AJ36" s="218"/>
      <c r="AK36" s="218"/>
      <c r="AL36" s="218"/>
      <c r="AM36" s="218"/>
    </row>
    <row r="37" spans="1:39" ht="30" customHeight="1">
      <c r="A37" s="229" t="s">
        <v>5892</v>
      </c>
      <c r="B37" s="229" t="s">
        <v>5894</v>
      </c>
      <c r="C37" s="231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  <c r="AA37" s="229"/>
      <c r="AB37" s="229"/>
      <c r="AC37" s="229"/>
      <c r="AD37" s="229"/>
      <c r="AE37" s="229"/>
      <c r="AF37" s="229"/>
      <c r="AG37" s="229"/>
      <c r="AH37" s="229"/>
      <c r="AI37" s="229"/>
      <c r="AJ37" s="218"/>
      <c r="AK37" s="218"/>
      <c r="AL37" s="218"/>
      <c r="AM37" s="218"/>
    </row>
    <row r="38" spans="1:39" ht="12.75">
      <c r="A38" s="229" t="s">
        <v>5892</v>
      </c>
      <c r="B38" s="232" t="s">
        <v>5895</v>
      </c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  <c r="AA38" s="229"/>
      <c r="AB38" s="229"/>
      <c r="AC38" s="229"/>
      <c r="AD38" s="229"/>
      <c r="AE38" s="229"/>
      <c r="AF38" s="229"/>
      <c r="AG38" s="229"/>
      <c r="AH38" s="229"/>
      <c r="AI38" s="229"/>
      <c r="AJ38" s="218"/>
      <c r="AK38" s="218"/>
      <c r="AL38" s="218"/>
      <c r="AM38" s="218"/>
    </row>
    <row r="39" spans="1:39" ht="12.75">
      <c r="A39" s="229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  <c r="AA39" s="229"/>
      <c r="AB39" s="229"/>
      <c r="AC39" s="229"/>
      <c r="AD39" s="229"/>
      <c r="AE39" s="229"/>
      <c r="AF39" s="229"/>
      <c r="AG39" s="229"/>
      <c r="AH39" s="229"/>
      <c r="AI39" s="229"/>
      <c r="AJ39" s="218"/>
      <c r="AK39" s="218"/>
      <c r="AL39" s="218"/>
      <c r="AM39" s="218"/>
    </row>
    <row r="40" spans="1:39" ht="12.75">
      <c r="A40" s="229" t="s">
        <v>5896</v>
      </c>
      <c r="B40" s="229" t="s">
        <v>5897</v>
      </c>
      <c r="C40" s="229" t="s">
        <v>5898</v>
      </c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  <c r="AA40" s="229"/>
      <c r="AB40" s="229"/>
      <c r="AC40" s="229"/>
      <c r="AD40" s="229"/>
      <c r="AE40" s="229"/>
      <c r="AF40" s="229"/>
      <c r="AG40" s="229"/>
      <c r="AH40" s="229"/>
      <c r="AI40" s="229"/>
      <c r="AJ40" s="218"/>
      <c r="AK40" s="218"/>
      <c r="AL40" s="218"/>
      <c r="AM40" s="218"/>
    </row>
    <row r="41" spans="1:39" ht="12.75">
      <c r="A41" s="229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  <c r="AA41" s="229"/>
      <c r="AB41" s="229"/>
      <c r="AC41" s="229"/>
      <c r="AD41" s="229"/>
      <c r="AE41" s="229"/>
      <c r="AF41" s="229"/>
      <c r="AG41" s="229"/>
      <c r="AH41" s="229"/>
      <c r="AI41" s="229"/>
      <c r="AJ41" s="218"/>
      <c r="AK41" s="218"/>
      <c r="AL41" s="218"/>
      <c r="AM41" s="218"/>
    </row>
    <row r="42" spans="1:39" ht="12.75">
      <c r="A42" s="229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  <c r="AA42" s="229"/>
      <c r="AB42" s="229"/>
      <c r="AC42" s="229"/>
      <c r="AD42" s="229"/>
      <c r="AE42" s="229"/>
      <c r="AF42" s="229"/>
      <c r="AG42" s="229"/>
      <c r="AH42" s="229"/>
      <c r="AI42" s="229"/>
      <c r="AJ42" s="218"/>
      <c r="AK42" s="218"/>
      <c r="AL42" s="218"/>
      <c r="AM42" s="218"/>
    </row>
    <row r="43" spans="1:39" ht="12.75">
      <c r="A43" s="229" t="s">
        <v>5890</v>
      </c>
      <c r="B43" s="229" t="s">
        <v>5899</v>
      </c>
      <c r="C43" s="232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  <c r="AA43" s="229"/>
      <c r="AB43" s="229"/>
      <c r="AC43" s="229"/>
      <c r="AD43" s="229"/>
      <c r="AE43" s="229"/>
      <c r="AF43" s="229"/>
      <c r="AG43" s="229"/>
      <c r="AH43" s="229"/>
      <c r="AI43" s="229"/>
      <c r="AJ43" s="218"/>
      <c r="AK43" s="218"/>
      <c r="AL43" s="218"/>
      <c r="AM43" s="218"/>
    </row>
    <row r="44" spans="1:39" ht="12.75">
      <c r="A44" s="229" t="s">
        <v>5900</v>
      </c>
      <c r="B44" s="229" t="s">
        <v>5901</v>
      </c>
      <c r="C44" s="232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  <c r="AA44" s="229"/>
      <c r="AB44" s="229"/>
      <c r="AC44" s="229"/>
      <c r="AD44" s="229"/>
      <c r="AE44" s="229"/>
      <c r="AF44" s="229"/>
      <c r="AG44" s="229"/>
      <c r="AH44" s="229"/>
      <c r="AI44" s="229"/>
      <c r="AJ44" s="218"/>
      <c r="AK44" s="218"/>
      <c r="AL44" s="218"/>
      <c r="AM44" s="218"/>
    </row>
    <row r="45" spans="1:39" ht="12.75">
      <c r="A45" s="229" t="s">
        <v>5889</v>
      </c>
      <c r="B45" s="229" t="s">
        <v>5902</v>
      </c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  <c r="AA45" s="229"/>
      <c r="AB45" s="229"/>
      <c r="AC45" s="229"/>
      <c r="AD45" s="229"/>
      <c r="AE45" s="229"/>
      <c r="AF45" s="229"/>
      <c r="AG45" s="229"/>
      <c r="AH45" s="229"/>
      <c r="AI45" s="229"/>
      <c r="AJ45" s="218"/>
      <c r="AK45" s="218"/>
      <c r="AL45" s="218"/>
      <c r="AM45" s="218"/>
    </row>
    <row r="46" spans="1:39" ht="12.75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  <c r="AA46" s="229"/>
      <c r="AB46" s="229"/>
      <c r="AC46" s="229"/>
      <c r="AD46" s="229"/>
      <c r="AE46" s="229"/>
      <c r="AF46" s="229"/>
      <c r="AG46" s="229"/>
      <c r="AH46" s="229"/>
      <c r="AI46" s="229"/>
      <c r="AJ46" s="218"/>
      <c r="AK46" s="218"/>
      <c r="AL46" s="218"/>
      <c r="AM46" s="218"/>
    </row>
    <row r="47" spans="1:39" ht="12.75">
      <c r="A47" s="229"/>
      <c r="B47" s="232" t="s">
        <v>5412</v>
      </c>
      <c r="C47" s="229" t="s">
        <v>4951</v>
      </c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229"/>
      <c r="AG47" s="229"/>
      <c r="AH47" s="229"/>
      <c r="AI47" s="229"/>
      <c r="AJ47" s="218"/>
      <c r="AK47" s="218"/>
      <c r="AL47" s="218"/>
      <c r="AM47" s="218"/>
    </row>
    <row r="48" spans="1:39" ht="12.75">
      <c r="A48" s="229"/>
      <c r="B48" s="229" t="s">
        <v>5889</v>
      </c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29"/>
      <c r="AG48" s="229"/>
      <c r="AH48" s="229"/>
      <c r="AI48" s="229"/>
      <c r="AJ48" s="218"/>
      <c r="AK48" s="218"/>
      <c r="AL48" s="218"/>
      <c r="AM48" s="218"/>
    </row>
    <row r="49" spans="1:39" ht="12.75">
      <c r="A49" s="229"/>
      <c r="B49" s="229" t="s">
        <v>5888</v>
      </c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29"/>
      <c r="AG49" s="229"/>
      <c r="AH49" s="229"/>
      <c r="AI49" s="229"/>
      <c r="AJ49" s="218"/>
      <c r="AK49" s="218"/>
      <c r="AL49" s="218"/>
      <c r="AM49" s="218"/>
    </row>
    <row r="50" spans="1:39" ht="12.75">
      <c r="A50" s="229"/>
      <c r="B50" s="229" t="s">
        <v>5887</v>
      </c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229"/>
      <c r="AG50" s="229"/>
      <c r="AH50" s="229"/>
      <c r="AI50" s="229"/>
      <c r="AJ50" s="218"/>
      <c r="AK50" s="218"/>
      <c r="AL50" s="218"/>
      <c r="AM50" s="218"/>
    </row>
    <row r="51" spans="1:39" ht="12.75">
      <c r="A51" s="229"/>
      <c r="B51" s="229" t="s">
        <v>5883</v>
      </c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229"/>
      <c r="AG51" s="229"/>
      <c r="AH51" s="229"/>
      <c r="AI51" s="229"/>
      <c r="AJ51" s="218"/>
      <c r="AK51" s="218"/>
      <c r="AL51" s="218"/>
      <c r="AM51" s="218"/>
    </row>
    <row r="52" spans="1:39" ht="12.75">
      <c r="A52" s="229"/>
      <c r="B52" s="229" t="s">
        <v>5879</v>
      </c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229"/>
      <c r="AG52" s="229"/>
      <c r="AH52" s="229"/>
      <c r="AI52" s="229"/>
      <c r="AJ52" s="218"/>
      <c r="AK52" s="218"/>
      <c r="AL52" s="218"/>
      <c r="AM52" s="218"/>
    </row>
    <row r="53" spans="1:39" ht="12.75">
      <c r="A53" s="229"/>
      <c r="B53" s="229" t="s">
        <v>5882</v>
      </c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  <c r="AA53" s="229"/>
      <c r="AB53" s="229"/>
      <c r="AC53" s="229"/>
      <c r="AD53" s="229"/>
      <c r="AE53" s="229"/>
      <c r="AF53" s="229"/>
      <c r="AG53" s="229"/>
      <c r="AH53" s="229"/>
      <c r="AI53" s="229"/>
      <c r="AJ53" s="218"/>
      <c r="AK53" s="218"/>
      <c r="AL53" s="218"/>
      <c r="AM53" s="218"/>
    </row>
    <row r="54" spans="1:39" ht="12.75">
      <c r="A54" s="229"/>
      <c r="B54" s="229" t="s">
        <v>5885</v>
      </c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  <c r="AA54" s="229"/>
      <c r="AB54" s="229"/>
      <c r="AC54" s="229"/>
      <c r="AD54" s="229"/>
      <c r="AE54" s="229"/>
      <c r="AF54" s="229"/>
      <c r="AG54" s="229"/>
      <c r="AH54" s="229"/>
      <c r="AI54" s="229"/>
      <c r="AJ54" s="218"/>
      <c r="AK54" s="218"/>
      <c r="AL54" s="218"/>
      <c r="AM54" s="218"/>
    </row>
    <row r="55" spans="1:39" ht="12.75">
      <c r="A55" s="229"/>
      <c r="B55" s="229" t="s">
        <v>5881</v>
      </c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  <c r="AA55" s="229"/>
      <c r="AB55" s="229"/>
      <c r="AC55" s="229"/>
      <c r="AD55" s="229"/>
      <c r="AE55" s="229"/>
      <c r="AF55" s="229"/>
      <c r="AG55" s="229"/>
      <c r="AH55" s="229"/>
      <c r="AI55" s="229"/>
      <c r="AJ55" s="218"/>
      <c r="AK55" s="218"/>
      <c r="AL55" s="218"/>
      <c r="AM55" s="218"/>
    </row>
    <row r="56" spans="1:39" ht="12.75">
      <c r="A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  <c r="AA56" s="229"/>
      <c r="AB56" s="229"/>
      <c r="AC56" s="229"/>
      <c r="AD56" s="229"/>
      <c r="AE56" s="229"/>
      <c r="AF56" s="229"/>
      <c r="AG56" s="229"/>
      <c r="AH56" s="229"/>
      <c r="AI56" s="229"/>
      <c r="AJ56" s="218"/>
      <c r="AK56" s="218"/>
      <c r="AL56" s="218"/>
      <c r="AM56" s="218"/>
    </row>
    <row r="57" spans="1:39" ht="12.75">
      <c r="A57" s="229" t="s">
        <v>5886</v>
      </c>
      <c r="B57" s="229" t="s">
        <v>5880</v>
      </c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229"/>
      <c r="AG57" s="229"/>
      <c r="AH57" s="229"/>
      <c r="AI57" s="229"/>
      <c r="AJ57" s="218"/>
      <c r="AK57" s="218"/>
      <c r="AL57" s="218"/>
      <c r="AM57" s="218"/>
    </row>
    <row r="58" spans="1:39" ht="12.75">
      <c r="A58" s="229"/>
      <c r="B58" s="229" t="s">
        <v>5878</v>
      </c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  <c r="AA58" s="229"/>
      <c r="AB58" s="229"/>
      <c r="AC58" s="229"/>
      <c r="AD58" s="229"/>
      <c r="AE58" s="229"/>
      <c r="AF58" s="229"/>
      <c r="AG58" s="229"/>
      <c r="AH58" s="229"/>
      <c r="AI58" s="229"/>
      <c r="AJ58" s="218"/>
      <c r="AK58" s="218"/>
      <c r="AL58" s="218"/>
      <c r="AM58" s="218"/>
    </row>
    <row r="59" spans="1:39" ht="12.75">
      <c r="A59" s="229"/>
      <c r="B59" s="232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  <c r="AA59" s="229"/>
      <c r="AB59" s="229"/>
      <c r="AC59" s="229"/>
      <c r="AD59" s="229"/>
      <c r="AE59" s="229"/>
      <c r="AF59" s="229"/>
      <c r="AG59" s="229"/>
      <c r="AH59" s="229"/>
      <c r="AI59" s="229"/>
      <c r="AJ59" s="218"/>
      <c r="AK59" s="218"/>
      <c r="AL59" s="218"/>
      <c r="AM59" s="218"/>
    </row>
    <row r="60" spans="1:39" ht="12.75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  <c r="AA60" s="229"/>
      <c r="AB60" s="229"/>
      <c r="AC60" s="229"/>
      <c r="AD60" s="229"/>
      <c r="AE60" s="229"/>
      <c r="AF60" s="229"/>
      <c r="AG60" s="229"/>
      <c r="AH60" s="229"/>
      <c r="AI60" s="229"/>
      <c r="AJ60" s="218"/>
      <c r="AK60" s="218"/>
      <c r="AL60" s="218"/>
      <c r="AM60" s="218"/>
    </row>
    <row r="61" spans="1:39" ht="12.75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  <c r="AA61" s="229"/>
      <c r="AB61" s="229"/>
      <c r="AC61" s="229"/>
      <c r="AD61" s="229"/>
      <c r="AE61" s="229"/>
      <c r="AF61" s="229"/>
      <c r="AG61" s="229"/>
      <c r="AH61" s="229"/>
      <c r="AI61" s="229"/>
      <c r="AJ61" s="218"/>
      <c r="AK61" s="218"/>
      <c r="AL61" s="218"/>
      <c r="AM61" s="218"/>
    </row>
    <row r="62" spans="1:39" ht="12.75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  <c r="AA62" s="229"/>
      <c r="AB62" s="229"/>
      <c r="AC62" s="229"/>
      <c r="AD62" s="229"/>
      <c r="AE62" s="229"/>
      <c r="AF62" s="229"/>
      <c r="AG62" s="229"/>
      <c r="AH62" s="229"/>
      <c r="AI62" s="229"/>
      <c r="AJ62" s="218"/>
      <c r="AK62" s="218"/>
      <c r="AL62" s="218"/>
      <c r="AM62" s="218"/>
    </row>
    <row r="63" spans="1:39" ht="12.75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  <c r="AA63" s="229"/>
      <c r="AB63" s="229"/>
      <c r="AC63" s="229"/>
      <c r="AD63" s="229"/>
      <c r="AE63" s="229"/>
      <c r="AF63" s="229"/>
      <c r="AG63" s="229"/>
      <c r="AH63" s="229"/>
      <c r="AI63" s="229"/>
      <c r="AJ63" s="218"/>
      <c r="AK63" s="218"/>
      <c r="AL63" s="218"/>
      <c r="AM63" s="218"/>
    </row>
    <row r="64" spans="1:39" ht="12.75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  <c r="AA64" s="229"/>
      <c r="AB64" s="229"/>
      <c r="AC64" s="229"/>
      <c r="AD64" s="229"/>
      <c r="AE64" s="229"/>
      <c r="AF64" s="229"/>
      <c r="AG64" s="229"/>
      <c r="AH64" s="229"/>
      <c r="AI64" s="229"/>
      <c r="AJ64" s="218"/>
      <c r="AK64" s="218"/>
      <c r="AL64" s="218"/>
      <c r="AM64" s="218"/>
    </row>
    <row r="65" spans="1:39" ht="12.75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  <c r="AA65" s="229"/>
      <c r="AB65" s="229"/>
      <c r="AC65" s="229"/>
      <c r="AD65" s="229"/>
      <c r="AE65" s="229"/>
      <c r="AF65" s="229"/>
      <c r="AG65" s="229"/>
      <c r="AH65" s="229"/>
      <c r="AI65" s="229"/>
      <c r="AJ65" s="218"/>
      <c r="AK65" s="218"/>
      <c r="AL65" s="218"/>
      <c r="AM65" s="218"/>
    </row>
    <row r="66" spans="1:39" ht="12.75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  <c r="AA66" s="229"/>
      <c r="AB66" s="229"/>
      <c r="AC66" s="229"/>
      <c r="AD66" s="229"/>
      <c r="AE66" s="229"/>
      <c r="AF66" s="229"/>
      <c r="AG66" s="229"/>
      <c r="AH66" s="229"/>
      <c r="AI66" s="229"/>
      <c r="AJ66" s="218"/>
      <c r="AK66" s="218"/>
      <c r="AL66" s="218"/>
      <c r="AM66" s="218"/>
    </row>
    <row r="67" spans="1:39" ht="12.75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  <c r="AA67" s="229"/>
      <c r="AB67" s="229"/>
      <c r="AC67" s="229"/>
      <c r="AD67" s="229"/>
      <c r="AE67" s="229"/>
      <c r="AF67" s="229"/>
      <c r="AG67" s="229"/>
      <c r="AH67" s="229"/>
      <c r="AI67" s="229"/>
      <c r="AJ67" s="218"/>
      <c r="AK67" s="218"/>
      <c r="AL67" s="218"/>
      <c r="AM67" s="218"/>
    </row>
    <row r="68" spans="1:39" ht="12.75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  <c r="AA68" s="229"/>
      <c r="AB68" s="229"/>
      <c r="AC68" s="229"/>
      <c r="AD68" s="229"/>
      <c r="AE68" s="229"/>
      <c r="AF68" s="229"/>
      <c r="AG68" s="229"/>
      <c r="AH68" s="229"/>
      <c r="AI68" s="229"/>
      <c r="AJ68" s="218"/>
      <c r="AK68" s="218"/>
      <c r="AL68" s="218"/>
      <c r="AM68" s="218"/>
    </row>
    <row r="69" spans="1:39" ht="12.75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  <c r="AA69" s="229"/>
      <c r="AB69" s="229"/>
      <c r="AC69" s="229"/>
      <c r="AD69" s="229"/>
      <c r="AE69" s="229"/>
      <c r="AF69" s="229"/>
      <c r="AG69" s="229"/>
      <c r="AH69" s="229"/>
      <c r="AI69" s="229"/>
      <c r="AJ69" s="218"/>
      <c r="AK69" s="218"/>
      <c r="AL69" s="218"/>
      <c r="AM69" s="218"/>
    </row>
    <row r="70" spans="1:39" ht="12.75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  <c r="AA70" s="229"/>
      <c r="AB70" s="229"/>
      <c r="AC70" s="229"/>
      <c r="AD70" s="229"/>
      <c r="AE70" s="229"/>
      <c r="AF70" s="229"/>
      <c r="AG70" s="229"/>
      <c r="AH70" s="229"/>
      <c r="AI70" s="229"/>
      <c r="AJ70" s="218"/>
      <c r="AK70" s="218"/>
      <c r="AL70" s="218"/>
      <c r="AM70" s="218"/>
    </row>
    <row r="71" spans="1:39" ht="12.75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  <c r="AA71" s="229"/>
      <c r="AB71" s="229"/>
      <c r="AC71" s="229"/>
      <c r="AD71" s="229"/>
      <c r="AE71" s="229"/>
      <c r="AF71" s="229"/>
      <c r="AG71" s="229"/>
      <c r="AH71" s="229"/>
      <c r="AI71" s="229"/>
      <c r="AJ71" s="218"/>
      <c r="AK71" s="218"/>
      <c r="AL71" s="218"/>
      <c r="AM71" s="218"/>
    </row>
    <row r="72" spans="1:39" ht="12.75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  <c r="AA72" s="229"/>
      <c r="AB72" s="229"/>
      <c r="AC72" s="229"/>
      <c r="AD72" s="229"/>
      <c r="AE72" s="229"/>
      <c r="AF72" s="229"/>
      <c r="AG72" s="229"/>
      <c r="AH72" s="229"/>
      <c r="AI72" s="229"/>
      <c r="AJ72" s="218"/>
      <c r="AK72" s="218"/>
      <c r="AL72" s="218"/>
      <c r="AM72" s="218"/>
    </row>
    <row r="73" spans="1:39" ht="12.75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  <c r="AA73" s="229"/>
      <c r="AB73" s="229"/>
      <c r="AC73" s="229"/>
      <c r="AD73" s="229"/>
      <c r="AE73" s="229"/>
      <c r="AF73" s="229"/>
      <c r="AG73" s="229"/>
      <c r="AH73" s="229"/>
      <c r="AI73" s="229"/>
      <c r="AJ73" s="218"/>
      <c r="AK73" s="218"/>
      <c r="AL73" s="218"/>
      <c r="AM73" s="218"/>
    </row>
    <row r="74" spans="1:39" ht="12.75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  <c r="AA74" s="229"/>
      <c r="AB74" s="229"/>
      <c r="AC74" s="229"/>
      <c r="AD74" s="229"/>
      <c r="AE74" s="229"/>
      <c r="AF74" s="229"/>
      <c r="AG74" s="229"/>
      <c r="AH74" s="229"/>
      <c r="AI74" s="229"/>
      <c r="AJ74" s="218"/>
      <c r="AK74" s="218"/>
      <c r="AL74" s="218"/>
      <c r="AM74" s="218"/>
    </row>
    <row r="75" spans="1:39" ht="12.75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  <c r="AA75" s="229"/>
      <c r="AB75" s="229"/>
      <c r="AC75" s="229"/>
      <c r="AD75" s="229"/>
      <c r="AE75" s="229"/>
      <c r="AF75" s="229"/>
      <c r="AG75" s="229"/>
      <c r="AH75" s="229"/>
      <c r="AI75" s="229"/>
      <c r="AJ75" s="218"/>
      <c r="AK75" s="218"/>
      <c r="AL75" s="218"/>
      <c r="AM75" s="218"/>
    </row>
    <row r="76" spans="1:39" ht="12.75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  <c r="AA76" s="229"/>
      <c r="AB76" s="229"/>
      <c r="AC76" s="229"/>
      <c r="AD76" s="229"/>
      <c r="AE76" s="229"/>
      <c r="AF76" s="229"/>
      <c r="AG76" s="229"/>
      <c r="AH76" s="229"/>
      <c r="AI76" s="229"/>
      <c r="AJ76" s="218"/>
      <c r="AK76" s="218"/>
      <c r="AL76" s="218"/>
      <c r="AM76" s="218"/>
    </row>
    <row r="77" spans="1:39" ht="12.75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  <c r="AA77" s="229"/>
      <c r="AB77" s="229"/>
      <c r="AC77" s="229"/>
      <c r="AD77" s="229"/>
      <c r="AE77" s="229"/>
      <c r="AF77" s="229"/>
      <c r="AG77" s="229"/>
      <c r="AH77" s="229"/>
      <c r="AI77" s="229"/>
      <c r="AJ77" s="218"/>
      <c r="AK77" s="218"/>
      <c r="AL77" s="218"/>
      <c r="AM77" s="218"/>
    </row>
    <row r="78" spans="1:39" ht="12.75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  <c r="AA78" s="229"/>
      <c r="AB78" s="229"/>
      <c r="AC78" s="229"/>
      <c r="AD78" s="229"/>
      <c r="AE78" s="229"/>
      <c r="AF78" s="229"/>
      <c r="AG78" s="229"/>
      <c r="AH78" s="229"/>
      <c r="AI78" s="229"/>
      <c r="AJ78" s="218"/>
      <c r="AK78" s="218"/>
      <c r="AL78" s="218"/>
      <c r="AM78" s="218"/>
    </row>
    <row r="79" spans="1:39" ht="12.75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29"/>
      <c r="AJ79" s="218"/>
      <c r="AK79" s="218"/>
      <c r="AL79" s="218"/>
      <c r="AM79" s="218"/>
    </row>
    <row r="80" spans="1:39" ht="12.75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229"/>
      <c r="AI80" s="229"/>
      <c r="AJ80" s="218"/>
      <c r="AK80" s="218"/>
      <c r="AL80" s="218"/>
      <c r="AM80" s="218"/>
    </row>
    <row r="81" spans="1:39" ht="12.75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229"/>
      <c r="AI81" s="229"/>
      <c r="AJ81" s="218"/>
      <c r="AK81" s="218"/>
      <c r="AL81" s="218"/>
      <c r="AM81" s="218"/>
    </row>
    <row r="82" spans="1:39" ht="12.75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229"/>
      <c r="AI82" s="229"/>
      <c r="AJ82" s="218"/>
      <c r="AK82" s="218"/>
      <c r="AL82" s="218"/>
      <c r="AM82" s="218"/>
    </row>
    <row r="83" spans="1:39" ht="12.75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229"/>
      <c r="AI83" s="229"/>
      <c r="AJ83" s="218"/>
      <c r="AK83" s="218"/>
      <c r="AL83" s="218"/>
      <c r="AM83" s="218"/>
    </row>
    <row r="84" spans="1:39" ht="12.75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229"/>
      <c r="AI84" s="229"/>
      <c r="AJ84" s="218"/>
      <c r="AK84" s="218"/>
      <c r="AL84" s="218"/>
      <c r="AM84" s="218"/>
    </row>
    <row r="85" spans="1:39" ht="12.75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29"/>
      <c r="AI85" s="229"/>
      <c r="AJ85" s="218"/>
      <c r="AK85" s="218"/>
      <c r="AL85" s="218"/>
      <c r="AM85" s="218"/>
    </row>
    <row r="86" spans="1:39" ht="12.75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  <c r="AA86" s="229"/>
      <c r="AB86" s="229"/>
      <c r="AC86" s="229"/>
      <c r="AD86" s="229"/>
      <c r="AE86" s="229"/>
      <c r="AF86" s="229"/>
      <c r="AG86" s="229"/>
      <c r="AH86" s="229"/>
      <c r="AI86" s="229"/>
      <c r="AJ86" s="218"/>
      <c r="AK86" s="218"/>
      <c r="AL86" s="218"/>
      <c r="AM86" s="218"/>
    </row>
    <row r="87" spans="1:39" ht="12.75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29"/>
      <c r="AJ87" s="218"/>
      <c r="AK87" s="218"/>
      <c r="AL87" s="218"/>
      <c r="AM87" s="218"/>
    </row>
    <row r="88" spans="1:39" ht="12.75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229"/>
      <c r="AI88" s="229"/>
      <c r="AJ88" s="218"/>
      <c r="AK88" s="218"/>
      <c r="AL88" s="218"/>
      <c r="AM88" s="218"/>
    </row>
    <row r="89" spans="1:39" ht="12.75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229"/>
      <c r="AI89" s="229"/>
      <c r="AJ89" s="218"/>
      <c r="AK89" s="218"/>
      <c r="AL89" s="218"/>
      <c r="AM89" s="218"/>
    </row>
    <row r="90" spans="1:39" ht="12.75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229"/>
      <c r="AI90" s="229"/>
      <c r="AJ90" s="218"/>
      <c r="AK90" s="218"/>
      <c r="AL90" s="218"/>
      <c r="AM90" s="218"/>
    </row>
    <row r="91" spans="1:39" ht="12.75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229"/>
      <c r="AI91" s="229"/>
      <c r="AJ91" s="218"/>
      <c r="AK91" s="218"/>
      <c r="AL91" s="218"/>
      <c r="AM91" s="218"/>
    </row>
    <row r="92" spans="1:39" ht="12.75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229"/>
      <c r="AI92" s="229"/>
      <c r="AJ92" s="218"/>
      <c r="AK92" s="218"/>
      <c r="AL92" s="218"/>
      <c r="AM92" s="218"/>
    </row>
    <row r="93" spans="1:39" ht="12.75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29"/>
      <c r="AI93" s="229"/>
      <c r="AJ93" s="218"/>
      <c r="AK93" s="218"/>
      <c r="AL93" s="218"/>
      <c r="AM93" s="218"/>
    </row>
    <row r="94" spans="1:39" ht="12.75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  <c r="AA94" s="229"/>
      <c r="AB94" s="229"/>
      <c r="AC94" s="229"/>
      <c r="AD94" s="229"/>
      <c r="AE94" s="229"/>
      <c r="AF94" s="229"/>
      <c r="AG94" s="229"/>
      <c r="AH94" s="229"/>
      <c r="AI94" s="229"/>
      <c r="AJ94" s="218"/>
      <c r="AK94" s="218"/>
      <c r="AL94" s="218"/>
      <c r="AM94" s="218"/>
    </row>
    <row r="95" spans="1:39" ht="12.75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29"/>
      <c r="AJ95" s="218"/>
      <c r="AK95" s="218"/>
      <c r="AL95" s="218"/>
      <c r="AM95" s="218"/>
    </row>
    <row r="96" spans="1:39" ht="12.75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229"/>
      <c r="AI96" s="229"/>
      <c r="AJ96" s="218"/>
      <c r="AK96" s="218"/>
      <c r="AL96" s="218"/>
      <c r="AM96" s="218"/>
    </row>
    <row r="97" spans="1:39" ht="12.75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229"/>
      <c r="AI97" s="229"/>
      <c r="AJ97" s="218"/>
      <c r="AK97" s="218"/>
      <c r="AL97" s="218"/>
      <c r="AM97" s="218"/>
    </row>
    <row r="98" spans="1:39" ht="12.75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229"/>
      <c r="AI98" s="229"/>
      <c r="AJ98" s="218"/>
      <c r="AK98" s="218"/>
      <c r="AL98" s="218"/>
      <c r="AM98" s="218"/>
    </row>
    <row r="99" spans="1:39" ht="12.75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229"/>
      <c r="AI99" s="229"/>
      <c r="AJ99" s="218"/>
      <c r="AK99" s="218"/>
      <c r="AL99" s="218"/>
      <c r="AM99" s="218"/>
    </row>
    <row r="100" spans="1:39" ht="12.75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229"/>
      <c r="AI100" s="229"/>
      <c r="AJ100" s="218"/>
      <c r="AK100" s="218"/>
      <c r="AL100" s="218"/>
      <c r="AM100" s="218"/>
    </row>
    <row r="101" spans="1:39" ht="12.75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29"/>
      <c r="AI101" s="229"/>
      <c r="AJ101" s="218"/>
      <c r="AK101" s="218"/>
      <c r="AL101" s="218"/>
      <c r="AM101" s="218"/>
    </row>
    <row r="102" spans="1:39" ht="12.75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  <c r="AA102" s="229"/>
      <c r="AB102" s="229"/>
      <c r="AC102" s="229"/>
      <c r="AD102" s="229"/>
      <c r="AE102" s="229"/>
      <c r="AF102" s="229"/>
      <c r="AG102" s="229"/>
      <c r="AH102" s="229"/>
      <c r="AI102" s="229"/>
      <c r="AJ102" s="218"/>
      <c r="AK102" s="218"/>
      <c r="AL102" s="218"/>
      <c r="AM102" s="218"/>
    </row>
    <row r="103" spans="1:39" ht="12.75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  <c r="AA103" s="229"/>
      <c r="AB103" s="229"/>
      <c r="AC103" s="229"/>
      <c r="AD103" s="229"/>
      <c r="AE103" s="229"/>
      <c r="AF103" s="229"/>
      <c r="AG103" s="229"/>
      <c r="AH103" s="229"/>
      <c r="AI103" s="229"/>
      <c r="AJ103" s="218"/>
      <c r="AK103" s="218"/>
      <c r="AL103" s="218"/>
      <c r="AM103" s="218"/>
    </row>
    <row r="104" spans="1:39" ht="12.75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229"/>
      <c r="AI104" s="229"/>
      <c r="AJ104" s="218"/>
      <c r="AK104" s="218"/>
      <c r="AL104" s="218"/>
      <c r="AM104" s="218"/>
    </row>
    <row r="105" spans="1:39" ht="12.75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229"/>
      <c r="AI105" s="229"/>
      <c r="AJ105" s="218"/>
      <c r="AK105" s="218"/>
      <c r="AL105" s="218"/>
      <c r="AM105" s="218"/>
    </row>
    <row r="106" spans="1:39" ht="12.75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229"/>
      <c r="AI106" s="229"/>
      <c r="AJ106" s="218"/>
      <c r="AK106" s="218"/>
      <c r="AL106" s="218"/>
      <c r="AM106" s="218"/>
    </row>
    <row r="107" spans="1:39" ht="12.75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  <c r="AA107" s="229"/>
      <c r="AB107" s="229"/>
      <c r="AC107" s="229"/>
      <c r="AD107" s="229"/>
      <c r="AE107" s="229"/>
      <c r="AF107" s="229"/>
      <c r="AG107" s="229"/>
      <c r="AH107" s="229"/>
      <c r="AI107" s="229"/>
      <c r="AJ107" s="218"/>
      <c r="AK107" s="218"/>
      <c r="AL107" s="218"/>
      <c r="AM107" s="218"/>
    </row>
    <row r="108" spans="1:39" ht="12.75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  <c r="AA108" s="229"/>
      <c r="AB108" s="229"/>
      <c r="AC108" s="229"/>
      <c r="AD108" s="229"/>
      <c r="AE108" s="229"/>
      <c r="AF108" s="229"/>
      <c r="AG108" s="229"/>
      <c r="AH108" s="229"/>
      <c r="AI108" s="229"/>
      <c r="AJ108" s="218"/>
      <c r="AK108" s="218"/>
      <c r="AL108" s="218"/>
      <c r="AM108" s="218"/>
    </row>
    <row r="109" spans="1:39" ht="12.75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  <c r="AA109" s="229"/>
      <c r="AB109" s="229"/>
      <c r="AC109" s="229"/>
      <c r="AD109" s="229"/>
      <c r="AE109" s="229"/>
      <c r="AF109" s="229"/>
      <c r="AG109" s="229"/>
      <c r="AH109" s="229"/>
      <c r="AI109" s="229"/>
      <c r="AJ109" s="218"/>
      <c r="AK109" s="218"/>
      <c r="AL109" s="218"/>
      <c r="AM109" s="218"/>
    </row>
    <row r="110" spans="1:39" ht="12.75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  <c r="AA110" s="229"/>
      <c r="AB110" s="229"/>
      <c r="AC110" s="229"/>
      <c r="AD110" s="229"/>
      <c r="AE110" s="229"/>
      <c r="AF110" s="229"/>
      <c r="AG110" s="229"/>
      <c r="AH110" s="229"/>
      <c r="AI110" s="229"/>
      <c r="AJ110" s="218"/>
      <c r="AK110" s="218"/>
      <c r="AL110" s="218"/>
      <c r="AM110" s="218"/>
    </row>
    <row r="111" spans="1:39" ht="12.75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29"/>
      <c r="AJ111" s="218"/>
      <c r="AK111" s="218"/>
      <c r="AL111" s="218"/>
      <c r="AM111" s="218"/>
    </row>
    <row r="112" spans="1:39" ht="12.75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229"/>
      <c r="AI112" s="229"/>
      <c r="AJ112" s="218"/>
      <c r="AK112" s="218"/>
      <c r="AL112" s="218"/>
      <c r="AM112" s="218"/>
    </row>
    <row r="113" spans="1:39" ht="12.75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229"/>
      <c r="AI113" s="229"/>
      <c r="AJ113" s="218"/>
      <c r="AK113" s="218"/>
      <c r="AL113" s="218"/>
      <c r="AM113" s="218"/>
    </row>
    <row r="114" spans="1:39" ht="12.75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229"/>
      <c r="AI114" s="229"/>
      <c r="AJ114" s="218"/>
      <c r="AK114" s="218"/>
      <c r="AL114" s="218"/>
      <c r="AM114" s="218"/>
    </row>
    <row r="115" spans="1:39" ht="12.75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229"/>
      <c r="AI115" s="229"/>
      <c r="AJ115" s="218"/>
      <c r="AK115" s="218"/>
      <c r="AL115" s="218"/>
      <c r="AM115" s="218"/>
    </row>
    <row r="116" spans="1:39" ht="12.75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229"/>
      <c r="AI116" s="229"/>
      <c r="AJ116" s="218"/>
      <c r="AK116" s="218"/>
      <c r="AL116" s="218"/>
      <c r="AM116" s="218"/>
    </row>
    <row r="117" spans="1:39" ht="12.75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29"/>
      <c r="AI117" s="229"/>
      <c r="AJ117" s="218"/>
      <c r="AK117" s="218"/>
      <c r="AL117" s="218"/>
      <c r="AM117" s="218"/>
    </row>
    <row r="118" spans="1:39" ht="12.75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  <c r="AA118" s="229"/>
      <c r="AB118" s="229"/>
      <c r="AC118" s="229"/>
      <c r="AD118" s="229"/>
      <c r="AE118" s="229"/>
      <c r="AF118" s="229"/>
      <c r="AG118" s="229"/>
      <c r="AH118" s="229"/>
      <c r="AI118" s="229"/>
      <c r="AJ118" s="218"/>
      <c r="AK118" s="218"/>
      <c r="AL118" s="218"/>
      <c r="AM118" s="218"/>
    </row>
    <row r="119" spans="1:39" ht="12.75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29"/>
      <c r="AJ119" s="218"/>
      <c r="AK119" s="218"/>
      <c r="AL119" s="218"/>
      <c r="AM119" s="218"/>
    </row>
    <row r="120" spans="1:39" ht="12.75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229"/>
      <c r="AI120" s="229"/>
      <c r="AJ120" s="218"/>
      <c r="AK120" s="218"/>
      <c r="AL120" s="218"/>
      <c r="AM120" s="218"/>
    </row>
    <row r="121" spans="1:39" ht="12.75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229"/>
      <c r="AI121" s="229"/>
      <c r="AJ121" s="218"/>
      <c r="AK121" s="218"/>
      <c r="AL121" s="218"/>
      <c r="AM121" s="218"/>
    </row>
    <row r="122" spans="1:39" ht="12.75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229"/>
      <c r="AI122" s="229"/>
      <c r="AJ122" s="218"/>
      <c r="AK122" s="218"/>
      <c r="AL122" s="218"/>
      <c r="AM122" s="218"/>
    </row>
    <row r="123" spans="1:39" ht="12.75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229"/>
      <c r="AI123" s="229"/>
      <c r="AJ123" s="218"/>
      <c r="AK123" s="218"/>
      <c r="AL123" s="218"/>
      <c r="AM123" s="218"/>
    </row>
    <row r="124" spans="1:39" ht="12.75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229"/>
      <c r="AI124" s="229"/>
      <c r="AJ124" s="218"/>
      <c r="AK124" s="218"/>
      <c r="AL124" s="218"/>
      <c r="AM124" s="218"/>
    </row>
    <row r="125" spans="1:39" ht="12.75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29"/>
      <c r="AI125" s="229"/>
      <c r="AJ125" s="218"/>
      <c r="AK125" s="218"/>
      <c r="AL125" s="218"/>
      <c r="AM125" s="218"/>
    </row>
    <row r="126" spans="1:39" ht="12.75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  <c r="AA126" s="229"/>
      <c r="AB126" s="229"/>
      <c r="AC126" s="229"/>
      <c r="AD126" s="229"/>
      <c r="AE126" s="229"/>
      <c r="AF126" s="229"/>
      <c r="AG126" s="229"/>
      <c r="AH126" s="229"/>
      <c r="AI126" s="229"/>
      <c r="AJ126" s="218"/>
      <c r="AK126" s="218"/>
      <c r="AL126" s="218"/>
      <c r="AM126" s="218"/>
    </row>
    <row r="127" spans="1:39" ht="12.75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29"/>
      <c r="AJ127" s="218"/>
      <c r="AK127" s="218"/>
      <c r="AL127" s="218"/>
      <c r="AM127" s="218"/>
    </row>
    <row r="128" spans="1:39" ht="12.75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229"/>
      <c r="AI128" s="229"/>
      <c r="AJ128" s="218"/>
      <c r="AK128" s="218"/>
      <c r="AL128" s="218"/>
      <c r="AM128" s="218"/>
    </row>
    <row r="129" spans="1:39" ht="12.75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229"/>
      <c r="AI129" s="229"/>
      <c r="AJ129" s="218"/>
      <c r="AK129" s="218"/>
      <c r="AL129" s="218"/>
      <c r="AM129" s="218"/>
    </row>
    <row r="130" spans="1:39" ht="12.75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229"/>
      <c r="AI130" s="229"/>
      <c r="AJ130" s="218"/>
      <c r="AK130" s="218"/>
      <c r="AL130" s="218"/>
      <c r="AM130" s="218"/>
    </row>
    <row r="131" spans="1:39" ht="12.75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229"/>
      <c r="AI131" s="229"/>
      <c r="AJ131" s="218"/>
      <c r="AK131" s="218"/>
      <c r="AL131" s="218"/>
      <c r="AM131" s="218"/>
    </row>
    <row r="132" spans="1:39" ht="12.75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229"/>
      <c r="AI132" s="229"/>
      <c r="AJ132" s="218"/>
      <c r="AK132" s="218"/>
      <c r="AL132" s="218"/>
      <c r="AM132" s="218"/>
    </row>
    <row r="133" spans="1:39" ht="12.75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29"/>
      <c r="AI133" s="229"/>
      <c r="AJ133" s="218"/>
      <c r="AK133" s="218"/>
      <c r="AL133" s="218"/>
      <c r="AM133" s="218"/>
    </row>
    <row r="134" spans="1:39" ht="12.75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  <c r="AA134" s="229"/>
      <c r="AB134" s="229"/>
      <c r="AC134" s="229"/>
      <c r="AD134" s="229"/>
      <c r="AE134" s="229"/>
      <c r="AF134" s="229"/>
      <c r="AG134" s="229"/>
      <c r="AH134" s="229"/>
      <c r="AI134" s="229"/>
      <c r="AJ134" s="218"/>
      <c r="AK134" s="218"/>
      <c r="AL134" s="218"/>
      <c r="AM134" s="218"/>
    </row>
    <row r="135" spans="1:39" ht="12.75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  <c r="AA135" s="229"/>
      <c r="AB135" s="229"/>
      <c r="AC135" s="229"/>
      <c r="AD135" s="229"/>
      <c r="AE135" s="229"/>
      <c r="AF135" s="229"/>
      <c r="AG135" s="229"/>
      <c r="AH135" s="229"/>
      <c r="AI135" s="229"/>
      <c r="AJ135" s="218"/>
      <c r="AK135" s="218"/>
      <c r="AL135" s="218"/>
      <c r="AM135" s="218"/>
    </row>
    <row r="136" spans="1:39" ht="12.75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  <c r="AA136" s="229"/>
      <c r="AB136" s="229"/>
      <c r="AC136" s="229"/>
      <c r="AD136" s="229"/>
      <c r="AE136" s="229"/>
      <c r="AF136" s="229"/>
      <c r="AG136" s="229"/>
      <c r="AH136" s="229"/>
      <c r="AI136" s="229"/>
      <c r="AJ136" s="218"/>
      <c r="AK136" s="218"/>
      <c r="AL136" s="218"/>
      <c r="AM136" s="218"/>
    </row>
    <row r="137" spans="1:39" ht="12.75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229"/>
      <c r="AI137" s="229"/>
      <c r="AJ137" s="218"/>
      <c r="AK137" s="218"/>
      <c r="AL137" s="218"/>
      <c r="AM137" s="218"/>
    </row>
    <row r="138" spans="1:39" ht="12.75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229"/>
      <c r="AI138" s="229"/>
      <c r="AJ138" s="218"/>
      <c r="AK138" s="218"/>
      <c r="AL138" s="218"/>
      <c r="AM138" s="218"/>
    </row>
    <row r="139" spans="1:39" ht="12.75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  <c r="AA139" s="229"/>
      <c r="AB139" s="229"/>
      <c r="AC139" s="229"/>
      <c r="AD139" s="229"/>
      <c r="AE139" s="229"/>
      <c r="AF139" s="229"/>
      <c r="AG139" s="229"/>
      <c r="AH139" s="229"/>
      <c r="AI139" s="229"/>
      <c r="AJ139" s="218"/>
      <c r="AK139" s="218"/>
      <c r="AL139" s="218"/>
      <c r="AM139" s="218"/>
    </row>
    <row r="140" spans="1:39" ht="12.75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  <c r="AA140" s="229"/>
      <c r="AB140" s="229"/>
      <c r="AC140" s="229"/>
      <c r="AD140" s="229"/>
      <c r="AE140" s="229"/>
      <c r="AF140" s="229"/>
      <c r="AG140" s="229"/>
      <c r="AH140" s="229"/>
      <c r="AI140" s="229"/>
      <c r="AJ140" s="218"/>
      <c r="AK140" s="218"/>
      <c r="AL140" s="218"/>
      <c r="AM140" s="218"/>
    </row>
    <row r="141" spans="1:39" ht="12.75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  <c r="AA141" s="229"/>
      <c r="AB141" s="229"/>
      <c r="AC141" s="229"/>
      <c r="AD141" s="229"/>
      <c r="AE141" s="229"/>
      <c r="AF141" s="229"/>
      <c r="AG141" s="229"/>
      <c r="AH141" s="229"/>
      <c r="AI141" s="229"/>
      <c r="AJ141" s="218"/>
      <c r="AK141" s="218"/>
      <c r="AL141" s="218"/>
      <c r="AM141" s="218"/>
    </row>
    <row r="142" spans="1:39" ht="12.75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  <c r="AA142" s="229"/>
      <c r="AB142" s="229"/>
      <c r="AC142" s="229"/>
      <c r="AD142" s="229"/>
      <c r="AE142" s="229"/>
      <c r="AF142" s="229"/>
      <c r="AG142" s="229"/>
      <c r="AH142" s="229"/>
      <c r="AI142" s="229"/>
      <c r="AJ142" s="218"/>
      <c r="AK142" s="218"/>
      <c r="AL142" s="218"/>
      <c r="AM142" s="218"/>
    </row>
    <row r="143" spans="1:39" ht="12.75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29"/>
      <c r="AJ143" s="218"/>
      <c r="AK143" s="218"/>
      <c r="AL143" s="218"/>
      <c r="AM143" s="218"/>
    </row>
    <row r="144" spans="1:39" ht="12.75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229"/>
      <c r="AI144" s="229"/>
      <c r="AJ144" s="218"/>
      <c r="AK144" s="218"/>
      <c r="AL144" s="218"/>
      <c r="AM144" s="218"/>
    </row>
    <row r="145" spans="1:39" ht="12.75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229"/>
      <c r="AI145" s="229"/>
      <c r="AJ145" s="218"/>
      <c r="AK145" s="218"/>
      <c r="AL145" s="218"/>
      <c r="AM145" s="218"/>
    </row>
    <row r="146" spans="1:39" ht="12.75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229"/>
      <c r="AI146" s="229"/>
      <c r="AJ146" s="218"/>
      <c r="AK146" s="218"/>
      <c r="AL146" s="218"/>
      <c r="AM146" s="218"/>
    </row>
    <row r="147" spans="1:39" ht="12.75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229"/>
      <c r="AI147" s="229"/>
      <c r="AJ147" s="218"/>
      <c r="AK147" s="218"/>
      <c r="AL147" s="218"/>
      <c r="AM147" s="218"/>
    </row>
    <row r="148" spans="1:39" ht="12.75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229"/>
      <c r="AI148" s="229"/>
      <c r="AJ148" s="218"/>
      <c r="AK148" s="218"/>
      <c r="AL148" s="218"/>
      <c r="AM148" s="218"/>
    </row>
    <row r="149" spans="1:39" ht="12.75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29"/>
      <c r="AI149" s="229"/>
      <c r="AJ149" s="218"/>
      <c r="AK149" s="218"/>
      <c r="AL149" s="218"/>
      <c r="AM149" s="218"/>
    </row>
    <row r="150" spans="1:39" ht="12.75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  <c r="AA150" s="229"/>
      <c r="AB150" s="229"/>
      <c r="AC150" s="229"/>
      <c r="AD150" s="229"/>
      <c r="AE150" s="229"/>
      <c r="AF150" s="229"/>
      <c r="AG150" s="229"/>
      <c r="AH150" s="229"/>
      <c r="AI150" s="229"/>
      <c r="AJ150" s="218"/>
      <c r="AK150" s="218"/>
      <c r="AL150" s="218"/>
      <c r="AM150" s="218"/>
    </row>
    <row r="151" spans="1:39" ht="12.75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29"/>
      <c r="AJ151" s="218"/>
      <c r="AK151" s="218"/>
      <c r="AL151" s="218"/>
      <c r="AM151" s="218"/>
    </row>
    <row r="152" spans="1:39" ht="12.75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229"/>
      <c r="AI152" s="229"/>
      <c r="AJ152" s="218"/>
      <c r="AK152" s="218"/>
      <c r="AL152" s="218"/>
      <c r="AM152" s="218"/>
    </row>
    <row r="153" spans="1:39" ht="12.75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229"/>
      <c r="AI153" s="229"/>
      <c r="AJ153" s="218"/>
      <c r="AK153" s="218"/>
      <c r="AL153" s="218"/>
      <c r="AM153" s="218"/>
    </row>
    <row r="154" spans="1:39" ht="12.75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229"/>
      <c r="AI154" s="229"/>
      <c r="AJ154" s="218"/>
      <c r="AK154" s="218"/>
      <c r="AL154" s="218"/>
      <c r="AM154" s="218"/>
    </row>
    <row r="155" spans="1:39" ht="12.75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229"/>
      <c r="AI155" s="229"/>
      <c r="AJ155" s="218"/>
      <c r="AK155" s="218"/>
      <c r="AL155" s="218"/>
      <c r="AM155" s="218"/>
    </row>
    <row r="156" spans="1:39" ht="12.75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18"/>
      <c r="AK156" s="218"/>
      <c r="AL156" s="218"/>
      <c r="AM156" s="218"/>
    </row>
    <row r="157" spans="1:39" ht="12.75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18"/>
      <c r="AK157" s="218"/>
      <c r="AL157" s="218"/>
      <c r="AM157" s="218"/>
    </row>
    <row r="158" spans="1:39" ht="12.75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  <c r="AB158" s="229"/>
      <c r="AC158" s="229"/>
      <c r="AD158" s="229"/>
      <c r="AE158" s="229"/>
      <c r="AF158" s="229"/>
      <c r="AG158" s="229"/>
      <c r="AH158" s="229"/>
      <c r="AI158" s="229"/>
      <c r="AJ158" s="218"/>
      <c r="AK158" s="218"/>
      <c r="AL158" s="218"/>
      <c r="AM158" s="218"/>
    </row>
    <row r="159" spans="1:39" ht="12.75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29"/>
      <c r="AJ159" s="218"/>
      <c r="AK159" s="218"/>
      <c r="AL159" s="218"/>
      <c r="AM159" s="218"/>
    </row>
    <row r="160" spans="1:39" ht="12.75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229"/>
      <c r="AI160" s="229"/>
      <c r="AJ160" s="218"/>
      <c r="AK160" s="218"/>
      <c r="AL160" s="218"/>
      <c r="AM160" s="218"/>
    </row>
    <row r="161" spans="1:39" ht="12.75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229"/>
      <c r="AI161" s="229"/>
      <c r="AJ161" s="218"/>
      <c r="AK161" s="218"/>
      <c r="AL161" s="218"/>
      <c r="AM161" s="218"/>
    </row>
    <row r="162" spans="1:39" ht="12.75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229"/>
      <c r="AI162" s="229"/>
      <c r="AJ162" s="218"/>
      <c r="AK162" s="218"/>
      <c r="AL162" s="218"/>
      <c r="AM162" s="218"/>
    </row>
    <row r="163" spans="1:39" ht="12.75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229"/>
      <c r="AI163" s="229"/>
      <c r="AJ163" s="218"/>
      <c r="AK163" s="218"/>
      <c r="AL163" s="218"/>
      <c r="AM163" s="218"/>
    </row>
    <row r="164" spans="1:39" ht="12.75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229"/>
      <c r="AI164" s="229"/>
      <c r="AJ164" s="218"/>
      <c r="AK164" s="218"/>
      <c r="AL164" s="218"/>
      <c r="AM164" s="218"/>
    </row>
    <row r="165" spans="1:39" ht="12.75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29"/>
      <c r="AI165" s="229"/>
      <c r="AJ165" s="218"/>
      <c r="AK165" s="218"/>
      <c r="AL165" s="218"/>
      <c r="AM165" s="218"/>
    </row>
    <row r="166" spans="1:39" ht="12.75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  <c r="AA166" s="229"/>
      <c r="AB166" s="229"/>
      <c r="AC166" s="229"/>
      <c r="AD166" s="229"/>
      <c r="AE166" s="229"/>
      <c r="AF166" s="229"/>
      <c r="AG166" s="229"/>
      <c r="AH166" s="229"/>
      <c r="AI166" s="229"/>
      <c r="AJ166" s="218"/>
      <c r="AK166" s="218"/>
      <c r="AL166" s="218"/>
      <c r="AM166" s="218"/>
    </row>
    <row r="167" spans="1:39" ht="12.75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  <c r="AA167" s="229"/>
      <c r="AB167" s="229"/>
      <c r="AC167" s="229"/>
      <c r="AD167" s="229"/>
      <c r="AE167" s="229"/>
      <c r="AF167" s="229"/>
      <c r="AG167" s="229"/>
      <c r="AH167" s="229"/>
      <c r="AI167" s="229"/>
      <c r="AJ167" s="218"/>
      <c r="AK167" s="218"/>
      <c r="AL167" s="218"/>
      <c r="AM167" s="218"/>
    </row>
    <row r="168" spans="1:39" ht="12.75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29"/>
      <c r="AJ168" s="218"/>
      <c r="AK168" s="218"/>
      <c r="AL168" s="218"/>
      <c r="AM168" s="218"/>
    </row>
    <row r="169" spans="1:39" ht="12.75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29"/>
      <c r="AI169" s="229"/>
      <c r="AJ169" s="218"/>
      <c r="AK169" s="218"/>
      <c r="AL169" s="218"/>
      <c r="AM169" s="218"/>
    </row>
    <row r="170" spans="1:39" ht="12.75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  <c r="AA170" s="229"/>
      <c r="AB170" s="229"/>
      <c r="AC170" s="229"/>
      <c r="AD170" s="229"/>
      <c r="AE170" s="229"/>
      <c r="AF170" s="229"/>
      <c r="AG170" s="229"/>
      <c r="AH170" s="229"/>
      <c r="AI170" s="229"/>
      <c r="AJ170" s="218"/>
      <c r="AK170" s="218"/>
      <c r="AL170" s="218"/>
      <c r="AM170" s="218"/>
    </row>
    <row r="171" spans="1:39" ht="12.75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  <c r="AA171" s="229"/>
      <c r="AB171" s="229"/>
      <c r="AC171" s="229"/>
      <c r="AD171" s="229"/>
      <c r="AE171" s="229"/>
      <c r="AF171" s="229"/>
      <c r="AG171" s="229"/>
      <c r="AH171" s="229"/>
      <c r="AI171" s="229"/>
      <c r="AJ171" s="218"/>
      <c r="AK171" s="218"/>
      <c r="AL171" s="218"/>
      <c r="AM171" s="218"/>
    </row>
    <row r="172" spans="1:39" ht="12.75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29"/>
      <c r="AJ172" s="218"/>
      <c r="AK172" s="218"/>
      <c r="AL172" s="218"/>
      <c r="AM172" s="218"/>
    </row>
    <row r="173" spans="1:39" ht="12.75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29"/>
      <c r="AI173" s="229"/>
      <c r="AJ173" s="218"/>
      <c r="AK173" s="218"/>
      <c r="AL173" s="218"/>
      <c r="AM173" s="218"/>
    </row>
    <row r="174" spans="1:39" ht="12.75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  <c r="AA174" s="229"/>
      <c r="AB174" s="229"/>
      <c r="AC174" s="229"/>
      <c r="AD174" s="229"/>
      <c r="AE174" s="229"/>
      <c r="AF174" s="229"/>
      <c r="AG174" s="229"/>
      <c r="AH174" s="229"/>
      <c r="AI174" s="229"/>
      <c r="AJ174" s="218"/>
      <c r="AK174" s="218"/>
      <c r="AL174" s="218"/>
      <c r="AM174" s="218"/>
    </row>
    <row r="175" spans="1:39" ht="12.75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  <c r="AA175" s="229"/>
      <c r="AB175" s="229"/>
      <c r="AC175" s="229"/>
      <c r="AD175" s="229"/>
      <c r="AE175" s="229"/>
      <c r="AF175" s="229"/>
      <c r="AG175" s="229"/>
      <c r="AH175" s="229"/>
      <c r="AI175" s="229"/>
      <c r="AJ175" s="218"/>
      <c r="AK175" s="218"/>
      <c r="AL175" s="218"/>
      <c r="AM175" s="218"/>
    </row>
    <row r="176" spans="1:39" ht="12.75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29"/>
      <c r="AJ176" s="218"/>
      <c r="AK176" s="218"/>
      <c r="AL176" s="218"/>
      <c r="AM176" s="218"/>
    </row>
    <row r="177" spans="1:39" ht="12.75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29"/>
      <c r="AI177" s="229"/>
      <c r="AJ177" s="218"/>
      <c r="AK177" s="218"/>
      <c r="AL177" s="218"/>
      <c r="AM177" s="218"/>
    </row>
    <row r="178" spans="1:39" ht="12.75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  <c r="AA178" s="229"/>
      <c r="AB178" s="229"/>
      <c r="AC178" s="229"/>
      <c r="AD178" s="229"/>
      <c r="AE178" s="229"/>
      <c r="AF178" s="229"/>
      <c r="AG178" s="229"/>
      <c r="AH178" s="229"/>
      <c r="AI178" s="229"/>
      <c r="AJ178" s="218"/>
      <c r="AK178" s="218"/>
      <c r="AL178" s="218"/>
      <c r="AM178" s="218"/>
    </row>
    <row r="179" spans="1:39" ht="12.75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  <c r="AA179" s="229"/>
      <c r="AB179" s="229"/>
      <c r="AC179" s="229"/>
      <c r="AD179" s="229"/>
      <c r="AE179" s="229"/>
      <c r="AF179" s="229"/>
      <c r="AG179" s="229"/>
      <c r="AH179" s="229"/>
      <c r="AI179" s="229"/>
      <c r="AJ179" s="218"/>
      <c r="AK179" s="218"/>
      <c r="AL179" s="218"/>
      <c r="AM179" s="218"/>
    </row>
    <row r="180" spans="1:39" ht="12.75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29"/>
      <c r="AJ180" s="218"/>
      <c r="AK180" s="218"/>
      <c r="AL180" s="218"/>
      <c r="AM180" s="218"/>
    </row>
    <row r="181" spans="1:39" ht="12.75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29"/>
      <c r="AI181" s="229"/>
      <c r="AJ181" s="218"/>
      <c r="AK181" s="218"/>
      <c r="AL181" s="218"/>
      <c r="AM181" s="218"/>
    </row>
    <row r="182" spans="1:39" ht="12.75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  <c r="AA182" s="229"/>
      <c r="AB182" s="229"/>
      <c r="AC182" s="229"/>
      <c r="AD182" s="229"/>
      <c r="AE182" s="229"/>
      <c r="AF182" s="229"/>
      <c r="AG182" s="229"/>
      <c r="AH182" s="229"/>
      <c r="AI182" s="229"/>
      <c r="AJ182" s="218"/>
      <c r="AK182" s="218"/>
      <c r="AL182" s="218"/>
      <c r="AM182" s="218"/>
    </row>
    <row r="183" spans="1:39" ht="12.75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  <c r="AA183" s="229"/>
      <c r="AB183" s="229"/>
      <c r="AC183" s="229"/>
      <c r="AD183" s="229"/>
      <c r="AE183" s="229"/>
      <c r="AF183" s="229"/>
      <c r="AG183" s="229"/>
      <c r="AH183" s="229"/>
      <c r="AI183" s="229"/>
      <c r="AJ183" s="218"/>
      <c r="AK183" s="218"/>
      <c r="AL183" s="218"/>
      <c r="AM183" s="218"/>
    </row>
    <row r="184" spans="1:39" ht="12.75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29"/>
      <c r="AJ184" s="218"/>
      <c r="AK184" s="218"/>
      <c r="AL184" s="218"/>
      <c r="AM184" s="218"/>
    </row>
    <row r="185" spans="1:39" ht="12.75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29"/>
      <c r="AI185" s="229"/>
      <c r="AJ185" s="218"/>
      <c r="AK185" s="218"/>
      <c r="AL185" s="218"/>
      <c r="AM185" s="218"/>
    </row>
    <row r="186" spans="1:39" ht="12.75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  <c r="AA186" s="229"/>
      <c r="AB186" s="229"/>
      <c r="AC186" s="229"/>
      <c r="AD186" s="229"/>
      <c r="AE186" s="229"/>
      <c r="AF186" s="229"/>
      <c r="AG186" s="229"/>
      <c r="AH186" s="229"/>
      <c r="AI186" s="229"/>
      <c r="AJ186" s="218"/>
      <c r="AK186" s="218"/>
      <c r="AL186" s="218"/>
      <c r="AM186" s="218"/>
    </row>
    <row r="187" spans="1:39" ht="12.75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  <c r="AA187" s="229"/>
      <c r="AB187" s="229"/>
      <c r="AC187" s="229"/>
      <c r="AD187" s="229"/>
      <c r="AE187" s="229"/>
      <c r="AF187" s="229"/>
      <c r="AG187" s="229"/>
      <c r="AH187" s="229"/>
      <c r="AI187" s="229"/>
      <c r="AJ187" s="218"/>
      <c r="AK187" s="218"/>
      <c r="AL187" s="218"/>
      <c r="AM187" s="218"/>
    </row>
    <row r="188" spans="1:39" ht="12.75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29"/>
      <c r="AJ188" s="218"/>
      <c r="AK188" s="218"/>
      <c r="AL188" s="218"/>
      <c r="AM188" s="218"/>
    </row>
    <row r="189" spans="1:39" ht="12.75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29"/>
      <c r="AI189" s="229"/>
      <c r="AJ189" s="218"/>
      <c r="AK189" s="218"/>
      <c r="AL189" s="218"/>
      <c r="AM189" s="218"/>
    </row>
    <row r="190" spans="1:39" ht="12.75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  <c r="AA190" s="229"/>
      <c r="AB190" s="229"/>
      <c r="AC190" s="229"/>
      <c r="AD190" s="229"/>
      <c r="AE190" s="229"/>
      <c r="AF190" s="229"/>
      <c r="AG190" s="229"/>
      <c r="AH190" s="229"/>
      <c r="AI190" s="229"/>
      <c r="AJ190" s="218"/>
      <c r="AK190" s="218"/>
      <c r="AL190" s="218"/>
      <c r="AM190" s="218"/>
    </row>
    <row r="191" spans="1:39" ht="12.75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  <c r="AA191" s="229"/>
      <c r="AB191" s="229"/>
      <c r="AC191" s="229"/>
      <c r="AD191" s="229"/>
      <c r="AE191" s="229"/>
      <c r="AF191" s="229"/>
      <c r="AG191" s="229"/>
      <c r="AH191" s="229"/>
      <c r="AI191" s="229"/>
      <c r="AJ191" s="218"/>
      <c r="AK191" s="218"/>
      <c r="AL191" s="218"/>
      <c r="AM191" s="218"/>
    </row>
    <row r="192" spans="1:39" ht="12.75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29"/>
      <c r="AJ192" s="218"/>
      <c r="AK192" s="218"/>
      <c r="AL192" s="218"/>
      <c r="AM192" s="218"/>
    </row>
    <row r="193" spans="1:39" ht="12.75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29"/>
      <c r="AI193" s="229"/>
      <c r="AJ193" s="218"/>
      <c r="AK193" s="218"/>
      <c r="AL193" s="218"/>
      <c r="AM193" s="218"/>
    </row>
    <row r="194" spans="1:39" ht="12.75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  <c r="AA194" s="229"/>
      <c r="AB194" s="229"/>
      <c r="AC194" s="229"/>
      <c r="AD194" s="229"/>
      <c r="AE194" s="229"/>
      <c r="AF194" s="229"/>
      <c r="AG194" s="229"/>
      <c r="AH194" s="229"/>
      <c r="AI194" s="229"/>
      <c r="AJ194" s="218"/>
      <c r="AK194" s="218"/>
      <c r="AL194" s="218"/>
      <c r="AM194" s="218"/>
    </row>
    <row r="195" spans="1:39" ht="12.75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  <c r="AA195" s="229"/>
      <c r="AB195" s="229"/>
      <c r="AC195" s="229"/>
      <c r="AD195" s="229"/>
      <c r="AE195" s="229"/>
      <c r="AF195" s="229"/>
      <c r="AG195" s="229"/>
      <c r="AH195" s="229"/>
      <c r="AI195" s="229"/>
      <c r="AJ195" s="218"/>
      <c r="AK195" s="218"/>
      <c r="AL195" s="218"/>
      <c r="AM195" s="218"/>
    </row>
    <row r="196" spans="1:39" ht="12.75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29"/>
      <c r="AJ196" s="218"/>
      <c r="AK196" s="218"/>
      <c r="AL196" s="218"/>
      <c r="AM196" s="218"/>
    </row>
    <row r="197" spans="1:39" ht="12.75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29"/>
      <c r="AI197" s="229"/>
      <c r="AJ197" s="218"/>
      <c r="AK197" s="218"/>
      <c r="AL197" s="218"/>
      <c r="AM197" s="218"/>
    </row>
    <row r="198" spans="1:39" ht="12.75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  <c r="AA198" s="229"/>
      <c r="AB198" s="229"/>
      <c r="AC198" s="229"/>
      <c r="AD198" s="229"/>
      <c r="AE198" s="229"/>
      <c r="AF198" s="229"/>
      <c r="AG198" s="229"/>
      <c r="AH198" s="229"/>
      <c r="AI198" s="229"/>
      <c r="AJ198" s="218"/>
      <c r="AK198" s="218"/>
      <c r="AL198" s="218"/>
      <c r="AM198" s="218"/>
    </row>
    <row r="199" spans="1:39" ht="12.75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  <c r="AA199" s="229"/>
      <c r="AB199" s="229"/>
      <c r="AC199" s="229"/>
      <c r="AD199" s="229"/>
      <c r="AE199" s="229"/>
      <c r="AF199" s="229"/>
      <c r="AG199" s="229"/>
      <c r="AH199" s="229"/>
      <c r="AI199" s="229"/>
      <c r="AJ199" s="218"/>
      <c r="AK199" s="218"/>
      <c r="AL199" s="218"/>
      <c r="AM199" s="218"/>
    </row>
    <row r="200" spans="1:39" ht="12.75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  <c r="AA200" s="229"/>
      <c r="AB200" s="229"/>
      <c r="AC200" s="229"/>
      <c r="AD200" s="229"/>
      <c r="AE200" s="229"/>
      <c r="AF200" s="229"/>
      <c r="AG200" s="229"/>
      <c r="AH200" s="229"/>
      <c r="AI200" s="229"/>
      <c r="AJ200" s="218"/>
      <c r="AK200" s="218"/>
      <c r="AL200" s="218"/>
      <c r="AM200" s="218"/>
    </row>
    <row r="201" spans="1:39" ht="12.75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  <c r="AA201" s="229"/>
      <c r="AB201" s="229"/>
      <c r="AC201" s="229"/>
      <c r="AD201" s="229"/>
      <c r="AE201" s="229"/>
      <c r="AF201" s="229"/>
      <c r="AG201" s="229"/>
      <c r="AH201" s="229"/>
      <c r="AI201" s="229"/>
      <c r="AJ201" s="218"/>
      <c r="AK201" s="218"/>
      <c r="AL201" s="218"/>
      <c r="AM201" s="218"/>
    </row>
    <row r="202" spans="1:39" ht="12.75">
      <c r="A202" s="229"/>
      <c r="B202" s="229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  <c r="AA202" s="229"/>
      <c r="AB202" s="229"/>
      <c r="AC202" s="229"/>
      <c r="AD202" s="229"/>
      <c r="AE202" s="229"/>
      <c r="AF202" s="229"/>
      <c r="AG202" s="229"/>
      <c r="AH202" s="229"/>
      <c r="AI202" s="229"/>
      <c r="AJ202" s="218"/>
      <c r="AK202" s="218"/>
      <c r="AL202" s="218"/>
      <c r="AM202" s="218"/>
    </row>
    <row r="203" spans="1:39" ht="12.75">
      <c r="A203" s="229"/>
      <c r="B203" s="229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  <c r="AA203" s="229"/>
      <c r="AB203" s="229"/>
      <c r="AC203" s="229"/>
      <c r="AD203" s="229"/>
      <c r="AE203" s="229"/>
      <c r="AF203" s="229"/>
      <c r="AG203" s="229"/>
      <c r="AH203" s="229"/>
      <c r="AI203" s="229"/>
      <c r="AJ203" s="218"/>
      <c r="AK203" s="218"/>
      <c r="AL203" s="218"/>
      <c r="AM203" s="218"/>
    </row>
    <row r="204" spans="1:39" ht="12.75">
      <c r="A204" s="229"/>
      <c r="B204" s="229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  <c r="AA204" s="229"/>
      <c r="AB204" s="229"/>
      <c r="AC204" s="229"/>
      <c r="AD204" s="229"/>
      <c r="AE204" s="229"/>
      <c r="AF204" s="229"/>
      <c r="AG204" s="229"/>
      <c r="AH204" s="229"/>
      <c r="AI204" s="229"/>
      <c r="AJ204" s="218"/>
      <c r="AK204" s="218"/>
      <c r="AL204" s="218"/>
      <c r="AM204" s="218"/>
    </row>
    <row r="205" spans="1:39" ht="12.75">
      <c r="A205" s="229"/>
      <c r="B205" s="229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  <c r="AA205" s="229"/>
      <c r="AB205" s="229"/>
      <c r="AC205" s="229"/>
      <c r="AD205" s="229"/>
      <c r="AE205" s="229"/>
      <c r="AF205" s="229"/>
      <c r="AG205" s="229"/>
      <c r="AH205" s="229"/>
      <c r="AI205" s="229"/>
      <c r="AJ205" s="218"/>
      <c r="AK205" s="218"/>
      <c r="AL205" s="218"/>
      <c r="AM205" s="218"/>
    </row>
    <row r="206" spans="1:39" ht="12.75">
      <c r="A206" s="229"/>
      <c r="B206" s="229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  <c r="AA206" s="229"/>
      <c r="AB206" s="229"/>
      <c r="AC206" s="229"/>
      <c r="AD206" s="229"/>
      <c r="AE206" s="229"/>
      <c r="AF206" s="229"/>
      <c r="AG206" s="229"/>
      <c r="AH206" s="229"/>
      <c r="AI206" s="229"/>
      <c r="AJ206" s="218"/>
      <c r="AK206" s="218"/>
      <c r="AL206" s="218"/>
      <c r="AM206" s="218"/>
    </row>
    <row r="207" spans="1:39" ht="12.75">
      <c r="A207" s="229"/>
      <c r="B207" s="229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  <c r="AA207" s="229"/>
      <c r="AB207" s="229"/>
      <c r="AC207" s="229"/>
      <c r="AD207" s="229"/>
      <c r="AE207" s="229"/>
      <c r="AF207" s="229"/>
      <c r="AG207" s="229"/>
      <c r="AH207" s="229"/>
      <c r="AI207" s="229"/>
      <c r="AJ207" s="218"/>
      <c r="AK207" s="218"/>
      <c r="AL207" s="218"/>
      <c r="AM207" s="218"/>
    </row>
    <row r="208" spans="1:39" ht="12.75">
      <c r="A208" s="229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  <c r="AA208" s="229"/>
      <c r="AB208" s="229"/>
      <c r="AC208" s="229"/>
      <c r="AD208" s="229"/>
      <c r="AE208" s="229"/>
      <c r="AF208" s="229"/>
      <c r="AG208" s="229"/>
      <c r="AH208" s="229"/>
      <c r="AI208" s="229"/>
      <c r="AJ208" s="218"/>
      <c r="AK208" s="218"/>
      <c r="AL208" s="218"/>
      <c r="AM208" s="218"/>
    </row>
    <row r="209" spans="1:39" ht="12.75">
      <c r="A209" s="229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  <c r="AA209" s="229"/>
      <c r="AB209" s="229"/>
      <c r="AC209" s="229"/>
      <c r="AD209" s="229"/>
      <c r="AE209" s="229"/>
      <c r="AF209" s="229"/>
      <c r="AG209" s="229"/>
      <c r="AH209" s="229"/>
      <c r="AI209" s="229"/>
      <c r="AJ209" s="218"/>
      <c r="AK209" s="218"/>
      <c r="AL209" s="218"/>
      <c r="AM209" s="218"/>
    </row>
    <row r="210" spans="1:39" ht="12.75">
      <c r="A210" s="229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  <c r="AA210" s="229"/>
      <c r="AB210" s="229"/>
      <c r="AC210" s="229"/>
      <c r="AD210" s="229"/>
      <c r="AE210" s="229"/>
      <c r="AF210" s="229"/>
      <c r="AG210" s="229"/>
      <c r="AH210" s="229"/>
      <c r="AI210" s="229"/>
      <c r="AJ210" s="218"/>
      <c r="AK210" s="218"/>
      <c r="AL210" s="218"/>
      <c r="AM210" s="218"/>
    </row>
    <row r="211" spans="1:39" ht="12.75">
      <c r="A211" s="229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  <c r="AA211" s="229"/>
      <c r="AB211" s="229"/>
      <c r="AC211" s="229"/>
      <c r="AD211" s="229"/>
      <c r="AE211" s="229"/>
      <c r="AF211" s="229"/>
      <c r="AG211" s="229"/>
      <c r="AH211" s="229"/>
      <c r="AI211" s="229"/>
      <c r="AJ211" s="218"/>
      <c r="AK211" s="218"/>
      <c r="AL211" s="218"/>
      <c r="AM211" s="218"/>
    </row>
    <row r="212" spans="1:39" ht="12.75">
      <c r="A212" s="229"/>
      <c r="B212" s="229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  <c r="AA212" s="229"/>
      <c r="AB212" s="229"/>
      <c r="AC212" s="229"/>
      <c r="AD212" s="229"/>
      <c r="AE212" s="229"/>
      <c r="AF212" s="229"/>
      <c r="AG212" s="229"/>
      <c r="AH212" s="229"/>
      <c r="AI212" s="229"/>
      <c r="AJ212" s="218"/>
      <c r="AK212" s="218"/>
      <c r="AL212" s="218"/>
      <c r="AM212" s="218"/>
    </row>
    <row r="213" spans="1:39" ht="12.75">
      <c r="A213" s="229"/>
      <c r="B213" s="229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  <c r="AA213" s="229"/>
      <c r="AB213" s="229"/>
      <c r="AC213" s="229"/>
      <c r="AD213" s="229"/>
      <c r="AE213" s="229"/>
      <c r="AF213" s="229"/>
      <c r="AG213" s="229"/>
      <c r="AH213" s="229"/>
      <c r="AI213" s="229"/>
      <c r="AJ213" s="218"/>
      <c r="AK213" s="218"/>
      <c r="AL213" s="218"/>
      <c r="AM213" s="218"/>
    </row>
    <row r="214" spans="1:39" ht="12.75">
      <c r="A214" s="229"/>
      <c r="B214" s="229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  <c r="AA214" s="229"/>
      <c r="AB214" s="229"/>
      <c r="AC214" s="229"/>
      <c r="AD214" s="229"/>
      <c r="AE214" s="229"/>
      <c r="AF214" s="229"/>
      <c r="AG214" s="229"/>
      <c r="AH214" s="229"/>
      <c r="AI214" s="229"/>
      <c r="AJ214" s="218"/>
      <c r="AK214" s="218"/>
      <c r="AL214" s="218"/>
      <c r="AM214" s="218"/>
    </row>
    <row r="215" spans="1:39" ht="12.75">
      <c r="A215" s="229"/>
      <c r="B215" s="229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  <c r="AA215" s="229"/>
      <c r="AB215" s="229"/>
      <c r="AC215" s="229"/>
      <c r="AD215" s="229"/>
      <c r="AE215" s="229"/>
      <c r="AF215" s="229"/>
      <c r="AG215" s="229"/>
      <c r="AH215" s="229"/>
      <c r="AI215" s="229"/>
      <c r="AJ215" s="218"/>
      <c r="AK215" s="218"/>
      <c r="AL215" s="218"/>
      <c r="AM215" s="218"/>
    </row>
    <row r="216" spans="1:39" ht="12.75">
      <c r="A216" s="229"/>
      <c r="B216" s="229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  <c r="AA216" s="229"/>
      <c r="AB216" s="229"/>
      <c r="AC216" s="229"/>
      <c r="AD216" s="229"/>
      <c r="AE216" s="229"/>
      <c r="AF216" s="229"/>
      <c r="AG216" s="229"/>
      <c r="AH216" s="229"/>
      <c r="AI216" s="229"/>
      <c r="AJ216" s="218"/>
      <c r="AK216" s="218"/>
      <c r="AL216" s="218"/>
      <c r="AM216" s="218"/>
    </row>
    <row r="217" spans="1:39" ht="12.75">
      <c r="A217" s="229"/>
      <c r="B217" s="229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  <c r="AA217" s="229"/>
      <c r="AB217" s="229"/>
      <c r="AC217" s="229"/>
      <c r="AD217" s="229"/>
      <c r="AE217" s="229"/>
      <c r="AF217" s="229"/>
      <c r="AG217" s="229"/>
      <c r="AH217" s="229"/>
      <c r="AI217" s="229"/>
      <c r="AJ217" s="218"/>
      <c r="AK217" s="218"/>
      <c r="AL217" s="218"/>
      <c r="AM217" s="218"/>
    </row>
    <row r="218" spans="1:39" ht="12.75">
      <c r="A218" s="229"/>
      <c r="B218" s="229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  <c r="AA218" s="229"/>
      <c r="AB218" s="229"/>
      <c r="AC218" s="229"/>
      <c r="AD218" s="229"/>
      <c r="AE218" s="229"/>
      <c r="AF218" s="229"/>
      <c r="AG218" s="229"/>
      <c r="AH218" s="229"/>
      <c r="AI218" s="229"/>
      <c r="AJ218" s="218"/>
      <c r="AK218" s="218"/>
      <c r="AL218" s="218"/>
      <c r="AM218" s="218"/>
    </row>
    <row r="219" spans="1:39" ht="12.75">
      <c r="A219" s="229"/>
      <c r="B219" s="229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  <c r="AA219" s="229"/>
      <c r="AB219" s="229"/>
      <c r="AC219" s="229"/>
      <c r="AD219" s="229"/>
      <c r="AE219" s="229"/>
      <c r="AF219" s="229"/>
      <c r="AG219" s="229"/>
      <c r="AH219" s="229"/>
      <c r="AI219" s="229"/>
      <c r="AJ219" s="218"/>
      <c r="AK219" s="218"/>
      <c r="AL219" s="218"/>
      <c r="AM219" s="218"/>
    </row>
    <row r="220" spans="1:39" ht="12.75">
      <c r="A220" s="229"/>
      <c r="B220" s="229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  <c r="AA220" s="229"/>
      <c r="AB220" s="229"/>
      <c r="AC220" s="229"/>
      <c r="AD220" s="229"/>
      <c r="AE220" s="229"/>
      <c r="AF220" s="229"/>
      <c r="AG220" s="229"/>
      <c r="AH220" s="229"/>
      <c r="AI220" s="229"/>
      <c r="AJ220" s="218"/>
      <c r="AK220" s="218"/>
      <c r="AL220" s="218"/>
      <c r="AM220" s="218"/>
    </row>
    <row r="221" spans="1:39" ht="12.75">
      <c r="A221" s="229"/>
      <c r="B221" s="229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  <c r="AA221" s="229"/>
      <c r="AB221" s="229"/>
      <c r="AC221" s="229"/>
      <c r="AD221" s="229"/>
      <c r="AE221" s="229"/>
      <c r="AF221" s="229"/>
      <c r="AG221" s="229"/>
      <c r="AH221" s="229"/>
      <c r="AI221" s="229"/>
      <c r="AJ221" s="218"/>
      <c r="AK221" s="218"/>
      <c r="AL221" s="218"/>
      <c r="AM221" s="218"/>
    </row>
    <row r="222" spans="1:39" ht="12.75">
      <c r="A222" s="229"/>
      <c r="B222" s="229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  <c r="AA222" s="229"/>
      <c r="AB222" s="229"/>
      <c r="AC222" s="229"/>
      <c r="AD222" s="229"/>
      <c r="AE222" s="229"/>
      <c r="AF222" s="229"/>
      <c r="AG222" s="229"/>
      <c r="AH222" s="229"/>
      <c r="AI222" s="229"/>
      <c r="AJ222" s="218"/>
      <c r="AK222" s="218"/>
      <c r="AL222" s="218"/>
      <c r="AM222" s="218"/>
    </row>
    <row r="223" spans="1:39" ht="12.75">
      <c r="A223" s="229"/>
      <c r="B223" s="229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  <c r="AA223" s="229"/>
      <c r="AB223" s="229"/>
      <c r="AC223" s="229"/>
      <c r="AD223" s="229"/>
      <c r="AE223" s="229"/>
      <c r="AF223" s="229"/>
      <c r="AG223" s="229"/>
      <c r="AH223" s="229"/>
      <c r="AI223" s="229"/>
      <c r="AJ223" s="218"/>
      <c r="AK223" s="218"/>
      <c r="AL223" s="218"/>
      <c r="AM223" s="218"/>
    </row>
    <row r="224" spans="1:39" ht="12.75">
      <c r="A224" s="229"/>
      <c r="B224" s="229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  <c r="AA224" s="229"/>
      <c r="AB224" s="229"/>
      <c r="AC224" s="229"/>
      <c r="AD224" s="229"/>
      <c r="AE224" s="229"/>
      <c r="AF224" s="229"/>
      <c r="AG224" s="229"/>
      <c r="AH224" s="229"/>
      <c r="AI224" s="229"/>
      <c r="AJ224" s="218"/>
      <c r="AK224" s="218"/>
      <c r="AL224" s="218"/>
      <c r="AM224" s="218"/>
    </row>
    <row r="225" spans="1:39" ht="12.75">
      <c r="A225" s="229"/>
      <c r="B225" s="229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  <c r="AA225" s="229"/>
      <c r="AB225" s="229"/>
      <c r="AC225" s="229"/>
      <c r="AD225" s="229"/>
      <c r="AE225" s="229"/>
      <c r="AF225" s="229"/>
      <c r="AG225" s="229"/>
      <c r="AH225" s="229"/>
      <c r="AI225" s="229"/>
      <c r="AJ225" s="218"/>
      <c r="AK225" s="218"/>
      <c r="AL225" s="218"/>
      <c r="AM225" s="218"/>
    </row>
    <row r="226" spans="1:39" ht="12.75">
      <c r="A226" s="229"/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  <c r="AA226" s="229"/>
      <c r="AB226" s="229"/>
      <c r="AC226" s="229"/>
      <c r="AD226" s="229"/>
      <c r="AE226" s="229"/>
      <c r="AF226" s="229"/>
      <c r="AG226" s="229"/>
      <c r="AH226" s="229"/>
      <c r="AI226" s="229"/>
      <c r="AJ226" s="218"/>
      <c r="AK226" s="218"/>
      <c r="AL226" s="218"/>
      <c r="AM226" s="218"/>
    </row>
    <row r="227" spans="1:39" ht="12.75">
      <c r="A227" s="229"/>
      <c r="B227" s="229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  <c r="AA227" s="229"/>
      <c r="AB227" s="229"/>
      <c r="AC227" s="229"/>
      <c r="AD227" s="229"/>
      <c r="AE227" s="229"/>
      <c r="AF227" s="229"/>
      <c r="AG227" s="229"/>
      <c r="AH227" s="229"/>
      <c r="AI227" s="229"/>
      <c r="AJ227" s="218"/>
      <c r="AK227" s="218"/>
      <c r="AL227" s="218"/>
      <c r="AM227" s="218"/>
    </row>
    <row r="228" spans="1:39" ht="12.75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  <c r="AA228" s="229"/>
      <c r="AB228" s="229"/>
      <c r="AC228" s="229"/>
      <c r="AD228" s="229"/>
      <c r="AE228" s="229"/>
      <c r="AF228" s="229"/>
      <c r="AG228" s="229"/>
      <c r="AH228" s="229"/>
      <c r="AI228" s="229"/>
      <c r="AJ228" s="218"/>
      <c r="AK228" s="218"/>
      <c r="AL228" s="218"/>
      <c r="AM228" s="218"/>
    </row>
    <row r="229" spans="1:39" ht="12.75">
      <c r="A229" s="229"/>
      <c r="B229" s="229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  <c r="AA229" s="229"/>
      <c r="AB229" s="229"/>
      <c r="AC229" s="229"/>
      <c r="AD229" s="229"/>
      <c r="AE229" s="229"/>
      <c r="AF229" s="229"/>
      <c r="AG229" s="229"/>
      <c r="AH229" s="229"/>
      <c r="AI229" s="229"/>
      <c r="AJ229" s="218"/>
      <c r="AK229" s="218"/>
      <c r="AL229" s="218"/>
      <c r="AM229" s="218"/>
    </row>
    <row r="230" spans="1:39" ht="12.75">
      <c r="A230" s="229"/>
      <c r="B230" s="229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  <c r="AA230" s="229"/>
      <c r="AB230" s="229"/>
      <c r="AC230" s="229"/>
      <c r="AD230" s="229"/>
      <c r="AE230" s="229"/>
      <c r="AF230" s="229"/>
      <c r="AG230" s="229"/>
      <c r="AH230" s="229"/>
      <c r="AI230" s="229"/>
      <c r="AJ230" s="218"/>
      <c r="AK230" s="218"/>
      <c r="AL230" s="218"/>
      <c r="AM230" s="218"/>
    </row>
    <row r="231" spans="1:39" ht="12.75">
      <c r="A231" s="229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  <c r="AA231" s="229"/>
      <c r="AB231" s="229"/>
      <c r="AC231" s="229"/>
      <c r="AD231" s="229"/>
      <c r="AE231" s="229"/>
      <c r="AF231" s="229"/>
      <c r="AG231" s="229"/>
      <c r="AH231" s="229"/>
      <c r="AI231" s="229"/>
      <c r="AJ231" s="218"/>
      <c r="AK231" s="218"/>
      <c r="AL231" s="218"/>
      <c r="AM231" s="218"/>
    </row>
    <row r="232" spans="1:39" ht="12.75">
      <c r="A232" s="229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  <c r="AA232" s="229"/>
      <c r="AB232" s="229"/>
      <c r="AC232" s="229"/>
      <c r="AD232" s="229"/>
      <c r="AE232" s="229"/>
      <c r="AF232" s="229"/>
      <c r="AG232" s="229"/>
      <c r="AH232" s="229"/>
      <c r="AI232" s="229"/>
      <c r="AJ232" s="218"/>
      <c r="AK232" s="218"/>
      <c r="AL232" s="218"/>
      <c r="AM232" s="218"/>
    </row>
    <row r="233" spans="1:39" ht="12.75">
      <c r="A233" s="229"/>
      <c r="B233" s="229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  <c r="AA233" s="229"/>
      <c r="AB233" s="229"/>
      <c r="AC233" s="229"/>
      <c r="AD233" s="229"/>
      <c r="AE233" s="229"/>
      <c r="AF233" s="229"/>
      <c r="AG233" s="229"/>
      <c r="AH233" s="229"/>
      <c r="AI233" s="229"/>
      <c r="AJ233" s="218"/>
      <c r="AK233" s="218"/>
      <c r="AL233" s="218"/>
      <c r="AM233" s="218"/>
    </row>
    <row r="234" spans="1:39" ht="12.75">
      <c r="A234" s="229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  <c r="AA234" s="229"/>
      <c r="AB234" s="229"/>
      <c r="AC234" s="229"/>
      <c r="AD234" s="229"/>
      <c r="AE234" s="229"/>
      <c r="AF234" s="229"/>
      <c r="AG234" s="229"/>
      <c r="AH234" s="229"/>
      <c r="AI234" s="229"/>
      <c r="AJ234" s="218"/>
      <c r="AK234" s="218"/>
      <c r="AL234" s="218"/>
      <c r="AM234" s="218"/>
    </row>
    <row r="235" spans="1:39" ht="12.75">
      <c r="A235" s="229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  <c r="AA235" s="229"/>
      <c r="AB235" s="229"/>
      <c r="AC235" s="229"/>
      <c r="AD235" s="229"/>
      <c r="AE235" s="229"/>
      <c r="AF235" s="229"/>
      <c r="AG235" s="229"/>
      <c r="AH235" s="229"/>
      <c r="AI235" s="229"/>
      <c r="AJ235" s="218"/>
      <c r="AK235" s="218"/>
      <c r="AL235" s="218"/>
      <c r="AM235" s="218"/>
    </row>
    <row r="236" spans="1:39" ht="12.75">
      <c r="A236" s="229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  <c r="AA236" s="229"/>
      <c r="AB236" s="229"/>
      <c r="AC236" s="229"/>
      <c r="AD236" s="229"/>
      <c r="AE236" s="229"/>
      <c r="AF236" s="229"/>
      <c r="AG236" s="229"/>
      <c r="AH236" s="229"/>
      <c r="AI236" s="229"/>
      <c r="AJ236" s="218"/>
      <c r="AK236" s="218"/>
      <c r="AL236" s="218"/>
      <c r="AM236" s="218"/>
    </row>
    <row r="237" spans="1:39" ht="12.75">
      <c r="A237" s="229"/>
      <c r="B237" s="229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  <c r="AA237" s="229"/>
      <c r="AB237" s="229"/>
      <c r="AC237" s="229"/>
      <c r="AD237" s="229"/>
      <c r="AE237" s="229"/>
      <c r="AF237" s="229"/>
      <c r="AG237" s="229"/>
      <c r="AH237" s="229"/>
      <c r="AI237" s="229"/>
      <c r="AJ237" s="218"/>
      <c r="AK237" s="218"/>
      <c r="AL237" s="218"/>
      <c r="AM237" s="218"/>
    </row>
    <row r="238" spans="1:39" ht="12.75">
      <c r="A238" s="229"/>
      <c r="B238" s="229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  <c r="AA238" s="229"/>
      <c r="AB238" s="229"/>
      <c r="AC238" s="229"/>
      <c r="AD238" s="229"/>
      <c r="AE238" s="229"/>
      <c r="AF238" s="229"/>
      <c r="AG238" s="229"/>
      <c r="AH238" s="229"/>
      <c r="AI238" s="229"/>
      <c r="AJ238" s="218"/>
      <c r="AK238" s="218"/>
      <c r="AL238" s="218"/>
      <c r="AM238" s="218"/>
    </row>
    <row r="239" spans="1:39" ht="12.75">
      <c r="A239" s="229"/>
      <c r="B239" s="229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  <c r="AA239" s="229"/>
      <c r="AB239" s="229"/>
      <c r="AC239" s="229"/>
      <c r="AD239" s="229"/>
      <c r="AE239" s="229"/>
      <c r="AF239" s="229"/>
      <c r="AG239" s="229"/>
      <c r="AH239" s="229"/>
      <c r="AI239" s="229"/>
      <c r="AJ239" s="218"/>
      <c r="AK239" s="218"/>
      <c r="AL239" s="218"/>
      <c r="AM239" s="218"/>
    </row>
    <row r="240" spans="1:39" ht="12.75">
      <c r="A240" s="229"/>
      <c r="B240" s="229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  <c r="AA240" s="229"/>
      <c r="AB240" s="229"/>
      <c r="AC240" s="229"/>
      <c r="AD240" s="229"/>
      <c r="AE240" s="229"/>
      <c r="AF240" s="229"/>
      <c r="AG240" s="229"/>
      <c r="AH240" s="229"/>
      <c r="AI240" s="229"/>
      <c r="AJ240" s="218"/>
      <c r="AK240" s="218"/>
      <c r="AL240" s="218"/>
      <c r="AM240" s="218"/>
    </row>
    <row r="241" spans="1:39" ht="12.75">
      <c r="A241" s="229"/>
      <c r="B241" s="229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  <c r="AA241" s="229"/>
      <c r="AB241" s="229"/>
      <c r="AC241" s="229"/>
      <c r="AD241" s="229"/>
      <c r="AE241" s="229"/>
      <c r="AF241" s="229"/>
      <c r="AG241" s="229"/>
      <c r="AH241" s="229"/>
      <c r="AI241" s="229"/>
      <c r="AJ241" s="218"/>
      <c r="AK241" s="218"/>
      <c r="AL241" s="218"/>
      <c r="AM241" s="218"/>
    </row>
    <row r="242" spans="1:39" ht="12.75">
      <c r="A242" s="229"/>
      <c r="B242" s="229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  <c r="AA242" s="229"/>
      <c r="AB242" s="229"/>
      <c r="AC242" s="229"/>
      <c r="AD242" s="229"/>
      <c r="AE242" s="229"/>
      <c r="AF242" s="229"/>
      <c r="AG242" s="229"/>
      <c r="AH242" s="229"/>
      <c r="AI242" s="229"/>
      <c r="AJ242" s="218"/>
      <c r="AK242" s="218"/>
      <c r="AL242" s="218"/>
      <c r="AM242" s="218"/>
    </row>
    <row r="243" spans="1:39" ht="12.75">
      <c r="A243" s="229"/>
      <c r="B243" s="229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  <c r="AA243" s="229"/>
      <c r="AB243" s="229"/>
      <c r="AC243" s="229"/>
      <c r="AD243" s="229"/>
      <c r="AE243" s="229"/>
      <c r="AF243" s="229"/>
      <c r="AG243" s="229"/>
      <c r="AH243" s="229"/>
      <c r="AI243" s="229"/>
      <c r="AJ243" s="218"/>
      <c r="AK243" s="218"/>
      <c r="AL243" s="218"/>
      <c r="AM243" s="218"/>
    </row>
    <row r="244" spans="1:39" ht="12.75">
      <c r="A244" s="229"/>
      <c r="B244" s="229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  <c r="AA244" s="229"/>
      <c r="AB244" s="229"/>
      <c r="AC244" s="229"/>
      <c r="AD244" s="229"/>
      <c r="AE244" s="229"/>
      <c r="AF244" s="229"/>
      <c r="AG244" s="229"/>
      <c r="AH244" s="229"/>
      <c r="AI244" s="229"/>
      <c r="AJ244" s="218"/>
      <c r="AK244" s="218"/>
      <c r="AL244" s="218"/>
      <c r="AM244" s="218"/>
    </row>
    <row r="245" spans="1:39" ht="12.75">
      <c r="A245" s="229"/>
      <c r="B245" s="229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  <c r="AA245" s="229"/>
      <c r="AB245" s="229"/>
      <c r="AC245" s="229"/>
      <c r="AD245" s="229"/>
      <c r="AE245" s="229"/>
      <c r="AF245" s="229"/>
      <c r="AG245" s="229"/>
      <c r="AH245" s="229"/>
      <c r="AI245" s="229"/>
      <c r="AJ245" s="218"/>
      <c r="AK245" s="218"/>
      <c r="AL245" s="218"/>
      <c r="AM245" s="218"/>
    </row>
    <row r="246" spans="1:39" ht="12.75">
      <c r="A246" s="229"/>
      <c r="B246" s="229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  <c r="AA246" s="229"/>
      <c r="AB246" s="229"/>
      <c r="AC246" s="229"/>
      <c r="AD246" s="229"/>
      <c r="AE246" s="229"/>
      <c r="AF246" s="229"/>
      <c r="AG246" s="229"/>
      <c r="AH246" s="229"/>
      <c r="AI246" s="229"/>
      <c r="AJ246" s="218"/>
      <c r="AK246" s="218"/>
      <c r="AL246" s="218"/>
      <c r="AM246" s="218"/>
    </row>
    <row r="247" spans="1:39" ht="12.75">
      <c r="A247" s="229"/>
      <c r="B247" s="229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  <c r="AA247" s="229"/>
      <c r="AB247" s="229"/>
      <c r="AC247" s="229"/>
      <c r="AD247" s="229"/>
      <c r="AE247" s="229"/>
      <c r="AF247" s="229"/>
      <c r="AG247" s="229"/>
      <c r="AH247" s="229"/>
      <c r="AI247" s="229"/>
      <c r="AJ247" s="218"/>
      <c r="AK247" s="218"/>
      <c r="AL247" s="218"/>
      <c r="AM247" s="218"/>
    </row>
    <row r="248" spans="1:39" ht="12.75">
      <c r="A248" s="229"/>
      <c r="B248" s="229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  <c r="AA248" s="229"/>
      <c r="AB248" s="229"/>
      <c r="AC248" s="229"/>
      <c r="AD248" s="229"/>
      <c r="AE248" s="229"/>
      <c r="AF248" s="229"/>
      <c r="AG248" s="229"/>
      <c r="AH248" s="229"/>
      <c r="AI248" s="229"/>
      <c r="AJ248" s="218"/>
      <c r="AK248" s="218"/>
      <c r="AL248" s="218"/>
      <c r="AM248" s="218"/>
    </row>
    <row r="249" spans="1:39" ht="12.75">
      <c r="A249" s="229"/>
      <c r="B249" s="229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  <c r="AA249" s="229"/>
      <c r="AB249" s="229"/>
      <c r="AC249" s="229"/>
      <c r="AD249" s="229"/>
      <c r="AE249" s="229"/>
      <c r="AF249" s="229"/>
      <c r="AG249" s="229"/>
      <c r="AH249" s="229"/>
      <c r="AI249" s="229"/>
      <c r="AJ249" s="218"/>
      <c r="AK249" s="218"/>
      <c r="AL249" s="218"/>
      <c r="AM249" s="218"/>
    </row>
    <row r="250" spans="1:39" ht="12.75">
      <c r="A250" s="229"/>
      <c r="B250" s="229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  <c r="AA250" s="229"/>
      <c r="AB250" s="229"/>
      <c r="AC250" s="229"/>
      <c r="AD250" s="229"/>
      <c r="AE250" s="229"/>
      <c r="AF250" s="229"/>
      <c r="AG250" s="229"/>
      <c r="AH250" s="229"/>
      <c r="AI250" s="229"/>
      <c r="AJ250" s="218"/>
      <c r="AK250" s="218"/>
      <c r="AL250" s="218"/>
      <c r="AM250" s="218"/>
    </row>
    <row r="251" spans="1:39" ht="12.75">
      <c r="A251" s="229"/>
      <c r="B251" s="229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  <c r="AA251" s="229"/>
      <c r="AB251" s="229"/>
      <c r="AC251" s="229"/>
      <c r="AD251" s="229"/>
      <c r="AE251" s="229"/>
      <c r="AF251" s="229"/>
      <c r="AG251" s="229"/>
      <c r="AH251" s="229"/>
      <c r="AI251" s="229"/>
      <c r="AJ251" s="218"/>
      <c r="AK251" s="218"/>
      <c r="AL251" s="218"/>
      <c r="AM251" s="218"/>
    </row>
    <row r="252" spans="1:39" ht="12.75">
      <c r="A252" s="229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  <c r="AA252" s="229"/>
      <c r="AB252" s="229"/>
      <c r="AC252" s="229"/>
      <c r="AD252" s="229"/>
      <c r="AE252" s="229"/>
      <c r="AF252" s="229"/>
      <c r="AG252" s="229"/>
      <c r="AH252" s="229"/>
      <c r="AI252" s="229"/>
      <c r="AJ252" s="218"/>
      <c r="AK252" s="218"/>
      <c r="AL252" s="218"/>
      <c r="AM252" s="218"/>
    </row>
    <row r="253" spans="1:39" ht="12.75">
      <c r="A253" s="229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  <c r="AA253" s="229"/>
      <c r="AB253" s="229"/>
      <c r="AC253" s="229"/>
      <c r="AD253" s="229"/>
      <c r="AE253" s="229"/>
      <c r="AF253" s="229"/>
      <c r="AG253" s="229"/>
      <c r="AH253" s="229"/>
      <c r="AI253" s="229"/>
      <c r="AJ253" s="218"/>
      <c r="AK253" s="218"/>
      <c r="AL253" s="218"/>
      <c r="AM253" s="218"/>
    </row>
    <row r="254" spans="1:39" ht="12.75">
      <c r="A254" s="229"/>
      <c r="B254" s="229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  <c r="AA254" s="229"/>
      <c r="AB254" s="229"/>
      <c r="AC254" s="229"/>
      <c r="AD254" s="229"/>
      <c r="AE254" s="229"/>
      <c r="AF254" s="229"/>
      <c r="AG254" s="229"/>
      <c r="AH254" s="229"/>
      <c r="AI254" s="229"/>
      <c r="AJ254" s="218"/>
      <c r="AK254" s="218"/>
      <c r="AL254" s="218"/>
      <c r="AM254" s="218"/>
    </row>
    <row r="255" spans="1:39" ht="12.75">
      <c r="A255" s="229"/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  <c r="AA255" s="229"/>
      <c r="AB255" s="229"/>
      <c r="AC255" s="229"/>
      <c r="AD255" s="229"/>
      <c r="AE255" s="229"/>
      <c r="AF255" s="229"/>
      <c r="AG255" s="229"/>
      <c r="AH255" s="229"/>
      <c r="AI255" s="229"/>
      <c r="AJ255" s="218"/>
      <c r="AK255" s="218"/>
      <c r="AL255" s="218"/>
      <c r="AM255" s="218"/>
    </row>
    <row r="256" spans="1:39" ht="12.75">
      <c r="A256" s="229"/>
      <c r="B256" s="229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  <c r="AA256" s="229"/>
      <c r="AB256" s="229"/>
      <c r="AC256" s="229"/>
      <c r="AD256" s="229"/>
      <c r="AE256" s="229"/>
      <c r="AF256" s="229"/>
      <c r="AG256" s="229"/>
      <c r="AH256" s="229"/>
      <c r="AI256" s="229"/>
      <c r="AJ256" s="218"/>
      <c r="AK256" s="218"/>
      <c r="AL256" s="218"/>
      <c r="AM256" s="218"/>
    </row>
    <row r="257" spans="1:39" ht="12.75">
      <c r="A257" s="229"/>
      <c r="B257" s="229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  <c r="AA257" s="229"/>
      <c r="AB257" s="229"/>
      <c r="AC257" s="229"/>
      <c r="AD257" s="229"/>
      <c r="AE257" s="229"/>
      <c r="AF257" s="229"/>
      <c r="AG257" s="229"/>
      <c r="AH257" s="229"/>
      <c r="AI257" s="229"/>
      <c r="AJ257" s="218"/>
      <c r="AK257" s="218"/>
      <c r="AL257" s="218"/>
      <c r="AM257" s="218"/>
    </row>
    <row r="258" spans="1:39" ht="12.75">
      <c r="A258" s="229"/>
      <c r="B258" s="229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  <c r="AA258" s="229"/>
      <c r="AB258" s="229"/>
      <c r="AC258" s="229"/>
      <c r="AD258" s="229"/>
      <c r="AE258" s="229"/>
      <c r="AF258" s="229"/>
      <c r="AG258" s="229"/>
      <c r="AH258" s="229"/>
      <c r="AI258" s="229"/>
      <c r="AJ258" s="218"/>
      <c r="AK258" s="218"/>
      <c r="AL258" s="218"/>
      <c r="AM258" s="218"/>
    </row>
    <row r="259" spans="1:39" ht="12.75">
      <c r="A259" s="229"/>
      <c r="B259" s="229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  <c r="AA259" s="229"/>
      <c r="AB259" s="229"/>
      <c r="AC259" s="229"/>
      <c r="AD259" s="229"/>
      <c r="AE259" s="229"/>
      <c r="AF259" s="229"/>
      <c r="AG259" s="229"/>
      <c r="AH259" s="229"/>
      <c r="AI259" s="229"/>
      <c r="AJ259" s="218"/>
      <c r="AK259" s="218"/>
      <c r="AL259" s="218"/>
      <c r="AM259" s="218"/>
    </row>
    <row r="260" spans="1:39" ht="12.75">
      <c r="A260" s="229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  <c r="AA260" s="229"/>
      <c r="AB260" s="229"/>
      <c r="AC260" s="229"/>
      <c r="AD260" s="229"/>
      <c r="AE260" s="229"/>
      <c r="AF260" s="229"/>
      <c r="AG260" s="229"/>
      <c r="AH260" s="229"/>
      <c r="AI260" s="229"/>
      <c r="AJ260" s="218"/>
      <c r="AK260" s="218"/>
      <c r="AL260" s="218"/>
      <c r="AM260" s="218"/>
    </row>
    <row r="261" spans="1:39" ht="12.75">
      <c r="A261" s="229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  <c r="AA261" s="229"/>
      <c r="AB261" s="229"/>
      <c r="AC261" s="229"/>
      <c r="AD261" s="229"/>
      <c r="AE261" s="229"/>
      <c r="AF261" s="229"/>
      <c r="AG261" s="229"/>
      <c r="AH261" s="229"/>
      <c r="AI261" s="229"/>
      <c r="AJ261" s="218"/>
      <c r="AK261" s="218"/>
      <c r="AL261" s="218"/>
      <c r="AM261" s="218"/>
    </row>
    <row r="262" spans="1:39" ht="12.75">
      <c r="A262" s="229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  <c r="AA262" s="229"/>
      <c r="AB262" s="229"/>
      <c r="AC262" s="229"/>
      <c r="AD262" s="229"/>
      <c r="AE262" s="229"/>
      <c r="AF262" s="229"/>
      <c r="AG262" s="229"/>
      <c r="AH262" s="229"/>
      <c r="AI262" s="229"/>
      <c r="AJ262" s="218"/>
      <c r="AK262" s="218"/>
      <c r="AL262" s="218"/>
      <c r="AM262" s="218"/>
    </row>
    <row r="263" spans="1:39" ht="12.75">
      <c r="A263" s="229"/>
      <c r="B263" s="229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  <c r="AA263" s="229"/>
      <c r="AB263" s="229"/>
      <c r="AC263" s="229"/>
      <c r="AD263" s="229"/>
      <c r="AE263" s="229"/>
      <c r="AF263" s="229"/>
      <c r="AG263" s="229"/>
      <c r="AH263" s="229"/>
      <c r="AI263" s="229"/>
      <c r="AJ263" s="218"/>
      <c r="AK263" s="218"/>
      <c r="AL263" s="218"/>
      <c r="AM263" s="218"/>
    </row>
    <row r="264" spans="1:39" ht="12.75">
      <c r="A264" s="229"/>
      <c r="B264" s="229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  <c r="AA264" s="229"/>
      <c r="AB264" s="229"/>
      <c r="AC264" s="229"/>
      <c r="AD264" s="229"/>
      <c r="AE264" s="229"/>
      <c r="AF264" s="229"/>
      <c r="AG264" s="229"/>
      <c r="AH264" s="229"/>
      <c r="AI264" s="229"/>
      <c r="AJ264" s="218"/>
      <c r="AK264" s="218"/>
      <c r="AL264" s="218"/>
      <c r="AM264" s="218"/>
    </row>
    <row r="265" spans="1:39" ht="12.75">
      <c r="A265" s="229"/>
      <c r="B265" s="229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  <c r="AA265" s="229"/>
      <c r="AB265" s="229"/>
      <c r="AC265" s="229"/>
      <c r="AD265" s="229"/>
      <c r="AE265" s="229"/>
      <c r="AF265" s="229"/>
      <c r="AG265" s="229"/>
      <c r="AH265" s="229"/>
      <c r="AI265" s="229"/>
      <c r="AJ265" s="218"/>
      <c r="AK265" s="218"/>
      <c r="AL265" s="218"/>
      <c r="AM265" s="218"/>
    </row>
    <row r="266" spans="1:39" ht="12.75">
      <c r="A266" s="229"/>
      <c r="B266" s="229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  <c r="AA266" s="229"/>
      <c r="AB266" s="229"/>
      <c r="AC266" s="229"/>
      <c r="AD266" s="229"/>
      <c r="AE266" s="229"/>
      <c r="AF266" s="229"/>
      <c r="AG266" s="229"/>
      <c r="AH266" s="229"/>
      <c r="AI266" s="229"/>
      <c r="AJ266" s="218"/>
      <c r="AK266" s="218"/>
      <c r="AL266" s="218"/>
      <c r="AM266" s="218"/>
    </row>
    <row r="267" spans="1:39" ht="12.75">
      <c r="A267" s="229"/>
      <c r="B267" s="229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  <c r="AA267" s="229"/>
      <c r="AB267" s="229"/>
      <c r="AC267" s="229"/>
      <c r="AD267" s="229"/>
      <c r="AE267" s="229"/>
      <c r="AF267" s="229"/>
      <c r="AG267" s="229"/>
      <c r="AH267" s="229"/>
      <c r="AI267" s="229"/>
      <c r="AJ267" s="218"/>
      <c r="AK267" s="218"/>
      <c r="AL267" s="218"/>
      <c r="AM267" s="218"/>
    </row>
    <row r="268" spans="1:39" ht="12.75">
      <c r="A268" s="229"/>
      <c r="B268" s="229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  <c r="AA268" s="229"/>
      <c r="AB268" s="229"/>
      <c r="AC268" s="229"/>
      <c r="AD268" s="229"/>
      <c r="AE268" s="229"/>
      <c r="AF268" s="229"/>
      <c r="AG268" s="229"/>
      <c r="AH268" s="229"/>
      <c r="AI268" s="229"/>
      <c r="AJ268" s="218"/>
      <c r="AK268" s="218"/>
      <c r="AL268" s="218"/>
      <c r="AM268" s="218"/>
    </row>
    <row r="269" spans="1:39" ht="12.75">
      <c r="A269" s="229"/>
      <c r="B269" s="229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  <c r="AA269" s="229"/>
      <c r="AB269" s="229"/>
      <c r="AC269" s="229"/>
      <c r="AD269" s="229"/>
      <c r="AE269" s="229"/>
      <c r="AF269" s="229"/>
      <c r="AG269" s="229"/>
      <c r="AH269" s="229"/>
      <c r="AI269" s="229"/>
      <c r="AJ269" s="218"/>
      <c r="AK269" s="218"/>
      <c r="AL269" s="218"/>
      <c r="AM269" s="218"/>
    </row>
    <row r="270" spans="1:39" ht="12.75">
      <c r="A270" s="229"/>
      <c r="B270" s="229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  <c r="AA270" s="229"/>
      <c r="AB270" s="229"/>
      <c r="AC270" s="229"/>
      <c r="AD270" s="229"/>
      <c r="AE270" s="229"/>
      <c r="AF270" s="229"/>
      <c r="AG270" s="229"/>
      <c r="AH270" s="229"/>
      <c r="AI270" s="229"/>
      <c r="AJ270" s="218"/>
      <c r="AK270" s="218"/>
      <c r="AL270" s="218"/>
      <c r="AM270" s="218"/>
    </row>
    <row r="271" spans="1:39" ht="12.75">
      <c r="A271" s="229"/>
      <c r="B271" s="229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  <c r="AA271" s="229"/>
      <c r="AB271" s="229"/>
      <c r="AC271" s="229"/>
      <c r="AD271" s="229"/>
      <c r="AE271" s="229"/>
      <c r="AF271" s="229"/>
      <c r="AG271" s="229"/>
      <c r="AH271" s="229"/>
      <c r="AI271" s="229"/>
      <c r="AJ271" s="218"/>
      <c r="AK271" s="218"/>
      <c r="AL271" s="218"/>
      <c r="AM271" s="218"/>
    </row>
    <row r="272" spans="1:39" ht="12.75">
      <c r="A272" s="229"/>
      <c r="B272" s="229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  <c r="AA272" s="229"/>
      <c r="AB272" s="229"/>
      <c r="AC272" s="229"/>
      <c r="AD272" s="229"/>
      <c r="AE272" s="229"/>
      <c r="AF272" s="229"/>
      <c r="AG272" s="229"/>
      <c r="AH272" s="229"/>
      <c r="AI272" s="229"/>
      <c r="AJ272" s="218"/>
      <c r="AK272" s="218"/>
      <c r="AL272" s="218"/>
      <c r="AM272" s="218"/>
    </row>
    <row r="273" spans="1:39" ht="12.75">
      <c r="A273" s="229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  <c r="AA273" s="229"/>
      <c r="AB273" s="229"/>
      <c r="AC273" s="229"/>
      <c r="AD273" s="229"/>
      <c r="AE273" s="229"/>
      <c r="AF273" s="229"/>
      <c r="AG273" s="229"/>
      <c r="AH273" s="229"/>
      <c r="AI273" s="229"/>
      <c r="AJ273" s="218"/>
      <c r="AK273" s="218"/>
      <c r="AL273" s="218"/>
      <c r="AM273" s="218"/>
    </row>
    <row r="274" spans="1:39" ht="12.75">
      <c r="A274" s="229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  <c r="AA274" s="229"/>
      <c r="AB274" s="229"/>
      <c r="AC274" s="229"/>
      <c r="AD274" s="229"/>
      <c r="AE274" s="229"/>
      <c r="AF274" s="229"/>
      <c r="AG274" s="229"/>
      <c r="AH274" s="229"/>
      <c r="AI274" s="229"/>
      <c r="AJ274" s="218"/>
      <c r="AK274" s="218"/>
      <c r="AL274" s="218"/>
      <c r="AM274" s="218"/>
    </row>
    <row r="275" spans="1:39" ht="12.75">
      <c r="A275" s="229"/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  <c r="AA275" s="229"/>
      <c r="AB275" s="229"/>
      <c r="AC275" s="229"/>
      <c r="AD275" s="229"/>
      <c r="AE275" s="229"/>
      <c r="AF275" s="229"/>
      <c r="AG275" s="229"/>
      <c r="AH275" s="229"/>
      <c r="AI275" s="229"/>
      <c r="AJ275" s="218"/>
      <c r="AK275" s="218"/>
      <c r="AL275" s="218"/>
      <c r="AM275" s="218"/>
    </row>
    <row r="276" spans="1:39" ht="12.75">
      <c r="A276" s="229"/>
      <c r="B276" s="229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  <c r="AA276" s="229"/>
      <c r="AB276" s="229"/>
      <c r="AC276" s="229"/>
      <c r="AD276" s="229"/>
      <c r="AE276" s="229"/>
      <c r="AF276" s="229"/>
      <c r="AG276" s="229"/>
      <c r="AH276" s="229"/>
      <c r="AI276" s="229"/>
      <c r="AJ276" s="218"/>
      <c r="AK276" s="218"/>
      <c r="AL276" s="218"/>
      <c r="AM276" s="218"/>
    </row>
    <row r="277" spans="1:39" ht="12.75">
      <c r="A277" s="229"/>
      <c r="B277" s="229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  <c r="AA277" s="229"/>
      <c r="AB277" s="229"/>
      <c r="AC277" s="229"/>
      <c r="AD277" s="229"/>
      <c r="AE277" s="229"/>
      <c r="AF277" s="229"/>
      <c r="AG277" s="229"/>
      <c r="AH277" s="229"/>
      <c r="AI277" s="229"/>
      <c r="AJ277" s="218"/>
      <c r="AK277" s="218"/>
      <c r="AL277" s="218"/>
      <c r="AM277" s="218"/>
    </row>
    <row r="278" spans="1:39" ht="12.75">
      <c r="A278" s="229"/>
      <c r="B278" s="229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  <c r="AA278" s="229"/>
      <c r="AB278" s="229"/>
      <c r="AC278" s="229"/>
      <c r="AD278" s="229"/>
      <c r="AE278" s="229"/>
      <c r="AF278" s="229"/>
      <c r="AG278" s="229"/>
      <c r="AH278" s="229"/>
      <c r="AI278" s="229"/>
      <c r="AJ278" s="218"/>
      <c r="AK278" s="218"/>
      <c r="AL278" s="218"/>
      <c r="AM278" s="218"/>
    </row>
    <row r="279" spans="1:39" ht="12.75">
      <c r="A279" s="229"/>
      <c r="B279" s="229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  <c r="AA279" s="229"/>
      <c r="AB279" s="229"/>
      <c r="AC279" s="229"/>
      <c r="AD279" s="229"/>
      <c r="AE279" s="229"/>
      <c r="AF279" s="229"/>
      <c r="AG279" s="229"/>
      <c r="AH279" s="229"/>
      <c r="AI279" s="229"/>
      <c r="AJ279" s="218"/>
      <c r="AK279" s="218"/>
      <c r="AL279" s="218"/>
      <c r="AM279" s="218"/>
    </row>
    <row r="280" spans="1:39" ht="12.75">
      <c r="A280" s="229"/>
      <c r="B280" s="229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  <c r="AA280" s="229"/>
      <c r="AB280" s="229"/>
      <c r="AC280" s="229"/>
      <c r="AD280" s="229"/>
      <c r="AE280" s="229"/>
      <c r="AF280" s="229"/>
      <c r="AG280" s="229"/>
      <c r="AH280" s="229"/>
      <c r="AI280" s="229"/>
      <c r="AJ280" s="218"/>
      <c r="AK280" s="218"/>
      <c r="AL280" s="218"/>
      <c r="AM280" s="218"/>
    </row>
    <row r="281" spans="1:39" ht="12.75">
      <c r="A281" s="229"/>
      <c r="B281" s="229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  <c r="AA281" s="229"/>
      <c r="AB281" s="229"/>
      <c r="AC281" s="229"/>
      <c r="AD281" s="229"/>
      <c r="AE281" s="229"/>
      <c r="AF281" s="229"/>
      <c r="AG281" s="229"/>
      <c r="AH281" s="229"/>
      <c r="AI281" s="229"/>
      <c r="AJ281" s="218"/>
      <c r="AK281" s="218"/>
      <c r="AL281" s="218"/>
      <c r="AM281" s="218"/>
    </row>
    <row r="282" spans="1:39" ht="12.75">
      <c r="A282" s="229"/>
      <c r="B282" s="229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  <c r="AA282" s="229"/>
      <c r="AB282" s="229"/>
      <c r="AC282" s="229"/>
      <c r="AD282" s="229"/>
      <c r="AE282" s="229"/>
      <c r="AF282" s="229"/>
      <c r="AG282" s="229"/>
      <c r="AH282" s="229"/>
      <c r="AI282" s="229"/>
      <c r="AJ282" s="218"/>
      <c r="AK282" s="218"/>
      <c r="AL282" s="218"/>
      <c r="AM282" s="218"/>
    </row>
    <row r="283" spans="1:39" ht="12.75">
      <c r="A283" s="229"/>
      <c r="B283" s="229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  <c r="AA283" s="229"/>
      <c r="AB283" s="229"/>
      <c r="AC283" s="229"/>
      <c r="AD283" s="229"/>
      <c r="AE283" s="229"/>
      <c r="AF283" s="229"/>
      <c r="AG283" s="229"/>
      <c r="AH283" s="229"/>
      <c r="AI283" s="229"/>
      <c r="AJ283" s="218"/>
      <c r="AK283" s="218"/>
      <c r="AL283" s="218"/>
      <c r="AM283" s="218"/>
    </row>
    <row r="284" spans="1:39" ht="12.75">
      <c r="A284" s="229"/>
      <c r="B284" s="229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  <c r="AA284" s="229"/>
      <c r="AB284" s="229"/>
      <c r="AC284" s="229"/>
      <c r="AD284" s="229"/>
      <c r="AE284" s="229"/>
      <c r="AF284" s="229"/>
      <c r="AG284" s="229"/>
      <c r="AH284" s="229"/>
      <c r="AI284" s="229"/>
      <c r="AJ284" s="218"/>
      <c r="AK284" s="218"/>
      <c r="AL284" s="218"/>
      <c r="AM284" s="218"/>
    </row>
    <row r="285" spans="1:39" ht="12.75">
      <c r="A285" s="229"/>
      <c r="B285" s="229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  <c r="AA285" s="229"/>
      <c r="AB285" s="229"/>
      <c r="AC285" s="229"/>
      <c r="AD285" s="229"/>
      <c r="AE285" s="229"/>
      <c r="AF285" s="229"/>
      <c r="AG285" s="229"/>
      <c r="AH285" s="229"/>
      <c r="AI285" s="229"/>
      <c r="AJ285" s="218"/>
      <c r="AK285" s="218"/>
      <c r="AL285" s="218"/>
      <c r="AM285" s="218"/>
    </row>
    <row r="286" spans="1:39" ht="12.75">
      <c r="A286" s="229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  <c r="AA286" s="229"/>
      <c r="AB286" s="229"/>
      <c r="AC286" s="229"/>
      <c r="AD286" s="229"/>
      <c r="AE286" s="229"/>
      <c r="AF286" s="229"/>
      <c r="AG286" s="229"/>
      <c r="AH286" s="229"/>
      <c r="AI286" s="229"/>
      <c r="AJ286" s="218"/>
      <c r="AK286" s="218"/>
      <c r="AL286" s="218"/>
      <c r="AM286" s="218"/>
    </row>
    <row r="287" spans="1:39" ht="12.75">
      <c r="A287" s="229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  <c r="AA287" s="229"/>
      <c r="AB287" s="229"/>
      <c r="AC287" s="229"/>
      <c r="AD287" s="229"/>
      <c r="AE287" s="229"/>
      <c r="AF287" s="229"/>
      <c r="AG287" s="229"/>
      <c r="AH287" s="229"/>
      <c r="AI287" s="229"/>
      <c r="AJ287" s="218"/>
      <c r="AK287" s="218"/>
      <c r="AL287" s="218"/>
      <c r="AM287" s="218"/>
    </row>
    <row r="288" spans="1:39" ht="12.75">
      <c r="A288" s="229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  <c r="AA288" s="229"/>
      <c r="AB288" s="229"/>
      <c r="AC288" s="229"/>
      <c r="AD288" s="229"/>
      <c r="AE288" s="229"/>
      <c r="AF288" s="229"/>
      <c r="AG288" s="229"/>
      <c r="AH288" s="229"/>
      <c r="AI288" s="229"/>
      <c r="AJ288" s="218"/>
      <c r="AK288" s="218"/>
      <c r="AL288" s="218"/>
      <c r="AM288" s="218"/>
    </row>
    <row r="289" spans="1:39" ht="12.75">
      <c r="A289" s="229"/>
      <c r="B289" s="229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  <c r="AA289" s="229"/>
      <c r="AB289" s="229"/>
      <c r="AC289" s="229"/>
      <c r="AD289" s="229"/>
      <c r="AE289" s="229"/>
      <c r="AF289" s="229"/>
      <c r="AG289" s="229"/>
      <c r="AH289" s="229"/>
      <c r="AI289" s="229"/>
      <c r="AJ289" s="218"/>
      <c r="AK289" s="218"/>
      <c r="AL289" s="218"/>
      <c r="AM289" s="218"/>
    </row>
    <row r="290" spans="1:39" ht="12.75">
      <c r="A290" s="229"/>
      <c r="B290" s="229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  <c r="AA290" s="229"/>
      <c r="AB290" s="229"/>
      <c r="AC290" s="229"/>
      <c r="AD290" s="229"/>
      <c r="AE290" s="229"/>
      <c r="AF290" s="229"/>
      <c r="AG290" s="229"/>
      <c r="AH290" s="229"/>
      <c r="AI290" s="229"/>
      <c r="AJ290" s="218"/>
      <c r="AK290" s="218"/>
      <c r="AL290" s="218"/>
      <c r="AM290" s="218"/>
    </row>
    <row r="291" spans="1:39" ht="12.75">
      <c r="A291" s="229"/>
      <c r="B291" s="229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  <c r="AA291" s="229"/>
      <c r="AB291" s="229"/>
      <c r="AC291" s="229"/>
      <c r="AD291" s="229"/>
      <c r="AE291" s="229"/>
      <c r="AF291" s="229"/>
      <c r="AG291" s="229"/>
      <c r="AH291" s="229"/>
      <c r="AI291" s="229"/>
      <c r="AJ291" s="218"/>
      <c r="AK291" s="218"/>
      <c r="AL291" s="218"/>
      <c r="AM291" s="218"/>
    </row>
    <row r="292" spans="1:39" ht="12.75">
      <c r="A292" s="229"/>
      <c r="B292" s="229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  <c r="AA292" s="229"/>
      <c r="AB292" s="229"/>
      <c r="AC292" s="229"/>
      <c r="AD292" s="229"/>
      <c r="AE292" s="229"/>
      <c r="AF292" s="229"/>
      <c r="AG292" s="229"/>
      <c r="AH292" s="229"/>
      <c r="AI292" s="229"/>
      <c r="AJ292" s="218"/>
      <c r="AK292" s="218"/>
      <c r="AL292" s="218"/>
      <c r="AM292" s="218"/>
    </row>
    <row r="293" spans="1:39" ht="12.75">
      <c r="A293" s="229"/>
      <c r="B293" s="229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  <c r="AA293" s="229"/>
      <c r="AB293" s="229"/>
      <c r="AC293" s="229"/>
      <c r="AD293" s="229"/>
      <c r="AE293" s="229"/>
      <c r="AF293" s="229"/>
      <c r="AG293" s="229"/>
      <c r="AH293" s="229"/>
      <c r="AI293" s="229"/>
      <c r="AJ293" s="218"/>
      <c r="AK293" s="218"/>
      <c r="AL293" s="218"/>
      <c r="AM293" s="218"/>
    </row>
    <row r="294" spans="1:39" ht="12.75">
      <c r="A294" s="229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  <c r="AA294" s="229"/>
      <c r="AB294" s="229"/>
      <c r="AC294" s="229"/>
      <c r="AD294" s="229"/>
      <c r="AE294" s="229"/>
      <c r="AF294" s="229"/>
      <c r="AG294" s="229"/>
      <c r="AH294" s="229"/>
      <c r="AI294" s="229"/>
      <c r="AJ294" s="218"/>
      <c r="AK294" s="218"/>
      <c r="AL294" s="218"/>
      <c r="AM294" s="218"/>
    </row>
    <row r="295" spans="1:39" ht="12.75">
      <c r="A295" s="229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  <c r="AA295" s="229"/>
      <c r="AB295" s="229"/>
      <c r="AC295" s="229"/>
      <c r="AD295" s="229"/>
      <c r="AE295" s="229"/>
      <c r="AF295" s="229"/>
      <c r="AG295" s="229"/>
      <c r="AH295" s="229"/>
      <c r="AI295" s="229"/>
      <c r="AJ295" s="218"/>
      <c r="AK295" s="218"/>
      <c r="AL295" s="218"/>
      <c r="AM295" s="218"/>
    </row>
    <row r="296" spans="1:39" ht="12.75">
      <c r="A296" s="229"/>
      <c r="B296" s="229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  <c r="AA296" s="229"/>
      <c r="AB296" s="229"/>
      <c r="AC296" s="229"/>
      <c r="AD296" s="229"/>
      <c r="AE296" s="229"/>
      <c r="AF296" s="229"/>
      <c r="AG296" s="229"/>
      <c r="AH296" s="229"/>
      <c r="AI296" s="229"/>
      <c r="AJ296" s="218"/>
      <c r="AK296" s="218"/>
      <c r="AL296" s="218"/>
      <c r="AM296" s="218"/>
    </row>
    <row r="297" spans="1:39" ht="12.75">
      <c r="A297" s="229"/>
      <c r="B297" s="229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  <c r="AA297" s="229"/>
      <c r="AB297" s="229"/>
      <c r="AC297" s="229"/>
      <c r="AD297" s="229"/>
      <c r="AE297" s="229"/>
      <c r="AF297" s="229"/>
      <c r="AG297" s="229"/>
      <c r="AH297" s="229"/>
      <c r="AI297" s="229"/>
      <c r="AJ297" s="218"/>
      <c r="AK297" s="218"/>
      <c r="AL297" s="218"/>
      <c r="AM297" s="218"/>
    </row>
    <row r="298" spans="1:39" ht="12.75">
      <c r="A298" s="229"/>
      <c r="B298" s="229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  <c r="AA298" s="229"/>
      <c r="AB298" s="229"/>
      <c r="AC298" s="229"/>
      <c r="AD298" s="229"/>
      <c r="AE298" s="229"/>
      <c r="AF298" s="229"/>
      <c r="AG298" s="229"/>
      <c r="AH298" s="229"/>
      <c r="AI298" s="229"/>
      <c r="AJ298" s="218"/>
      <c r="AK298" s="218"/>
      <c r="AL298" s="218"/>
      <c r="AM298" s="218"/>
    </row>
    <row r="299" spans="1:39" ht="12.75">
      <c r="A299" s="229"/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  <c r="AA299" s="229"/>
      <c r="AB299" s="229"/>
      <c r="AC299" s="229"/>
      <c r="AD299" s="229"/>
      <c r="AE299" s="229"/>
      <c r="AF299" s="229"/>
      <c r="AG299" s="229"/>
      <c r="AH299" s="229"/>
      <c r="AI299" s="229"/>
      <c r="AJ299" s="218"/>
      <c r="AK299" s="218"/>
      <c r="AL299" s="218"/>
      <c r="AM299" s="218"/>
    </row>
    <row r="300" spans="1:39" ht="12.75">
      <c r="A300" s="229"/>
      <c r="B300" s="229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  <c r="AA300" s="229"/>
      <c r="AB300" s="229"/>
      <c r="AC300" s="229"/>
      <c r="AD300" s="229"/>
      <c r="AE300" s="229"/>
      <c r="AF300" s="229"/>
      <c r="AG300" s="229"/>
      <c r="AH300" s="229"/>
      <c r="AI300" s="229"/>
      <c r="AJ300" s="218"/>
      <c r="AK300" s="218"/>
      <c r="AL300" s="218"/>
      <c r="AM300" s="218"/>
    </row>
    <row r="301" spans="1:39" ht="12.75">
      <c r="A301" s="229"/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  <c r="AA301" s="229"/>
      <c r="AB301" s="229"/>
      <c r="AC301" s="229"/>
      <c r="AD301" s="229"/>
      <c r="AE301" s="229"/>
      <c r="AF301" s="229"/>
      <c r="AG301" s="229"/>
      <c r="AH301" s="229"/>
      <c r="AI301" s="229"/>
      <c r="AJ301" s="218"/>
      <c r="AK301" s="218"/>
      <c r="AL301" s="218"/>
      <c r="AM301" s="218"/>
    </row>
    <row r="302" spans="1:39" ht="12.75">
      <c r="A302" s="229"/>
      <c r="B302" s="229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  <c r="AA302" s="229"/>
      <c r="AB302" s="229"/>
      <c r="AC302" s="229"/>
      <c r="AD302" s="229"/>
      <c r="AE302" s="229"/>
      <c r="AF302" s="229"/>
      <c r="AG302" s="229"/>
      <c r="AH302" s="229"/>
      <c r="AI302" s="229"/>
      <c r="AJ302" s="218"/>
      <c r="AK302" s="218"/>
      <c r="AL302" s="218"/>
      <c r="AM302" s="218"/>
    </row>
    <row r="303" spans="1:39" ht="12.75">
      <c r="A303" s="229"/>
      <c r="B303" s="229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  <c r="AA303" s="229"/>
      <c r="AB303" s="229"/>
      <c r="AC303" s="229"/>
      <c r="AD303" s="229"/>
      <c r="AE303" s="229"/>
      <c r="AF303" s="229"/>
      <c r="AG303" s="229"/>
      <c r="AH303" s="229"/>
      <c r="AI303" s="229"/>
      <c r="AJ303" s="218"/>
      <c r="AK303" s="218"/>
      <c r="AL303" s="218"/>
      <c r="AM303" s="218"/>
    </row>
    <row r="304" spans="1:39" ht="12.75">
      <c r="A304" s="229"/>
      <c r="B304" s="229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  <c r="AA304" s="229"/>
      <c r="AB304" s="229"/>
      <c r="AC304" s="229"/>
      <c r="AD304" s="229"/>
      <c r="AE304" s="229"/>
      <c r="AF304" s="229"/>
      <c r="AG304" s="229"/>
      <c r="AH304" s="229"/>
      <c r="AI304" s="229"/>
      <c r="AJ304" s="218"/>
      <c r="AK304" s="218"/>
      <c r="AL304" s="218"/>
      <c r="AM304" s="218"/>
    </row>
    <row r="305" spans="1:39" ht="12.75">
      <c r="A305" s="229"/>
      <c r="B305" s="229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  <c r="AA305" s="229"/>
      <c r="AB305" s="229"/>
      <c r="AC305" s="229"/>
      <c r="AD305" s="229"/>
      <c r="AE305" s="229"/>
      <c r="AF305" s="229"/>
      <c r="AG305" s="229"/>
      <c r="AH305" s="229"/>
      <c r="AI305" s="229"/>
      <c r="AJ305" s="218"/>
      <c r="AK305" s="218"/>
      <c r="AL305" s="218"/>
      <c r="AM305" s="218"/>
    </row>
    <row r="306" spans="1:39" ht="12.75">
      <c r="A306" s="229"/>
      <c r="B306" s="229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  <c r="AA306" s="229"/>
      <c r="AB306" s="229"/>
      <c r="AC306" s="229"/>
      <c r="AD306" s="229"/>
      <c r="AE306" s="229"/>
      <c r="AF306" s="229"/>
      <c r="AG306" s="229"/>
      <c r="AH306" s="229"/>
      <c r="AI306" s="229"/>
      <c r="AJ306" s="218"/>
      <c r="AK306" s="218"/>
      <c r="AL306" s="218"/>
      <c r="AM306" s="218"/>
    </row>
    <row r="307" spans="1:39" ht="12.75">
      <c r="A307" s="229"/>
      <c r="B307" s="229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  <c r="AA307" s="229"/>
      <c r="AB307" s="229"/>
      <c r="AC307" s="229"/>
      <c r="AD307" s="229"/>
      <c r="AE307" s="229"/>
      <c r="AF307" s="229"/>
      <c r="AG307" s="229"/>
      <c r="AH307" s="229"/>
      <c r="AI307" s="229"/>
      <c r="AJ307" s="218"/>
      <c r="AK307" s="218"/>
      <c r="AL307" s="218"/>
      <c r="AM307" s="218"/>
    </row>
    <row r="308" spans="1:39" ht="12.75">
      <c r="A308" s="229"/>
      <c r="B308" s="229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  <c r="AA308" s="229"/>
      <c r="AB308" s="229"/>
      <c r="AC308" s="229"/>
      <c r="AD308" s="229"/>
      <c r="AE308" s="229"/>
      <c r="AF308" s="229"/>
      <c r="AG308" s="229"/>
      <c r="AH308" s="229"/>
      <c r="AI308" s="229"/>
      <c r="AJ308" s="218"/>
      <c r="AK308" s="218"/>
      <c r="AL308" s="218"/>
      <c r="AM308" s="218"/>
    </row>
    <row r="309" spans="1:39" ht="12.75">
      <c r="A309" s="229"/>
      <c r="B309" s="229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  <c r="AA309" s="229"/>
      <c r="AB309" s="229"/>
      <c r="AC309" s="229"/>
      <c r="AD309" s="229"/>
      <c r="AE309" s="229"/>
      <c r="AF309" s="229"/>
      <c r="AG309" s="229"/>
      <c r="AH309" s="229"/>
      <c r="AI309" s="229"/>
      <c r="AJ309" s="218"/>
      <c r="AK309" s="218"/>
      <c r="AL309" s="218"/>
      <c r="AM309" s="218"/>
    </row>
    <row r="310" spans="1:39" ht="12.75">
      <c r="A310" s="229"/>
      <c r="B310" s="229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  <c r="AA310" s="229"/>
      <c r="AB310" s="229"/>
      <c r="AC310" s="229"/>
      <c r="AD310" s="229"/>
      <c r="AE310" s="229"/>
      <c r="AF310" s="229"/>
      <c r="AG310" s="229"/>
      <c r="AH310" s="229"/>
      <c r="AI310" s="229"/>
      <c r="AJ310" s="218"/>
      <c r="AK310" s="218"/>
      <c r="AL310" s="218"/>
      <c r="AM310" s="218"/>
    </row>
    <row r="311" spans="1:39" ht="12.75">
      <c r="A311" s="229"/>
      <c r="B311" s="229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  <c r="AA311" s="229"/>
      <c r="AB311" s="229"/>
      <c r="AC311" s="229"/>
      <c r="AD311" s="229"/>
      <c r="AE311" s="229"/>
      <c r="AF311" s="229"/>
      <c r="AG311" s="229"/>
      <c r="AH311" s="229"/>
      <c r="AI311" s="229"/>
      <c r="AJ311" s="218"/>
      <c r="AK311" s="218"/>
      <c r="AL311" s="218"/>
      <c r="AM311" s="218"/>
    </row>
    <row r="312" spans="1:39" ht="12.75">
      <c r="A312" s="229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  <c r="AA312" s="229"/>
      <c r="AB312" s="229"/>
      <c r="AC312" s="229"/>
      <c r="AD312" s="229"/>
      <c r="AE312" s="229"/>
      <c r="AF312" s="229"/>
      <c r="AG312" s="229"/>
      <c r="AH312" s="229"/>
      <c r="AI312" s="229"/>
      <c r="AJ312" s="218"/>
      <c r="AK312" s="218"/>
      <c r="AL312" s="218"/>
      <c r="AM312" s="218"/>
    </row>
    <row r="313" spans="1:39" ht="12.75">
      <c r="A313" s="229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  <c r="AA313" s="229"/>
      <c r="AB313" s="229"/>
      <c r="AC313" s="229"/>
      <c r="AD313" s="229"/>
      <c r="AE313" s="229"/>
      <c r="AF313" s="229"/>
      <c r="AG313" s="229"/>
      <c r="AH313" s="229"/>
      <c r="AI313" s="229"/>
      <c r="AJ313" s="218"/>
      <c r="AK313" s="218"/>
      <c r="AL313" s="218"/>
      <c r="AM313" s="218"/>
    </row>
    <row r="314" spans="1:39" ht="12.75">
      <c r="A314" s="229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  <c r="AA314" s="229"/>
      <c r="AB314" s="229"/>
      <c r="AC314" s="229"/>
      <c r="AD314" s="229"/>
      <c r="AE314" s="229"/>
      <c r="AF314" s="229"/>
      <c r="AG314" s="229"/>
      <c r="AH314" s="229"/>
      <c r="AI314" s="229"/>
      <c r="AJ314" s="218"/>
      <c r="AK314" s="218"/>
      <c r="AL314" s="218"/>
      <c r="AM314" s="218"/>
    </row>
    <row r="315" spans="1:39" ht="12.75">
      <c r="A315" s="229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  <c r="AA315" s="229"/>
      <c r="AB315" s="229"/>
      <c r="AC315" s="229"/>
      <c r="AD315" s="229"/>
      <c r="AE315" s="229"/>
      <c r="AF315" s="229"/>
      <c r="AG315" s="229"/>
      <c r="AH315" s="229"/>
      <c r="AI315" s="229"/>
      <c r="AJ315" s="218"/>
      <c r="AK315" s="218"/>
      <c r="AL315" s="218"/>
      <c r="AM315" s="218"/>
    </row>
    <row r="316" spans="1:39" ht="12.75">
      <c r="A316" s="229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  <c r="AA316" s="229"/>
      <c r="AB316" s="229"/>
      <c r="AC316" s="229"/>
      <c r="AD316" s="229"/>
      <c r="AE316" s="229"/>
      <c r="AF316" s="229"/>
      <c r="AG316" s="229"/>
      <c r="AH316" s="229"/>
      <c r="AI316" s="229"/>
      <c r="AJ316" s="218"/>
      <c r="AK316" s="218"/>
      <c r="AL316" s="218"/>
      <c r="AM316" s="218"/>
    </row>
    <row r="317" spans="1:39" ht="12.75">
      <c r="A317" s="229"/>
      <c r="B317" s="229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  <c r="AA317" s="229"/>
      <c r="AB317" s="229"/>
      <c r="AC317" s="229"/>
      <c r="AD317" s="229"/>
      <c r="AE317" s="229"/>
      <c r="AF317" s="229"/>
      <c r="AG317" s="229"/>
      <c r="AH317" s="229"/>
      <c r="AI317" s="229"/>
      <c r="AJ317" s="218"/>
      <c r="AK317" s="218"/>
      <c r="AL317" s="218"/>
      <c r="AM317" s="218"/>
    </row>
    <row r="318" spans="1:39" ht="12.75">
      <c r="A318" s="229"/>
      <c r="B318" s="229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  <c r="AA318" s="229"/>
      <c r="AB318" s="229"/>
      <c r="AC318" s="229"/>
      <c r="AD318" s="229"/>
      <c r="AE318" s="229"/>
      <c r="AF318" s="229"/>
      <c r="AG318" s="229"/>
      <c r="AH318" s="229"/>
      <c r="AI318" s="229"/>
      <c r="AJ318" s="218"/>
      <c r="AK318" s="218"/>
      <c r="AL318" s="218"/>
      <c r="AM318" s="218"/>
    </row>
    <row r="319" spans="1:39" ht="12.75">
      <c r="A319" s="229"/>
      <c r="B319" s="229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  <c r="AA319" s="229"/>
      <c r="AB319" s="229"/>
      <c r="AC319" s="229"/>
      <c r="AD319" s="229"/>
      <c r="AE319" s="229"/>
      <c r="AF319" s="229"/>
      <c r="AG319" s="229"/>
      <c r="AH319" s="229"/>
      <c r="AI319" s="229"/>
      <c r="AJ319" s="218"/>
      <c r="AK319" s="218"/>
      <c r="AL319" s="218"/>
      <c r="AM319" s="218"/>
    </row>
    <row r="320" spans="1:39" ht="12.75">
      <c r="A320" s="229"/>
      <c r="B320" s="229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  <c r="AA320" s="229"/>
      <c r="AB320" s="229"/>
      <c r="AC320" s="229"/>
      <c r="AD320" s="229"/>
      <c r="AE320" s="229"/>
      <c r="AF320" s="229"/>
      <c r="AG320" s="229"/>
      <c r="AH320" s="229"/>
      <c r="AI320" s="229"/>
      <c r="AJ320" s="218"/>
      <c r="AK320" s="218"/>
      <c r="AL320" s="218"/>
      <c r="AM320" s="218"/>
    </row>
    <row r="321" spans="1:39" ht="12.75">
      <c r="A321" s="229"/>
      <c r="B321" s="229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  <c r="AA321" s="229"/>
      <c r="AB321" s="229"/>
      <c r="AC321" s="229"/>
      <c r="AD321" s="229"/>
      <c r="AE321" s="229"/>
      <c r="AF321" s="229"/>
      <c r="AG321" s="229"/>
      <c r="AH321" s="229"/>
      <c r="AI321" s="229"/>
      <c r="AJ321" s="218"/>
      <c r="AK321" s="218"/>
      <c r="AL321" s="218"/>
      <c r="AM321" s="218"/>
    </row>
    <row r="322" spans="1:39" ht="12.75">
      <c r="A322" s="229"/>
      <c r="B322" s="229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  <c r="AA322" s="229"/>
      <c r="AB322" s="229"/>
      <c r="AC322" s="229"/>
      <c r="AD322" s="229"/>
      <c r="AE322" s="229"/>
      <c r="AF322" s="229"/>
      <c r="AG322" s="229"/>
      <c r="AH322" s="229"/>
      <c r="AI322" s="229"/>
      <c r="AJ322" s="218"/>
      <c r="AK322" s="218"/>
      <c r="AL322" s="218"/>
      <c r="AM322" s="218"/>
    </row>
    <row r="323" spans="1:39" ht="12.75">
      <c r="A323" s="229"/>
      <c r="B323" s="229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  <c r="AA323" s="229"/>
      <c r="AB323" s="229"/>
      <c r="AC323" s="229"/>
      <c r="AD323" s="229"/>
      <c r="AE323" s="229"/>
      <c r="AF323" s="229"/>
      <c r="AG323" s="229"/>
      <c r="AH323" s="229"/>
      <c r="AI323" s="229"/>
      <c r="AJ323" s="218"/>
      <c r="AK323" s="218"/>
      <c r="AL323" s="218"/>
      <c r="AM323" s="218"/>
    </row>
    <row r="324" spans="1:39" ht="12.75">
      <c r="A324" s="229"/>
      <c r="B324" s="229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  <c r="AA324" s="229"/>
      <c r="AB324" s="229"/>
      <c r="AC324" s="229"/>
      <c r="AD324" s="229"/>
      <c r="AE324" s="229"/>
      <c r="AF324" s="229"/>
      <c r="AG324" s="229"/>
      <c r="AH324" s="229"/>
      <c r="AI324" s="229"/>
      <c r="AJ324" s="218"/>
      <c r="AK324" s="218"/>
      <c r="AL324" s="218"/>
      <c r="AM324" s="218"/>
    </row>
    <row r="325" spans="1:39" ht="12.75">
      <c r="A325" s="229"/>
      <c r="B325" s="229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  <c r="AA325" s="229"/>
      <c r="AB325" s="229"/>
      <c r="AC325" s="229"/>
      <c r="AD325" s="229"/>
      <c r="AE325" s="229"/>
      <c r="AF325" s="229"/>
      <c r="AG325" s="229"/>
      <c r="AH325" s="229"/>
      <c r="AI325" s="229"/>
      <c r="AJ325" s="218"/>
      <c r="AK325" s="218"/>
      <c r="AL325" s="218"/>
      <c r="AM325" s="218"/>
    </row>
    <row r="326" spans="1:39" ht="12.75">
      <c r="A326" s="229"/>
      <c r="B326" s="229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  <c r="AA326" s="229"/>
      <c r="AB326" s="229"/>
      <c r="AC326" s="229"/>
      <c r="AD326" s="229"/>
      <c r="AE326" s="229"/>
      <c r="AF326" s="229"/>
      <c r="AG326" s="229"/>
      <c r="AH326" s="229"/>
      <c r="AI326" s="229"/>
      <c r="AJ326" s="218"/>
      <c r="AK326" s="218"/>
      <c r="AL326" s="218"/>
      <c r="AM326" s="218"/>
    </row>
    <row r="327" spans="1:39" ht="12.75">
      <c r="A327" s="229"/>
      <c r="B327" s="229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  <c r="AA327" s="229"/>
      <c r="AB327" s="229"/>
      <c r="AC327" s="229"/>
      <c r="AD327" s="229"/>
      <c r="AE327" s="229"/>
      <c r="AF327" s="229"/>
      <c r="AG327" s="229"/>
      <c r="AH327" s="229"/>
      <c r="AI327" s="229"/>
      <c r="AJ327" s="218"/>
      <c r="AK327" s="218"/>
      <c r="AL327" s="218"/>
      <c r="AM327" s="218"/>
    </row>
    <row r="328" spans="1:39" ht="12.75">
      <c r="A328" s="229"/>
      <c r="B328" s="229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  <c r="AA328" s="229"/>
      <c r="AB328" s="229"/>
      <c r="AC328" s="229"/>
      <c r="AD328" s="229"/>
      <c r="AE328" s="229"/>
      <c r="AF328" s="229"/>
      <c r="AG328" s="229"/>
      <c r="AH328" s="229"/>
      <c r="AI328" s="229"/>
      <c r="AJ328" s="218"/>
      <c r="AK328" s="218"/>
      <c r="AL328" s="218"/>
      <c r="AM328" s="218"/>
    </row>
    <row r="329" spans="1:39" ht="12.75">
      <c r="A329" s="229"/>
      <c r="B329" s="229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  <c r="AA329" s="229"/>
      <c r="AB329" s="229"/>
      <c r="AC329" s="229"/>
      <c r="AD329" s="229"/>
      <c r="AE329" s="229"/>
      <c r="AF329" s="229"/>
      <c r="AG329" s="229"/>
      <c r="AH329" s="229"/>
      <c r="AI329" s="229"/>
      <c r="AJ329" s="218"/>
      <c r="AK329" s="218"/>
      <c r="AL329" s="218"/>
      <c r="AM329" s="218"/>
    </row>
    <row r="330" spans="1:39" ht="12.75">
      <c r="A330" s="229"/>
      <c r="B330" s="229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  <c r="AA330" s="229"/>
      <c r="AB330" s="229"/>
      <c r="AC330" s="229"/>
      <c r="AD330" s="229"/>
      <c r="AE330" s="229"/>
      <c r="AF330" s="229"/>
      <c r="AG330" s="229"/>
      <c r="AH330" s="229"/>
      <c r="AI330" s="229"/>
      <c r="AJ330" s="218"/>
      <c r="AK330" s="218"/>
      <c r="AL330" s="218"/>
      <c r="AM330" s="218"/>
    </row>
    <row r="331" spans="1:39" ht="12.75">
      <c r="A331" s="229"/>
      <c r="B331" s="229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  <c r="AA331" s="229"/>
      <c r="AB331" s="229"/>
      <c r="AC331" s="229"/>
      <c r="AD331" s="229"/>
      <c r="AE331" s="229"/>
      <c r="AF331" s="229"/>
      <c r="AG331" s="229"/>
      <c r="AH331" s="229"/>
      <c r="AI331" s="229"/>
      <c r="AJ331" s="218"/>
      <c r="AK331" s="218"/>
      <c r="AL331" s="218"/>
      <c r="AM331" s="218"/>
    </row>
    <row r="332" spans="1:39" ht="12.75">
      <c r="A332" s="229"/>
      <c r="B332" s="229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  <c r="AA332" s="229"/>
      <c r="AB332" s="229"/>
      <c r="AC332" s="229"/>
      <c r="AD332" s="229"/>
      <c r="AE332" s="229"/>
      <c r="AF332" s="229"/>
      <c r="AG332" s="229"/>
      <c r="AH332" s="229"/>
      <c r="AI332" s="229"/>
      <c r="AJ332" s="218"/>
      <c r="AK332" s="218"/>
      <c r="AL332" s="218"/>
      <c r="AM332" s="218"/>
    </row>
    <row r="333" spans="1:39" ht="12.75">
      <c r="A333" s="229"/>
      <c r="B333" s="229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  <c r="AA333" s="229"/>
      <c r="AB333" s="229"/>
      <c r="AC333" s="229"/>
      <c r="AD333" s="229"/>
      <c r="AE333" s="229"/>
      <c r="AF333" s="229"/>
      <c r="AG333" s="229"/>
      <c r="AH333" s="229"/>
      <c r="AI333" s="229"/>
      <c r="AJ333" s="218"/>
      <c r="AK333" s="218"/>
      <c r="AL333" s="218"/>
      <c r="AM333" s="218"/>
    </row>
    <row r="334" spans="1:39" ht="12.75">
      <c r="A334" s="229"/>
      <c r="B334" s="229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  <c r="AA334" s="229"/>
      <c r="AB334" s="229"/>
      <c r="AC334" s="229"/>
      <c r="AD334" s="229"/>
      <c r="AE334" s="229"/>
      <c r="AF334" s="229"/>
      <c r="AG334" s="229"/>
      <c r="AH334" s="229"/>
      <c r="AI334" s="229"/>
      <c r="AJ334" s="218"/>
      <c r="AK334" s="218"/>
      <c r="AL334" s="218"/>
      <c r="AM334" s="218"/>
    </row>
    <row r="335" spans="1:39" ht="12.75">
      <c r="A335" s="229"/>
      <c r="B335" s="229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  <c r="AA335" s="229"/>
      <c r="AB335" s="229"/>
      <c r="AC335" s="229"/>
      <c r="AD335" s="229"/>
      <c r="AE335" s="229"/>
      <c r="AF335" s="229"/>
      <c r="AG335" s="229"/>
      <c r="AH335" s="229"/>
      <c r="AI335" s="229"/>
      <c r="AJ335" s="218"/>
      <c r="AK335" s="218"/>
      <c r="AL335" s="218"/>
      <c r="AM335" s="218"/>
    </row>
    <row r="336" spans="1:39" ht="12.75">
      <c r="A336" s="229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  <c r="AA336" s="229"/>
      <c r="AB336" s="229"/>
      <c r="AC336" s="229"/>
      <c r="AD336" s="229"/>
      <c r="AE336" s="229"/>
      <c r="AF336" s="229"/>
      <c r="AG336" s="229"/>
      <c r="AH336" s="229"/>
      <c r="AI336" s="229"/>
      <c r="AJ336" s="218"/>
      <c r="AK336" s="218"/>
      <c r="AL336" s="218"/>
      <c r="AM336" s="218"/>
    </row>
    <row r="337" spans="1:39" ht="12.75">
      <c r="A337" s="229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  <c r="AA337" s="229"/>
      <c r="AB337" s="229"/>
      <c r="AC337" s="229"/>
      <c r="AD337" s="229"/>
      <c r="AE337" s="229"/>
      <c r="AF337" s="229"/>
      <c r="AG337" s="229"/>
      <c r="AH337" s="229"/>
      <c r="AI337" s="229"/>
      <c r="AJ337" s="218"/>
      <c r="AK337" s="218"/>
      <c r="AL337" s="218"/>
      <c r="AM337" s="218"/>
    </row>
    <row r="338" spans="1:39" ht="12.75">
      <c r="A338" s="229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  <c r="AA338" s="229"/>
      <c r="AB338" s="229"/>
      <c r="AC338" s="229"/>
      <c r="AD338" s="229"/>
      <c r="AE338" s="229"/>
      <c r="AF338" s="229"/>
      <c r="AG338" s="229"/>
      <c r="AH338" s="229"/>
      <c r="AI338" s="229"/>
      <c r="AJ338" s="218"/>
      <c r="AK338" s="218"/>
      <c r="AL338" s="218"/>
      <c r="AM338" s="218"/>
    </row>
    <row r="339" spans="1:39" ht="12.75">
      <c r="A339" s="229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  <c r="AA339" s="229"/>
      <c r="AB339" s="229"/>
      <c r="AC339" s="229"/>
      <c r="AD339" s="229"/>
      <c r="AE339" s="229"/>
      <c r="AF339" s="229"/>
      <c r="AG339" s="229"/>
      <c r="AH339" s="229"/>
      <c r="AI339" s="229"/>
      <c r="AJ339" s="218"/>
      <c r="AK339" s="218"/>
      <c r="AL339" s="218"/>
      <c r="AM339" s="218"/>
    </row>
    <row r="340" spans="1:39" ht="12.75">
      <c r="A340" s="229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  <c r="AA340" s="229"/>
      <c r="AB340" s="229"/>
      <c r="AC340" s="229"/>
      <c r="AD340" s="229"/>
      <c r="AE340" s="229"/>
      <c r="AF340" s="229"/>
      <c r="AG340" s="229"/>
      <c r="AH340" s="229"/>
      <c r="AI340" s="229"/>
      <c r="AJ340" s="218"/>
      <c r="AK340" s="218"/>
      <c r="AL340" s="218"/>
      <c r="AM340" s="218"/>
    </row>
    <row r="341" spans="1:39" ht="12.75">
      <c r="A341" s="229"/>
      <c r="B341" s="229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  <c r="AA341" s="229"/>
      <c r="AB341" s="229"/>
      <c r="AC341" s="229"/>
      <c r="AD341" s="229"/>
      <c r="AE341" s="229"/>
      <c r="AF341" s="229"/>
      <c r="AG341" s="229"/>
      <c r="AH341" s="229"/>
      <c r="AI341" s="229"/>
      <c r="AJ341" s="218"/>
      <c r="AK341" s="218"/>
      <c r="AL341" s="218"/>
      <c r="AM341" s="218"/>
    </row>
    <row r="342" spans="1:39" ht="12.75">
      <c r="A342" s="229"/>
      <c r="B342" s="229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  <c r="AA342" s="229"/>
      <c r="AB342" s="229"/>
      <c r="AC342" s="229"/>
      <c r="AD342" s="229"/>
      <c r="AE342" s="229"/>
      <c r="AF342" s="229"/>
      <c r="AG342" s="229"/>
      <c r="AH342" s="229"/>
      <c r="AI342" s="229"/>
      <c r="AJ342" s="218"/>
      <c r="AK342" s="218"/>
      <c r="AL342" s="218"/>
      <c r="AM342" s="218"/>
    </row>
    <row r="343" spans="1:39" ht="12.75">
      <c r="A343" s="229"/>
      <c r="B343" s="229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  <c r="AA343" s="229"/>
      <c r="AB343" s="229"/>
      <c r="AC343" s="229"/>
      <c r="AD343" s="229"/>
      <c r="AE343" s="229"/>
      <c r="AF343" s="229"/>
      <c r="AG343" s="229"/>
      <c r="AH343" s="229"/>
      <c r="AI343" s="229"/>
      <c r="AJ343" s="218"/>
      <c r="AK343" s="218"/>
      <c r="AL343" s="218"/>
      <c r="AM343" s="218"/>
    </row>
    <row r="344" spans="1:39" ht="12.75">
      <c r="A344" s="229"/>
      <c r="B344" s="229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  <c r="AA344" s="229"/>
      <c r="AB344" s="229"/>
      <c r="AC344" s="229"/>
      <c r="AD344" s="229"/>
      <c r="AE344" s="229"/>
      <c r="AF344" s="229"/>
      <c r="AG344" s="229"/>
      <c r="AH344" s="229"/>
      <c r="AI344" s="229"/>
      <c r="AJ344" s="218"/>
      <c r="AK344" s="218"/>
      <c r="AL344" s="218"/>
      <c r="AM344" s="218"/>
    </row>
    <row r="345" spans="1:39" ht="12.75">
      <c r="A345" s="229"/>
      <c r="B345" s="229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  <c r="AA345" s="229"/>
      <c r="AB345" s="229"/>
      <c r="AC345" s="229"/>
      <c r="AD345" s="229"/>
      <c r="AE345" s="229"/>
      <c r="AF345" s="229"/>
      <c r="AG345" s="229"/>
      <c r="AH345" s="229"/>
      <c r="AI345" s="229"/>
      <c r="AJ345" s="218"/>
      <c r="AK345" s="218"/>
      <c r="AL345" s="218"/>
      <c r="AM345" s="218"/>
    </row>
    <row r="346" spans="1:39" ht="12.75">
      <c r="A346" s="229"/>
      <c r="B346" s="229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  <c r="AA346" s="229"/>
      <c r="AB346" s="229"/>
      <c r="AC346" s="229"/>
      <c r="AD346" s="229"/>
      <c r="AE346" s="229"/>
      <c r="AF346" s="229"/>
      <c r="AG346" s="229"/>
      <c r="AH346" s="229"/>
      <c r="AI346" s="229"/>
      <c r="AJ346" s="218"/>
      <c r="AK346" s="218"/>
      <c r="AL346" s="218"/>
      <c r="AM346" s="218"/>
    </row>
    <row r="347" spans="1:39" ht="12.75">
      <c r="A347" s="229"/>
      <c r="B347" s="229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  <c r="AA347" s="229"/>
      <c r="AB347" s="229"/>
      <c r="AC347" s="229"/>
      <c r="AD347" s="229"/>
      <c r="AE347" s="229"/>
      <c r="AF347" s="229"/>
      <c r="AG347" s="229"/>
      <c r="AH347" s="229"/>
      <c r="AI347" s="229"/>
      <c r="AJ347" s="218"/>
      <c r="AK347" s="218"/>
      <c r="AL347" s="218"/>
      <c r="AM347" s="218"/>
    </row>
    <row r="348" spans="1:39" ht="12.75">
      <c r="A348" s="229"/>
      <c r="B348" s="229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  <c r="AA348" s="229"/>
      <c r="AB348" s="229"/>
      <c r="AC348" s="229"/>
      <c r="AD348" s="229"/>
      <c r="AE348" s="229"/>
      <c r="AF348" s="229"/>
      <c r="AG348" s="229"/>
      <c r="AH348" s="229"/>
      <c r="AI348" s="229"/>
      <c r="AJ348" s="218"/>
      <c r="AK348" s="218"/>
      <c r="AL348" s="218"/>
      <c r="AM348" s="218"/>
    </row>
    <row r="349" spans="1:39" ht="12.75">
      <c r="A349" s="229"/>
      <c r="B349" s="229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  <c r="AA349" s="229"/>
      <c r="AB349" s="229"/>
      <c r="AC349" s="229"/>
      <c r="AD349" s="229"/>
      <c r="AE349" s="229"/>
      <c r="AF349" s="229"/>
      <c r="AG349" s="229"/>
      <c r="AH349" s="229"/>
      <c r="AI349" s="229"/>
      <c r="AJ349" s="218"/>
      <c r="AK349" s="218"/>
      <c r="AL349" s="218"/>
      <c r="AM349" s="218"/>
    </row>
    <row r="350" spans="1:39" ht="12.75">
      <c r="A350" s="229"/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  <c r="AA350" s="229"/>
      <c r="AB350" s="229"/>
      <c r="AC350" s="229"/>
      <c r="AD350" s="229"/>
      <c r="AE350" s="229"/>
      <c r="AF350" s="229"/>
      <c r="AG350" s="229"/>
      <c r="AH350" s="229"/>
      <c r="AI350" s="229"/>
      <c r="AJ350" s="218"/>
      <c r="AK350" s="218"/>
      <c r="AL350" s="218"/>
      <c r="AM350" s="218"/>
    </row>
    <row r="351" spans="1:39" ht="12.75">
      <c r="A351" s="229"/>
      <c r="B351" s="229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  <c r="AA351" s="229"/>
      <c r="AB351" s="229"/>
      <c r="AC351" s="229"/>
      <c r="AD351" s="229"/>
      <c r="AE351" s="229"/>
      <c r="AF351" s="229"/>
      <c r="AG351" s="229"/>
      <c r="AH351" s="229"/>
      <c r="AI351" s="229"/>
      <c r="AJ351" s="218"/>
      <c r="AK351" s="218"/>
      <c r="AL351" s="218"/>
      <c r="AM351" s="218"/>
    </row>
    <row r="352" spans="1:39" ht="12.75">
      <c r="A352" s="229"/>
      <c r="B352" s="229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  <c r="AA352" s="229"/>
      <c r="AB352" s="229"/>
      <c r="AC352" s="229"/>
      <c r="AD352" s="229"/>
      <c r="AE352" s="229"/>
      <c r="AF352" s="229"/>
      <c r="AG352" s="229"/>
      <c r="AH352" s="229"/>
      <c r="AI352" s="229"/>
      <c r="AJ352" s="218"/>
      <c r="AK352" s="218"/>
      <c r="AL352" s="218"/>
      <c r="AM352" s="218"/>
    </row>
    <row r="353" spans="1:39" ht="12.75">
      <c r="A353" s="229"/>
      <c r="B353" s="229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  <c r="AA353" s="229"/>
      <c r="AB353" s="229"/>
      <c r="AC353" s="229"/>
      <c r="AD353" s="229"/>
      <c r="AE353" s="229"/>
      <c r="AF353" s="229"/>
      <c r="AG353" s="229"/>
      <c r="AH353" s="229"/>
      <c r="AI353" s="229"/>
      <c r="AJ353" s="218"/>
      <c r="AK353" s="218"/>
      <c r="AL353" s="218"/>
      <c r="AM353" s="218"/>
    </row>
    <row r="354" spans="1:39" ht="12.75">
      <c r="A354" s="229"/>
      <c r="B354" s="229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  <c r="AA354" s="229"/>
      <c r="AB354" s="229"/>
      <c r="AC354" s="229"/>
      <c r="AD354" s="229"/>
      <c r="AE354" s="229"/>
      <c r="AF354" s="229"/>
      <c r="AG354" s="229"/>
      <c r="AH354" s="229"/>
      <c r="AI354" s="229"/>
      <c r="AJ354" s="218"/>
      <c r="AK354" s="218"/>
      <c r="AL354" s="218"/>
      <c r="AM354" s="218"/>
    </row>
    <row r="355" spans="1:39" ht="12.75">
      <c r="A355" s="229"/>
      <c r="B355" s="229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  <c r="AA355" s="229"/>
      <c r="AB355" s="229"/>
      <c r="AC355" s="229"/>
      <c r="AD355" s="229"/>
      <c r="AE355" s="229"/>
      <c r="AF355" s="229"/>
      <c r="AG355" s="229"/>
      <c r="AH355" s="229"/>
      <c r="AI355" s="229"/>
      <c r="AJ355" s="218"/>
      <c r="AK355" s="218"/>
      <c r="AL355" s="218"/>
      <c r="AM355" s="218"/>
    </row>
    <row r="356" spans="1:39" ht="12.75">
      <c r="A356" s="229"/>
      <c r="B356" s="229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  <c r="AA356" s="229"/>
      <c r="AB356" s="229"/>
      <c r="AC356" s="229"/>
      <c r="AD356" s="229"/>
      <c r="AE356" s="229"/>
      <c r="AF356" s="229"/>
      <c r="AG356" s="229"/>
      <c r="AH356" s="229"/>
      <c r="AI356" s="229"/>
      <c r="AJ356" s="218"/>
      <c r="AK356" s="218"/>
      <c r="AL356" s="218"/>
      <c r="AM356" s="218"/>
    </row>
    <row r="357" spans="1:39" ht="12.75">
      <c r="A357" s="229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  <c r="AA357" s="229"/>
      <c r="AB357" s="229"/>
      <c r="AC357" s="229"/>
      <c r="AD357" s="229"/>
      <c r="AE357" s="229"/>
      <c r="AF357" s="229"/>
      <c r="AG357" s="229"/>
      <c r="AH357" s="229"/>
      <c r="AI357" s="229"/>
      <c r="AJ357" s="218"/>
      <c r="AK357" s="218"/>
      <c r="AL357" s="218"/>
      <c r="AM357" s="218"/>
    </row>
    <row r="358" spans="1:39" ht="12.75">
      <c r="A358" s="229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  <c r="AA358" s="229"/>
      <c r="AB358" s="229"/>
      <c r="AC358" s="229"/>
      <c r="AD358" s="229"/>
      <c r="AE358" s="229"/>
      <c r="AF358" s="229"/>
      <c r="AG358" s="229"/>
      <c r="AH358" s="229"/>
      <c r="AI358" s="229"/>
      <c r="AJ358" s="218"/>
      <c r="AK358" s="218"/>
      <c r="AL358" s="218"/>
      <c r="AM358" s="218"/>
    </row>
    <row r="359" spans="1:39" ht="12.75">
      <c r="A359" s="229"/>
      <c r="B359" s="229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  <c r="AA359" s="229"/>
      <c r="AB359" s="229"/>
      <c r="AC359" s="229"/>
      <c r="AD359" s="229"/>
      <c r="AE359" s="229"/>
      <c r="AF359" s="229"/>
      <c r="AG359" s="229"/>
      <c r="AH359" s="229"/>
      <c r="AI359" s="229"/>
      <c r="AJ359" s="218"/>
      <c r="AK359" s="218"/>
      <c r="AL359" s="218"/>
      <c r="AM359" s="218"/>
    </row>
    <row r="360" spans="1:39" ht="12.75">
      <c r="A360" s="229"/>
      <c r="B360" s="229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  <c r="AA360" s="229"/>
      <c r="AB360" s="229"/>
      <c r="AC360" s="229"/>
      <c r="AD360" s="229"/>
      <c r="AE360" s="229"/>
      <c r="AF360" s="229"/>
      <c r="AG360" s="229"/>
      <c r="AH360" s="229"/>
      <c r="AI360" s="229"/>
      <c r="AJ360" s="218"/>
      <c r="AK360" s="218"/>
      <c r="AL360" s="218"/>
      <c r="AM360" s="218"/>
    </row>
    <row r="361" spans="1:39" ht="12.75">
      <c r="A361" s="229"/>
      <c r="B361" s="229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  <c r="AA361" s="229"/>
      <c r="AB361" s="229"/>
      <c r="AC361" s="229"/>
      <c r="AD361" s="229"/>
      <c r="AE361" s="229"/>
      <c r="AF361" s="229"/>
      <c r="AG361" s="229"/>
      <c r="AH361" s="229"/>
      <c r="AI361" s="229"/>
      <c r="AJ361" s="218"/>
      <c r="AK361" s="218"/>
      <c r="AL361" s="218"/>
      <c r="AM361" s="218"/>
    </row>
    <row r="362" spans="1:39" ht="12.75">
      <c r="A362" s="229"/>
      <c r="B362" s="229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  <c r="AA362" s="229"/>
      <c r="AB362" s="229"/>
      <c r="AC362" s="229"/>
      <c r="AD362" s="229"/>
      <c r="AE362" s="229"/>
      <c r="AF362" s="229"/>
      <c r="AG362" s="229"/>
      <c r="AH362" s="229"/>
      <c r="AI362" s="229"/>
      <c r="AJ362" s="218"/>
      <c r="AK362" s="218"/>
      <c r="AL362" s="218"/>
      <c r="AM362" s="218"/>
    </row>
    <row r="363" spans="1:39" ht="12.75">
      <c r="A363" s="229"/>
      <c r="B363" s="229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  <c r="AA363" s="229"/>
      <c r="AB363" s="229"/>
      <c r="AC363" s="229"/>
      <c r="AD363" s="229"/>
      <c r="AE363" s="229"/>
      <c r="AF363" s="229"/>
      <c r="AG363" s="229"/>
      <c r="AH363" s="229"/>
      <c r="AI363" s="229"/>
      <c r="AJ363" s="218"/>
      <c r="AK363" s="218"/>
      <c r="AL363" s="218"/>
      <c r="AM363" s="218"/>
    </row>
    <row r="364" spans="1:39" ht="12.75">
      <c r="A364" s="229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  <c r="AA364" s="229"/>
      <c r="AB364" s="229"/>
      <c r="AC364" s="229"/>
      <c r="AD364" s="229"/>
      <c r="AE364" s="229"/>
      <c r="AF364" s="229"/>
      <c r="AG364" s="229"/>
      <c r="AH364" s="229"/>
      <c r="AI364" s="229"/>
      <c r="AJ364" s="218"/>
      <c r="AK364" s="218"/>
      <c r="AL364" s="218"/>
      <c r="AM364" s="218"/>
    </row>
    <row r="365" spans="1:39" ht="12.75">
      <c r="A365" s="229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  <c r="AA365" s="229"/>
      <c r="AB365" s="229"/>
      <c r="AC365" s="229"/>
      <c r="AD365" s="229"/>
      <c r="AE365" s="229"/>
      <c r="AF365" s="229"/>
      <c r="AG365" s="229"/>
      <c r="AH365" s="229"/>
      <c r="AI365" s="229"/>
      <c r="AJ365" s="218"/>
      <c r="AK365" s="218"/>
      <c r="AL365" s="218"/>
      <c r="AM365" s="218"/>
    </row>
    <row r="366" spans="1:39" ht="12.75">
      <c r="A366" s="229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  <c r="AA366" s="229"/>
      <c r="AB366" s="229"/>
      <c r="AC366" s="229"/>
      <c r="AD366" s="229"/>
      <c r="AE366" s="229"/>
      <c r="AF366" s="229"/>
      <c r="AG366" s="229"/>
      <c r="AH366" s="229"/>
      <c r="AI366" s="229"/>
      <c r="AJ366" s="218"/>
      <c r="AK366" s="218"/>
      <c r="AL366" s="218"/>
      <c r="AM366" s="218"/>
    </row>
    <row r="367" spans="1:39" ht="12.75">
      <c r="A367" s="229"/>
      <c r="B367" s="229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  <c r="AA367" s="229"/>
      <c r="AB367" s="229"/>
      <c r="AC367" s="229"/>
      <c r="AD367" s="229"/>
      <c r="AE367" s="229"/>
      <c r="AF367" s="229"/>
      <c r="AG367" s="229"/>
      <c r="AH367" s="229"/>
      <c r="AI367" s="229"/>
      <c r="AJ367" s="218"/>
      <c r="AK367" s="218"/>
      <c r="AL367" s="218"/>
      <c r="AM367" s="218"/>
    </row>
    <row r="368" spans="1:39" ht="12.75">
      <c r="A368" s="229"/>
      <c r="B368" s="229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  <c r="AA368" s="229"/>
      <c r="AB368" s="229"/>
      <c r="AC368" s="229"/>
      <c r="AD368" s="229"/>
      <c r="AE368" s="229"/>
      <c r="AF368" s="229"/>
      <c r="AG368" s="229"/>
      <c r="AH368" s="229"/>
      <c r="AI368" s="229"/>
      <c r="AJ368" s="218"/>
      <c r="AK368" s="218"/>
      <c r="AL368" s="218"/>
      <c r="AM368" s="218"/>
    </row>
    <row r="369" spans="1:39" ht="12.75">
      <c r="A369" s="229"/>
      <c r="B369" s="229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  <c r="AA369" s="229"/>
      <c r="AB369" s="229"/>
      <c r="AC369" s="229"/>
      <c r="AD369" s="229"/>
      <c r="AE369" s="229"/>
      <c r="AF369" s="229"/>
      <c r="AG369" s="229"/>
      <c r="AH369" s="229"/>
      <c r="AI369" s="229"/>
      <c r="AJ369" s="218"/>
      <c r="AK369" s="218"/>
      <c r="AL369" s="218"/>
      <c r="AM369" s="218"/>
    </row>
    <row r="370" spans="1:39" ht="12.75">
      <c r="A370" s="229"/>
      <c r="B370" s="229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  <c r="AA370" s="229"/>
      <c r="AB370" s="229"/>
      <c r="AC370" s="229"/>
      <c r="AD370" s="229"/>
      <c r="AE370" s="229"/>
      <c r="AF370" s="229"/>
      <c r="AG370" s="229"/>
      <c r="AH370" s="229"/>
      <c r="AI370" s="229"/>
      <c r="AJ370" s="218"/>
      <c r="AK370" s="218"/>
      <c r="AL370" s="218"/>
      <c r="AM370" s="218"/>
    </row>
    <row r="371" spans="1:39" ht="12.75">
      <c r="A371" s="229"/>
      <c r="B371" s="229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  <c r="AA371" s="229"/>
      <c r="AB371" s="229"/>
      <c r="AC371" s="229"/>
      <c r="AD371" s="229"/>
      <c r="AE371" s="229"/>
      <c r="AF371" s="229"/>
      <c r="AG371" s="229"/>
      <c r="AH371" s="229"/>
      <c r="AI371" s="229"/>
      <c r="AJ371" s="218"/>
      <c r="AK371" s="218"/>
      <c r="AL371" s="218"/>
      <c r="AM371" s="218"/>
    </row>
    <row r="372" spans="1:39" ht="12.75">
      <c r="A372" s="229"/>
      <c r="B372" s="229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  <c r="AA372" s="229"/>
      <c r="AB372" s="229"/>
      <c r="AC372" s="229"/>
      <c r="AD372" s="229"/>
      <c r="AE372" s="229"/>
      <c r="AF372" s="229"/>
      <c r="AG372" s="229"/>
      <c r="AH372" s="229"/>
      <c r="AI372" s="229"/>
      <c r="AJ372" s="218"/>
      <c r="AK372" s="218"/>
      <c r="AL372" s="218"/>
      <c r="AM372" s="218"/>
    </row>
    <row r="373" spans="1:39" ht="12.75">
      <c r="A373" s="229"/>
      <c r="B373" s="229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  <c r="AA373" s="229"/>
      <c r="AB373" s="229"/>
      <c r="AC373" s="229"/>
      <c r="AD373" s="229"/>
      <c r="AE373" s="229"/>
      <c r="AF373" s="229"/>
      <c r="AG373" s="229"/>
      <c r="AH373" s="229"/>
      <c r="AI373" s="229"/>
      <c r="AJ373" s="218"/>
      <c r="AK373" s="218"/>
      <c r="AL373" s="218"/>
      <c r="AM373" s="218"/>
    </row>
    <row r="374" spans="1:39" ht="12.75">
      <c r="A374" s="229"/>
      <c r="B374" s="229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  <c r="AA374" s="229"/>
      <c r="AB374" s="229"/>
      <c r="AC374" s="229"/>
      <c r="AD374" s="229"/>
      <c r="AE374" s="229"/>
      <c r="AF374" s="229"/>
      <c r="AG374" s="229"/>
      <c r="AH374" s="229"/>
      <c r="AI374" s="229"/>
      <c r="AJ374" s="218"/>
      <c r="AK374" s="218"/>
      <c r="AL374" s="218"/>
      <c r="AM374" s="218"/>
    </row>
    <row r="375" spans="1:39" ht="12.75">
      <c r="A375" s="229"/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  <c r="AA375" s="229"/>
      <c r="AB375" s="229"/>
      <c r="AC375" s="229"/>
      <c r="AD375" s="229"/>
      <c r="AE375" s="229"/>
      <c r="AF375" s="229"/>
      <c r="AG375" s="229"/>
      <c r="AH375" s="229"/>
      <c r="AI375" s="229"/>
      <c r="AJ375" s="218"/>
      <c r="AK375" s="218"/>
      <c r="AL375" s="218"/>
      <c r="AM375" s="218"/>
    </row>
    <row r="376" spans="1:39" ht="12.75">
      <c r="A376" s="229"/>
      <c r="B376" s="229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  <c r="AA376" s="229"/>
      <c r="AB376" s="229"/>
      <c r="AC376" s="229"/>
      <c r="AD376" s="229"/>
      <c r="AE376" s="229"/>
      <c r="AF376" s="229"/>
      <c r="AG376" s="229"/>
      <c r="AH376" s="229"/>
      <c r="AI376" s="229"/>
      <c r="AJ376" s="218"/>
      <c r="AK376" s="218"/>
      <c r="AL376" s="218"/>
      <c r="AM376" s="218"/>
    </row>
    <row r="377" spans="1:39" ht="12.75">
      <c r="A377" s="229"/>
      <c r="B377" s="229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  <c r="AA377" s="229"/>
      <c r="AB377" s="229"/>
      <c r="AC377" s="229"/>
      <c r="AD377" s="229"/>
      <c r="AE377" s="229"/>
      <c r="AF377" s="229"/>
      <c r="AG377" s="229"/>
      <c r="AH377" s="229"/>
      <c r="AI377" s="229"/>
      <c r="AJ377" s="218"/>
      <c r="AK377" s="218"/>
      <c r="AL377" s="218"/>
      <c r="AM377" s="218"/>
    </row>
    <row r="378" spans="1:39" ht="12.75">
      <c r="A378" s="229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  <c r="AA378" s="229"/>
      <c r="AB378" s="229"/>
      <c r="AC378" s="229"/>
      <c r="AD378" s="229"/>
      <c r="AE378" s="229"/>
      <c r="AF378" s="229"/>
      <c r="AG378" s="229"/>
      <c r="AH378" s="229"/>
      <c r="AI378" s="229"/>
      <c r="AJ378" s="218"/>
      <c r="AK378" s="218"/>
      <c r="AL378" s="218"/>
      <c r="AM378" s="218"/>
    </row>
    <row r="379" spans="1:39" ht="12.75">
      <c r="A379" s="229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  <c r="AA379" s="229"/>
      <c r="AB379" s="229"/>
      <c r="AC379" s="229"/>
      <c r="AD379" s="229"/>
      <c r="AE379" s="229"/>
      <c r="AF379" s="229"/>
      <c r="AG379" s="229"/>
      <c r="AH379" s="229"/>
      <c r="AI379" s="229"/>
      <c r="AJ379" s="218"/>
      <c r="AK379" s="218"/>
      <c r="AL379" s="218"/>
      <c r="AM379" s="218"/>
    </row>
    <row r="380" spans="1:39" ht="12.75">
      <c r="A380" s="229"/>
      <c r="B380" s="229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  <c r="AA380" s="229"/>
      <c r="AB380" s="229"/>
      <c r="AC380" s="229"/>
      <c r="AD380" s="229"/>
      <c r="AE380" s="229"/>
      <c r="AF380" s="229"/>
      <c r="AG380" s="229"/>
      <c r="AH380" s="229"/>
      <c r="AI380" s="229"/>
      <c r="AJ380" s="218"/>
      <c r="AK380" s="218"/>
      <c r="AL380" s="218"/>
      <c r="AM380" s="218"/>
    </row>
    <row r="381" spans="1:39" ht="12.75">
      <c r="A381" s="229"/>
      <c r="B381" s="229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  <c r="AA381" s="229"/>
      <c r="AB381" s="229"/>
      <c r="AC381" s="229"/>
      <c r="AD381" s="229"/>
      <c r="AE381" s="229"/>
      <c r="AF381" s="229"/>
      <c r="AG381" s="229"/>
      <c r="AH381" s="229"/>
      <c r="AI381" s="229"/>
      <c r="AJ381" s="218"/>
      <c r="AK381" s="218"/>
      <c r="AL381" s="218"/>
      <c r="AM381" s="218"/>
    </row>
    <row r="382" spans="1:39" ht="12.75">
      <c r="A382" s="229"/>
      <c r="B382" s="229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  <c r="AA382" s="229"/>
      <c r="AB382" s="229"/>
      <c r="AC382" s="229"/>
      <c r="AD382" s="229"/>
      <c r="AE382" s="229"/>
      <c r="AF382" s="229"/>
      <c r="AG382" s="229"/>
      <c r="AH382" s="229"/>
      <c r="AI382" s="229"/>
      <c r="AJ382" s="218"/>
      <c r="AK382" s="218"/>
      <c r="AL382" s="218"/>
      <c r="AM382" s="218"/>
    </row>
    <row r="383" spans="1:39" ht="12.75">
      <c r="A383" s="229"/>
      <c r="B383" s="229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  <c r="AA383" s="229"/>
      <c r="AB383" s="229"/>
      <c r="AC383" s="229"/>
      <c r="AD383" s="229"/>
      <c r="AE383" s="229"/>
      <c r="AF383" s="229"/>
      <c r="AG383" s="229"/>
      <c r="AH383" s="229"/>
      <c r="AI383" s="229"/>
      <c r="AJ383" s="218"/>
      <c r="AK383" s="218"/>
      <c r="AL383" s="218"/>
      <c r="AM383" s="218"/>
    </row>
    <row r="384" spans="1:39" ht="12.75">
      <c r="A384" s="229"/>
      <c r="B384" s="229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  <c r="AA384" s="229"/>
      <c r="AB384" s="229"/>
      <c r="AC384" s="229"/>
      <c r="AD384" s="229"/>
      <c r="AE384" s="229"/>
      <c r="AF384" s="229"/>
      <c r="AG384" s="229"/>
      <c r="AH384" s="229"/>
      <c r="AI384" s="229"/>
      <c r="AJ384" s="218"/>
      <c r="AK384" s="218"/>
      <c r="AL384" s="218"/>
      <c r="AM384" s="218"/>
    </row>
    <row r="385" spans="1:39" ht="12.75">
      <c r="A385" s="229"/>
      <c r="B385" s="229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  <c r="AA385" s="229"/>
      <c r="AB385" s="229"/>
      <c r="AC385" s="229"/>
      <c r="AD385" s="229"/>
      <c r="AE385" s="229"/>
      <c r="AF385" s="229"/>
      <c r="AG385" s="229"/>
      <c r="AH385" s="229"/>
      <c r="AI385" s="229"/>
      <c r="AJ385" s="218"/>
      <c r="AK385" s="218"/>
      <c r="AL385" s="218"/>
      <c r="AM385" s="218"/>
    </row>
    <row r="386" spans="1:39" ht="12.75">
      <c r="A386" s="229"/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  <c r="AA386" s="229"/>
      <c r="AB386" s="229"/>
      <c r="AC386" s="229"/>
      <c r="AD386" s="229"/>
      <c r="AE386" s="229"/>
      <c r="AF386" s="229"/>
      <c r="AG386" s="229"/>
      <c r="AH386" s="229"/>
      <c r="AI386" s="229"/>
      <c r="AJ386" s="218"/>
      <c r="AK386" s="218"/>
      <c r="AL386" s="218"/>
      <c r="AM386" s="218"/>
    </row>
    <row r="387" spans="1:39" ht="12.75">
      <c r="A387" s="229"/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  <c r="AA387" s="229"/>
      <c r="AB387" s="229"/>
      <c r="AC387" s="229"/>
      <c r="AD387" s="229"/>
      <c r="AE387" s="229"/>
      <c r="AF387" s="229"/>
      <c r="AG387" s="229"/>
      <c r="AH387" s="229"/>
      <c r="AI387" s="229"/>
      <c r="AJ387" s="218"/>
      <c r="AK387" s="218"/>
      <c r="AL387" s="218"/>
      <c r="AM387" s="218"/>
    </row>
    <row r="388" spans="1:39" ht="12.75">
      <c r="A388" s="229"/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  <c r="AA388" s="229"/>
      <c r="AB388" s="229"/>
      <c r="AC388" s="229"/>
      <c r="AD388" s="229"/>
      <c r="AE388" s="229"/>
      <c r="AF388" s="229"/>
      <c r="AG388" s="229"/>
      <c r="AH388" s="229"/>
      <c r="AI388" s="229"/>
      <c r="AJ388" s="218"/>
      <c r="AK388" s="218"/>
      <c r="AL388" s="218"/>
      <c r="AM388" s="218"/>
    </row>
    <row r="389" spans="1:39" ht="12.75">
      <c r="A389" s="229"/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  <c r="AA389" s="229"/>
      <c r="AB389" s="229"/>
      <c r="AC389" s="229"/>
      <c r="AD389" s="229"/>
      <c r="AE389" s="229"/>
      <c r="AF389" s="229"/>
      <c r="AG389" s="229"/>
      <c r="AH389" s="229"/>
      <c r="AI389" s="229"/>
      <c r="AJ389" s="218"/>
      <c r="AK389" s="218"/>
      <c r="AL389" s="218"/>
      <c r="AM389" s="218"/>
    </row>
    <row r="390" spans="1:39" ht="12.75">
      <c r="A390" s="229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  <c r="AA390" s="229"/>
      <c r="AB390" s="229"/>
      <c r="AC390" s="229"/>
      <c r="AD390" s="229"/>
      <c r="AE390" s="229"/>
      <c r="AF390" s="229"/>
      <c r="AG390" s="229"/>
      <c r="AH390" s="229"/>
      <c r="AI390" s="229"/>
      <c r="AJ390" s="218"/>
      <c r="AK390" s="218"/>
      <c r="AL390" s="218"/>
      <c r="AM390" s="218"/>
    </row>
    <row r="391" spans="1:39" ht="12.75">
      <c r="A391" s="229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  <c r="AA391" s="229"/>
      <c r="AB391" s="229"/>
      <c r="AC391" s="229"/>
      <c r="AD391" s="229"/>
      <c r="AE391" s="229"/>
      <c r="AF391" s="229"/>
      <c r="AG391" s="229"/>
      <c r="AH391" s="229"/>
      <c r="AI391" s="229"/>
      <c r="AJ391" s="218"/>
      <c r="AK391" s="218"/>
      <c r="AL391" s="218"/>
      <c r="AM391" s="218"/>
    </row>
    <row r="392" spans="1:39" ht="12.75">
      <c r="A392" s="229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  <c r="AA392" s="229"/>
      <c r="AB392" s="229"/>
      <c r="AC392" s="229"/>
      <c r="AD392" s="229"/>
      <c r="AE392" s="229"/>
      <c r="AF392" s="229"/>
      <c r="AG392" s="229"/>
      <c r="AH392" s="229"/>
      <c r="AI392" s="229"/>
      <c r="AJ392" s="218"/>
      <c r="AK392" s="218"/>
      <c r="AL392" s="218"/>
      <c r="AM392" s="218"/>
    </row>
    <row r="393" spans="1:39" ht="12.75">
      <c r="A393" s="229"/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  <c r="AA393" s="229"/>
      <c r="AB393" s="229"/>
      <c r="AC393" s="229"/>
      <c r="AD393" s="229"/>
      <c r="AE393" s="229"/>
      <c r="AF393" s="229"/>
      <c r="AG393" s="229"/>
      <c r="AH393" s="229"/>
      <c r="AI393" s="229"/>
      <c r="AJ393" s="218"/>
      <c r="AK393" s="218"/>
      <c r="AL393" s="218"/>
      <c r="AM393" s="218"/>
    </row>
    <row r="394" spans="1:39" ht="12.75">
      <c r="A394" s="229"/>
      <c r="B394" s="229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  <c r="AA394" s="229"/>
      <c r="AB394" s="229"/>
      <c r="AC394" s="229"/>
      <c r="AD394" s="229"/>
      <c r="AE394" s="229"/>
      <c r="AF394" s="229"/>
      <c r="AG394" s="229"/>
      <c r="AH394" s="229"/>
      <c r="AI394" s="229"/>
      <c r="AJ394" s="218"/>
      <c r="AK394" s="218"/>
      <c r="AL394" s="218"/>
      <c r="AM394" s="218"/>
    </row>
    <row r="395" spans="1:39" ht="12.75">
      <c r="A395" s="229"/>
      <c r="B395" s="229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  <c r="AA395" s="229"/>
      <c r="AB395" s="229"/>
      <c r="AC395" s="229"/>
      <c r="AD395" s="229"/>
      <c r="AE395" s="229"/>
      <c r="AF395" s="229"/>
      <c r="AG395" s="229"/>
      <c r="AH395" s="229"/>
      <c r="AI395" s="229"/>
      <c r="AJ395" s="218"/>
      <c r="AK395" s="218"/>
      <c r="AL395" s="218"/>
      <c r="AM395" s="218"/>
    </row>
    <row r="396" spans="1:39" ht="12.75">
      <c r="A396" s="229"/>
      <c r="B396" s="229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  <c r="AA396" s="229"/>
      <c r="AB396" s="229"/>
      <c r="AC396" s="229"/>
      <c r="AD396" s="229"/>
      <c r="AE396" s="229"/>
      <c r="AF396" s="229"/>
      <c r="AG396" s="229"/>
      <c r="AH396" s="229"/>
      <c r="AI396" s="229"/>
      <c r="AJ396" s="218"/>
      <c r="AK396" s="218"/>
      <c r="AL396" s="218"/>
      <c r="AM396" s="218"/>
    </row>
    <row r="397" spans="1:39" ht="12.75">
      <c r="A397" s="229"/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  <c r="AA397" s="229"/>
      <c r="AB397" s="229"/>
      <c r="AC397" s="229"/>
      <c r="AD397" s="229"/>
      <c r="AE397" s="229"/>
      <c r="AF397" s="229"/>
      <c r="AG397" s="229"/>
      <c r="AH397" s="229"/>
      <c r="AI397" s="229"/>
      <c r="AJ397" s="218"/>
      <c r="AK397" s="218"/>
      <c r="AL397" s="218"/>
      <c r="AM397" s="218"/>
    </row>
    <row r="398" spans="1:39" ht="12.75">
      <c r="A398" s="229"/>
      <c r="B398" s="229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  <c r="AA398" s="229"/>
      <c r="AB398" s="229"/>
      <c r="AC398" s="229"/>
      <c r="AD398" s="229"/>
      <c r="AE398" s="229"/>
      <c r="AF398" s="229"/>
      <c r="AG398" s="229"/>
      <c r="AH398" s="229"/>
      <c r="AI398" s="229"/>
      <c r="AJ398" s="218"/>
      <c r="AK398" s="218"/>
      <c r="AL398" s="218"/>
      <c r="AM398" s="218"/>
    </row>
    <row r="399" spans="1:39" ht="12.75">
      <c r="A399" s="229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  <c r="AA399" s="229"/>
      <c r="AB399" s="229"/>
      <c r="AC399" s="229"/>
      <c r="AD399" s="229"/>
      <c r="AE399" s="229"/>
      <c r="AF399" s="229"/>
      <c r="AG399" s="229"/>
      <c r="AH399" s="229"/>
      <c r="AI399" s="229"/>
      <c r="AJ399" s="218"/>
      <c r="AK399" s="218"/>
      <c r="AL399" s="218"/>
      <c r="AM399" s="218"/>
    </row>
    <row r="400" spans="1:39" ht="12.75">
      <c r="A400" s="229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  <c r="AA400" s="229"/>
      <c r="AB400" s="229"/>
      <c r="AC400" s="229"/>
      <c r="AD400" s="229"/>
      <c r="AE400" s="229"/>
      <c r="AF400" s="229"/>
      <c r="AG400" s="229"/>
      <c r="AH400" s="229"/>
      <c r="AI400" s="229"/>
      <c r="AJ400" s="218"/>
      <c r="AK400" s="218"/>
      <c r="AL400" s="218"/>
      <c r="AM400" s="218"/>
    </row>
    <row r="401" spans="1:39" ht="12.75">
      <c r="A401" s="229"/>
      <c r="B401" s="229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  <c r="AA401" s="229"/>
      <c r="AB401" s="229"/>
      <c r="AC401" s="229"/>
      <c r="AD401" s="229"/>
      <c r="AE401" s="229"/>
      <c r="AF401" s="229"/>
      <c r="AG401" s="229"/>
      <c r="AH401" s="229"/>
      <c r="AI401" s="229"/>
      <c r="AJ401" s="218"/>
      <c r="AK401" s="218"/>
      <c r="AL401" s="218"/>
      <c r="AM401" s="218"/>
    </row>
    <row r="402" spans="1:39" ht="12.75">
      <c r="A402" s="229"/>
      <c r="B402" s="229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  <c r="AA402" s="229"/>
      <c r="AB402" s="229"/>
      <c r="AC402" s="229"/>
      <c r="AD402" s="229"/>
      <c r="AE402" s="229"/>
      <c r="AF402" s="229"/>
      <c r="AG402" s="229"/>
      <c r="AH402" s="229"/>
      <c r="AI402" s="229"/>
      <c r="AJ402" s="218"/>
      <c r="AK402" s="218"/>
      <c r="AL402" s="218"/>
      <c r="AM402" s="218"/>
    </row>
    <row r="403" spans="1:39" ht="12.75">
      <c r="A403" s="229"/>
      <c r="B403" s="229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  <c r="AA403" s="229"/>
      <c r="AB403" s="229"/>
      <c r="AC403" s="229"/>
      <c r="AD403" s="229"/>
      <c r="AE403" s="229"/>
      <c r="AF403" s="229"/>
      <c r="AG403" s="229"/>
      <c r="AH403" s="229"/>
      <c r="AI403" s="229"/>
      <c r="AJ403" s="218"/>
      <c r="AK403" s="218"/>
      <c r="AL403" s="218"/>
      <c r="AM403" s="218"/>
    </row>
    <row r="404" spans="1:39" ht="12.75">
      <c r="A404" s="229"/>
      <c r="B404" s="229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  <c r="AA404" s="229"/>
      <c r="AB404" s="229"/>
      <c r="AC404" s="229"/>
      <c r="AD404" s="229"/>
      <c r="AE404" s="229"/>
      <c r="AF404" s="229"/>
      <c r="AG404" s="229"/>
      <c r="AH404" s="229"/>
      <c r="AI404" s="229"/>
      <c r="AJ404" s="218"/>
      <c r="AK404" s="218"/>
      <c r="AL404" s="218"/>
      <c r="AM404" s="218"/>
    </row>
    <row r="405" spans="1:39" ht="12.75">
      <c r="A405" s="229"/>
      <c r="B405" s="229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  <c r="AA405" s="229"/>
      <c r="AB405" s="229"/>
      <c r="AC405" s="229"/>
      <c r="AD405" s="229"/>
      <c r="AE405" s="229"/>
      <c r="AF405" s="229"/>
      <c r="AG405" s="229"/>
      <c r="AH405" s="229"/>
      <c r="AI405" s="229"/>
      <c r="AJ405" s="218"/>
      <c r="AK405" s="218"/>
      <c r="AL405" s="218"/>
      <c r="AM405" s="218"/>
    </row>
    <row r="406" spans="1:39" ht="12.75">
      <c r="A406" s="229"/>
      <c r="B406" s="229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  <c r="AA406" s="229"/>
      <c r="AB406" s="229"/>
      <c r="AC406" s="229"/>
      <c r="AD406" s="229"/>
      <c r="AE406" s="229"/>
      <c r="AF406" s="229"/>
      <c r="AG406" s="229"/>
      <c r="AH406" s="229"/>
      <c r="AI406" s="229"/>
      <c r="AJ406" s="218"/>
      <c r="AK406" s="218"/>
      <c r="AL406" s="218"/>
      <c r="AM406" s="218"/>
    </row>
    <row r="407" spans="1:39" ht="12.75">
      <c r="A407" s="229"/>
      <c r="B407" s="229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  <c r="AA407" s="229"/>
      <c r="AB407" s="229"/>
      <c r="AC407" s="229"/>
      <c r="AD407" s="229"/>
      <c r="AE407" s="229"/>
      <c r="AF407" s="229"/>
      <c r="AG407" s="229"/>
      <c r="AH407" s="229"/>
      <c r="AI407" s="229"/>
      <c r="AJ407" s="218"/>
      <c r="AK407" s="218"/>
      <c r="AL407" s="218"/>
      <c r="AM407" s="218"/>
    </row>
    <row r="408" spans="1:39" ht="12.75">
      <c r="A408" s="229"/>
      <c r="B408" s="229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  <c r="AA408" s="229"/>
      <c r="AB408" s="229"/>
      <c r="AC408" s="229"/>
      <c r="AD408" s="229"/>
      <c r="AE408" s="229"/>
      <c r="AF408" s="229"/>
      <c r="AG408" s="229"/>
      <c r="AH408" s="229"/>
      <c r="AI408" s="229"/>
      <c r="AJ408" s="218"/>
      <c r="AK408" s="218"/>
      <c r="AL408" s="218"/>
      <c r="AM408" s="218"/>
    </row>
    <row r="409" spans="1:39" ht="12.75">
      <c r="A409" s="229"/>
      <c r="B409" s="229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  <c r="AA409" s="229"/>
      <c r="AB409" s="229"/>
      <c r="AC409" s="229"/>
      <c r="AD409" s="229"/>
      <c r="AE409" s="229"/>
      <c r="AF409" s="229"/>
      <c r="AG409" s="229"/>
      <c r="AH409" s="229"/>
      <c r="AI409" s="229"/>
      <c r="AJ409" s="218"/>
      <c r="AK409" s="218"/>
      <c r="AL409" s="218"/>
      <c r="AM409" s="218"/>
    </row>
    <row r="410" spans="1:39" ht="12.75">
      <c r="A410" s="229"/>
      <c r="B410" s="229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  <c r="AA410" s="229"/>
      <c r="AB410" s="229"/>
      <c r="AC410" s="229"/>
      <c r="AD410" s="229"/>
      <c r="AE410" s="229"/>
      <c r="AF410" s="229"/>
      <c r="AG410" s="229"/>
      <c r="AH410" s="229"/>
      <c r="AI410" s="229"/>
      <c r="AJ410" s="218"/>
      <c r="AK410" s="218"/>
      <c r="AL410" s="218"/>
      <c r="AM410" s="218"/>
    </row>
    <row r="411" spans="1:39" ht="12.75">
      <c r="A411" s="229"/>
      <c r="B411" s="229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  <c r="AA411" s="229"/>
      <c r="AB411" s="229"/>
      <c r="AC411" s="229"/>
      <c r="AD411" s="229"/>
      <c r="AE411" s="229"/>
      <c r="AF411" s="229"/>
      <c r="AG411" s="229"/>
      <c r="AH411" s="229"/>
      <c r="AI411" s="229"/>
      <c r="AJ411" s="218"/>
      <c r="AK411" s="218"/>
      <c r="AL411" s="218"/>
      <c r="AM411" s="218"/>
    </row>
    <row r="412" spans="1:39" ht="12.75">
      <c r="A412" s="229"/>
      <c r="B412" s="229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  <c r="AA412" s="229"/>
      <c r="AB412" s="229"/>
      <c r="AC412" s="229"/>
      <c r="AD412" s="229"/>
      <c r="AE412" s="229"/>
      <c r="AF412" s="229"/>
      <c r="AG412" s="229"/>
      <c r="AH412" s="229"/>
      <c r="AI412" s="229"/>
      <c r="AJ412" s="218"/>
      <c r="AK412" s="218"/>
      <c r="AL412" s="218"/>
      <c r="AM412" s="218"/>
    </row>
    <row r="413" spans="1:39" ht="12.75">
      <c r="A413" s="229"/>
      <c r="B413" s="229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  <c r="AA413" s="229"/>
      <c r="AB413" s="229"/>
      <c r="AC413" s="229"/>
      <c r="AD413" s="229"/>
      <c r="AE413" s="229"/>
      <c r="AF413" s="229"/>
      <c r="AG413" s="229"/>
      <c r="AH413" s="229"/>
      <c r="AI413" s="229"/>
      <c r="AJ413" s="218"/>
      <c r="AK413" s="218"/>
      <c r="AL413" s="218"/>
      <c r="AM413" s="218"/>
    </row>
    <row r="414" spans="1:39" ht="12.75">
      <c r="A414" s="229"/>
      <c r="B414" s="229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  <c r="AA414" s="229"/>
      <c r="AB414" s="229"/>
      <c r="AC414" s="229"/>
      <c r="AD414" s="229"/>
      <c r="AE414" s="229"/>
      <c r="AF414" s="229"/>
      <c r="AG414" s="229"/>
      <c r="AH414" s="229"/>
      <c r="AI414" s="229"/>
      <c r="AJ414" s="218"/>
      <c r="AK414" s="218"/>
      <c r="AL414" s="218"/>
      <c r="AM414" s="218"/>
    </row>
    <row r="415" spans="1:39" ht="12.75">
      <c r="A415" s="229"/>
      <c r="B415" s="229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  <c r="AA415" s="229"/>
      <c r="AB415" s="229"/>
      <c r="AC415" s="229"/>
      <c r="AD415" s="229"/>
      <c r="AE415" s="229"/>
      <c r="AF415" s="229"/>
      <c r="AG415" s="229"/>
      <c r="AH415" s="229"/>
      <c r="AI415" s="229"/>
      <c r="AJ415" s="218"/>
      <c r="AK415" s="218"/>
      <c r="AL415" s="218"/>
      <c r="AM415" s="218"/>
    </row>
    <row r="416" spans="1:39" ht="12.75">
      <c r="A416" s="229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  <c r="AA416" s="229"/>
      <c r="AB416" s="229"/>
      <c r="AC416" s="229"/>
      <c r="AD416" s="229"/>
      <c r="AE416" s="229"/>
      <c r="AF416" s="229"/>
      <c r="AG416" s="229"/>
      <c r="AH416" s="229"/>
      <c r="AI416" s="229"/>
      <c r="AJ416" s="218"/>
      <c r="AK416" s="218"/>
      <c r="AL416" s="218"/>
      <c r="AM416" s="218"/>
    </row>
    <row r="417" spans="1:39" ht="12.75">
      <c r="A417" s="229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  <c r="AA417" s="229"/>
      <c r="AB417" s="229"/>
      <c r="AC417" s="229"/>
      <c r="AD417" s="229"/>
      <c r="AE417" s="229"/>
      <c r="AF417" s="229"/>
      <c r="AG417" s="229"/>
      <c r="AH417" s="229"/>
      <c r="AI417" s="229"/>
      <c r="AJ417" s="218"/>
      <c r="AK417" s="218"/>
      <c r="AL417" s="218"/>
      <c r="AM417" s="218"/>
    </row>
    <row r="418" spans="1:39" ht="12.75">
      <c r="A418" s="229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  <c r="AA418" s="229"/>
      <c r="AB418" s="229"/>
      <c r="AC418" s="229"/>
      <c r="AD418" s="229"/>
      <c r="AE418" s="229"/>
      <c r="AF418" s="229"/>
      <c r="AG418" s="229"/>
      <c r="AH418" s="229"/>
      <c r="AI418" s="229"/>
      <c r="AJ418" s="218"/>
      <c r="AK418" s="218"/>
      <c r="AL418" s="218"/>
      <c r="AM418" s="218"/>
    </row>
    <row r="419" spans="1:39" ht="12.75">
      <c r="A419" s="229"/>
      <c r="B419" s="229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  <c r="AA419" s="229"/>
      <c r="AB419" s="229"/>
      <c r="AC419" s="229"/>
      <c r="AD419" s="229"/>
      <c r="AE419" s="229"/>
      <c r="AF419" s="229"/>
      <c r="AG419" s="229"/>
      <c r="AH419" s="229"/>
      <c r="AI419" s="229"/>
      <c r="AJ419" s="218"/>
      <c r="AK419" s="218"/>
      <c r="AL419" s="218"/>
      <c r="AM419" s="218"/>
    </row>
    <row r="420" spans="1:39" ht="12.75">
      <c r="A420" s="229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  <c r="AA420" s="229"/>
      <c r="AB420" s="229"/>
      <c r="AC420" s="229"/>
      <c r="AD420" s="229"/>
      <c r="AE420" s="229"/>
      <c r="AF420" s="229"/>
      <c r="AG420" s="229"/>
      <c r="AH420" s="229"/>
      <c r="AI420" s="229"/>
      <c r="AJ420" s="218"/>
      <c r="AK420" s="218"/>
      <c r="AL420" s="218"/>
      <c r="AM420" s="218"/>
    </row>
    <row r="421" spans="1:39" ht="12.75">
      <c r="A421" s="229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  <c r="AA421" s="229"/>
      <c r="AB421" s="229"/>
      <c r="AC421" s="229"/>
      <c r="AD421" s="229"/>
      <c r="AE421" s="229"/>
      <c r="AF421" s="229"/>
      <c r="AG421" s="229"/>
      <c r="AH421" s="229"/>
      <c r="AI421" s="229"/>
      <c r="AJ421" s="218"/>
      <c r="AK421" s="218"/>
      <c r="AL421" s="218"/>
      <c r="AM421" s="218"/>
    </row>
    <row r="422" spans="1:39" ht="12.75">
      <c r="A422" s="229"/>
      <c r="B422" s="229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  <c r="AA422" s="229"/>
      <c r="AB422" s="229"/>
      <c r="AC422" s="229"/>
      <c r="AD422" s="229"/>
      <c r="AE422" s="229"/>
      <c r="AF422" s="229"/>
      <c r="AG422" s="229"/>
      <c r="AH422" s="229"/>
      <c r="AI422" s="229"/>
      <c r="AJ422" s="218"/>
      <c r="AK422" s="218"/>
      <c r="AL422" s="218"/>
      <c r="AM422" s="218"/>
    </row>
    <row r="423" spans="1:39" ht="12.75">
      <c r="A423" s="229"/>
      <c r="B423" s="229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  <c r="AA423" s="229"/>
      <c r="AB423" s="229"/>
      <c r="AC423" s="229"/>
      <c r="AD423" s="229"/>
      <c r="AE423" s="229"/>
      <c r="AF423" s="229"/>
      <c r="AG423" s="229"/>
      <c r="AH423" s="229"/>
      <c r="AI423" s="229"/>
      <c r="AJ423" s="218"/>
      <c r="AK423" s="218"/>
      <c r="AL423" s="218"/>
      <c r="AM423" s="218"/>
    </row>
    <row r="424" spans="1:39" ht="12.75">
      <c r="A424" s="229"/>
      <c r="B424" s="229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  <c r="AA424" s="229"/>
      <c r="AB424" s="229"/>
      <c r="AC424" s="229"/>
      <c r="AD424" s="229"/>
      <c r="AE424" s="229"/>
      <c r="AF424" s="229"/>
      <c r="AG424" s="229"/>
      <c r="AH424" s="229"/>
      <c r="AI424" s="229"/>
      <c r="AJ424" s="218"/>
      <c r="AK424" s="218"/>
      <c r="AL424" s="218"/>
      <c r="AM424" s="218"/>
    </row>
    <row r="425" spans="1:39" ht="12.75">
      <c r="A425" s="229"/>
      <c r="B425" s="229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  <c r="AA425" s="229"/>
      <c r="AB425" s="229"/>
      <c r="AC425" s="229"/>
      <c r="AD425" s="229"/>
      <c r="AE425" s="229"/>
      <c r="AF425" s="229"/>
      <c r="AG425" s="229"/>
      <c r="AH425" s="229"/>
      <c r="AI425" s="229"/>
      <c r="AJ425" s="218"/>
      <c r="AK425" s="218"/>
      <c r="AL425" s="218"/>
      <c r="AM425" s="218"/>
    </row>
    <row r="426" spans="1:39" ht="12.75">
      <c r="A426" s="229"/>
      <c r="B426" s="229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  <c r="AA426" s="229"/>
      <c r="AB426" s="229"/>
      <c r="AC426" s="229"/>
      <c r="AD426" s="229"/>
      <c r="AE426" s="229"/>
      <c r="AF426" s="229"/>
      <c r="AG426" s="229"/>
      <c r="AH426" s="229"/>
      <c r="AI426" s="229"/>
      <c r="AJ426" s="218"/>
      <c r="AK426" s="218"/>
      <c r="AL426" s="218"/>
      <c r="AM426" s="218"/>
    </row>
    <row r="427" spans="1:39" ht="12.75">
      <c r="A427" s="229"/>
      <c r="B427" s="229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  <c r="AA427" s="229"/>
      <c r="AB427" s="229"/>
      <c r="AC427" s="229"/>
      <c r="AD427" s="229"/>
      <c r="AE427" s="229"/>
      <c r="AF427" s="229"/>
      <c r="AG427" s="229"/>
      <c r="AH427" s="229"/>
      <c r="AI427" s="229"/>
      <c r="AJ427" s="218"/>
      <c r="AK427" s="218"/>
      <c r="AL427" s="218"/>
      <c r="AM427" s="218"/>
    </row>
    <row r="428" spans="1:39" ht="12.75">
      <c r="A428" s="229"/>
      <c r="B428" s="229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  <c r="AA428" s="229"/>
      <c r="AB428" s="229"/>
      <c r="AC428" s="229"/>
      <c r="AD428" s="229"/>
      <c r="AE428" s="229"/>
      <c r="AF428" s="229"/>
      <c r="AG428" s="229"/>
      <c r="AH428" s="229"/>
      <c r="AI428" s="229"/>
      <c r="AJ428" s="218"/>
      <c r="AK428" s="218"/>
      <c r="AL428" s="218"/>
      <c r="AM428" s="218"/>
    </row>
    <row r="429" spans="1:39" ht="12.75">
      <c r="A429" s="229"/>
      <c r="B429" s="229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  <c r="AA429" s="229"/>
      <c r="AB429" s="229"/>
      <c r="AC429" s="229"/>
      <c r="AD429" s="229"/>
      <c r="AE429" s="229"/>
      <c r="AF429" s="229"/>
      <c r="AG429" s="229"/>
      <c r="AH429" s="229"/>
      <c r="AI429" s="229"/>
      <c r="AJ429" s="218"/>
      <c r="AK429" s="218"/>
      <c r="AL429" s="218"/>
      <c r="AM429" s="218"/>
    </row>
    <row r="430" spans="1:39" ht="12.75">
      <c r="A430" s="229"/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  <c r="AA430" s="229"/>
      <c r="AB430" s="229"/>
      <c r="AC430" s="229"/>
      <c r="AD430" s="229"/>
      <c r="AE430" s="229"/>
      <c r="AF430" s="229"/>
      <c r="AG430" s="229"/>
      <c r="AH430" s="229"/>
      <c r="AI430" s="229"/>
      <c r="AJ430" s="218"/>
      <c r="AK430" s="218"/>
      <c r="AL430" s="218"/>
      <c r="AM430" s="218"/>
    </row>
    <row r="431" spans="1:39" ht="12.75">
      <c r="A431" s="229"/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  <c r="AA431" s="229"/>
      <c r="AB431" s="229"/>
      <c r="AC431" s="229"/>
      <c r="AD431" s="229"/>
      <c r="AE431" s="229"/>
      <c r="AF431" s="229"/>
      <c r="AG431" s="229"/>
      <c r="AH431" s="229"/>
      <c r="AI431" s="229"/>
      <c r="AJ431" s="218"/>
      <c r="AK431" s="218"/>
      <c r="AL431" s="218"/>
      <c r="AM431" s="218"/>
    </row>
    <row r="432" spans="1:39" ht="12.75">
      <c r="A432" s="229"/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  <c r="AA432" s="229"/>
      <c r="AB432" s="229"/>
      <c r="AC432" s="229"/>
      <c r="AD432" s="229"/>
      <c r="AE432" s="229"/>
      <c r="AF432" s="229"/>
      <c r="AG432" s="229"/>
      <c r="AH432" s="229"/>
      <c r="AI432" s="229"/>
      <c r="AJ432" s="218"/>
      <c r="AK432" s="218"/>
      <c r="AL432" s="218"/>
      <c r="AM432" s="218"/>
    </row>
    <row r="433" spans="1:39" ht="12.75">
      <c r="A433" s="229"/>
      <c r="B433" s="229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  <c r="AA433" s="229"/>
      <c r="AB433" s="229"/>
      <c r="AC433" s="229"/>
      <c r="AD433" s="229"/>
      <c r="AE433" s="229"/>
      <c r="AF433" s="229"/>
      <c r="AG433" s="229"/>
      <c r="AH433" s="229"/>
      <c r="AI433" s="229"/>
      <c r="AJ433" s="218"/>
      <c r="AK433" s="218"/>
      <c r="AL433" s="218"/>
      <c r="AM433" s="218"/>
    </row>
    <row r="434" spans="1:39" ht="12.75">
      <c r="A434" s="229"/>
      <c r="B434" s="229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  <c r="AA434" s="229"/>
      <c r="AB434" s="229"/>
      <c r="AC434" s="229"/>
      <c r="AD434" s="229"/>
      <c r="AE434" s="229"/>
      <c r="AF434" s="229"/>
      <c r="AG434" s="229"/>
      <c r="AH434" s="229"/>
      <c r="AI434" s="229"/>
      <c r="AJ434" s="218"/>
      <c r="AK434" s="218"/>
      <c r="AL434" s="218"/>
      <c r="AM434" s="218"/>
    </row>
    <row r="435" spans="1:39" ht="12.75">
      <c r="A435" s="229"/>
      <c r="B435" s="229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  <c r="AA435" s="229"/>
      <c r="AB435" s="229"/>
      <c r="AC435" s="229"/>
      <c r="AD435" s="229"/>
      <c r="AE435" s="229"/>
      <c r="AF435" s="229"/>
      <c r="AG435" s="229"/>
      <c r="AH435" s="229"/>
      <c r="AI435" s="229"/>
      <c r="AJ435" s="218"/>
      <c r="AK435" s="218"/>
      <c r="AL435" s="218"/>
      <c r="AM435" s="218"/>
    </row>
    <row r="436" spans="1:39" ht="12.75">
      <c r="A436" s="229"/>
      <c r="B436" s="229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  <c r="AA436" s="229"/>
      <c r="AB436" s="229"/>
      <c r="AC436" s="229"/>
      <c r="AD436" s="229"/>
      <c r="AE436" s="229"/>
      <c r="AF436" s="229"/>
      <c r="AG436" s="229"/>
      <c r="AH436" s="229"/>
      <c r="AI436" s="229"/>
      <c r="AJ436" s="218"/>
      <c r="AK436" s="218"/>
      <c r="AL436" s="218"/>
      <c r="AM436" s="218"/>
    </row>
    <row r="437" spans="1:39" ht="12.75">
      <c r="A437" s="229"/>
      <c r="B437" s="229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  <c r="AA437" s="229"/>
      <c r="AB437" s="229"/>
      <c r="AC437" s="229"/>
      <c r="AD437" s="229"/>
      <c r="AE437" s="229"/>
      <c r="AF437" s="229"/>
      <c r="AG437" s="229"/>
      <c r="AH437" s="229"/>
      <c r="AI437" s="229"/>
      <c r="AJ437" s="218"/>
      <c r="AK437" s="218"/>
      <c r="AL437" s="218"/>
      <c r="AM437" s="218"/>
    </row>
    <row r="438" spans="1:39" ht="12.75">
      <c r="A438" s="229"/>
      <c r="B438" s="229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  <c r="AA438" s="229"/>
      <c r="AB438" s="229"/>
      <c r="AC438" s="229"/>
      <c r="AD438" s="229"/>
      <c r="AE438" s="229"/>
      <c r="AF438" s="229"/>
      <c r="AG438" s="229"/>
      <c r="AH438" s="229"/>
      <c r="AI438" s="229"/>
      <c r="AJ438" s="218"/>
      <c r="AK438" s="218"/>
      <c r="AL438" s="218"/>
      <c r="AM438" s="218"/>
    </row>
    <row r="439" spans="1:39" ht="12.75">
      <c r="A439" s="229"/>
      <c r="B439" s="229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  <c r="AA439" s="229"/>
      <c r="AB439" s="229"/>
      <c r="AC439" s="229"/>
      <c r="AD439" s="229"/>
      <c r="AE439" s="229"/>
      <c r="AF439" s="229"/>
      <c r="AG439" s="229"/>
      <c r="AH439" s="229"/>
      <c r="AI439" s="229"/>
      <c r="AJ439" s="218"/>
      <c r="AK439" s="218"/>
      <c r="AL439" s="218"/>
      <c r="AM439" s="218"/>
    </row>
    <row r="440" spans="1:39" ht="12.75">
      <c r="A440" s="229"/>
      <c r="B440" s="229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  <c r="AA440" s="229"/>
      <c r="AB440" s="229"/>
      <c r="AC440" s="229"/>
      <c r="AD440" s="229"/>
      <c r="AE440" s="229"/>
      <c r="AF440" s="229"/>
      <c r="AG440" s="229"/>
      <c r="AH440" s="229"/>
      <c r="AI440" s="229"/>
      <c r="AJ440" s="218"/>
      <c r="AK440" s="218"/>
      <c r="AL440" s="218"/>
      <c r="AM440" s="218"/>
    </row>
    <row r="441" spans="1:39" ht="12.75">
      <c r="A441" s="229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  <c r="AA441" s="229"/>
      <c r="AB441" s="229"/>
      <c r="AC441" s="229"/>
      <c r="AD441" s="229"/>
      <c r="AE441" s="229"/>
      <c r="AF441" s="229"/>
      <c r="AG441" s="229"/>
      <c r="AH441" s="229"/>
      <c r="AI441" s="229"/>
      <c r="AJ441" s="218"/>
      <c r="AK441" s="218"/>
      <c r="AL441" s="218"/>
      <c r="AM441" s="218"/>
    </row>
    <row r="442" spans="1:39" ht="12.75">
      <c r="A442" s="229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  <c r="AA442" s="229"/>
      <c r="AB442" s="229"/>
      <c r="AC442" s="229"/>
      <c r="AD442" s="229"/>
      <c r="AE442" s="229"/>
      <c r="AF442" s="229"/>
      <c r="AG442" s="229"/>
      <c r="AH442" s="229"/>
      <c r="AI442" s="229"/>
      <c r="AJ442" s="218"/>
      <c r="AK442" s="218"/>
      <c r="AL442" s="218"/>
      <c r="AM442" s="218"/>
    </row>
    <row r="443" spans="1:39" ht="12.75">
      <c r="A443" s="229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  <c r="AA443" s="229"/>
      <c r="AB443" s="229"/>
      <c r="AC443" s="229"/>
      <c r="AD443" s="229"/>
      <c r="AE443" s="229"/>
      <c r="AF443" s="229"/>
      <c r="AG443" s="229"/>
      <c r="AH443" s="229"/>
      <c r="AI443" s="229"/>
      <c r="AJ443" s="218"/>
      <c r="AK443" s="218"/>
      <c r="AL443" s="218"/>
      <c r="AM443" s="218"/>
    </row>
    <row r="444" spans="1:39" ht="12.75">
      <c r="A444" s="229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  <c r="AA444" s="229"/>
      <c r="AB444" s="229"/>
      <c r="AC444" s="229"/>
      <c r="AD444" s="229"/>
      <c r="AE444" s="229"/>
      <c r="AF444" s="229"/>
      <c r="AG444" s="229"/>
      <c r="AH444" s="229"/>
      <c r="AI444" s="229"/>
      <c r="AJ444" s="218"/>
      <c r="AK444" s="218"/>
      <c r="AL444" s="218"/>
      <c r="AM444" s="218"/>
    </row>
    <row r="445" spans="1:39" ht="12.75">
      <c r="A445" s="229"/>
      <c r="B445" s="229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  <c r="AA445" s="229"/>
      <c r="AB445" s="229"/>
      <c r="AC445" s="229"/>
      <c r="AD445" s="229"/>
      <c r="AE445" s="229"/>
      <c r="AF445" s="229"/>
      <c r="AG445" s="229"/>
      <c r="AH445" s="229"/>
      <c r="AI445" s="229"/>
      <c r="AJ445" s="218"/>
      <c r="AK445" s="218"/>
      <c r="AL445" s="218"/>
      <c r="AM445" s="218"/>
    </row>
    <row r="446" spans="1:39" ht="12.75">
      <c r="A446" s="229"/>
      <c r="B446" s="229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  <c r="AA446" s="229"/>
      <c r="AB446" s="229"/>
      <c r="AC446" s="229"/>
      <c r="AD446" s="229"/>
      <c r="AE446" s="229"/>
      <c r="AF446" s="229"/>
      <c r="AG446" s="229"/>
      <c r="AH446" s="229"/>
      <c r="AI446" s="229"/>
      <c r="AJ446" s="218"/>
      <c r="AK446" s="218"/>
      <c r="AL446" s="218"/>
      <c r="AM446" s="218"/>
    </row>
    <row r="447" spans="1:39" ht="12.75">
      <c r="A447" s="229"/>
      <c r="B447" s="229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  <c r="AA447" s="229"/>
      <c r="AB447" s="229"/>
      <c r="AC447" s="229"/>
      <c r="AD447" s="229"/>
      <c r="AE447" s="229"/>
      <c r="AF447" s="229"/>
      <c r="AG447" s="229"/>
      <c r="AH447" s="229"/>
      <c r="AI447" s="229"/>
      <c r="AJ447" s="218"/>
      <c r="AK447" s="218"/>
      <c r="AL447" s="218"/>
      <c r="AM447" s="218"/>
    </row>
    <row r="448" spans="1:39" ht="12.75">
      <c r="A448" s="229"/>
      <c r="B448" s="229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  <c r="AA448" s="229"/>
      <c r="AB448" s="229"/>
      <c r="AC448" s="229"/>
      <c r="AD448" s="229"/>
      <c r="AE448" s="229"/>
      <c r="AF448" s="229"/>
      <c r="AG448" s="229"/>
      <c r="AH448" s="229"/>
      <c r="AI448" s="229"/>
      <c r="AJ448" s="218"/>
      <c r="AK448" s="218"/>
      <c r="AL448" s="218"/>
      <c r="AM448" s="218"/>
    </row>
    <row r="449" spans="1:39" ht="12.75">
      <c r="A449" s="229"/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  <c r="AA449" s="229"/>
      <c r="AB449" s="229"/>
      <c r="AC449" s="229"/>
      <c r="AD449" s="229"/>
      <c r="AE449" s="229"/>
      <c r="AF449" s="229"/>
      <c r="AG449" s="229"/>
      <c r="AH449" s="229"/>
      <c r="AI449" s="229"/>
      <c r="AJ449" s="218"/>
      <c r="AK449" s="218"/>
      <c r="AL449" s="218"/>
      <c r="AM449" s="218"/>
    </row>
    <row r="450" spans="1:39" ht="12.75">
      <c r="A450" s="229"/>
      <c r="B450" s="229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  <c r="AA450" s="229"/>
      <c r="AB450" s="229"/>
      <c r="AC450" s="229"/>
      <c r="AD450" s="229"/>
      <c r="AE450" s="229"/>
      <c r="AF450" s="229"/>
      <c r="AG450" s="229"/>
      <c r="AH450" s="229"/>
      <c r="AI450" s="229"/>
      <c r="AJ450" s="218"/>
      <c r="AK450" s="218"/>
      <c r="AL450" s="218"/>
      <c r="AM450" s="218"/>
    </row>
    <row r="451" spans="1:39" ht="12.75">
      <c r="A451" s="229"/>
      <c r="B451" s="229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  <c r="AA451" s="229"/>
      <c r="AB451" s="229"/>
      <c r="AC451" s="229"/>
      <c r="AD451" s="229"/>
      <c r="AE451" s="229"/>
      <c r="AF451" s="229"/>
      <c r="AG451" s="229"/>
      <c r="AH451" s="229"/>
      <c r="AI451" s="229"/>
      <c r="AJ451" s="218"/>
      <c r="AK451" s="218"/>
      <c r="AL451" s="218"/>
      <c r="AM451" s="218"/>
    </row>
    <row r="452" spans="1:39" ht="12.75">
      <c r="A452" s="229"/>
      <c r="B452" s="229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  <c r="AA452" s="229"/>
      <c r="AB452" s="229"/>
      <c r="AC452" s="229"/>
      <c r="AD452" s="229"/>
      <c r="AE452" s="229"/>
      <c r="AF452" s="229"/>
      <c r="AG452" s="229"/>
      <c r="AH452" s="229"/>
      <c r="AI452" s="229"/>
      <c r="AJ452" s="218"/>
      <c r="AK452" s="218"/>
      <c r="AL452" s="218"/>
      <c r="AM452" s="218"/>
    </row>
    <row r="453" spans="1:39" ht="12.75">
      <c r="A453" s="229"/>
      <c r="B453" s="229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  <c r="AA453" s="229"/>
      <c r="AB453" s="229"/>
      <c r="AC453" s="229"/>
      <c r="AD453" s="229"/>
      <c r="AE453" s="229"/>
      <c r="AF453" s="229"/>
      <c r="AG453" s="229"/>
      <c r="AH453" s="229"/>
      <c r="AI453" s="229"/>
      <c r="AJ453" s="218"/>
      <c r="AK453" s="218"/>
      <c r="AL453" s="218"/>
      <c r="AM453" s="218"/>
    </row>
    <row r="454" spans="1:39" ht="12.75">
      <c r="A454" s="229"/>
      <c r="B454" s="229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  <c r="AA454" s="229"/>
      <c r="AB454" s="229"/>
      <c r="AC454" s="229"/>
      <c r="AD454" s="229"/>
      <c r="AE454" s="229"/>
      <c r="AF454" s="229"/>
      <c r="AG454" s="229"/>
      <c r="AH454" s="229"/>
      <c r="AI454" s="229"/>
      <c r="AJ454" s="218"/>
      <c r="AK454" s="218"/>
      <c r="AL454" s="218"/>
      <c r="AM454" s="218"/>
    </row>
    <row r="455" spans="1:39" ht="12.75">
      <c r="A455" s="229"/>
      <c r="B455" s="229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  <c r="AA455" s="229"/>
      <c r="AB455" s="229"/>
      <c r="AC455" s="229"/>
      <c r="AD455" s="229"/>
      <c r="AE455" s="229"/>
      <c r="AF455" s="229"/>
      <c r="AG455" s="229"/>
      <c r="AH455" s="229"/>
      <c r="AI455" s="229"/>
      <c r="AJ455" s="218"/>
      <c r="AK455" s="218"/>
      <c r="AL455" s="218"/>
      <c r="AM455" s="218"/>
    </row>
    <row r="456" spans="1:39" ht="12.75">
      <c r="A456" s="229"/>
      <c r="B456" s="229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  <c r="AA456" s="229"/>
      <c r="AB456" s="229"/>
      <c r="AC456" s="229"/>
      <c r="AD456" s="229"/>
      <c r="AE456" s="229"/>
      <c r="AF456" s="229"/>
      <c r="AG456" s="229"/>
      <c r="AH456" s="229"/>
      <c r="AI456" s="229"/>
      <c r="AJ456" s="218"/>
      <c r="AK456" s="218"/>
      <c r="AL456" s="218"/>
      <c r="AM456" s="218"/>
    </row>
    <row r="457" spans="1:39" ht="12.75">
      <c r="A457" s="229"/>
      <c r="B457" s="229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  <c r="AA457" s="229"/>
      <c r="AB457" s="229"/>
      <c r="AC457" s="229"/>
      <c r="AD457" s="229"/>
      <c r="AE457" s="229"/>
      <c r="AF457" s="229"/>
      <c r="AG457" s="229"/>
      <c r="AH457" s="229"/>
      <c r="AI457" s="229"/>
      <c r="AJ457" s="218"/>
      <c r="AK457" s="218"/>
      <c r="AL457" s="218"/>
      <c r="AM457" s="218"/>
    </row>
    <row r="458" spans="1:39" ht="12.75">
      <c r="A458" s="229"/>
      <c r="B458" s="229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  <c r="AA458" s="229"/>
      <c r="AB458" s="229"/>
      <c r="AC458" s="229"/>
      <c r="AD458" s="229"/>
      <c r="AE458" s="229"/>
      <c r="AF458" s="229"/>
      <c r="AG458" s="229"/>
      <c r="AH458" s="229"/>
      <c r="AI458" s="229"/>
      <c r="AJ458" s="218"/>
      <c r="AK458" s="218"/>
      <c r="AL458" s="218"/>
      <c r="AM458" s="218"/>
    </row>
    <row r="459" spans="1:39" ht="12.75">
      <c r="A459" s="229"/>
      <c r="B459" s="229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  <c r="AA459" s="229"/>
      <c r="AB459" s="229"/>
      <c r="AC459" s="229"/>
      <c r="AD459" s="229"/>
      <c r="AE459" s="229"/>
      <c r="AF459" s="229"/>
      <c r="AG459" s="229"/>
      <c r="AH459" s="229"/>
      <c r="AI459" s="229"/>
      <c r="AJ459" s="218"/>
      <c r="AK459" s="218"/>
      <c r="AL459" s="218"/>
      <c r="AM459" s="218"/>
    </row>
    <row r="460" spans="1:39" ht="12.75">
      <c r="A460" s="229"/>
      <c r="B460" s="229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  <c r="AA460" s="229"/>
      <c r="AB460" s="229"/>
      <c r="AC460" s="229"/>
      <c r="AD460" s="229"/>
      <c r="AE460" s="229"/>
      <c r="AF460" s="229"/>
      <c r="AG460" s="229"/>
      <c r="AH460" s="229"/>
      <c r="AI460" s="229"/>
      <c r="AJ460" s="218"/>
      <c r="AK460" s="218"/>
      <c r="AL460" s="218"/>
      <c r="AM460" s="218"/>
    </row>
    <row r="461" spans="1:39" ht="12.75">
      <c r="A461" s="229"/>
      <c r="B461" s="229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  <c r="AA461" s="229"/>
      <c r="AB461" s="229"/>
      <c r="AC461" s="229"/>
      <c r="AD461" s="229"/>
      <c r="AE461" s="229"/>
      <c r="AF461" s="229"/>
      <c r="AG461" s="229"/>
      <c r="AH461" s="229"/>
      <c r="AI461" s="229"/>
      <c r="AJ461" s="218"/>
      <c r="AK461" s="218"/>
      <c r="AL461" s="218"/>
      <c r="AM461" s="218"/>
    </row>
    <row r="462" spans="1:39" ht="12.75">
      <c r="A462" s="229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  <c r="AA462" s="229"/>
      <c r="AB462" s="229"/>
      <c r="AC462" s="229"/>
      <c r="AD462" s="229"/>
      <c r="AE462" s="229"/>
      <c r="AF462" s="229"/>
      <c r="AG462" s="229"/>
      <c r="AH462" s="229"/>
      <c r="AI462" s="229"/>
      <c r="AJ462" s="218"/>
      <c r="AK462" s="218"/>
      <c r="AL462" s="218"/>
      <c r="AM462" s="218"/>
    </row>
    <row r="463" spans="1:39" ht="12.75">
      <c r="A463" s="229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  <c r="AA463" s="229"/>
      <c r="AB463" s="229"/>
      <c r="AC463" s="229"/>
      <c r="AD463" s="229"/>
      <c r="AE463" s="229"/>
      <c r="AF463" s="229"/>
      <c r="AG463" s="229"/>
      <c r="AH463" s="229"/>
      <c r="AI463" s="229"/>
      <c r="AJ463" s="218"/>
      <c r="AK463" s="218"/>
      <c r="AL463" s="218"/>
      <c r="AM463" s="218"/>
    </row>
    <row r="464" spans="1:39" ht="12.75">
      <c r="A464" s="229"/>
      <c r="B464" s="229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  <c r="AA464" s="229"/>
      <c r="AB464" s="229"/>
      <c r="AC464" s="229"/>
      <c r="AD464" s="229"/>
      <c r="AE464" s="229"/>
      <c r="AF464" s="229"/>
      <c r="AG464" s="229"/>
      <c r="AH464" s="229"/>
      <c r="AI464" s="229"/>
      <c r="AJ464" s="218"/>
      <c r="AK464" s="218"/>
      <c r="AL464" s="218"/>
      <c r="AM464" s="218"/>
    </row>
    <row r="465" spans="1:39" ht="12.75">
      <c r="A465" s="229"/>
      <c r="B465" s="229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  <c r="AA465" s="229"/>
      <c r="AB465" s="229"/>
      <c r="AC465" s="229"/>
      <c r="AD465" s="229"/>
      <c r="AE465" s="229"/>
      <c r="AF465" s="229"/>
      <c r="AG465" s="229"/>
      <c r="AH465" s="229"/>
      <c r="AI465" s="229"/>
      <c r="AJ465" s="218"/>
      <c r="AK465" s="218"/>
      <c r="AL465" s="218"/>
      <c r="AM465" s="218"/>
    </row>
    <row r="466" spans="1:39" ht="12.75">
      <c r="A466" s="229"/>
      <c r="B466" s="229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  <c r="AA466" s="229"/>
      <c r="AB466" s="229"/>
      <c r="AC466" s="229"/>
      <c r="AD466" s="229"/>
      <c r="AE466" s="229"/>
      <c r="AF466" s="229"/>
      <c r="AG466" s="229"/>
      <c r="AH466" s="229"/>
      <c r="AI466" s="229"/>
      <c r="AJ466" s="218"/>
      <c r="AK466" s="218"/>
      <c r="AL466" s="218"/>
      <c r="AM466" s="218"/>
    </row>
    <row r="467" spans="1:39" ht="12.75">
      <c r="A467" s="229"/>
      <c r="B467" s="229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  <c r="AA467" s="229"/>
      <c r="AB467" s="229"/>
      <c r="AC467" s="229"/>
      <c r="AD467" s="229"/>
      <c r="AE467" s="229"/>
      <c r="AF467" s="229"/>
      <c r="AG467" s="229"/>
      <c r="AH467" s="229"/>
      <c r="AI467" s="229"/>
      <c r="AJ467" s="218"/>
      <c r="AK467" s="218"/>
      <c r="AL467" s="218"/>
      <c r="AM467" s="218"/>
    </row>
    <row r="468" spans="1:39" ht="12.75">
      <c r="A468" s="229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  <c r="AA468" s="229"/>
      <c r="AB468" s="229"/>
      <c r="AC468" s="229"/>
      <c r="AD468" s="229"/>
      <c r="AE468" s="229"/>
      <c r="AF468" s="229"/>
      <c r="AG468" s="229"/>
      <c r="AH468" s="229"/>
      <c r="AI468" s="229"/>
      <c r="AJ468" s="218"/>
      <c r="AK468" s="218"/>
      <c r="AL468" s="218"/>
      <c r="AM468" s="218"/>
    </row>
    <row r="469" spans="1:39" ht="12.75">
      <c r="A469" s="229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  <c r="AA469" s="229"/>
      <c r="AB469" s="229"/>
      <c r="AC469" s="229"/>
      <c r="AD469" s="229"/>
      <c r="AE469" s="229"/>
      <c r="AF469" s="229"/>
      <c r="AG469" s="229"/>
      <c r="AH469" s="229"/>
      <c r="AI469" s="229"/>
      <c r="AJ469" s="218"/>
      <c r="AK469" s="218"/>
      <c r="AL469" s="218"/>
      <c r="AM469" s="218"/>
    </row>
    <row r="470" spans="1:39" ht="12.75">
      <c r="A470" s="229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  <c r="AA470" s="229"/>
      <c r="AB470" s="229"/>
      <c r="AC470" s="229"/>
      <c r="AD470" s="229"/>
      <c r="AE470" s="229"/>
      <c r="AF470" s="229"/>
      <c r="AG470" s="229"/>
      <c r="AH470" s="229"/>
      <c r="AI470" s="229"/>
      <c r="AJ470" s="218"/>
      <c r="AK470" s="218"/>
      <c r="AL470" s="218"/>
      <c r="AM470" s="218"/>
    </row>
    <row r="471" spans="1:39" ht="12.75">
      <c r="A471" s="229"/>
      <c r="B471" s="229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  <c r="AA471" s="229"/>
      <c r="AB471" s="229"/>
      <c r="AC471" s="229"/>
      <c r="AD471" s="229"/>
      <c r="AE471" s="229"/>
      <c r="AF471" s="229"/>
      <c r="AG471" s="229"/>
      <c r="AH471" s="229"/>
      <c r="AI471" s="229"/>
      <c r="AJ471" s="218"/>
      <c r="AK471" s="218"/>
      <c r="AL471" s="218"/>
      <c r="AM471" s="218"/>
    </row>
    <row r="472" spans="1:39" ht="12.75">
      <c r="A472" s="229"/>
      <c r="B472" s="229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  <c r="AA472" s="229"/>
      <c r="AB472" s="229"/>
      <c r="AC472" s="229"/>
      <c r="AD472" s="229"/>
      <c r="AE472" s="229"/>
      <c r="AF472" s="229"/>
      <c r="AG472" s="229"/>
      <c r="AH472" s="229"/>
      <c r="AI472" s="229"/>
      <c r="AJ472" s="218"/>
      <c r="AK472" s="218"/>
      <c r="AL472" s="218"/>
      <c r="AM472" s="218"/>
    </row>
    <row r="473" spans="1:39" ht="12.75">
      <c r="A473" s="229"/>
      <c r="B473" s="229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  <c r="AA473" s="229"/>
      <c r="AB473" s="229"/>
      <c r="AC473" s="229"/>
      <c r="AD473" s="229"/>
      <c r="AE473" s="229"/>
      <c r="AF473" s="229"/>
      <c r="AG473" s="229"/>
      <c r="AH473" s="229"/>
      <c r="AI473" s="229"/>
      <c r="AJ473" s="218"/>
      <c r="AK473" s="218"/>
      <c r="AL473" s="218"/>
      <c r="AM473" s="218"/>
    </row>
    <row r="474" spans="1:39" ht="12.75">
      <c r="A474" s="229"/>
      <c r="B474" s="229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  <c r="AA474" s="229"/>
      <c r="AB474" s="229"/>
      <c r="AC474" s="229"/>
      <c r="AD474" s="229"/>
      <c r="AE474" s="229"/>
      <c r="AF474" s="229"/>
      <c r="AG474" s="229"/>
      <c r="AH474" s="229"/>
      <c r="AI474" s="229"/>
      <c r="AJ474" s="218"/>
      <c r="AK474" s="218"/>
      <c r="AL474" s="218"/>
      <c r="AM474" s="218"/>
    </row>
    <row r="475" spans="1:39" ht="12.75">
      <c r="A475" s="229"/>
      <c r="B475" s="229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  <c r="AA475" s="229"/>
      <c r="AB475" s="229"/>
      <c r="AC475" s="229"/>
      <c r="AD475" s="229"/>
      <c r="AE475" s="229"/>
      <c r="AF475" s="229"/>
      <c r="AG475" s="229"/>
      <c r="AH475" s="229"/>
      <c r="AI475" s="229"/>
      <c r="AJ475" s="218"/>
      <c r="AK475" s="218"/>
      <c r="AL475" s="218"/>
      <c r="AM475" s="218"/>
    </row>
    <row r="476" spans="1:39" ht="12.75">
      <c r="A476" s="229"/>
      <c r="B476" s="229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  <c r="AA476" s="229"/>
      <c r="AB476" s="229"/>
      <c r="AC476" s="229"/>
      <c r="AD476" s="229"/>
      <c r="AE476" s="229"/>
      <c r="AF476" s="229"/>
      <c r="AG476" s="229"/>
      <c r="AH476" s="229"/>
      <c r="AI476" s="229"/>
      <c r="AJ476" s="218"/>
      <c r="AK476" s="218"/>
      <c r="AL476" s="218"/>
      <c r="AM476" s="218"/>
    </row>
    <row r="477" spans="1:39" ht="12.75">
      <c r="A477" s="229"/>
      <c r="B477" s="229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  <c r="AA477" s="229"/>
      <c r="AB477" s="229"/>
      <c r="AC477" s="229"/>
      <c r="AD477" s="229"/>
      <c r="AE477" s="229"/>
      <c r="AF477" s="229"/>
      <c r="AG477" s="229"/>
      <c r="AH477" s="229"/>
      <c r="AI477" s="229"/>
      <c r="AJ477" s="218"/>
      <c r="AK477" s="218"/>
      <c r="AL477" s="218"/>
      <c r="AM477" s="218"/>
    </row>
    <row r="478" spans="1:39" ht="12.75">
      <c r="A478" s="229"/>
      <c r="B478" s="229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  <c r="AA478" s="229"/>
      <c r="AB478" s="229"/>
      <c r="AC478" s="229"/>
      <c r="AD478" s="229"/>
      <c r="AE478" s="229"/>
      <c r="AF478" s="229"/>
      <c r="AG478" s="229"/>
      <c r="AH478" s="229"/>
      <c r="AI478" s="229"/>
      <c r="AJ478" s="218"/>
      <c r="AK478" s="218"/>
      <c r="AL478" s="218"/>
      <c r="AM478" s="218"/>
    </row>
    <row r="479" spans="1:39" ht="12.75">
      <c r="A479" s="229"/>
      <c r="B479" s="229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  <c r="AA479" s="229"/>
      <c r="AB479" s="229"/>
      <c r="AC479" s="229"/>
      <c r="AD479" s="229"/>
      <c r="AE479" s="229"/>
      <c r="AF479" s="229"/>
      <c r="AG479" s="229"/>
      <c r="AH479" s="229"/>
      <c r="AI479" s="229"/>
      <c r="AJ479" s="218"/>
      <c r="AK479" s="218"/>
      <c r="AL479" s="218"/>
      <c r="AM479" s="218"/>
    </row>
    <row r="480" spans="1:39" ht="12.75">
      <c r="A480" s="229"/>
      <c r="B480" s="229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  <c r="AA480" s="229"/>
      <c r="AB480" s="229"/>
      <c r="AC480" s="229"/>
      <c r="AD480" s="229"/>
      <c r="AE480" s="229"/>
      <c r="AF480" s="229"/>
      <c r="AG480" s="229"/>
      <c r="AH480" s="229"/>
      <c r="AI480" s="229"/>
      <c r="AJ480" s="218"/>
      <c r="AK480" s="218"/>
      <c r="AL480" s="218"/>
      <c r="AM480" s="218"/>
    </row>
    <row r="481" spans="1:39" ht="12.75">
      <c r="A481" s="229"/>
      <c r="B481" s="229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  <c r="AA481" s="229"/>
      <c r="AB481" s="229"/>
      <c r="AC481" s="229"/>
      <c r="AD481" s="229"/>
      <c r="AE481" s="229"/>
      <c r="AF481" s="229"/>
      <c r="AG481" s="229"/>
      <c r="AH481" s="229"/>
      <c r="AI481" s="229"/>
      <c r="AJ481" s="218"/>
      <c r="AK481" s="218"/>
      <c r="AL481" s="218"/>
      <c r="AM481" s="218"/>
    </row>
    <row r="482" spans="1:39" ht="12.75">
      <c r="A482" s="229"/>
      <c r="B482" s="229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  <c r="AA482" s="229"/>
      <c r="AB482" s="229"/>
      <c r="AC482" s="229"/>
      <c r="AD482" s="229"/>
      <c r="AE482" s="229"/>
      <c r="AF482" s="229"/>
      <c r="AG482" s="229"/>
      <c r="AH482" s="229"/>
      <c r="AI482" s="229"/>
      <c r="AJ482" s="218"/>
      <c r="AK482" s="218"/>
      <c r="AL482" s="218"/>
      <c r="AM482" s="218"/>
    </row>
    <row r="483" spans="1:39" ht="12.75">
      <c r="A483" s="229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  <c r="AA483" s="229"/>
      <c r="AB483" s="229"/>
      <c r="AC483" s="229"/>
      <c r="AD483" s="229"/>
      <c r="AE483" s="229"/>
      <c r="AF483" s="229"/>
      <c r="AG483" s="229"/>
      <c r="AH483" s="229"/>
      <c r="AI483" s="229"/>
      <c r="AJ483" s="218"/>
      <c r="AK483" s="218"/>
      <c r="AL483" s="218"/>
      <c r="AM483" s="218"/>
    </row>
    <row r="484" spans="1:39" ht="12.75">
      <c r="A484" s="229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  <c r="AA484" s="229"/>
      <c r="AB484" s="229"/>
      <c r="AC484" s="229"/>
      <c r="AD484" s="229"/>
      <c r="AE484" s="229"/>
      <c r="AF484" s="229"/>
      <c r="AG484" s="229"/>
      <c r="AH484" s="229"/>
      <c r="AI484" s="229"/>
      <c r="AJ484" s="218"/>
      <c r="AK484" s="218"/>
      <c r="AL484" s="218"/>
      <c r="AM484" s="218"/>
    </row>
    <row r="485" spans="1:39" ht="12.75">
      <c r="A485" s="229"/>
      <c r="B485" s="229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  <c r="AA485" s="229"/>
      <c r="AB485" s="229"/>
      <c r="AC485" s="229"/>
      <c r="AD485" s="229"/>
      <c r="AE485" s="229"/>
      <c r="AF485" s="229"/>
      <c r="AG485" s="229"/>
      <c r="AH485" s="229"/>
      <c r="AI485" s="229"/>
      <c r="AJ485" s="218"/>
      <c r="AK485" s="218"/>
      <c r="AL485" s="218"/>
      <c r="AM485" s="218"/>
    </row>
    <row r="486" spans="1:39" ht="12.75">
      <c r="A486" s="229"/>
      <c r="B486" s="229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  <c r="AA486" s="229"/>
      <c r="AB486" s="229"/>
      <c r="AC486" s="229"/>
      <c r="AD486" s="229"/>
      <c r="AE486" s="229"/>
      <c r="AF486" s="229"/>
      <c r="AG486" s="229"/>
      <c r="AH486" s="229"/>
      <c r="AI486" s="229"/>
      <c r="AJ486" s="218"/>
      <c r="AK486" s="218"/>
      <c r="AL486" s="218"/>
      <c r="AM486" s="218"/>
    </row>
    <row r="487" spans="1:39" ht="12.75">
      <c r="A487" s="229"/>
      <c r="B487" s="229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  <c r="AA487" s="229"/>
      <c r="AB487" s="229"/>
      <c r="AC487" s="229"/>
      <c r="AD487" s="229"/>
      <c r="AE487" s="229"/>
      <c r="AF487" s="229"/>
      <c r="AG487" s="229"/>
      <c r="AH487" s="229"/>
      <c r="AI487" s="229"/>
      <c r="AJ487" s="218"/>
      <c r="AK487" s="218"/>
      <c r="AL487" s="218"/>
      <c r="AM487" s="218"/>
    </row>
    <row r="488" spans="1:39" ht="12.75">
      <c r="A488" s="229"/>
      <c r="B488" s="229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  <c r="AA488" s="229"/>
      <c r="AB488" s="229"/>
      <c r="AC488" s="229"/>
      <c r="AD488" s="229"/>
      <c r="AE488" s="229"/>
      <c r="AF488" s="229"/>
      <c r="AG488" s="229"/>
      <c r="AH488" s="229"/>
      <c r="AI488" s="229"/>
      <c r="AJ488" s="218"/>
      <c r="AK488" s="218"/>
      <c r="AL488" s="218"/>
      <c r="AM488" s="218"/>
    </row>
    <row r="489" spans="1:39" ht="12.75">
      <c r="A489" s="229"/>
      <c r="B489" s="229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  <c r="AA489" s="229"/>
      <c r="AB489" s="229"/>
      <c r="AC489" s="229"/>
      <c r="AD489" s="229"/>
      <c r="AE489" s="229"/>
      <c r="AF489" s="229"/>
      <c r="AG489" s="229"/>
      <c r="AH489" s="229"/>
      <c r="AI489" s="229"/>
      <c r="AJ489" s="218"/>
      <c r="AK489" s="218"/>
      <c r="AL489" s="218"/>
      <c r="AM489" s="218"/>
    </row>
    <row r="490" spans="1:39" ht="12.75">
      <c r="A490" s="229"/>
      <c r="B490" s="229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  <c r="AA490" s="229"/>
      <c r="AB490" s="229"/>
      <c r="AC490" s="229"/>
      <c r="AD490" s="229"/>
      <c r="AE490" s="229"/>
      <c r="AF490" s="229"/>
      <c r="AG490" s="229"/>
      <c r="AH490" s="229"/>
      <c r="AI490" s="229"/>
      <c r="AJ490" s="218"/>
      <c r="AK490" s="218"/>
      <c r="AL490" s="218"/>
      <c r="AM490" s="218"/>
    </row>
    <row r="491" spans="1:39" ht="12.75">
      <c r="A491" s="229"/>
      <c r="B491" s="229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  <c r="AA491" s="229"/>
      <c r="AB491" s="229"/>
      <c r="AC491" s="229"/>
      <c r="AD491" s="229"/>
      <c r="AE491" s="229"/>
      <c r="AF491" s="229"/>
      <c r="AG491" s="229"/>
      <c r="AH491" s="229"/>
      <c r="AI491" s="229"/>
      <c r="AJ491" s="218"/>
      <c r="AK491" s="218"/>
      <c r="AL491" s="218"/>
      <c r="AM491" s="218"/>
    </row>
    <row r="492" spans="1:39" ht="12.75">
      <c r="A492" s="229"/>
      <c r="B492" s="229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  <c r="AA492" s="229"/>
      <c r="AB492" s="229"/>
      <c r="AC492" s="229"/>
      <c r="AD492" s="229"/>
      <c r="AE492" s="229"/>
      <c r="AF492" s="229"/>
      <c r="AG492" s="229"/>
      <c r="AH492" s="229"/>
      <c r="AI492" s="229"/>
      <c r="AJ492" s="218"/>
      <c r="AK492" s="218"/>
      <c r="AL492" s="218"/>
      <c r="AM492" s="218"/>
    </row>
    <row r="493" spans="1:39" ht="12.75">
      <c r="A493" s="229"/>
      <c r="B493" s="229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  <c r="AA493" s="229"/>
      <c r="AB493" s="229"/>
      <c r="AC493" s="229"/>
      <c r="AD493" s="229"/>
      <c r="AE493" s="229"/>
      <c r="AF493" s="229"/>
      <c r="AG493" s="229"/>
      <c r="AH493" s="229"/>
      <c r="AI493" s="229"/>
      <c r="AJ493" s="218"/>
      <c r="AK493" s="218"/>
      <c r="AL493" s="218"/>
      <c r="AM493" s="218"/>
    </row>
    <row r="494" spans="1:39" ht="12.75">
      <c r="A494" s="229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  <c r="AA494" s="229"/>
      <c r="AB494" s="229"/>
      <c r="AC494" s="229"/>
      <c r="AD494" s="229"/>
      <c r="AE494" s="229"/>
      <c r="AF494" s="229"/>
      <c r="AG494" s="229"/>
      <c r="AH494" s="229"/>
      <c r="AI494" s="229"/>
      <c r="AJ494" s="218"/>
      <c r="AK494" s="218"/>
      <c r="AL494" s="218"/>
      <c r="AM494" s="218"/>
    </row>
    <row r="495" spans="1:39" ht="12.75">
      <c r="A495" s="229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  <c r="AA495" s="229"/>
      <c r="AB495" s="229"/>
      <c r="AC495" s="229"/>
      <c r="AD495" s="229"/>
      <c r="AE495" s="229"/>
      <c r="AF495" s="229"/>
      <c r="AG495" s="229"/>
      <c r="AH495" s="229"/>
      <c r="AI495" s="229"/>
      <c r="AJ495" s="218"/>
      <c r="AK495" s="218"/>
      <c r="AL495" s="218"/>
      <c r="AM495" s="218"/>
    </row>
    <row r="496" spans="1:39" ht="12.75">
      <c r="A496" s="229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  <c r="AA496" s="229"/>
      <c r="AB496" s="229"/>
      <c r="AC496" s="229"/>
      <c r="AD496" s="229"/>
      <c r="AE496" s="229"/>
      <c r="AF496" s="229"/>
      <c r="AG496" s="229"/>
      <c r="AH496" s="229"/>
      <c r="AI496" s="229"/>
      <c r="AJ496" s="218"/>
      <c r="AK496" s="218"/>
      <c r="AL496" s="218"/>
      <c r="AM496" s="218"/>
    </row>
    <row r="497" spans="1:39" ht="12.75">
      <c r="A497" s="229"/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  <c r="AA497" s="229"/>
      <c r="AB497" s="229"/>
      <c r="AC497" s="229"/>
      <c r="AD497" s="229"/>
      <c r="AE497" s="229"/>
      <c r="AF497" s="229"/>
      <c r="AG497" s="229"/>
      <c r="AH497" s="229"/>
      <c r="AI497" s="229"/>
      <c r="AJ497" s="218"/>
      <c r="AK497" s="218"/>
      <c r="AL497" s="218"/>
      <c r="AM497" s="218"/>
    </row>
    <row r="498" spans="1:39" ht="12.75">
      <c r="A498" s="229"/>
      <c r="B498" s="229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  <c r="AA498" s="229"/>
      <c r="AB498" s="229"/>
      <c r="AC498" s="229"/>
      <c r="AD498" s="229"/>
      <c r="AE498" s="229"/>
      <c r="AF498" s="229"/>
      <c r="AG498" s="229"/>
      <c r="AH498" s="229"/>
      <c r="AI498" s="229"/>
      <c r="AJ498" s="218"/>
      <c r="AK498" s="218"/>
      <c r="AL498" s="218"/>
      <c r="AM498" s="218"/>
    </row>
    <row r="499" spans="1:39" ht="12.75">
      <c r="A499" s="229"/>
      <c r="B499" s="229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  <c r="AA499" s="229"/>
      <c r="AB499" s="229"/>
      <c r="AC499" s="229"/>
      <c r="AD499" s="229"/>
      <c r="AE499" s="229"/>
      <c r="AF499" s="229"/>
      <c r="AG499" s="229"/>
      <c r="AH499" s="229"/>
      <c r="AI499" s="229"/>
      <c r="AJ499" s="218"/>
      <c r="AK499" s="218"/>
      <c r="AL499" s="218"/>
      <c r="AM499" s="218"/>
    </row>
    <row r="500" spans="1:39" ht="12.75">
      <c r="A500" s="229"/>
      <c r="B500" s="229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  <c r="AA500" s="229"/>
      <c r="AB500" s="229"/>
      <c r="AC500" s="229"/>
      <c r="AD500" s="229"/>
      <c r="AE500" s="229"/>
      <c r="AF500" s="229"/>
      <c r="AG500" s="229"/>
      <c r="AH500" s="229"/>
      <c r="AI500" s="229"/>
      <c r="AJ500" s="218"/>
      <c r="AK500" s="218"/>
      <c r="AL500" s="218"/>
      <c r="AM500" s="218"/>
    </row>
    <row r="501" spans="1:39" ht="12.75">
      <c r="A501" s="229"/>
      <c r="B501" s="229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  <c r="AA501" s="229"/>
      <c r="AB501" s="229"/>
      <c r="AC501" s="229"/>
      <c r="AD501" s="229"/>
      <c r="AE501" s="229"/>
      <c r="AF501" s="229"/>
      <c r="AG501" s="229"/>
      <c r="AH501" s="229"/>
      <c r="AI501" s="229"/>
      <c r="AJ501" s="218"/>
      <c r="AK501" s="218"/>
      <c r="AL501" s="218"/>
      <c r="AM501" s="218"/>
    </row>
    <row r="502" spans="1:39" ht="12.75">
      <c r="A502" s="229"/>
      <c r="B502" s="229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  <c r="AA502" s="229"/>
      <c r="AB502" s="229"/>
      <c r="AC502" s="229"/>
      <c r="AD502" s="229"/>
      <c r="AE502" s="229"/>
      <c r="AF502" s="229"/>
      <c r="AG502" s="229"/>
      <c r="AH502" s="229"/>
      <c r="AI502" s="229"/>
      <c r="AJ502" s="218"/>
      <c r="AK502" s="218"/>
      <c r="AL502" s="218"/>
      <c r="AM502" s="218"/>
    </row>
    <row r="503" spans="1:39" ht="12.75">
      <c r="A503" s="229"/>
      <c r="B503" s="229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  <c r="AA503" s="229"/>
      <c r="AB503" s="229"/>
      <c r="AC503" s="229"/>
      <c r="AD503" s="229"/>
      <c r="AE503" s="229"/>
      <c r="AF503" s="229"/>
      <c r="AG503" s="229"/>
      <c r="AH503" s="229"/>
      <c r="AI503" s="229"/>
      <c r="AJ503" s="218"/>
      <c r="AK503" s="218"/>
      <c r="AL503" s="218"/>
      <c r="AM503" s="218"/>
    </row>
    <row r="504" spans="1:39" ht="12.75">
      <c r="A504" s="229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  <c r="AA504" s="229"/>
      <c r="AB504" s="229"/>
      <c r="AC504" s="229"/>
      <c r="AD504" s="229"/>
      <c r="AE504" s="229"/>
      <c r="AF504" s="229"/>
      <c r="AG504" s="229"/>
      <c r="AH504" s="229"/>
      <c r="AI504" s="229"/>
      <c r="AJ504" s="218"/>
      <c r="AK504" s="218"/>
      <c r="AL504" s="218"/>
      <c r="AM504" s="218"/>
    </row>
    <row r="505" spans="1:39" ht="12.75">
      <c r="A505" s="229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  <c r="AA505" s="229"/>
      <c r="AB505" s="229"/>
      <c r="AC505" s="229"/>
      <c r="AD505" s="229"/>
      <c r="AE505" s="229"/>
      <c r="AF505" s="229"/>
      <c r="AG505" s="229"/>
      <c r="AH505" s="229"/>
      <c r="AI505" s="229"/>
      <c r="AJ505" s="218"/>
      <c r="AK505" s="218"/>
      <c r="AL505" s="218"/>
      <c r="AM505" s="218"/>
    </row>
    <row r="506" spans="1:39" ht="12.75">
      <c r="A506" s="229"/>
      <c r="B506" s="229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  <c r="AA506" s="229"/>
      <c r="AB506" s="229"/>
      <c r="AC506" s="229"/>
      <c r="AD506" s="229"/>
      <c r="AE506" s="229"/>
      <c r="AF506" s="229"/>
      <c r="AG506" s="229"/>
      <c r="AH506" s="229"/>
      <c r="AI506" s="229"/>
      <c r="AJ506" s="218"/>
      <c r="AK506" s="218"/>
      <c r="AL506" s="218"/>
      <c r="AM506" s="218"/>
    </row>
    <row r="507" spans="1:39" ht="12.75">
      <c r="A507" s="229"/>
      <c r="B507" s="229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  <c r="AA507" s="229"/>
      <c r="AB507" s="229"/>
      <c r="AC507" s="229"/>
      <c r="AD507" s="229"/>
      <c r="AE507" s="229"/>
      <c r="AF507" s="229"/>
      <c r="AG507" s="229"/>
      <c r="AH507" s="229"/>
      <c r="AI507" s="229"/>
      <c r="AJ507" s="218"/>
      <c r="AK507" s="218"/>
      <c r="AL507" s="218"/>
      <c r="AM507" s="218"/>
    </row>
    <row r="508" spans="1:39" ht="12.75">
      <c r="A508" s="229"/>
      <c r="B508" s="229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  <c r="AA508" s="229"/>
      <c r="AB508" s="229"/>
      <c r="AC508" s="229"/>
      <c r="AD508" s="229"/>
      <c r="AE508" s="229"/>
      <c r="AF508" s="229"/>
      <c r="AG508" s="229"/>
      <c r="AH508" s="229"/>
      <c r="AI508" s="229"/>
      <c r="AJ508" s="218"/>
      <c r="AK508" s="218"/>
      <c r="AL508" s="218"/>
      <c r="AM508" s="218"/>
    </row>
    <row r="509" spans="1:39" ht="12.75">
      <c r="A509" s="229"/>
      <c r="B509" s="229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  <c r="AA509" s="229"/>
      <c r="AB509" s="229"/>
      <c r="AC509" s="229"/>
      <c r="AD509" s="229"/>
      <c r="AE509" s="229"/>
      <c r="AF509" s="229"/>
      <c r="AG509" s="229"/>
      <c r="AH509" s="229"/>
      <c r="AI509" s="229"/>
      <c r="AJ509" s="218"/>
      <c r="AK509" s="218"/>
      <c r="AL509" s="218"/>
      <c r="AM509" s="218"/>
    </row>
    <row r="510" spans="1:39" ht="12.75">
      <c r="A510" s="229"/>
      <c r="B510" s="229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  <c r="AA510" s="229"/>
      <c r="AB510" s="229"/>
      <c r="AC510" s="229"/>
      <c r="AD510" s="229"/>
      <c r="AE510" s="229"/>
      <c r="AF510" s="229"/>
      <c r="AG510" s="229"/>
      <c r="AH510" s="229"/>
      <c r="AI510" s="229"/>
      <c r="AJ510" s="218"/>
      <c r="AK510" s="218"/>
      <c r="AL510" s="218"/>
      <c r="AM510" s="218"/>
    </row>
    <row r="511" spans="1:39" ht="12.75">
      <c r="A511" s="229"/>
      <c r="B511" s="229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  <c r="AA511" s="229"/>
      <c r="AB511" s="229"/>
      <c r="AC511" s="229"/>
      <c r="AD511" s="229"/>
      <c r="AE511" s="229"/>
      <c r="AF511" s="229"/>
      <c r="AG511" s="229"/>
      <c r="AH511" s="229"/>
      <c r="AI511" s="229"/>
      <c r="AJ511" s="218"/>
      <c r="AK511" s="218"/>
      <c r="AL511" s="218"/>
      <c r="AM511" s="218"/>
    </row>
    <row r="512" spans="1:39" ht="12.75">
      <c r="A512" s="229"/>
      <c r="B512" s="229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  <c r="AA512" s="229"/>
      <c r="AB512" s="229"/>
      <c r="AC512" s="229"/>
      <c r="AD512" s="229"/>
      <c r="AE512" s="229"/>
      <c r="AF512" s="229"/>
      <c r="AG512" s="229"/>
      <c r="AH512" s="229"/>
      <c r="AI512" s="229"/>
      <c r="AJ512" s="218"/>
      <c r="AK512" s="218"/>
      <c r="AL512" s="218"/>
      <c r="AM512" s="218"/>
    </row>
    <row r="513" spans="1:39" ht="12.75">
      <c r="A513" s="229"/>
      <c r="B513" s="229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  <c r="AA513" s="229"/>
      <c r="AB513" s="229"/>
      <c r="AC513" s="229"/>
      <c r="AD513" s="229"/>
      <c r="AE513" s="229"/>
      <c r="AF513" s="229"/>
      <c r="AG513" s="229"/>
      <c r="AH513" s="229"/>
      <c r="AI513" s="229"/>
      <c r="AJ513" s="218"/>
      <c r="AK513" s="218"/>
      <c r="AL513" s="218"/>
      <c r="AM513" s="218"/>
    </row>
    <row r="514" spans="1:39" ht="12.75">
      <c r="A514" s="229"/>
      <c r="B514" s="229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  <c r="AA514" s="229"/>
      <c r="AB514" s="229"/>
      <c r="AC514" s="229"/>
      <c r="AD514" s="229"/>
      <c r="AE514" s="229"/>
      <c r="AF514" s="229"/>
      <c r="AG514" s="229"/>
      <c r="AH514" s="229"/>
      <c r="AI514" s="229"/>
      <c r="AJ514" s="218"/>
      <c r="AK514" s="218"/>
      <c r="AL514" s="218"/>
      <c r="AM514" s="218"/>
    </row>
    <row r="515" spans="1:39" ht="12.75">
      <c r="A515" s="229"/>
      <c r="B515" s="229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  <c r="AA515" s="229"/>
      <c r="AB515" s="229"/>
      <c r="AC515" s="229"/>
      <c r="AD515" s="229"/>
      <c r="AE515" s="229"/>
      <c r="AF515" s="229"/>
      <c r="AG515" s="229"/>
      <c r="AH515" s="229"/>
      <c r="AI515" s="229"/>
      <c r="AJ515" s="218"/>
      <c r="AK515" s="218"/>
      <c r="AL515" s="218"/>
      <c r="AM515" s="218"/>
    </row>
    <row r="516" spans="1:39" ht="12.75">
      <c r="A516" s="229"/>
      <c r="B516" s="229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  <c r="AA516" s="229"/>
      <c r="AB516" s="229"/>
      <c r="AC516" s="229"/>
      <c r="AD516" s="229"/>
      <c r="AE516" s="229"/>
      <c r="AF516" s="229"/>
      <c r="AG516" s="229"/>
      <c r="AH516" s="229"/>
      <c r="AI516" s="229"/>
      <c r="AJ516" s="218"/>
      <c r="AK516" s="218"/>
      <c r="AL516" s="218"/>
      <c r="AM516" s="218"/>
    </row>
    <row r="517" spans="1:39" ht="12.75">
      <c r="A517" s="229"/>
      <c r="B517" s="229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  <c r="AA517" s="229"/>
      <c r="AB517" s="229"/>
      <c r="AC517" s="229"/>
      <c r="AD517" s="229"/>
      <c r="AE517" s="229"/>
      <c r="AF517" s="229"/>
      <c r="AG517" s="229"/>
      <c r="AH517" s="229"/>
      <c r="AI517" s="229"/>
      <c r="AJ517" s="218"/>
      <c r="AK517" s="218"/>
      <c r="AL517" s="218"/>
      <c r="AM517" s="218"/>
    </row>
    <row r="518" spans="1:39" ht="12.75">
      <c r="A518" s="229"/>
      <c r="B518" s="229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  <c r="AA518" s="229"/>
      <c r="AB518" s="229"/>
      <c r="AC518" s="229"/>
      <c r="AD518" s="229"/>
      <c r="AE518" s="229"/>
      <c r="AF518" s="229"/>
      <c r="AG518" s="229"/>
      <c r="AH518" s="229"/>
      <c r="AI518" s="229"/>
      <c r="AJ518" s="218"/>
      <c r="AK518" s="218"/>
      <c r="AL518" s="218"/>
      <c r="AM518" s="218"/>
    </row>
    <row r="519" spans="1:39" ht="12.75">
      <c r="A519" s="229"/>
      <c r="B519" s="229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  <c r="AA519" s="229"/>
      <c r="AB519" s="229"/>
      <c r="AC519" s="229"/>
      <c r="AD519" s="229"/>
      <c r="AE519" s="229"/>
      <c r="AF519" s="229"/>
      <c r="AG519" s="229"/>
      <c r="AH519" s="229"/>
      <c r="AI519" s="229"/>
      <c r="AJ519" s="218"/>
      <c r="AK519" s="218"/>
      <c r="AL519" s="218"/>
      <c r="AM519" s="218"/>
    </row>
    <row r="520" spans="1:39" ht="12.75">
      <c r="A520" s="229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  <c r="AA520" s="229"/>
      <c r="AB520" s="229"/>
      <c r="AC520" s="229"/>
      <c r="AD520" s="229"/>
      <c r="AE520" s="229"/>
      <c r="AF520" s="229"/>
      <c r="AG520" s="229"/>
      <c r="AH520" s="229"/>
      <c r="AI520" s="229"/>
      <c r="AJ520" s="218"/>
      <c r="AK520" s="218"/>
      <c r="AL520" s="218"/>
      <c r="AM520" s="218"/>
    </row>
    <row r="521" spans="1:39" ht="12.75">
      <c r="A521" s="229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  <c r="AA521" s="229"/>
      <c r="AB521" s="229"/>
      <c r="AC521" s="229"/>
      <c r="AD521" s="229"/>
      <c r="AE521" s="229"/>
      <c r="AF521" s="229"/>
      <c r="AG521" s="229"/>
      <c r="AH521" s="229"/>
      <c r="AI521" s="229"/>
      <c r="AJ521" s="218"/>
      <c r="AK521" s="218"/>
      <c r="AL521" s="218"/>
      <c r="AM521" s="218"/>
    </row>
    <row r="522" spans="1:39" ht="12.75">
      <c r="A522" s="229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  <c r="AA522" s="229"/>
      <c r="AB522" s="229"/>
      <c r="AC522" s="229"/>
      <c r="AD522" s="229"/>
      <c r="AE522" s="229"/>
      <c r="AF522" s="229"/>
      <c r="AG522" s="229"/>
      <c r="AH522" s="229"/>
      <c r="AI522" s="229"/>
      <c r="AJ522" s="218"/>
      <c r="AK522" s="218"/>
      <c r="AL522" s="218"/>
      <c r="AM522" s="218"/>
    </row>
    <row r="523" spans="1:39" ht="12.75">
      <c r="A523" s="229"/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  <c r="AA523" s="229"/>
      <c r="AB523" s="229"/>
      <c r="AC523" s="229"/>
      <c r="AD523" s="229"/>
      <c r="AE523" s="229"/>
      <c r="AF523" s="229"/>
      <c r="AG523" s="229"/>
      <c r="AH523" s="229"/>
      <c r="AI523" s="229"/>
      <c r="AJ523" s="218"/>
      <c r="AK523" s="218"/>
      <c r="AL523" s="218"/>
      <c r="AM523" s="218"/>
    </row>
    <row r="524" spans="1:39" ht="12.75">
      <c r="A524" s="229"/>
      <c r="B524" s="229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  <c r="AA524" s="229"/>
      <c r="AB524" s="229"/>
      <c r="AC524" s="229"/>
      <c r="AD524" s="229"/>
      <c r="AE524" s="229"/>
      <c r="AF524" s="229"/>
      <c r="AG524" s="229"/>
      <c r="AH524" s="229"/>
      <c r="AI524" s="229"/>
      <c r="AJ524" s="218"/>
      <c r="AK524" s="218"/>
      <c r="AL524" s="218"/>
      <c r="AM524" s="218"/>
    </row>
    <row r="525" spans="1:39" ht="12.75">
      <c r="A525" s="229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  <c r="AA525" s="229"/>
      <c r="AB525" s="229"/>
      <c r="AC525" s="229"/>
      <c r="AD525" s="229"/>
      <c r="AE525" s="229"/>
      <c r="AF525" s="229"/>
      <c r="AG525" s="229"/>
      <c r="AH525" s="229"/>
      <c r="AI525" s="229"/>
      <c r="AJ525" s="218"/>
      <c r="AK525" s="218"/>
      <c r="AL525" s="218"/>
      <c r="AM525" s="218"/>
    </row>
    <row r="526" spans="1:39" ht="12.75">
      <c r="A526" s="229"/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  <c r="AA526" s="229"/>
      <c r="AB526" s="229"/>
      <c r="AC526" s="229"/>
      <c r="AD526" s="229"/>
      <c r="AE526" s="229"/>
      <c r="AF526" s="229"/>
      <c r="AG526" s="229"/>
      <c r="AH526" s="229"/>
      <c r="AI526" s="229"/>
      <c r="AJ526" s="218"/>
      <c r="AK526" s="218"/>
      <c r="AL526" s="218"/>
      <c r="AM526" s="218"/>
    </row>
    <row r="527" spans="1:39" ht="12.75">
      <c r="A527" s="229"/>
      <c r="B527" s="229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  <c r="AA527" s="229"/>
      <c r="AB527" s="229"/>
      <c r="AC527" s="229"/>
      <c r="AD527" s="229"/>
      <c r="AE527" s="229"/>
      <c r="AF527" s="229"/>
      <c r="AG527" s="229"/>
      <c r="AH527" s="229"/>
      <c r="AI527" s="229"/>
      <c r="AJ527" s="218"/>
      <c r="AK527" s="218"/>
      <c r="AL527" s="218"/>
      <c r="AM527" s="218"/>
    </row>
    <row r="528" spans="1:39" ht="12.75">
      <c r="A528" s="229"/>
      <c r="B528" s="229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  <c r="AA528" s="229"/>
      <c r="AB528" s="229"/>
      <c r="AC528" s="229"/>
      <c r="AD528" s="229"/>
      <c r="AE528" s="229"/>
      <c r="AF528" s="229"/>
      <c r="AG528" s="229"/>
      <c r="AH528" s="229"/>
      <c r="AI528" s="229"/>
      <c r="AJ528" s="218"/>
      <c r="AK528" s="218"/>
      <c r="AL528" s="218"/>
      <c r="AM528" s="218"/>
    </row>
    <row r="529" spans="1:39" ht="12.75">
      <c r="A529" s="229"/>
      <c r="B529" s="229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  <c r="AA529" s="229"/>
      <c r="AB529" s="229"/>
      <c r="AC529" s="229"/>
      <c r="AD529" s="229"/>
      <c r="AE529" s="229"/>
      <c r="AF529" s="229"/>
      <c r="AG529" s="229"/>
      <c r="AH529" s="229"/>
      <c r="AI529" s="229"/>
      <c r="AJ529" s="218"/>
      <c r="AK529" s="218"/>
      <c r="AL529" s="218"/>
      <c r="AM529" s="218"/>
    </row>
    <row r="530" spans="1:39" ht="12.75">
      <c r="A530" s="229"/>
      <c r="B530" s="229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  <c r="AA530" s="229"/>
      <c r="AB530" s="229"/>
      <c r="AC530" s="229"/>
      <c r="AD530" s="229"/>
      <c r="AE530" s="229"/>
      <c r="AF530" s="229"/>
      <c r="AG530" s="229"/>
      <c r="AH530" s="229"/>
      <c r="AI530" s="229"/>
      <c r="AJ530" s="218"/>
      <c r="AK530" s="218"/>
      <c r="AL530" s="218"/>
      <c r="AM530" s="218"/>
    </row>
    <row r="531" spans="1:39" ht="12.75">
      <c r="A531" s="229"/>
      <c r="B531" s="229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  <c r="AA531" s="229"/>
      <c r="AB531" s="229"/>
      <c r="AC531" s="229"/>
      <c r="AD531" s="229"/>
      <c r="AE531" s="229"/>
      <c r="AF531" s="229"/>
      <c r="AG531" s="229"/>
      <c r="AH531" s="229"/>
      <c r="AI531" s="229"/>
      <c r="AJ531" s="218"/>
      <c r="AK531" s="218"/>
      <c r="AL531" s="218"/>
      <c r="AM531" s="218"/>
    </row>
    <row r="532" spans="1:39" ht="12.75">
      <c r="A532" s="229"/>
      <c r="B532" s="229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  <c r="AA532" s="229"/>
      <c r="AB532" s="229"/>
      <c r="AC532" s="229"/>
      <c r="AD532" s="229"/>
      <c r="AE532" s="229"/>
      <c r="AF532" s="229"/>
      <c r="AG532" s="229"/>
      <c r="AH532" s="229"/>
      <c r="AI532" s="229"/>
      <c r="AJ532" s="218"/>
      <c r="AK532" s="218"/>
      <c r="AL532" s="218"/>
      <c r="AM532" s="218"/>
    </row>
    <row r="533" spans="1:39" ht="12.75">
      <c r="A533" s="229"/>
      <c r="B533" s="229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  <c r="AA533" s="229"/>
      <c r="AB533" s="229"/>
      <c r="AC533" s="229"/>
      <c r="AD533" s="229"/>
      <c r="AE533" s="229"/>
      <c r="AF533" s="229"/>
      <c r="AG533" s="229"/>
      <c r="AH533" s="229"/>
      <c r="AI533" s="229"/>
      <c r="AJ533" s="218"/>
      <c r="AK533" s="218"/>
      <c r="AL533" s="218"/>
      <c r="AM533" s="218"/>
    </row>
    <row r="534" spans="1:39" ht="12.75">
      <c r="A534" s="229"/>
      <c r="B534" s="229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  <c r="AA534" s="229"/>
      <c r="AB534" s="229"/>
      <c r="AC534" s="229"/>
      <c r="AD534" s="229"/>
      <c r="AE534" s="229"/>
      <c r="AF534" s="229"/>
      <c r="AG534" s="229"/>
      <c r="AH534" s="229"/>
      <c r="AI534" s="229"/>
      <c r="AJ534" s="218"/>
      <c r="AK534" s="218"/>
      <c r="AL534" s="218"/>
      <c r="AM534" s="218"/>
    </row>
    <row r="535" spans="1:39" ht="12.75">
      <c r="A535" s="229"/>
      <c r="B535" s="229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  <c r="AA535" s="229"/>
      <c r="AB535" s="229"/>
      <c r="AC535" s="229"/>
      <c r="AD535" s="229"/>
      <c r="AE535" s="229"/>
      <c r="AF535" s="229"/>
      <c r="AG535" s="229"/>
      <c r="AH535" s="229"/>
      <c r="AI535" s="229"/>
      <c r="AJ535" s="218"/>
      <c r="AK535" s="218"/>
      <c r="AL535" s="218"/>
      <c r="AM535" s="218"/>
    </row>
    <row r="536" spans="1:39" ht="12.75">
      <c r="A536" s="229"/>
      <c r="B536" s="229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  <c r="AA536" s="229"/>
      <c r="AB536" s="229"/>
      <c r="AC536" s="229"/>
      <c r="AD536" s="229"/>
      <c r="AE536" s="229"/>
      <c r="AF536" s="229"/>
      <c r="AG536" s="229"/>
      <c r="AH536" s="229"/>
      <c r="AI536" s="229"/>
      <c r="AJ536" s="218"/>
      <c r="AK536" s="218"/>
      <c r="AL536" s="218"/>
      <c r="AM536" s="218"/>
    </row>
    <row r="537" spans="1:39" ht="12.75">
      <c r="A537" s="229"/>
      <c r="B537" s="229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  <c r="AA537" s="229"/>
      <c r="AB537" s="229"/>
      <c r="AC537" s="229"/>
      <c r="AD537" s="229"/>
      <c r="AE537" s="229"/>
      <c r="AF537" s="229"/>
      <c r="AG537" s="229"/>
      <c r="AH537" s="229"/>
      <c r="AI537" s="229"/>
      <c r="AJ537" s="218"/>
      <c r="AK537" s="218"/>
      <c r="AL537" s="218"/>
      <c r="AM537" s="218"/>
    </row>
    <row r="538" spans="1:39" ht="12.75">
      <c r="A538" s="229"/>
      <c r="B538" s="229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  <c r="AA538" s="229"/>
      <c r="AB538" s="229"/>
      <c r="AC538" s="229"/>
      <c r="AD538" s="229"/>
      <c r="AE538" s="229"/>
      <c r="AF538" s="229"/>
      <c r="AG538" s="229"/>
      <c r="AH538" s="229"/>
      <c r="AI538" s="229"/>
      <c r="AJ538" s="218"/>
      <c r="AK538" s="218"/>
      <c r="AL538" s="218"/>
      <c r="AM538" s="218"/>
    </row>
    <row r="539" spans="1:39" ht="12.75">
      <c r="A539" s="229"/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  <c r="AA539" s="229"/>
      <c r="AB539" s="229"/>
      <c r="AC539" s="229"/>
      <c r="AD539" s="229"/>
      <c r="AE539" s="229"/>
      <c r="AF539" s="229"/>
      <c r="AG539" s="229"/>
      <c r="AH539" s="229"/>
      <c r="AI539" s="229"/>
      <c r="AJ539" s="218"/>
      <c r="AK539" s="218"/>
      <c r="AL539" s="218"/>
      <c r="AM539" s="218"/>
    </row>
    <row r="540" spans="1:39" ht="12.75">
      <c r="A540" s="229"/>
      <c r="B540" s="229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  <c r="AA540" s="229"/>
      <c r="AB540" s="229"/>
      <c r="AC540" s="229"/>
      <c r="AD540" s="229"/>
      <c r="AE540" s="229"/>
      <c r="AF540" s="229"/>
      <c r="AG540" s="229"/>
      <c r="AH540" s="229"/>
      <c r="AI540" s="229"/>
      <c r="AJ540" s="218"/>
      <c r="AK540" s="218"/>
      <c r="AL540" s="218"/>
      <c r="AM540" s="218"/>
    </row>
    <row r="541" spans="1:39" ht="12.75">
      <c r="A541" s="229"/>
      <c r="B541" s="229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  <c r="AA541" s="229"/>
      <c r="AB541" s="229"/>
      <c r="AC541" s="229"/>
      <c r="AD541" s="229"/>
      <c r="AE541" s="229"/>
      <c r="AF541" s="229"/>
      <c r="AG541" s="229"/>
      <c r="AH541" s="229"/>
      <c r="AI541" s="229"/>
      <c r="AJ541" s="218"/>
      <c r="AK541" s="218"/>
      <c r="AL541" s="218"/>
      <c r="AM541" s="218"/>
    </row>
    <row r="542" spans="1:39" ht="12.75">
      <c r="A542" s="229"/>
      <c r="B542" s="229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  <c r="AA542" s="229"/>
      <c r="AB542" s="229"/>
      <c r="AC542" s="229"/>
      <c r="AD542" s="229"/>
      <c r="AE542" s="229"/>
      <c r="AF542" s="229"/>
      <c r="AG542" s="229"/>
      <c r="AH542" s="229"/>
      <c r="AI542" s="229"/>
      <c r="AJ542" s="218"/>
      <c r="AK542" s="218"/>
      <c r="AL542" s="218"/>
      <c r="AM542" s="218"/>
    </row>
    <row r="543" spans="1:39" ht="12.75">
      <c r="A543" s="229"/>
      <c r="B543" s="229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  <c r="AA543" s="229"/>
      <c r="AB543" s="229"/>
      <c r="AC543" s="229"/>
      <c r="AD543" s="229"/>
      <c r="AE543" s="229"/>
      <c r="AF543" s="229"/>
      <c r="AG543" s="229"/>
      <c r="AH543" s="229"/>
      <c r="AI543" s="229"/>
      <c r="AJ543" s="218"/>
      <c r="AK543" s="218"/>
      <c r="AL543" s="218"/>
      <c r="AM543" s="218"/>
    </row>
    <row r="544" spans="1:39" ht="12.75">
      <c r="A544" s="229"/>
      <c r="B544" s="229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  <c r="AA544" s="229"/>
      <c r="AB544" s="229"/>
      <c r="AC544" s="229"/>
      <c r="AD544" s="229"/>
      <c r="AE544" s="229"/>
      <c r="AF544" s="229"/>
      <c r="AG544" s="229"/>
      <c r="AH544" s="229"/>
      <c r="AI544" s="229"/>
      <c r="AJ544" s="218"/>
      <c r="AK544" s="218"/>
      <c r="AL544" s="218"/>
      <c r="AM544" s="218"/>
    </row>
    <row r="545" spans="1:39" ht="12.75">
      <c r="A545" s="229"/>
      <c r="B545" s="229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  <c r="AA545" s="229"/>
      <c r="AB545" s="229"/>
      <c r="AC545" s="229"/>
      <c r="AD545" s="229"/>
      <c r="AE545" s="229"/>
      <c r="AF545" s="229"/>
      <c r="AG545" s="229"/>
      <c r="AH545" s="229"/>
      <c r="AI545" s="229"/>
      <c r="AJ545" s="218"/>
      <c r="AK545" s="218"/>
      <c r="AL545" s="218"/>
      <c r="AM545" s="218"/>
    </row>
    <row r="546" spans="1:39" ht="12.75">
      <c r="A546" s="229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  <c r="AA546" s="229"/>
      <c r="AB546" s="229"/>
      <c r="AC546" s="229"/>
      <c r="AD546" s="229"/>
      <c r="AE546" s="229"/>
      <c r="AF546" s="229"/>
      <c r="AG546" s="229"/>
      <c r="AH546" s="229"/>
      <c r="AI546" s="229"/>
      <c r="AJ546" s="218"/>
      <c r="AK546" s="218"/>
      <c r="AL546" s="218"/>
      <c r="AM546" s="218"/>
    </row>
    <row r="547" spans="1:39" ht="12.75">
      <c r="A547" s="229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  <c r="AA547" s="229"/>
      <c r="AB547" s="229"/>
      <c r="AC547" s="229"/>
      <c r="AD547" s="229"/>
      <c r="AE547" s="229"/>
      <c r="AF547" s="229"/>
      <c r="AG547" s="229"/>
      <c r="AH547" s="229"/>
      <c r="AI547" s="229"/>
      <c r="AJ547" s="218"/>
      <c r="AK547" s="218"/>
      <c r="AL547" s="218"/>
      <c r="AM547" s="218"/>
    </row>
    <row r="548" spans="1:39" ht="12.75">
      <c r="A548" s="229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  <c r="AA548" s="229"/>
      <c r="AB548" s="229"/>
      <c r="AC548" s="229"/>
      <c r="AD548" s="229"/>
      <c r="AE548" s="229"/>
      <c r="AF548" s="229"/>
      <c r="AG548" s="229"/>
      <c r="AH548" s="229"/>
      <c r="AI548" s="229"/>
      <c r="AJ548" s="218"/>
      <c r="AK548" s="218"/>
      <c r="AL548" s="218"/>
      <c r="AM548" s="218"/>
    </row>
    <row r="549" spans="1:39" ht="12.75">
      <c r="A549" s="229"/>
      <c r="B549" s="229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  <c r="AA549" s="229"/>
      <c r="AB549" s="229"/>
      <c r="AC549" s="229"/>
      <c r="AD549" s="229"/>
      <c r="AE549" s="229"/>
      <c r="AF549" s="229"/>
      <c r="AG549" s="229"/>
      <c r="AH549" s="229"/>
      <c r="AI549" s="229"/>
      <c r="AJ549" s="218"/>
      <c r="AK549" s="218"/>
      <c r="AL549" s="218"/>
      <c r="AM549" s="218"/>
    </row>
    <row r="550" spans="1:39" ht="12.75">
      <c r="A550" s="229"/>
      <c r="B550" s="229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  <c r="AA550" s="229"/>
      <c r="AB550" s="229"/>
      <c r="AC550" s="229"/>
      <c r="AD550" s="229"/>
      <c r="AE550" s="229"/>
      <c r="AF550" s="229"/>
      <c r="AG550" s="229"/>
      <c r="AH550" s="229"/>
      <c r="AI550" s="229"/>
      <c r="AJ550" s="218"/>
      <c r="AK550" s="218"/>
      <c r="AL550" s="218"/>
      <c r="AM550" s="218"/>
    </row>
    <row r="551" spans="1:39" ht="12.75">
      <c r="A551" s="229"/>
      <c r="B551" s="229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  <c r="AA551" s="229"/>
      <c r="AB551" s="229"/>
      <c r="AC551" s="229"/>
      <c r="AD551" s="229"/>
      <c r="AE551" s="229"/>
      <c r="AF551" s="229"/>
      <c r="AG551" s="229"/>
      <c r="AH551" s="229"/>
      <c r="AI551" s="229"/>
      <c r="AJ551" s="218"/>
      <c r="AK551" s="218"/>
      <c r="AL551" s="218"/>
      <c r="AM551" s="218"/>
    </row>
    <row r="552" spans="1:39" ht="12.75">
      <c r="A552" s="229"/>
      <c r="B552" s="229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  <c r="AA552" s="229"/>
      <c r="AB552" s="229"/>
      <c r="AC552" s="229"/>
      <c r="AD552" s="229"/>
      <c r="AE552" s="229"/>
      <c r="AF552" s="229"/>
      <c r="AG552" s="229"/>
      <c r="AH552" s="229"/>
      <c r="AI552" s="229"/>
      <c r="AJ552" s="218"/>
      <c r="AK552" s="218"/>
      <c r="AL552" s="218"/>
      <c r="AM552" s="218"/>
    </row>
    <row r="553" spans="1:39" ht="12.75">
      <c r="A553" s="229"/>
      <c r="B553" s="229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  <c r="AA553" s="229"/>
      <c r="AB553" s="229"/>
      <c r="AC553" s="229"/>
      <c r="AD553" s="229"/>
      <c r="AE553" s="229"/>
      <c r="AF553" s="229"/>
      <c r="AG553" s="229"/>
      <c r="AH553" s="229"/>
      <c r="AI553" s="229"/>
      <c r="AJ553" s="218"/>
      <c r="AK553" s="218"/>
      <c r="AL553" s="218"/>
      <c r="AM553" s="218"/>
    </row>
    <row r="554" spans="1:39" ht="12.75">
      <c r="A554" s="229"/>
      <c r="B554" s="229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  <c r="AA554" s="229"/>
      <c r="AB554" s="229"/>
      <c r="AC554" s="229"/>
      <c r="AD554" s="229"/>
      <c r="AE554" s="229"/>
      <c r="AF554" s="229"/>
      <c r="AG554" s="229"/>
      <c r="AH554" s="229"/>
      <c r="AI554" s="229"/>
      <c r="AJ554" s="218"/>
      <c r="AK554" s="218"/>
      <c r="AL554" s="218"/>
      <c r="AM554" s="218"/>
    </row>
    <row r="555" spans="1:39" ht="12.75">
      <c r="A555" s="229"/>
      <c r="B555" s="229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  <c r="AA555" s="229"/>
      <c r="AB555" s="229"/>
      <c r="AC555" s="229"/>
      <c r="AD555" s="229"/>
      <c r="AE555" s="229"/>
      <c r="AF555" s="229"/>
      <c r="AG555" s="229"/>
      <c r="AH555" s="229"/>
      <c r="AI555" s="229"/>
      <c r="AJ555" s="218"/>
      <c r="AK555" s="218"/>
      <c r="AL555" s="218"/>
      <c r="AM555" s="218"/>
    </row>
    <row r="556" spans="1:39" ht="12.75">
      <c r="A556" s="229"/>
      <c r="B556" s="229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  <c r="AA556" s="229"/>
      <c r="AB556" s="229"/>
      <c r="AC556" s="229"/>
      <c r="AD556" s="229"/>
      <c r="AE556" s="229"/>
      <c r="AF556" s="229"/>
      <c r="AG556" s="229"/>
      <c r="AH556" s="229"/>
      <c r="AI556" s="229"/>
      <c r="AJ556" s="218"/>
      <c r="AK556" s="218"/>
      <c r="AL556" s="218"/>
      <c r="AM556" s="218"/>
    </row>
    <row r="557" spans="1:39" ht="12.75">
      <c r="A557" s="229"/>
      <c r="B557" s="229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  <c r="AA557" s="229"/>
      <c r="AB557" s="229"/>
      <c r="AC557" s="229"/>
      <c r="AD557" s="229"/>
      <c r="AE557" s="229"/>
      <c r="AF557" s="229"/>
      <c r="AG557" s="229"/>
      <c r="AH557" s="229"/>
      <c r="AI557" s="229"/>
      <c r="AJ557" s="218"/>
      <c r="AK557" s="218"/>
      <c r="AL557" s="218"/>
      <c r="AM557" s="218"/>
    </row>
    <row r="558" spans="1:39" ht="12.75">
      <c r="A558" s="229"/>
      <c r="B558" s="229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  <c r="AA558" s="229"/>
      <c r="AB558" s="229"/>
      <c r="AC558" s="229"/>
      <c r="AD558" s="229"/>
      <c r="AE558" s="229"/>
      <c r="AF558" s="229"/>
      <c r="AG558" s="229"/>
      <c r="AH558" s="229"/>
      <c r="AI558" s="229"/>
      <c r="AJ558" s="218"/>
      <c r="AK558" s="218"/>
      <c r="AL558" s="218"/>
      <c r="AM558" s="218"/>
    </row>
    <row r="559" spans="1:39" ht="12.75">
      <c r="A559" s="229"/>
      <c r="B559" s="229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  <c r="AA559" s="229"/>
      <c r="AB559" s="229"/>
      <c r="AC559" s="229"/>
      <c r="AD559" s="229"/>
      <c r="AE559" s="229"/>
      <c r="AF559" s="229"/>
      <c r="AG559" s="229"/>
      <c r="AH559" s="229"/>
      <c r="AI559" s="229"/>
      <c r="AJ559" s="218"/>
      <c r="AK559" s="218"/>
      <c r="AL559" s="218"/>
      <c r="AM559" s="218"/>
    </row>
    <row r="560" spans="1:39" ht="12.75">
      <c r="A560" s="229"/>
      <c r="B560" s="229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  <c r="AA560" s="229"/>
      <c r="AB560" s="229"/>
      <c r="AC560" s="229"/>
      <c r="AD560" s="229"/>
      <c r="AE560" s="229"/>
      <c r="AF560" s="229"/>
      <c r="AG560" s="229"/>
      <c r="AH560" s="229"/>
      <c r="AI560" s="229"/>
      <c r="AJ560" s="218"/>
      <c r="AK560" s="218"/>
      <c r="AL560" s="218"/>
      <c r="AM560" s="218"/>
    </row>
    <row r="561" spans="1:39" ht="12.75">
      <c r="A561" s="229"/>
      <c r="B561" s="229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  <c r="AA561" s="229"/>
      <c r="AB561" s="229"/>
      <c r="AC561" s="229"/>
      <c r="AD561" s="229"/>
      <c r="AE561" s="229"/>
      <c r="AF561" s="229"/>
      <c r="AG561" s="229"/>
      <c r="AH561" s="229"/>
      <c r="AI561" s="229"/>
      <c r="AJ561" s="218"/>
      <c r="AK561" s="218"/>
      <c r="AL561" s="218"/>
      <c r="AM561" s="218"/>
    </row>
    <row r="562" spans="1:39" ht="12.75">
      <c r="A562" s="229"/>
      <c r="B562" s="229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  <c r="AA562" s="229"/>
      <c r="AB562" s="229"/>
      <c r="AC562" s="229"/>
      <c r="AD562" s="229"/>
      <c r="AE562" s="229"/>
      <c r="AF562" s="229"/>
      <c r="AG562" s="229"/>
      <c r="AH562" s="229"/>
      <c r="AI562" s="229"/>
      <c r="AJ562" s="218"/>
      <c r="AK562" s="218"/>
      <c r="AL562" s="218"/>
      <c r="AM562" s="218"/>
    </row>
    <row r="563" spans="1:39" ht="12.75">
      <c r="A563" s="229"/>
      <c r="B563" s="229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  <c r="AA563" s="229"/>
      <c r="AB563" s="229"/>
      <c r="AC563" s="229"/>
      <c r="AD563" s="229"/>
      <c r="AE563" s="229"/>
      <c r="AF563" s="229"/>
      <c r="AG563" s="229"/>
      <c r="AH563" s="229"/>
      <c r="AI563" s="229"/>
      <c r="AJ563" s="218"/>
      <c r="AK563" s="218"/>
      <c r="AL563" s="218"/>
      <c r="AM563" s="218"/>
    </row>
    <row r="564" spans="1:39" ht="12.75">
      <c r="A564" s="229"/>
      <c r="B564" s="229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  <c r="AA564" s="229"/>
      <c r="AB564" s="229"/>
      <c r="AC564" s="229"/>
      <c r="AD564" s="229"/>
      <c r="AE564" s="229"/>
      <c r="AF564" s="229"/>
      <c r="AG564" s="229"/>
      <c r="AH564" s="229"/>
      <c r="AI564" s="229"/>
      <c r="AJ564" s="218"/>
      <c r="AK564" s="218"/>
      <c r="AL564" s="218"/>
      <c r="AM564" s="218"/>
    </row>
    <row r="565" spans="1:39" ht="12.75">
      <c r="A565" s="229"/>
      <c r="B565" s="229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  <c r="AA565" s="229"/>
      <c r="AB565" s="229"/>
      <c r="AC565" s="229"/>
      <c r="AD565" s="229"/>
      <c r="AE565" s="229"/>
      <c r="AF565" s="229"/>
      <c r="AG565" s="229"/>
      <c r="AH565" s="229"/>
      <c r="AI565" s="229"/>
      <c r="AJ565" s="218"/>
      <c r="AK565" s="218"/>
      <c r="AL565" s="218"/>
      <c r="AM565" s="218"/>
    </row>
    <row r="566" spans="1:39" ht="12.75">
      <c r="A566" s="229"/>
      <c r="B566" s="229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  <c r="AA566" s="229"/>
      <c r="AB566" s="229"/>
      <c r="AC566" s="229"/>
      <c r="AD566" s="229"/>
      <c r="AE566" s="229"/>
      <c r="AF566" s="229"/>
      <c r="AG566" s="229"/>
      <c r="AH566" s="229"/>
      <c r="AI566" s="229"/>
      <c r="AJ566" s="218"/>
      <c r="AK566" s="218"/>
      <c r="AL566" s="218"/>
      <c r="AM566" s="218"/>
    </row>
    <row r="567" spans="1:39" ht="12.75">
      <c r="A567" s="229"/>
      <c r="B567" s="229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  <c r="AA567" s="229"/>
      <c r="AB567" s="229"/>
      <c r="AC567" s="229"/>
      <c r="AD567" s="229"/>
      <c r="AE567" s="229"/>
      <c r="AF567" s="229"/>
      <c r="AG567" s="229"/>
      <c r="AH567" s="229"/>
      <c r="AI567" s="229"/>
      <c r="AJ567" s="218"/>
      <c r="AK567" s="218"/>
      <c r="AL567" s="218"/>
      <c r="AM567" s="218"/>
    </row>
    <row r="568" spans="1:39" ht="12.75">
      <c r="A568" s="229"/>
      <c r="B568" s="229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  <c r="AA568" s="229"/>
      <c r="AB568" s="229"/>
      <c r="AC568" s="229"/>
      <c r="AD568" s="229"/>
      <c r="AE568" s="229"/>
      <c r="AF568" s="229"/>
      <c r="AG568" s="229"/>
      <c r="AH568" s="229"/>
      <c r="AI568" s="229"/>
      <c r="AJ568" s="218"/>
      <c r="AK568" s="218"/>
      <c r="AL568" s="218"/>
      <c r="AM568" s="218"/>
    </row>
    <row r="569" spans="1:39" ht="12.75">
      <c r="A569" s="229"/>
      <c r="B569" s="229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  <c r="AA569" s="229"/>
      <c r="AB569" s="229"/>
      <c r="AC569" s="229"/>
      <c r="AD569" s="229"/>
      <c r="AE569" s="229"/>
      <c r="AF569" s="229"/>
      <c r="AG569" s="229"/>
      <c r="AH569" s="229"/>
      <c r="AI569" s="229"/>
      <c r="AJ569" s="218"/>
      <c r="AK569" s="218"/>
      <c r="AL569" s="218"/>
      <c r="AM569" s="218"/>
    </row>
    <row r="570" spans="1:39" ht="12.75">
      <c r="A570" s="229"/>
      <c r="B570" s="229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  <c r="AA570" s="229"/>
      <c r="AB570" s="229"/>
      <c r="AC570" s="229"/>
      <c r="AD570" s="229"/>
      <c r="AE570" s="229"/>
      <c r="AF570" s="229"/>
      <c r="AG570" s="229"/>
      <c r="AH570" s="229"/>
      <c r="AI570" s="229"/>
      <c r="AJ570" s="218"/>
      <c r="AK570" s="218"/>
      <c r="AL570" s="218"/>
      <c r="AM570" s="218"/>
    </row>
    <row r="571" spans="1:39" ht="12.75">
      <c r="A571" s="229"/>
      <c r="B571" s="229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  <c r="AA571" s="229"/>
      <c r="AB571" s="229"/>
      <c r="AC571" s="229"/>
      <c r="AD571" s="229"/>
      <c r="AE571" s="229"/>
      <c r="AF571" s="229"/>
      <c r="AG571" s="229"/>
      <c r="AH571" s="229"/>
      <c r="AI571" s="229"/>
      <c r="AJ571" s="218"/>
      <c r="AK571" s="218"/>
      <c r="AL571" s="218"/>
      <c r="AM571" s="218"/>
    </row>
    <row r="572" spans="1:39" ht="12.75">
      <c r="A572" s="229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  <c r="AA572" s="229"/>
      <c r="AB572" s="229"/>
      <c r="AC572" s="229"/>
      <c r="AD572" s="229"/>
      <c r="AE572" s="229"/>
      <c r="AF572" s="229"/>
      <c r="AG572" s="229"/>
      <c r="AH572" s="229"/>
      <c r="AI572" s="229"/>
      <c r="AJ572" s="218"/>
      <c r="AK572" s="218"/>
      <c r="AL572" s="218"/>
      <c r="AM572" s="218"/>
    </row>
    <row r="573" spans="1:39" ht="12.75">
      <c r="A573" s="229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  <c r="AA573" s="229"/>
      <c r="AB573" s="229"/>
      <c r="AC573" s="229"/>
      <c r="AD573" s="229"/>
      <c r="AE573" s="229"/>
      <c r="AF573" s="229"/>
      <c r="AG573" s="229"/>
      <c r="AH573" s="229"/>
      <c r="AI573" s="229"/>
      <c r="AJ573" s="218"/>
      <c r="AK573" s="218"/>
      <c r="AL573" s="218"/>
      <c r="AM573" s="218"/>
    </row>
    <row r="574" spans="1:39" ht="12.75">
      <c r="A574" s="229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  <c r="AA574" s="229"/>
      <c r="AB574" s="229"/>
      <c r="AC574" s="229"/>
      <c r="AD574" s="229"/>
      <c r="AE574" s="229"/>
      <c r="AF574" s="229"/>
      <c r="AG574" s="229"/>
      <c r="AH574" s="229"/>
      <c r="AI574" s="229"/>
      <c r="AJ574" s="218"/>
      <c r="AK574" s="218"/>
      <c r="AL574" s="218"/>
      <c r="AM574" s="218"/>
    </row>
    <row r="575" spans="1:39" ht="12.75">
      <c r="A575" s="229"/>
      <c r="B575" s="229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  <c r="AA575" s="229"/>
      <c r="AB575" s="229"/>
      <c r="AC575" s="229"/>
      <c r="AD575" s="229"/>
      <c r="AE575" s="229"/>
      <c r="AF575" s="229"/>
      <c r="AG575" s="229"/>
      <c r="AH575" s="229"/>
      <c r="AI575" s="229"/>
      <c r="AJ575" s="218"/>
      <c r="AK575" s="218"/>
      <c r="AL575" s="218"/>
      <c r="AM575" s="218"/>
    </row>
    <row r="576" spans="1:39" ht="12.75">
      <c r="A576" s="229"/>
      <c r="B576" s="229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  <c r="AA576" s="229"/>
      <c r="AB576" s="229"/>
      <c r="AC576" s="229"/>
      <c r="AD576" s="229"/>
      <c r="AE576" s="229"/>
      <c r="AF576" s="229"/>
      <c r="AG576" s="229"/>
      <c r="AH576" s="229"/>
      <c r="AI576" s="229"/>
      <c r="AJ576" s="218"/>
      <c r="AK576" s="218"/>
      <c r="AL576" s="218"/>
      <c r="AM576" s="218"/>
    </row>
    <row r="577" spans="1:39" ht="12.75">
      <c r="A577" s="229"/>
      <c r="B577" s="229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  <c r="AA577" s="229"/>
      <c r="AB577" s="229"/>
      <c r="AC577" s="229"/>
      <c r="AD577" s="229"/>
      <c r="AE577" s="229"/>
      <c r="AF577" s="229"/>
      <c r="AG577" s="229"/>
      <c r="AH577" s="229"/>
      <c r="AI577" s="229"/>
      <c r="AJ577" s="218"/>
      <c r="AK577" s="218"/>
      <c r="AL577" s="218"/>
      <c r="AM577" s="218"/>
    </row>
    <row r="578" spans="1:39" ht="12.75">
      <c r="A578" s="229"/>
      <c r="B578" s="229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  <c r="AA578" s="229"/>
      <c r="AB578" s="229"/>
      <c r="AC578" s="229"/>
      <c r="AD578" s="229"/>
      <c r="AE578" s="229"/>
      <c r="AF578" s="229"/>
      <c r="AG578" s="229"/>
      <c r="AH578" s="229"/>
      <c r="AI578" s="229"/>
      <c r="AJ578" s="218"/>
      <c r="AK578" s="218"/>
      <c r="AL578" s="218"/>
      <c r="AM578" s="218"/>
    </row>
    <row r="579" spans="1:39" ht="12.75">
      <c r="A579" s="229"/>
      <c r="B579" s="229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  <c r="AA579" s="229"/>
      <c r="AB579" s="229"/>
      <c r="AC579" s="229"/>
      <c r="AD579" s="229"/>
      <c r="AE579" s="229"/>
      <c r="AF579" s="229"/>
      <c r="AG579" s="229"/>
      <c r="AH579" s="229"/>
      <c r="AI579" s="229"/>
      <c r="AJ579" s="218"/>
      <c r="AK579" s="218"/>
      <c r="AL579" s="218"/>
      <c r="AM579" s="218"/>
    </row>
    <row r="580" spans="1:39" ht="12.75">
      <c r="A580" s="229"/>
      <c r="B580" s="229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  <c r="AA580" s="229"/>
      <c r="AB580" s="229"/>
      <c r="AC580" s="229"/>
      <c r="AD580" s="229"/>
      <c r="AE580" s="229"/>
      <c r="AF580" s="229"/>
      <c r="AG580" s="229"/>
      <c r="AH580" s="229"/>
      <c r="AI580" s="229"/>
      <c r="AJ580" s="218"/>
      <c r="AK580" s="218"/>
      <c r="AL580" s="218"/>
      <c r="AM580" s="218"/>
    </row>
    <row r="581" spans="1:39" ht="12.75">
      <c r="A581" s="229"/>
      <c r="B581" s="229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  <c r="AA581" s="229"/>
      <c r="AB581" s="229"/>
      <c r="AC581" s="229"/>
      <c r="AD581" s="229"/>
      <c r="AE581" s="229"/>
      <c r="AF581" s="229"/>
      <c r="AG581" s="229"/>
      <c r="AH581" s="229"/>
      <c r="AI581" s="229"/>
      <c r="AJ581" s="218"/>
      <c r="AK581" s="218"/>
      <c r="AL581" s="218"/>
      <c r="AM581" s="218"/>
    </row>
    <row r="582" spans="1:39" ht="12.75">
      <c r="A582" s="229"/>
      <c r="B582" s="229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  <c r="AA582" s="229"/>
      <c r="AB582" s="229"/>
      <c r="AC582" s="229"/>
      <c r="AD582" s="229"/>
      <c r="AE582" s="229"/>
      <c r="AF582" s="229"/>
      <c r="AG582" s="229"/>
      <c r="AH582" s="229"/>
      <c r="AI582" s="229"/>
      <c r="AJ582" s="218"/>
      <c r="AK582" s="218"/>
      <c r="AL582" s="218"/>
      <c r="AM582" s="218"/>
    </row>
    <row r="583" spans="1:39" ht="12.75">
      <c r="A583" s="229"/>
      <c r="B583" s="229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  <c r="AA583" s="229"/>
      <c r="AB583" s="229"/>
      <c r="AC583" s="229"/>
      <c r="AD583" s="229"/>
      <c r="AE583" s="229"/>
      <c r="AF583" s="229"/>
      <c r="AG583" s="229"/>
      <c r="AH583" s="229"/>
      <c r="AI583" s="229"/>
      <c r="AJ583" s="218"/>
      <c r="AK583" s="218"/>
      <c r="AL583" s="218"/>
      <c r="AM583" s="218"/>
    </row>
    <row r="584" spans="1:39" ht="12.75">
      <c r="A584" s="229"/>
      <c r="B584" s="229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  <c r="AA584" s="229"/>
      <c r="AB584" s="229"/>
      <c r="AC584" s="229"/>
      <c r="AD584" s="229"/>
      <c r="AE584" s="229"/>
      <c r="AF584" s="229"/>
      <c r="AG584" s="229"/>
      <c r="AH584" s="229"/>
      <c r="AI584" s="229"/>
      <c r="AJ584" s="218"/>
      <c r="AK584" s="218"/>
      <c r="AL584" s="218"/>
      <c r="AM584" s="218"/>
    </row>
    <row r="585" spans="1:39" ht="12.75">
      <c r="A585" s="229"/>
      <c r="B585" s="229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  <c r="AA585" s="229"/>
      <c r="AB585" s="229"/>
      <c r="AC585" s="229"/>
      <c r="AD585" s="229"/>
      <c r="AE585" s="229"/>
      <c r="AF585" s="229"/>
      <c r="AG585" s="229"/>
      <c r="AH585" s="229"/>
      <c r="AI585" s="229"/>
      <c r="AJ585" s="218"/>
      <c r="AK585" s="218"/>
      <c r="AL585" s="218"/>
      <c r="AM585" s="218"/>
    </row>
    <row r="586" spans="1:39" ht="12.75">
      <c r="A586" s="229"/>
      <c r="B586" s="229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  <c r="AA586" s="229"/>
      <c r="AB586" s="229"/>
      <c r="AC586" s="229"/>
      <c r="AD586" s="229"/>
      <c r="AE586" s="229"/>
      <c r="AF586" s="229"/>
      <c r="AG586" s="229"/>
      <c r="AH586" s="229"/>
      <c r="AI586" s="229"/>
      <c r="AJ586" s="218"/>
      <c r="AK586" s="218"/>
      <c r="AL586" s="218"/>
      <c r="AM586" s="218"/>
    </row>
    <row r="587" spans="1:39" ht="12.75">
      <c r="A587" s="229"/>
      <c r="B587" s="229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  <c r="AA587" s="229"/>
      <c r="AB587" s="229"/>
      <c r="AC587" s="229"/>
      <c r="AD587" s="229"/>
      <c r="AE587" s="229"/>
      <c r="AF587" s="229"/>
      <c r="AG587" s="229"/>
      <c r="AH587" s="229"/>
      <c r="AI587" s="229"/>
      <c r="AJ587" s="218"/>
      <c r="AK587" s="218"/>
      <c r="AL587" s="218"/>
      <c r="AM587" s="218"/>
    </row>
    <row r="588" spans="1:39" ht="12.75">
      <c r="A588" s="229"/>
      <c r="B588" s="229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  <c r="AA588" s="229"/>
      <c r="AB588" s="229"/>
      <c r="AC588" s="229"/>
      <c r="AD588" s="229"/>
      <c r="AE588" s="229"/>
      <c r="AF588" s="229"/>
      <c r="AG588" s="229"/>
      <c r="AH588" s="229"/>
      <c r="AI588" s="229"/>
      <c r="AJ588" s="218"/>
      <c r="AK588" s="218"/>
      <c r="AL588" s="218"/>
      <c r="AM588" s="218"/>
    </row>
    <row r="589" spans="1:39" ht="12.75">
      <c r="A589" s="229"/>
      <c r="B589" s="229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  <c r="AA589" s="229"/>
      <c r="AB589" s="229"/>
      <c r="AC589" s="229"/>
      <c r="AD589" s="229"/>
      <c r="AE589" s="229"/>
      <c r="AF589" s="229"/>
      <c r="AG589" s="229"/>
      <c r="AH589" s="229"/>
      <c r="AI589" s="229"/>
      <c r="AJ589" s="218"/>
      <c r="AK589" s="218"/>
      <c r="AL589" s="218"/>
      <c r="AM589" s="218"/>
    </row>
    <row r="590" spans="1:39" ht="12.75">
      <c r="A590" s="229"/>
      <c r="B590" s="229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  <c r="AA590" s="229"/>
      <c r="AB590" s="229"/>
      <c r="AC590" s="229"/>
      <c r="AD590" s="229"/>
      <c r="AE590" s="229"/>
      <c r="AF590" s="229"/>
      <c r="AG590" s="229"/>
      <c r="AH590" s="229"/>
      <c r="AI590" s="229"/>
      <c r="AJ590" s="218"/>
      <c r="AK590" s="218"/>
      <c r="AL590" s="218"/>
      <c r="AM590" s="218"/>
    </row>
    <row r="591" spans="1:39" ht="12.75">
      <c r="A591" s="229"/>
      <c r="B591" s="229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  <c r="AA591" s="229"/>
      <c r="AB591" s="229"/>
      <c r="AC591" s="229"/>
      <c r="AD591" s="229"/>
      <c r="AE591" s="229"/>
      <c r="AF591" s="229"/>
      <c r="AG591" s="229"/>
      <c r="AH591" s="229"/>
      <c r="AI591" s="229"/>
      <c r="AJ591" s="218"/>
      <c r="AK591" s="218"/>
      <c r="AL591" s="218"/>
      <c r="AM591" s="218"/>
    </row>
    <row r="592" spans="1:39" ht="12.75">
      <c r="A592" s="229"/>
      <c r="B592" s="229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  <c r="AA592" s="229"/>
      <c r="AB592" s="229"/>
      <c r="AC592" s="229"/>
      <c r="AD592" s="229"/>
      <c r="AE592" s="229"/>
      <c r="AF592" s="229"/>
      <c r="AG592" s="229"/>
      <c r="AH592" s="229"/>
      <c r="AI592" s="229"/>
      <c r="AJ592" s="218"/>
      <c r="AK592" s="218"/>
      <c r="AL592" s="218"/>
      <c r="AM592" s="218"/>
    </row>
    <row r="593" spans="1:39" ht="12.75">
      <c r="A593" s="229"/>
      <c r="B593" s="229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  <c r="AA593" s="229"/>
      <c r="AB593" s="229"/>
      <c r="AC593" s="229"/>
      <c r="AD593" s="229"/>
      <c r="AE593" s="229"/>
      <c r="AF593" s="229"/>
      <c r="AG593" s="229"/>
      <c r="AH593" s="229"/>
      <c r="AI593" s="229"/>
      <c r="AJ593" s="218"/>
      <c r="AK593" s="218"/>
      <c r="AL593" s="218"/>
      <c r="AM593" s="218"/>
    </row>
    <row r="594" spans="1:39" ht="12.75">
      <c r="A594" s="229"/>
      <c r="B594" s="229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  <c r="AA594" s="229"/>
      <c r="AB594" s="229"/>
      <c r="AC594" s="229"/>
      <c r="AD594" s="229"/>
      <c r="AE594" s="229"/>
      <c r="AF594" s="229"/>
      <c r="AG594" s="229"/>
      <c r="AH594" s="229"/>
      <c r="AI594" s="229"/>
      <c r="AJ594" s="218"/>
      <c r="AK594" s="218"/>
      <c r="AL594" s="218"/>
      <c r="AM594" s="218"/>
    </row>
    <row r="595" spans="1:39" ht="12.75">
      <c r="A595" s="229"/>
      <c r="B595" s="229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  <c r="AA595" s="229"/>
      <c r="AB595" s="229"/>
      <c r="AC595" s="229"/>
      <c r="AD595" s="229"/>
      <c r="AE595" s="229"/>
      <c r="AF595" s="229"/>
      <c r="AG595" s="229"/>
      <c r="AH595" s="229"/>
      <c r="AI595" s="229"/>
      <c r="AJ595" s="218"/>
      <c r="AK595" s="218"/>
      <c r="AL595" s="218"/>
      <c r="AM595" s="218"/>
    </row>
    <row r="596" spans="1:39" ht="12.75">
      <c r="A596" s="229"/>
      <c r="B596" s="229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  <c r="AA596" s="229"/>
      <c r="AB596" s="229"/>
      <c r="AC596" s="229"/>
      <c r="AD596" s="229"/>
      <c r="AE596" s="229"/>
      <c r="AF596" s="229"/>
      <c r="AG596" s="229"/>
      <c r="AH596" s="229"/>
      <c r="AI596" s="229"/>
      <c r="AJ596" s="218"/>
      <c r="AK596" s="218"/>
      <c r="AL596" s="218"/>
      <c r="AM596" s="218"/>
    </row>
    <row r="597" spans="1:39" ht="12.75">
      <c r="A597" s="229"/>
      <c r="B597" s="229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  <c r="AA597" s="229"/>
      <c r="AB597" s="229"/>
      <c r="AC597" s="229"/>
      <c r="AD597" s="229"/>
      <c r="AE597" s="229"/>
      <c r="AF597" s="229"/>
      <c r="AG597" s="229"/>
      <c r="AH597" s="229"/>
      <c r="AI597" s="229"/>
      <c r="AJ597" s="218"/>
      <c r="AK597" s="218"/>
      <c r="AL597" s="218"/>
      <c r="AM597" s="218"/>
    </row>
    <row r="598" spans="1:39" ht="12.75">
      <c r="A598" s="229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  <c r="AA598" s="229"/>
      <c r="AB598" s="229"/>
      <c r="AC598" s="229"/>
      <c r="AD598" s="229"/>
      <c r="AE598" s="229"/>
      <c r="AF598" s="229"/>
      <c r="AG598" s="229"/>
      <c r="AH598" s="229"/>
      <c r="AI598" s="229"/>
      <c r="AJ598" s="218"/>
      <c r="AK598" s="218"/>
      <c r="AL598" s="218"/>
      <c r="AM598" s="218"/>
    </row>
    <row r="599" spans="1:39" ht="12.75">
      <c r="A599" s="229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  <c r="AA599" s="229"/>
      <c r="AB599" s="229"/>
      <c r="AC599" s="229"/>
      <c r="AD599" s="229"/>
      <c r="AE599" s="229"/>
      <c r="AF599" s="229"/>
      <c r="AG599" s="229"/>
      <c r="AH599" s="229"/>
      <c r="AI599" s="229"/>
      <c r="AJ599" s="218"/>
      <c r="AK599" s="218"/>
      <c r="AL599" s="218"/>
      <c r="AM599" s="218"/>
    </row>
    <row r="600" spans="1:39" ht="12.75">
      <c r="A600" s="229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  <c r="AA600" s="229"/>
      <c r="AB600" s="229"/>
      <c r="AC600" s="229"/>
      <c r="AD600" s="229"/>
      <c r="AE600" s="229"/>
      <c r="AF600" s="229"/>
      <c r="AG600" s="229"/>
      <c r="AH600" s="229"/>
      <c r="AI600" s="229"/>
      <c r="AJ600" s="218"/>
      <c r="AK600" s="218"/>
      <c r="AL600" s="218"/>
      <c r="AM600" s="218"/>
    </row>
    <row r="601" spans="1:39" ht="12.75">
      <c r="A601" s="229"/>
      <c r="B601" s="229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  <c r="AA601" s="229"/>
      <c r="AB601" s="229"/>
      <c r="AC601" s="229"/>
      <c r="AD601" s="229"/>
      <c r="AE601" s="229"/>
      <c r="AF601" s="229"/>
      <c r="AG601" s="229"/>
      <c r="AH601" s="229"/>
      <c r="AI601" s="229"/>
      <c r="AJ601" s="218"/>
      <c r="AK601" s="218"/>
      <c r="AL601" s="218"/>
      <c r="AM601" s="218"/>
    </row>
    <row r="602" spans="1:39" ht="12.75">
      <c r="A602" s="229"/>
      <c r="B602" s="229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  <c r="AA602" s="229"/>
      <c r="AB602" s="229"/>
      <c r="AC602" s="229"/>
      <c r="AD602" s="229"/>
      <c r="AE602" s="229"/>
      <c r="AF602" s="229"/>
      <c r="AG602" s="229"/>
      <c r="AH602" s="229"/>
      <c r="AI602" s="229"/>
      <c r="AJ602" s="218"/>
      <c r="AK602" s="218"/>
      <c r="AL602" s="218"/>
      <c r="AM602" s="218"/>
    </row>
    <row r="603" spans="1:39" ht="12.75">
      <c r="A603" s="229"/>
      <c r="B603" s="229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  <c r="AA603" s="229"/>
      <c r="AB603" s="229"/>
      <c r="AC603" s="229"/>
      <c r="AD603" s="229"/>
      <c r="AE603" s="229"/>
      <c r="AF603" s="229"/>
      <c r="AG603" s="229"/>
      <c r="AH603" s="229"/>
      <c r="AI603" s="229"/>
      <c r="AJ603" s="218"/>
      <c r="AK603" s="218"/>
      <c r="AL603" s="218"/>
      <c r="AM603" s="218"/>
    </row>
    <row r="604" spans="1:39" ht="12.75">
      <c r="A604" s="229"/>
      <c r="B604" s="229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  <c r="AA604" s="229"/>
      <c r="AB604" s="229"/>
      <c r="AC604" s="229"/>
      <c r="AD604" s="229"/>
      <c r="AE604" s="229"/>
      <c r="AF604" s="229"/>
      <c r="AG604" s="229"/>
      <c r="AH604" s="229"/>
      <c r="AI604" s="229"/>
      <c r="AJ604" s="218"/>
      <c r="AK604" s="218"/>
      <c r="AL604" s="218"/>
      <c r="AM604" s="218"/>
    </row>
    <row r="605" spans="1:39" ht="12.75">
      <c r="A605" s="229"/>
      <c r="B605" s="229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  <c r="AA605" s="229"/>
      <c r="AB605" s="229"/>
      <c r="AC605" s="229"/>
      <c r="AD605" s="229"/>
      <c r="AE605" s="229"/>
      <c r="AF605" s="229"/>
      <c r="AG605" s="229"/>
      <c r="AH605" s="229"/>
      <c r="AI605" s="229"/>
      <c r="AJ605" s="218"/>
      <c r="AK605" s="218"/>
      <c r="AL605" s="218"/>
      <c r="AM605" s="218"/>
    </row>
    <row r="606" spans="1:39" ht="12.75">
      <c r="A606" s="229"/>
      <c r="B606" s="229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  <c r="AA606" s="229"/>
      <c r="AB606" s="229"/>
      <c r="AC606" s="229"/>
      <c r="AD606" s="229"/>
      <c r="AE606" s="229"/>
      <c r="AF606" s="229"/>
      <c r="AG606" s="229"/>
      <c r="AH606" s="229"/>
      <c r="AI606" s="229"/>
      <c r="AJ606" s="218"/>
      <c r="AK606" s="218"/>
      <c r="AL606" s="218"/>
      <c r="AM606" s="218"/>
    </row>
    <row r="607" spans="1:39" ht="12.75">
      <c r="A607" s="229"/>
      <c r="B607" s="229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  <c r="AA607" s="229"/>
      <c r="AB607" s="229"/>
      <c r="AC607" s="229"/>
      <c r="AD607" s="229"/>
      <c r="AE607" s="229"/>
      <c r="AF607" s="229"/>
      <c r="AG607" s="229"/>
      <c r="AH607" s="229"/>
      <c r="AI607" s="229"/>
      <c r="AJ607" s="218"/>
      <c r="AK607" s="218"/>
      <c r="AL607" s="218"/>
      <c r="AM607" s="218"/>
    </row>
    <row r="608" spans="1:39" ht="12.75">
      <c r="A608" s="229"/>
      <c r="B608" s="229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  <c r="AA608" s="229"/>
      <c r="AB608" s="229"/>
      <c r="AC608" s="229"/>
      <c r="AD608" s="229"/>
      <c r="AE608" s="229"/>
      <c r="AF608" s="229"/>
      <c r="AG608" s="229"/>
      <c r="AH608" s="229"/>
      <c r="AI608" s="229"/>
      <c r="AJ608" s="218"/>
      <c r="AK608" s="218"/>
      <c r="AL608" s="218"/>
      <c r="AM608" s="218"/>
    </row>
    <row r="609" spans="1:39" ht="12.75">
      <c r="A609" s="229"/>
      <c r="B609" s="229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  <c r="AA609" s="229"/>
      <c r="AB609" s="229"/>
      <c r="AC609" s="229"/>
      <c r="AD609" s="229"/>
      <c r="AE609" s="229"/>
      <c r="AF609" s="229"/>
      <c r="AG609" s="229"/>
      <c r="AH609" s="229"/>
      <c r="AI609" s="229"/>
      <c r="AJ609" s="218"/>
      <c r="AK609" s="218"/>
      <c r="AL609" s="218"/>
      <c r="AM609" s="218"/>
    </row>
    <row r="610" spans="1:39" ht="12.75">
      <c r="A610" s="229"/>
      <c r="B610" s="229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  <c r="AA610" s="229"/>
      <c r="AB610" s="229"/>
      <c r="AC610" s="229"/>
      <c r="AD610" s="229"/>
      <c r="AE610" s="229"/>
      <c r="AF610" s="229"/>
      <c r="AG610" s="229"/>
      <c r="AH610" s="229"/>
      <c r="AI610" s="229"/>
      <c r="AJ610" s="218"/>
      <c r="AK610" s="218"/>
      <c r="AL610" s="218"/>
      <c r="AM610" s="218"/>
    </row>
    <row r="611" spans="1:39" ht="12.75">
      <c r="A611" s="229"/>
      <c r="B611" s="229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  <c r="AA611" s="229"/>
      <c r="AB611" s="229"/>
      <c r="AC611" s="229"/>
      <c r="AD611" s="229"/>
      <c r="AE611" s="229"/>
      <c r="AF611" s="229"/>
      <c r="AG611" s="229"/>
      <c r="AH611" s="229"/>
      <c r="AI611" s="229"/>
      <c r="AJ611" s="218"/>
      <c r="AK611" s="218"/>
      <c r="AL611" s="218"/>
      <c r="AM611" s="218"/>
    </row>
    <row r="612" spans="1:39" ht="12.75">
      <c r="A612" s="229"/>
      <c r="B612" s="229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  <c r="AA612" s="229"/>
      <c r="AB612" s="229"/>
      <c r="AC612" s="229"/>
      <c r="AD612" s="229"/>
      <c r="AE612" s="229"/>
      <c r="AF612" s="229"/>
      <c r="AG612" s="229"/>
      <c r="AH612" s="229"/>
      <c r="AI612" s="229"/>
      <c r="AJ612" s="218"/>
      <c r="AK612" s="218"/>
      <c r="AL612" s="218"/>
      <c r="AM612" s="218"/>
    </row>
    <row r="613" spans="1:39" ht="12.75">
      <c r="A613" s="229"/>
      <c r="B613" s="229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  <c r="AA613" s="229"/>
      <c r="AB613" s="229"/>
      <c r="AC613" s="229"/>
      <c r="AD613" s="229"/>
      <c r="AE613" s="229"/>
      <c r="AF613" s="229"/>
      <c r="AG613" s="229"/>
      <c r="AH613" s="229"/>
      <c r="AI613" s="229"/>
      <c r="AJ613" s="218"/>
      <c r="AK613" s="218"/>
      <c r="AL613" s="218"/>
      <c r="AM613" s="218"/>
    </row>
    <row r="614" spans="1:39" ht="12.75">
      <c r="A614" s="229"/>
      <c r="B614" s="229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  <c r="AA614" s="229"/>
      <c r="AB614" s="229"/>
      <c r="AC614" s="229"/>
      <c r="AD614" s="229"/>
      <c r="AE614" s="229"/>
      <c r="AF614" s="229"/>
      <c r="AG614" s="229"/>
      <c r="AH614" s="229"/>
      <c r="AI614" s="229"/>
      <c r="AJ614" s="218"/>
      <c r="AK614" s="218"/>
      <c r="AL614" s="218"/>
      <c r="AM614" s="218"/>
    </row>
    <row r="615" spans="1:39" ht="12.75">
      <c r="A615" s="229"/>
      <c r="B615" s="229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  <c r="AA615" s="229"/>
      <c r="AB615" s="229"/>
      <c r="AC615" s="229"/>
      <c r="AD615" s="229"/>
      <c r="AE615" s="229"/>
      <c r="AF615" s="229"/>
      <c r="AG615" s="229"/>
      <c r="AH615" s="229"/>
      <c r="AI615" s="229"/>
      <c r="AJ615" s="218"/>
      <c r="AK615" s="218"/>
      <c r="AL615" s="218"/>
      <c r="AM615" s="218"/>
    </row>
    <row r="616" spans="1:39" ht="12.75">
      <c r="A616" s="229"/>
      <c r="B616" s="229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  <c r="AA616" s="229"/>
      <c r="AB616" s="229"/>
      <c r="AC616" s="229"/>
      <c r="AD616" s="229"/>
      <c r="AE616" s="229"/>
      <c r="AF616" s="229"/>
      <c r="AG616" s="229"/>
      <c r="AH616" s="229"/>
      <c r="AI616" s="229"/>
      <c r="AJ616" s="218"/>
      <c r="AK616" s="218"/>
      <c r="AL616" s="218"/>
      <c r="AM616" s="218"/>
    </row>
    <row r="617" spans="1:39" ht="12.75">
      <c r="A617" s="229"/>
      <c r="B617" s="229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  <c r="AA617" s="229"/>
      <c r="AB617" s="229"/>
      <c r="AC617" s="229"/>
      <c r="AD617" s="229"/>
      <c r="AE617" s="229"/>
      <c r="AF617" s="229"/>
      <c r="AG617" s="229"/>
      <c r="AH617" s="229"/>
      <c r="AI617" s="229"/>
      <c r="AJ617" s="218"/>
      <c r="AK617" s="218"/>
      <c r="AL617" s="218"/>
      <c r="AM617" s="218"/>
    </row>
    <row r="618" spans="1:39" ht="12.75">
      <c r="A618" s="229"/>
      <c r="B618" s="229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  <c r="AA618" s="229"/>
      <c r="AB618" s="229"/>
      <c r="AC618" s="229"/>
      <c r="AD618" s="229"/>
      <c r="AE618" s="229"/>
      <c r="AF618" s="229"/>
      <c r="AG618" s="229"/>
      <c r="AH618" s="229"/>
      <c r="AI618" s="229"/>
      <c r="AJ618" s="218"/>
      <c r="AK618" s="218"/>
      <c r="AL618" s="218"/>
      <c r="AM618" s="218"/>
    </row>
    <row r="619" spans="1:39" ht="12.75">
      <c r="A619" s="229"/>
      <c r="B619" s="229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  <c r="AA619" s="229"/>
      <c r="AB619" s="229"/>
      <c r="AC619" s="229"/>
      <c r="AD619" s="229"/>
      <c r="AE619" s="229"/>
      <c r="AF619" s="229"/>
      <c r="AG619" s="229"/>
      <c r="AH619" s="229"/>
      <c r="AI619" s="229"/>
      <c r="AJ619" s="218"/>
      <c r="AK619" s="218"/>
      <c r="AL619" s="218"/>
      <c r="AM619" s="218"/>
    </row>
    <row r="620" spans="1:39" ht="12.75">
      <c r="A620" s="229"/>
      <c r="B620" s="229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  <c r="AA620" s="229"/>
      <c r="AB620" s="229"/>
      <c r="AC620" s="229"/>
      <c r="AD620" s="229"/>
      <c r="AE620" s="229"/>
      <c r="AF620" s="229"/>
      <c r="AG620" s="229"/>
      <c r="AH620" s="229"/>
      <c r="AI620" s="229"/>
      <c r="AJ620" s="218"/>
      <c r="AK620" s="218"/>
      <c r="AL620" s="218"/>
      <c r="AM620" s="218"/>
    </row>
    <row r="621" spans="1:39" ht="12.75">
      <c r="A621" s="229"/>
      <c r="B621" s="229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  <c r="AA621" s="229"/>
      <c r="AB621" s="229"/>
      <c r="AC621" s="229"/>
      <c r="AD621" s="229"/>
      <c r="AE621" s="229"/>
      <c r="AF621" s="229"/>
      <c r="AG621" s="229"/>
      <c r="AH621" s="229"/>
      <c r="AI621" s="229"/>
      <c r="AJ621" s="218"/>
      <c r="AK621" s="218"/>
      <c r="AL621" s="218"/>
      <c r="AM621" s="218"/>
    </row>
    <row r="622" spans="1:39" ht="12.75">
      <c r="A622" s="229"/>
      <c r="B622" s="229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  <c r="AA622" s="229"/>
      <c r="AB622" s="229"/>
      <c r="AC622" s="229"/>
      <c r="AD622" s="229"/>
      <c r="AE622" s="229"/>
      <c r="AF622" s="229"/>
      <c r="AG622" s="229"/>
      <c r="AH622" s="229"/>
      <c r="AI622" s="229"/>
      <c r="AJ622" s="218"/>
      <c r="AK622" s="218"/>
      <c r="AL622" s="218"/>
      <c r="AM622" s="218"/>
    </row>
    <row r="623" spans="1:39" ht="12.75">
      <c r="A623" s="229"/>
      <c r="B623" s="229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  <c r="AA623" s="229"/>
      <c r="AB623" s="229"/>
      <c r="AC623" s="229"/>
      <c r="AD623" s="229"/>
      <c r="AE623" s="229"/>
      <c r="AF623" s="229"/>
      <c r="AG623" s="229"/>
      <c r="AH623" s="229"/>
      <c r="AI623" s="229"/>
      <c r="AJ623" s="218"/>
      <c r="AK623" s="218"/>
      <c r="AL623" s="218"/>
      <c r="AM623" s="218"/>
    </row>
    <row r="624" spans="1:39" ht="12.75">
      <c r="A624" s="229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  <c r="AA624" s="229"/>
      <c r="AB624" s="229"/>
      <c r="AC624" s="229"/>
      <c r="AD624" s="229"/>
      <c r="AE624" s="229"/>
      <c r="AF624" s="229"/>
      <c r="AG624" s="229"/>
      <c r="AH624" s="229"/>
      <c r="AI624" s="229"/>
      <c r="AJ624" s="218"/>
      <c r="AK624" s="218"/>
      <c r="AL624" s="218"/>
      <c r="AM624" s="218"/>
    </row>
    <row r="625" spans="1:39" ht="12.75">
      <c r="A625" s="229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  <c r="AA625" s="229"/>
      <c r="AB625" s="229"/>
      <c r="AC625" s="229"/>
      <c r="AD625" s="229"/>
      <c r="AE625" s="229"/>
      <c r="AF625" s="229"/>
      <c r="AG625" s="229"/>
      <c r="AH625" s="229"/>
      <c r="AI625" s="229"/>
      <c r="AJ625" s="218"/>
      <c r="AK625" s="218"/>
      <c r="AL625" s="218"/>
      <c r="AM625" s="218"/>
    </row>
    <row r="626" spans="1:39" ht="12.75">
      <c r="A626" s="229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  <c r="AA626" s="229"/>
      <c r="AB626" s="229"/>
      <c r="AC626" s="229"/>
      <c r="AD626" s="229"/>
      <c r="AE626" s="229"/>
      <c r="AF626" s="229"/>
      <c r="AG626" s="229"/>
      <c r="AH626" s="229"/>
      <c r="AI626" s="229"/>
      <c r="AJ626" s="218"/>
      <c r="AK626" s="218"/>
      <c r="AL626" s="218"/>
      <c r="AM626" s="218"/>
    </row>
    <row r="627" spans="1:39" ht="12.75">
      <c r="A627" s="229"/>
      <c r="B627" s="229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  <c r="AA627" s="229"/>
      <c r="AB627" s="229"/>
      <c r="AC627" s="229"/>
      <c r="AD627" s="229"/>
      <c r="AE627" s="229"/>
      <c r="AF627" s="229"/>
      <c r="AG627" s="229"/>
      <c r="AH627" s="229"/>
      <c r="AI627" s="229"/>
      <c r="AJ627" s="218"/>
      <c r="AK627" s="218"/>
      <c r="AL627" s="218"/>
      <c r="AM627" s="218"/>
    </row>
    <row r="628" spans="1:39" ht="12.75">
      <c r="A628" s="229"/>
      <c r="B628" s="229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  <c r="AA628" s="229"/>
      <c r="AB628" s="229"/>
      <c r="AC628" s="229"/>
      <c r="AD628" s="229"/>
      <c r="AE628" s="229"/>
      <c r="AF628" s="229"/>
      <c r="AG628" s="229"/>
      <c r="AH628" s="229"/>
      <c r="AI628" s="229"/>
      <c r="AJ628" s="218"/>
      <c r="AK628" s="218"/>
      <c r="AL628" s="218"/>
      <c r="AM628" s="218"/>
    </row>
    <row r="629" spans="1:39" ht="12.75">
      <c r="A629" s="229"/>
      <c r="B629" s="229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  <c r="AA629" s="229"/>
      <c r="AB629" s="229"/>
      <c r="AC629" s="229"/>
      <c r="AD629" s="229"/>
      <c r="AE629" s="229"/>
      <c r="AF629" s="229"/>
      <c r="AG629" s="229"/>
      <c r="AH629" s="229"/>
      <c r="AI629" s="229"/>
      <c r="AJ629" s="218"/>
      <c r="AK629" s="218"/>
      <c r="AL629" s="218"/>
      <c r="AM629" s="218"/>
    </row>
    <row r="630" spans="1:39" ht="12.75">
      <c r="A630" s="229"/>
      <c r="B630" s="229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  <c r="AA630" s="229"/>
      <c r="AB630" s="229"/>
      <c r="AC630" s="229"/>
      <c r="AD630" s="229"/>
      <c r="AE630" s="229"/>
      <c r="AF630" s="229"/>
      <c r="AG630" s="229"/>
      <c r="AH630" s="229"/>
      <c r="AI630" s="229"/>
      <c r="AJ630" s="218"/>
      <c r="AK630" s="218"/>
      <c r="AL630" s="218"/>
      <c r="AM630" s="218"/>
    </row>
    <row r="631" spans="1:39" ht="12.75">
      <c r="A631" s="229"/>
      <c r="B631" s="229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  <c r="AA631" s="229"/>
      <c r="AB631" s="229"/>
      <c r="AC631" s="229"/>
      <c r="AD631" s="229"/>
      <c r="AE631" s="229"/>
      <c r="AF631" s="229"/>
      <c r="AG631" s="229"/>
      <c r="AH631" s="229"/>
      <c r="AI631" s="229"/>
      <c r="AJ631" s="218"/>
      <c r="AK631" s="218"/>
      <c r="AL631" s="218"/>
      <c r="AM631" s="218"/>
    </row>
    <row r="632" spans="1:39" ht="12.75">
      <c r="A632" s="229"/>
      <c r="B632" s="229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  <c r="AA632" s="229"/>
      <c r="AB632" s="229"/>
      <c r="AC632" s="229"/>
      <c r="AD632" s="229"/>
      <c r="AE632" s="229"/>
      <c r="AF632" s="229"/>
      <c r="AG632" s="229"/>
      <c r="AH632" s="229"/>
      <c r="AI632" s="229"/>
      <c r="AJ632" s="218"/>
      <c r="AK632" s="218"/>
      <c r="AL632" s="218"/>
      <c r="AM632" s="218"/>
    </row>
    <row r="633" spans="1:39" ht="12.75">
      <c r="A633" s="229"/>
      <c r="B633" s="229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  <c r="AA633" s="229"/>
      <c r="AB633" s="229"/>
      <c r="AC633" s="229"/>
      <c r="AD633" s="229"/>
      <c r="AE633" s="229"/>
      <c r="AF633" s="229"/>
      <c r="AG633" s="229"/>
      <c r="AH633" s="229"/>
      <c r="AI633" s="229"/>
      <c r="AJ633" s="218"/>
      <c r="AK633" s="218"/>
      <c r="AL633" s="218"/>
      <c r="AM633" s="218"/>
    </row>
    <row r="634" spans="1:39" ht="12.75">
      <c r="A634" s="229"/>
      <c r="B634" s="229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  <c r="AA634" s="229"/>
      <c r="AB634" s="229"/>
      <c r="AC634" s="229"/>
      <c r="AD634" s="229"/>
      <c r="AE634" s="229"/>
      <c r="AF634" s="229"/>
      <c r="AG634" s="229"/>
      <c r="AH634" s="229"/>
      <c r="AI634" s="229"/>
      <c r="AJ634" s="218"/>
      <c r="AK634" s="218"/>
      <c r="AL634" s="218"/>
      <c r="AM634" s="218"/>
    </row>
    <row r="635" spans="1:39" ht="12.75">
      <c r="A635" s="229"/>
      <c r="B635" s="229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  <c r="AA635" s="229"/>
      <c r="AB635" s="229"/>
      <c r="AC635" s="229"/>
      <c r="AD635" s="229"/>
      <c r="AE635" s="229"/>
      <c r="AF635" s="229"/>
      <c r="AG635" s="229"/>
      <c r="AH635" s="229"/>
      <c r="AI635" s="229"/>
      <c r="AJ635" s="218"/>
      <c r="AK635" s="218"/>
      <c r="AL635" s="218"/>
      <c r="AM635" s="218"/>
    </row>
    <row r="636" spans="1:39" ht="12.75">
      <c r="A636" s="229"/>
      <c r="B636" s="229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  <c r="AA636" s="229"/>
      <c r="AB636" s="229"/>
      <c r="AC636" s="229"/>
      <c r="AD636" s="229"/>
      <c r="AE636" s="229"/>
      <c r="AF636" s="229"/>
      <c r="AG636" s="229"/>
      <c r="AH636" s="229"/>
      <c r="AI636" s="229"/>
      <c r="AJ636" s="218"/>
      <c r="AK636" s="218"/>
      <c r="AL636" s="218"/>
      <c r="AM636" s="218"/>
    </row>
    <row r="637" spans="1:39" ht="12.75">
      <c r="A637" s="229"/>
      <c r="B637" s="229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  <c r="AA637" s="229"/>
      <c r="AB637" s="229"/>
      <c r="AC637" s="229"/>
      <c r="AD637" s="229"/>
      <c r="AE637" s="229"/>
      <c r="AF637" s="229"/>
      <c r="AG637" s="229"/>
      <c r="AH637" s="229"/>
      <c r="AI637" s="229"/>
      <c r="AJ637" s="218"/>
      <c r="AK637" s="218"/>
      <c r="AL637" s="218"/>
      <c r="AM637" s="218"/>
    </row>
    <row r="638" spans="1:39" ht="12.75">
      <c r="A638" s="229"/>
      <c r="B638" s="229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  <c r="AA638" s="229"/>
      <c r="AB638" s="229"/>
      <c r="AC638" s="229"/>
      <c r="AD638" s="229"/>
      <c r="AE638" s="229"/>
      <c r="AF638" s="229"/>
      <c r="AG638" s="229"/>
      <c r="AH638" s="229"/>
      <c r="AI638" s="229"/>
      <c r="AJ638" s="218"/>
      <c r="AK638" s="218"/>
      <c r="AL638" s="218"/>
      <c r="AM638" s="218"/>
    </row>
    <row r="639" spans="1:39" ht="12.75">
      <c r="A639" s="229"/>
      <c r="B639" s="229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  <c r="AA639" s="229"/>
      <c r="AB639" s="229"/>
      <c r="AC639" s="229"/>
      <c r="AD639" s="229"/>
      <c r="AE639" s="229"/>
      <c r="AF639" s="229"/>
      <c r="AG639" s="229"/>
      <c r="AH639" s="229"/>
      <c r="AI639" s="229"/>
      <c r="AJ639" s="218"/>
      <c r="AK639" s="218"/>
      <c r="AL639" s="218"/>
      <c r="AM639" s="218"/>
    </row>
    <row r="640" spans="1:39" ht="12.75">
      <c r="A640" s="229"/>
      <c r="B640" s="229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  <c r="AA640" s="229"/>
      <c r="AB640" s="229"/>
      <c r="AC640" s="229"/>
      <c r="AD640" s="229"/>
      <c r="AE640" s="229"/>
      <c r="AF640" s="229"/>
      <c r="AG640" s="229"/>
      <c r="AH640" s="229"/>
      <c r="AI640" s="229"/>
      <c r="AJ640" s="218"/>
      <c r="AK640" s="218"/>
      <c r="AL640" s="218"/>
      <c r="AM640" s="218"/>
    </row>
    <row r="641" spans="1:39" ht="12.75">
      <c r="A641" s="229"/>
      <c r="B641" s="229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  <c r="AA641" s="229"/>
      <c r="AB641" s="229"/>
      <c r="AC641" s="229"/>
      <c r="AD641" s="229"/>
      <c r="AE641" s="229"/>
      <c r="AF641" s="229"/>
      <c r="AG641" s="229"/>
      <c r="AH641" s="229"/>
      <c r="AI641" s="229"/>
      <c r="AJ641" s="218"/>
      <c r="AK641" s="218"/>
      <c r="AL641" s="218"/>
      <c r="AM641" s="218"/>
    </row>
    <row r="642" spans="1:39" ht="12.75">
      <c r="A642" s="229"/>
      <c r="B642" s="229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  <c r="AA642" s="229"/>
      <c r="AB642" s="229"/>
      <c r="AC642" s="229"/>
      <c r="AD642" s="229"/>
      <c r="AE642" s="229"/>
      <c r="AF642" s="229"/>
      <c r="AG642" s="229"/>
      <c r="AH642" s="229"/>
      <c r="AI642" s="229"/>
      <c r="AJ642" s="218"/>
      <c r="AK642" s="218"/>
      <c r="AL642" s="218"/>
      <c r="AM642" s="218"/>
    </row>
    <row r="643" spans="1:39" ht="12.75">
      <c r="A643" s="229"/>
      <c r="B643" s="229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  <c r="AA643" s="229"/>
      <c r="AB643" s="229"/>
      <c r="AC643" s="229"/>
      <c r="AD643" s="229"/>
      <c r="AE643" s="229"/>
      <c r="AF643" s="229"/>
      <c r="AG643" s="229"/>
      <c r="AH643" s="229"/>
      <c r="AI643" s="229"/>
      <c r="AJ643" s="218"/>
      <c r="AK643" s="218"/>
      <c r="AL643" s="218"/>
      <c r="AM643" s="218"/>
    </row>
    <row r="644" spans="1:39" ht="12.75">
      <c r="A644" s="229"/>
      <c r="B644" s="229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  <c r="AA644" s="229"/>
      <c r="AB644" s="229"/>
      <c r="AC644" s="229"/>
      <c r="AD644" s="229"/>
      <c r="AE644" s="229"/>
      <c r="AF644" s="229"/>
      <c r="AG644" s="229"/>
      <c r="AH644" s="229"/>
      <c r="AI644" s="229"/>
      <c r="AJ644" s="218"/>
      <c r="AK644" s="218"/>
      <c r="AL644" s="218"/>
      <c r="AM644" s="218"/>
    </row>
    <row r="645" spans="1:39" ht="12.75">
      <c r="A645" s="229"/>
      <c r="B645" s="229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  <c r="AA645" s="229"/>
      <c r="AB645" s="229"/>
      <c r="AC645" s="229"/>
      <c r="AD645" s="229"/>
      <c r="AE645" s="229"/>
      <c r="AF645" s="229"/>
      <c r="AG645" s="229"/>
      <c r="AH645" s="229"/>
      <c r="AI645" s="229"/>
      <c r="AJ645" s="218"/>
      <c r="AK645" s="218"/>
      <c r="AL645" s="218"/>
      <c r="AM645" s="218"/>
    </row>
    <row r="646" spans="1:39" ht="12.75">
      <c r="A646" s="229"/>
      <c r="B646" s="229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  <c r="AA646" s="229"/>
      <c r="AB646" s="229"/>
      <c r="AC646" s="229"/>
      <c r="AD646" s="229"/>
      <c r="AE646" s="229"/>
      <c r="AF646" s="229"/>
      <c r="AG646" s="229"/>
      <c r="AH646" s="229"/>
      <c r="AI646" s="229"/>
      <c r="AJ646" s="218"/>
      <c r="AK646" s="218"/>
      <c r="AL646" s="218"/>
      <c r="AM646" s="218"/>
    </row>
    <row r="647" spans="1:39" ht="12.75">
      <c r="A647" s="229"/>
      <c r="B647" s="229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  <c r="AA647" s="229"/>
      <c r="AB647" s="229"/>
      <c r="AC647" s="229"/>
      <c r="AD647" s="229"/>
      <c r="AE647" s="229"/>
      <c r="AF647" s="229"/>
      <c r="AG647" s="229"/>
      <c r="AH647" s="229"/>
      <c r="AI647" s="229"/>
      <c r="AJ647" s="218"/>
      <c r="AK647" s="218"/>
      <c r="AL647" s="218"/>
      <c r="AM647" s="218"/>
    </row>
    <row r="648" spans="1:39" ht="12.75">
      <c r="A648" s="229"/>
      <c r="B648" s="229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  <c r="AA648" s="229"/>
      <c r="AB648" s="229"/>
      <c r="AC648" s="229"/>
      <c r="AD648" s="229"/>
      <c r="AE648" s="229"/>
      <c r="AF648" s="229"/>
      <c r="AG648" s="229"/>
      <c r="AH648" s="229"/>
      <c r="AI648" s="229"/>
      <c r="AJ648" s="218"/>
      <c r="AK648" s="218"/>
      <c r="AL648" s="218"/>
      <c r="AM648" s="218"/>
    </row>
    <row r="649" spans="1:39" ht="12.75">
      <c r="A649" s="229"/>
      <c r="B649" s="229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  <c r="AA649" s="229"/>
      <c r="AB649" s="229"/>
      <c r="AC649" s="229"/>
      <c r="AD649" s="229"/>
      <c r="AE649" s="229"/>
      <c r="AF649" s="229"/>
      <c r="AG649" s="229"/>
      <c r="AH649" s="229"/>
      <c r="AI649" s="229"/>
      <c r="AJ649" s="218"/>
      <c r="AK649" s="218"/>
      <c r="AL649" s="218"/>
      <c r="AM649" s="218"/>
    </row>
    <row r="650" spans="1:39" ht="12.75">
      <c r="A650" s="229"/>
      <c r="B650" s="229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  <c r="AA650" s="229"/>
      <c r="AB650" s="229"/>
      <c r="AC650" s="229"/>
      <c r="AD650" s="229"/>
      <c r="AE650" s="229"/>
      <c r="AF650" s="229"/>
      <c r="AG650" s="229"/>
      <c r="AH650" s="229"/>
      <c r="AI650" s="229"/>
      <c r="AJ650" s="218"/>
      <c r="AK650" s="218"/>
      <c r="AL650" s="218"/>
      <c r="AM650" s="218"/>
    </row>
    <row r="651" spans="1:39" ht="12.75">
      <c r="A651" s="229"/>
      <c r="B651" s="229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  <c r="AA651" s="229"/>
      <c r="AB651" s="229"/>
      <c r="AC651" s="229"/>
      <c r="AD651" s="229"/>
      <c r="AE651" s="229"/>
      <c r="AF651" s="229"/>
      <c r="AG651" s="229"/>
      <c r="AH651" s="229"/>
      <c r="AI651" s="229"/>
      <c r="AJ651" s="218"/>
      <c r="AK651" s="218"/>
      <c r="AL651" s="218"/>
      <c r="AM651" s="218"/>
    </row>
    <row r="652" spans="1:39" ht="12.75">
      <c r="A652" s="229"/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  <c r="AA652" s="229"/>
      <c r="AB652" s="229"/>
      <c r="AC652" s="229"/>
      <c r="AD652" s="229"/>
      <c r="AE652" s="229"/>
      <c r="AF652" s="229"/>
      <c r="AG652" s="229"/>
      <c r="AH652" s="229"/>
      <c r="AI652" s="229"/>
      <c r="AJ652" s="218"/>
      <c r="AK652" s="218"/>
      <c r="AL652" s="218"/>
      <c r="AM652" s="218"/>
    </row>
    <row r="653" spans="1:39" ht="12.75">
      <c r="A653" s="229"/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  <c r="AA653" s="229"/>
      <c r="AB653" s="229"/>
      <c r="AC653" s="229"/>
      <c r="AD653" s="229"/>
      <c r="AE653" s="229"/>
      <c r="AF653" s="229"/>
      <c r="AG653" s="229"/>
      <c r="AH653" s="229"/>
      <c r="AI653" s="229"/>
      <c r="AJ653" s="218"/>
      <c r="AK653" s="218"/>
      <c r="AL653" s="218"/>
      <c r="AM653" s="218"/>
    </row>
    <row r="654" spans="1:39" ht="12.75">
      <c r="A654" s="229"/>
      <c r="B654" s="229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  <c r="AA654" s="229"/>
      <c r="AB654" s="229"/>
      <c r="AC654" s="229"/>
      <c r="AD654" s="229"/>
      <c r="AE654" s="229"/>
      <c r="AF654" s="229"/>
      <c r="AG654" s="229"/>
      <c r="AH654" s="229"/>
      <c r="AI654" s="229"/>
      <c r="AJ654" s="218"/>
      <c r="AK654" s="218"/>
      <c r="AL654" s="218"/>
      <c r="AM654" s="218"/>
    </row>
    <row r="655" spans="1:39" ht="12.75">
      <c r="A655" s="229"/>
      <c r="B655" s="229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  <c r="AA655" s="229"/>
      <c r="AB655" s="229"/>
      <c r="AC655" s="229"/>
      <c r="AD655" s="229"/>
      <c r="AE655" s="229"/>
      <c r="AF655" s="229"/>
      <c r="AG655" s="229"/>
      <c r="AH655" s="229"/>
      <c r="AI655" s="229"/>
      <c r="AJ655" s="218"/>
      <c r="AK655" s="218"/>
      <c r="AL655" s="218"/>
      <c r="AM655" s="218"/>
    </row>
    <row r="656" spans="1:39" ht="12.75">
      <c r="A656" s="229"/>
      <c r="B656" s="229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  <c r="AA656" s="229"/>
      <c r="AB656" s="229"/>
      <c r="AC656" s="229"/>
      <c r="AD656" s="229"/>
      <c r="AE656" s="229"/>
      <c r="AF656" s="229"/>
      <c r="AG656" s="229"/>
      <c r="AH656" s="229"/>
      <c r="AI656" s="229"/>
      <c r="AJ656" s="218"/>
      <c r="AK656" s="218"/>
      <c r="AL656" s="218"/>
      <c r="AM656" s="218"/>
    </row>
    <row r="657" spans="1:39" ht="12.75">
      <c r="A657" s="229"/>
      <c r="B657" s="229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  <c r="AA657" s="229"/>
      <c r="AB657" s="229"/>
      <c r="AC657" s="229"/>
      <c r="AD657" s="229"/>
      <c r="AE657" s="229"/>
      <c r="AF657" s="229"/>
      <c r="AG657" s="229"/>
      <c r="AH657" s="229"/>
      <c r="AI657" s="229"/>
      <c r="AJ657" s="218"/>
      <c r="AK657" s="218"/>
      <c r="AL657" s="218"/>
      <c r="AM657" s="218"/>
    </row>
    <row r="658" spans="1:39" ht="12.75">
      <c r="A658" s="229"/>
      <c r="B658" s="229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  <c r="AA658" s="229"/>
      <c r="AB658" s="229"/>
      <c r="AC658" s="229"/>
      <c r="AD658" s="229"/>
      <c r="AE658" s="229"/>
      <c r="AF658" s="229"/>
      <c r="AG658" s="229"/>
      <c r="AH658" s="229"/>
      <c r="AI658" s="229"/>
      <c r="AJ658" s="218"/>
      <c r="AK658" s="218"/>
      <c r="AL658" s="218"/>
      <c r="AM658" s="218"/>
    </row>
    <row r="659" spans="1:39" ht="12.75">
      <c r="A659" s="229"/>
      <c r="B659" s="229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  <c r="AA659" s="229"/>
      <c r="AB659" s="229"/>
      <c r="AC659" s="229"/>
      <c r="AD659" s="229"/>
      <c r="AE659" s="229"/>
      <c r="AF659" s="229"/>
      <c r="AG659" s="229"/>
      <c r="AH659" s="229"/>
      <c r="AI659" s="229"/>
      <c r="AJ659" s="218"/>
      <c r="AK659" s="218"/>
      <c r="AL659" s="218"/>
      <c r="AM659" s="218"/>
    </row>
    <row r="660" spans="1:39" ht="12.75">
      <c r="A660" s="229"/>
      <c r="B660" s="229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  <c r="AA660" s="229"/>
      <c r="AB660" s="229"/>
      <c r="AC660" s="229"/>
      <c r="AD660" s="229"/>
      <c r="AE660" s="229"/>
      <c r="AF660" s="229"/>
      <c r="AG660" s="229"/>
      <c r="AH660" s="229"/>
      <c r="AI660" s="229"/>
      <c r="AJ660" s="218"/>
      <c r="AK660" s="218"/>
      <c r="AL660" s="218"/>
      <c r="AM660" s="218"/>
    </row>
    <row r="661" spans="1:39" ht="12.75">
      <c r="A661" s="229"/>
      <c r="B661" s="229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  <c r="AA661" s="229"/>
      <c r="AB661" s="229"/>
      <c r="AC661" s="229"/>
      <c r="AD661" s="229"/>
      <c r="AE661" s="229"/>
      <c r="AF661" s="229"/>
      <c r="AG661" s="229"/>
      <c r="AH661" s="229"/>
      <c r="AI661" s="229"/>
      <c r="AJ661" s="218"/>
      <c r="AK661" s="218"/>
      <c r="AL661" s="218"/>
      <c r="AM661" s="218"/>
    </row>
    <row r="662" spans="1:39" ht="12.75">
      <c r="A662" s="229"/>
      <c r="B662" s="229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  <c r="AA662" s="229"/>
      <c r="AB662" s="229"/>
      <c r="AC662" s="229"/>
      <c r="AD662" s="229"/>
      <c r="AE662" s="229"/>
      <c r="AF662" s="229"/>
      <c r="AG662" s="229"/>
      <c r="AH662" s="229"/>
      <c r="AI662" s="229"/>
      <c r="AJ662" s="218"/>
      <c r="AK662" s="218"/>
      <c r="AL662" s="218"/>
      <c r="AM662" s="218"/>
    </row>
    <row r="663" spans="1:39" ht="12.75">
      <c r="A663" s="229"/>
      <c r="B663" s="229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  <c r="AA663" s="229"/>
      <c r="AB663" s="229"/>
      <c r="AC663" s="229"/>
      <c r="AD663" s="229"/>
      <c r="AE663" s="229"/>
      <c r="AF663" s="229"/>
      <c r="AG663" s="229"/>
      <c r="AH663" s="229"/>
      <c r="AI663" s="229"/>
      <c r="AJ663" s="218"/>
      <c r="AK663" s="218"/>
      <c r="AL663" s="218"/>
      <c r="AM663" s="218"/>
    </row>
    <row r="664" spans="1:39" ht="12.75">
      <c r="A664" s="229"/>
      <c r="B664" s="229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  <c r="AA664" s="229"/>
      <c r="AB664" s="229"/>
      <c r="AC664" s="229"/>
      <c r="AD664" s="229"/>
      <c r="AE664" s="229"/>
      <c r="AF664" s="229"/>
      <c r="AG664" s="229"/>
      <c r="AH664" s="229"/>
      <c r="AI664" s="229"/>
      <c r="AJ664" s="218"/>
      <c r="AK664" s="218"/>
      <c r="AL664" s="218"/>
      <c r="AM664" s="218"/>
    </row>
    <row r="665" spans="1:39" ht="12.75">
      <c r="A665" s="229"/>
      <c r="B665" s="229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  <c r="AA665" s="229"/>
      <c r="AB665" s="229"/>
      <c r="AC665" s="229"/>
      <c r="AD665" s="229"/>
      <c r="AE665" s="229"/>
      <c r="AF665" s="229"/>
      <c r="AG665" s="229"/>
      <c r="AH665" s="229"/>
      <c r="AI665" s="229"/>
      <c r="AJ665" s="218"/>
      <c r="AK665" s="218"/>
      <c r="AL665" s="218"/>
      <c r="AM665" s="218"/>
    </row>
    <row r="666" spans="1:39" ht="12.75">
      <c r="A666" s="229"/>
      <c r="B666" s="229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  <c r="AA666" s="229"/>
      <c r="AB666" s="229"/>
      <c r="AC666" s="229"/>
      <c r="AD666" s="229"/>
      <c r="AE666" s="229"/>
      <c r="AF666" s="229"/>
      <c r="AG666" s="229"/>
      <c r="AH666" s="229"/>
      <c r="AI666" s="229"/>
      <c r="AJ666" s="218"/>
      <c r="AK666" s="218"/>
      <c r="AL666" s="218"/>
      <c r="AM666" s="218"/>
    </row>
    <row r="667" spans="1:39" ht="12.75">
      <c r="A667" s="229"/>
      <c r="B667" s="229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  <c r="AA667" s="229"/>
      <c r="AB667" s="229"/>
      <c r="AC667" s="229"/>
      <c r="AD667" s="229"/>
      <c r="AE667" s="229"/>
      <c r="AF667" s="229"/>
      <c r="AG667" s="229"/>
      <c r="AH667" s="229"/>
      <c r="AI667" s="229"/>
      <c r="AJ667" s="218"/>
      <c r="AK667" s="218"/>
      <c r="AL667" s="218"/>
      <c r="AM667" s="218"/>
    </row>
    <row r="668" spans="1:39" ht="12.75">
      <c r="A668" s="229"/>
      <c r="B668" s="229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  <c r="AA668" s="229"/>
      <c r="AB668" s="229"/>
      <c r="AC668" s="229"/>
      <c r="AD668" s="229"/>
      <c r="AE668" s="229"/>
      <c r="AF668" s="229"/>
      <c r="AG668" s="229"/>
      <c r="AH668" s="229"/>
      <c r="AI668" s="229"/>
      <c r="AJ668" s="218"/>
      <c r="AK668" s="218"/>
      <c r="AL668" s="218"/>
      <c r="AM668" s="218"/>
    </row>
    <row r="669" spans="1:39" ht="12.75">
      <c r="A669" s="229"/>
      <c r="B669" s="229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  <c r="AA669" s="229"/>
      <c r="AB669" s="229"/>
      <c r="AC669" s="229"/>
      <c r="AD669" s="229"/>
      <c r="AE669" s="229"/>
      <c r="AF669" s="229"/>
      <c r="AG669" s="229"/>
      <c r="AH669" s="229"/>
      <c r="AI669" s="229"/>
      <c r="AJ669" s="218"/>
      <c r="AK669" s="218"/>
      <c r="AL669" s="218"/>
      <c r="AM669" s="218"/>
    </row>
    <row r="670" spans="1:39" ht="12.75">
      <c r="A670" s="229"/>
      <c r="B670" s="229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  <c r="AA670" s="229"/>
      <c r="AB670" s="229"/>
      <c r="AC670" s="229"/>
      <c r="AD670" s="229"/>
      <c r="AE670" s="229"/>
      <c r="AF670" s="229"/>
      <c r="AG670" s="229"/>
      <c r="AH670" s="229"/>
      <c r="AI670" s="229"/>
      <c r="AJ670" s="218"/>
      <c r="AK670" s="218"/>
      <c r="AL670" s="218"/>
      <c r="AM670" s="218"/>
    </row>
    <row r="671" spans="1:39" ht="12.75">
      <c r="A671" s="229"/>
      <c r="B671" s="229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  <c r="AA671" s="229"/>
      <c r="AB671" s="229"/>
      <c r="AC671" s="229"/>
      <c r="AD671" s="229"/>
      <c r="AE671" s="229"/>
      <c r="AF671" s="229"/>
      <c r="AG671" s="229"/>
      <c r="AH671" s="229"/>
      <c r="AI671" s="229"/>
      <c r="AJ671" s="218"/>
      <c r="AK671" s="218"/>
      <c r="AL671" s="218"/>
      <c r="AM671" s="218"/>
    </row>
    <row r="672" spans="1:39" ht="12.75">
      <c r="A672" s="229"/>
      <c r="B672" s="229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  <c r="AA672" s="229"/>
      <c r="AB672" s="229"/>
      <c r="AC672" s="229"/>
      <c r="AD672" s="229"/>
      <c r="AE672" s="229"/>
      <c r="AF672" s="229"/>
      <c r="AG672" s="229"/>
      <c r="AH672" s="229"/>
      <c r="AI672" s="229"/>
      <c r="AJ672" s="218"/>
      <c r="AK672" s="218"/>
      <c r="AL672" s="218"/>
      <c r="AM672" s="218"/>
    </row>
    <row r="673" spans="1:39" ht="12.75">
      <c r="A673" s="229"/>
      <c r="B673" s="229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  <c r="AA673" s="229"/>
      <c r="AB673" s="229"/>
      <c r="AC673" s="229"/>
      <c r="AD673" s="229"/>
      <c r="AE673" s="229"/>
      <c r="AF673" s="229"/>
      <c r="AG673" s="229"/>
      <c r="AH673" s="229"/>
      <c r="AI673" s="229"/>
      <c r="AJ673" s="218"/>
      <c r="AK673" s="218"/>
      <c r="AL673" s="218"/>
      <c r="AM673" s="218"/>
    </row>
    <row r="674" spans="1:39" ht="12.75">
      <c r="A674" s="229"/>
      <c r="B674" s="229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  <c r="AA674" s="229"/>
      <c r="AB674" s="229"/>
      <c r="AC674" s="229"/>
      <c r="AD674" s="229"/>
      <c r="AE674" s="229"/>
      <c r="AF674" s="229"/>
      <c r="AG674" s="229"/>
      <c r="AH674" s="229"/>
      <c r="AI674" s="229"/>
      <c r="AJ674" s="218"/>
      <c r="AK674" s="218"/>
      <c r="AL674" s="218"/>
      <c r="AM674" s="218"/>
    </row>
    <row r="675" spans="1:39" ht="12.75">
      <c r="A675" s="229"/>
      <c r="B675" s="229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  <c r="AA675" s="229"/>
      <c r="AB675" s="229"/>
      <c r="AC675" s="229"/>
      <c r="AD675" s="229"/>
      <c r="AE675" s="229"/>
      <c r="AF675" s="229"/>
      <c r="AG675" s="229"/>
      <c r="AH675" s="229"/>
      <c r="AI675" s="229"/>
      <c r="AJ675" s="218"/>
      <c r="AK675" s="218"/>
      <c r="AL675" s="218"/>
      <c r="AM675" s="218"/>
    </row>
    <row r="676" spans="1:39" ht="12.75">
      <c r="A676" s="229"/>
      <c r="B676" s="229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  <c r="AA676" s="229"/>
      <c r="AB676" s="229"/>
      <c r="AC676" s="229"/>
      <c r="AD676" s="229"/>
      <c r="AE676" s="229"/>
      <c r="AF676" s="229"/>
      <c r="AG676" s="229"/>
      <c r="AH676" s="229"/>
      <c r="AI676" s="229"/>
      <c r="AJ676" s="218"/>
      <c r="AK676" s="218"/>
      <c r="AL676" s="218"/>
      <c r="AM676" s="218"/>
    </row>
    <row r="677" spans="1:39" ht="12.75">
      <c r="A677" s="229"/>
      <c r="B677" s="229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  <c r="AA677" s="229"/>
      <c r="AB677" s="229"/>
      <c r="AC677" s="229"/>
      <c r="AD677" s="229"/>
      <c r="AE677" s="229"/>
      <c r="AF677" s="229"/>
      <c r="AG677" s="229"/>
      <c r="AH677" s="229"/>
      <c r="AI677" s="229"/>
      <c r="AJ677" s="218"/>
      <c r="AK677" s="218"/>
      <c r="AL677" s="218"/>
      <c r="AM677" s="218"/>
    </row>
    <row r="678" spans="1:39" ht="12.75">
      <c r="A678" s="229"/>
      <c r="B678" s="229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  <c r="AA678" s="229"/>
      <c r="AB678" s="229"/>
      <c r="AC678" s="229"/>
      <c r="AD678" s="229"/>
      <c r="AE678" s="229"/>
      <c r="AF678" s="229"/>
      <c r="AG678" s="229"/>
      <c r="AH678" s="229"/>
      <c r="AI678" s="229"/>
      <c r="AJ678" s="218"/>
      <c r="AK678" s="218"/>
      <c r="AL678" s="218"/>
      <c r="AM678" s="218"/>
    </row>
    <row r="679" spans="1:39" ht="12.75">
      <c r="A679" s="229"/>
      <c r="B679" s="229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  <c r="AA679" s="229"/>
      <c r="AB679" s="229"/>
      <c r="AC679" s="229"/>
      <c r="AD679" s="229"/>
      <c r="AE679" s="229"/>
      <c r="AF679" s="229"/>
      <c r="AG679" s="229"/>
      <c r="AH679" s="229"/>
      <c r="AI679" s="229"/>
      <c r="AJ679" s="218"/>
      <c r="AK679" s="218"/>
      <c r="AL679" s="218"/>
      <c r="AM679" s="218"/>
    </row>
    <row r="680" spans="1:39" ht="12.75">
      <c r="A680" s="229"/>
      <c r="B680" s="229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  <c r="AA680" s="229"/>
      <c r="AB680" s="229"/>
      <c r="AC680" s="229"/>
      <c r="AD680" s="229"/>
      <c r="AE680" s="229"/>
      <c r="AF680" s="229"/>
      <c r="AG680" s="229"/>
      <c r="AH680" s="229"/>
      <c r="AI680" s="229"/>
      <c r="AJ680" s="218"/>
      <c r="AK680" s="218"/>
      <c r="AL680" s="218"/>
      <c r="AM680" s="218"/>
    </row>
    <row r="681" spans="1:39" ht="12.75">
      <c r="A681" s="229"/>
      <c r="B681" s="229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  <c r="AA681" s="229"/>
      <c r="AB681" s="229"/>
      <c r="AC681" s="229"/>
      <c r="AD681" s="229"/>
      <c r="AE681" s="229"/>
      <c r="AF681" s="229"/>
      <c r="AG681" s="229"/>
      <c r="AH681" s="229"/>
      <c r="AI681" s="229"/>
      <c r="AJ681" s="218"/>
      <c r="AK681" s="218"/>
      <c r="AL681" s="218"/>
      <c r="AM681" s="218"/>
    </row>
    <row r="682" spans="1:39" ht="12.75">
      <c r="A682" s="229"/>
      <c r="B682" s="229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  <c r="AA682" s="229"/>
      <c r="AB682" s="229"/>
      <c r="AC682" s="229"/>
      <c r="AD682" s="229"/>
      <c r="AE682" s="229"/>
      <c r="AF682" s="229"/>
      <c r="AG682" s="229"/>
      <c r="AH682" s="229"/>
      <c r="AI682" s="229"/>
      <c r="AJ682" s="218"/>
      <c r="AK682" s="218"/>
      <c r="AL682" s="218"/>
      <c r="AM682" s="218"/>
    </row>
    <row r="683" spans="1:39" ht="12.75">
      <c r="A683" s="229"/>
      <c r="B683" s="229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  <c r="AA683" s="229"/>
      <c r="AB683" s="229"/>
      <c r="AC683" s="229"/>
      <c r="AD683" s="229"/>
      <c r="AE683" s="229"/>
      <c r="AF683" s="229"/>
      <c r="AG683" s="229"/>
      <c r="AH683" s="229"/>
      <c r="AI683" s="229"/>
      <c r="AJ683" s="218"/>
      <c r="AK683" s="218"/>
      <c r="AL683" s="218"/>
      <c r="AM683" s="218"/>
    </row>
    <row r="684" spans="1:39" ht="12.75">
      <c r="A684" s="229"/>
      <c r="B684" s="229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  <c r="AA684" s="229"/>
      <c r="AB684" s="229"/>
      <c r="AC684" s="229"/>
      <c r="AD684" s="229"/>
      <c r="AE684" s="229"/>
      <c r="AF684" s="229"/>
      <c r="AG684" s="229"/>
      <c r="AH684" s="229"/>
      <c r="AI684" s="229"/>
      <c r="AJ684" s="218"/>
      <c r="AK684" s="218"/>
      <c r="AL684" s="218"/>
      <c r="AM684" s="218"/>
    </row>
    <row r="685" spans="1:39" ht="12.75">
      <c r="A685" s="229"/>
      <c r="B685" s="229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  <c r="AA685" s="229"/>
      <c r="AB685" s="229"/>
      <c r="AC685" s="229"/>
      <c r="AD685" s="229"/>
      <c r="AE685" s="229"/>
      <c r="AF685" s="229"/>
      <c r="AG685" s="229"/>
      <c r="AH685" s="229"/>
      <c r="AI685" s="229"/>
      <c r="AJ685" s="218"/>
      <c r="AK685" s="218"/>
      <c r="AL685" s="218"/>
      <c r="AM685" s="218"/>
    </row>
    <row r="686" spans="1:39" ht="12.75">
      <c r="A686" s="229"/>
      <c r="B686" s="229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  <c r="AA686" s="229"/>
      <c r="AB686" s="229"/>
      <c r="AC686" s="229"/>
      <c r="AD686" s="229"/>
      <c r="AE686" s="229"/>
      <c r="AF686" s="229"/>
      <c r="AG686" s="229"/>
      <c r="AH686" s="229"/>
      <c r="AI686" s="229"/>
      <c r="AJ686" s="218"/>
      <c r="AK686" s="218"/>
      <c r="AL686" s="218"/>
      <c r="AM686" s="218"/>
    </row>
    <row r="687" spans="1:39" ht="12.75">
      <c r="A687" s="229"/>
      <c r="B687" s="229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  <c r="AA687" s="229"/>
      <c r="AB687" s="229"/>
      <c r="AC687" s="229"/>
      <c r="AD687" s="229"/>
      <c r="AE687" s="229"/>
      <c r="AF687" s="229"/>
      <c r="AG687" s="229"/>
      <c r="AH687" s="229"/>
      <c r="AI687" s="229"/>
      <c r="AJ687" s="218"/>
      <c r="AK687" s="218"/>
      <c r="AL687" s="218"/>
      <c r="AM687" s="218"/>
    </row>
    <row r="688" spans="1:39" ht="12.75">
      <c r="A688" s="229"/>
      <c r="B688" s="229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  <c r="AA688" s="229"/>
      <c r="AB688" s="229"/>
      <c r="AC688" s="229"/>
      <c r="AD688" s="229"/>
      <c r="AE688" s="229"/>
      <c r="AF688" s="229"/>
      <c r="AG688" s="229"/>
      <c r="AH688" s="229"/>
      <c r="AI688" s="229"/>
      <c r="AJ688" s="218"/>
      <c r="AK688" s="218"/>
      <c r="AL688" s="218"/>
      <c r="AM688" s="218"/>
    </row>
    <row r="689" spans="1:39" ht="12.75">
      <c r="A689" s="229"/>
      <c r="B689" s="229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  <c r="AA689" s="229"/>
      <c r="AB689" s="229"/>
      <c r="AC689" s="229"/>
      <c r="AD689" s="229"/>
      <c r="AE689" s="229"/>
      <c r="AF689" s="229"/>
      <c r="AG689" s="229"/>
      <c r="AH689" s="229"/>
      <c r="AI689" s="229"/>
      <c r="AJ689" s="218"/>
      <c r="AK689" s="218"/>
      <c r="AL689" s="218"/>
      <c r="AM689" s="218"/>
    </row>
    <row r="690" spans="1:39" ht="12.75">
      <c r="A690" s="229"/>
      <c r="B690" s="229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  <c r="AA690" s="229"/>
      <c r="AB690" s="229"/>
      <c r="AC690" s="229"/>
      <c r="AD690" s="229"/>
      <c r="AE690" s="229"/>
      <c r="AF690" s="229"/>
      <c r="AG690" s="229"/>
      <c r="AH690" s="229"/>
      <c r="AI690" s="229"/>
      <c r="AJ690" s="218"/>
      <c r="AK690" s="218"/>
      <c r="AL690" s="218"/>
      <c r="AM690" s="218"/>
    </row>
    <row r="691" spans="1:39" ht="12.75">
      <c r="A691" s="229"/>
      <c r="B691" s="229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  <c r="AA691" s="229"/>
      <c r="AB691" s="229"/>
      <c r="AC691" s="229"/>
      <c r="AD691" s="229"/>
      <c r="AE691" s="229"/>
      <c r="AF691" s="229"/>
      <c r="AG691" s="229"/>
      <c r="AH691" s="229"/>
      <c r="AI691" s="229"/>
      <c r="AJ691" s="218"/>
      <c r="AK691" s="218"/>
      <c r="AL691" s="218"/>
      <c r="AM691" s="218"/>
    </row>
    <row r="692" spans="1:39" ht="12.75">
      <c r="A692" s="229"/>
      <c r="B692" s="229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  <c r="AA692" s="229"/>
      <c r="AB692" s="229"/>
      <c r="AC692" s="229"/>
      <c r="AD692" s="229"/>
      <c r="AE692" s="229"/>
      <c r="AF692" s="229"/>
      <c r="AG692" s="229"/>
      <c r="AH692" s="229"/>
      <c r="AI692" s="229"/>
      <c r="AJ692" s="218"/>
      <c r="AK692" s="218"/>
      <c r="AL692" s="218"/>
      <c r="AM692" s="218"/>
    </row>
    <row r="693" spans="1:39" ht="12.75">
      <c r="A693" s="229"/>
      <c r="B693" s="229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  <c r="AA693" s="229"/>
      <c r="AB693" s="229"/>
      <c r="AC693" s="229"/>
      <c r="AD693" s="229"/>
      <c r="AE693" s="229"/>
      <c r="AF693" s="229"/>
      <c r="AG693" s="229"/>
      <c r="AH693" s="229"/>
      <c r="AI693" s="229"/>
      <c r="AJ693" s="218"/>
      <c r="AK693" s="218"/>
      <c r="AL693" s="218"/>
      <c r="AM693" s="218"/>
    </row>
    <row r="694" spans="1:39" ht="12.75">
      <c r="A694" s="229"/>
      <c r="B694" s="229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  <c r="AA694" s="229"/>
      <c r="AB694" s="229"/>
      <c r="AC694" s="229"/>
      <c r="AD694" s="229"/>
      <c r="AE694" s="229"/>
      <c r="AF694" s="229"/>
      <c r="AG694" s="229"/>
      <c r="AH694" s="229"/>
      <c r="AI694" s="229"/>
      <c r="AJ694" s="218"/>
      <c r="AK694" s="218"/>
      <c r="AL694" s="218"/>
      <c r="AM694" s="218"/>
    </row>
    <row r="695" spans="1:39" ht="12.75">
      <c r="A695" s="229"/>
      <c r="B695" s="229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  <c r="AA695" s="229"/>
      <c r="AB695" s="229"/>
      <c r="AC695" s="229"/>
      <c r="AD695" s="229"/>
      <c r="AE695" s="229"/>
      <c r="AF695" s="229"/>
      <c r="AG695" s="229"/>
      <c r="AH695" s="229"/>
      <c r="AI695" s="229"/>
      <c r="AJ695" s="218"/>
      <c r="AK695" s="218"/>
      <c r="AL695" s="218"/>
      <c r="AM695" s="218"/>
    </row>
    <row r="696" spans="1:39" ht="12.75">
      <c r="A696" s="229"/>
      <c r="B696" s="229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  <c r="AA696" s="229"/>
      <c r="AB696" s="229"/>
      <c r="AC696" s="229"/>
      <c r="AD696" s="229"/>
      <c r="AE696" s="229"/>
      <c r="AF696" s="229"/>
      <c r="AG696" s="229"/>
      <c r="AH696" s="229"/>
      <c r="AI696" s="229"/>
      <c r="AJ696" s="218"/>
      <c r="AK696" s="218"/>
      <c r="AL696" s="218"/>
      <c r="AM696" s="218"/>
    </row>
    <row r="697" spans="1:39" ht="12.75">
      <c r="A697" s="229"/>
      <c r="B697" s="229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  <c r="AA697" s="229"/>
      <c r="AB697" s="229"/>
      <c r="AC697" s="229"/>
      <c r="AD697" s="229"/>
      <c r="AE697" s="229"/>
      <c r="AF697" s="229"/>
      <c r="AG697" s="229"/>
      <c r="AH697" s="229"/>
      <c r="AI697" s="229"/>
      <c r="AJ697" s="218"/>
      <c r="AK697" s="218"/>
      <c r="AL697" s="218"/>
      <c r="AM697" s="218"/>
    </row>
    <row r="698" spans="1:39" ht="12.75">
      <c r="A698" s="229"/>
      <c r="B698" s="229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  <c r="AA698" s="229"/>
      <c r="AB698" s="229"/>
      <c r="AC698" s="229"/>
      <c r="AD698" s="229"/>
      <c r="AE698" s="229"/>
      <c r="AF698" s="229"/>
      <c r="AG698" s="229"/>
      <c r="AH698" s="229"/>
      <c r="AI698" s="229"/>
      <c r="AJ698" s="218"/>
      <c r="AK698" s="218"/>
      <c r="AL698" s="218"/>
      <c r="AM698" s="218"/>
    </row>
    <row r="699" spans="1:39" ht="12.75">
      <c r="A699" s="229"/>
      <c r="B699" s="229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  <c r="AA699" s="229"/>
      <c r="AB699" s="229"/>
      <c r="AC699" s="229"/>
      <c r="AD699" s="229"/>
      <c r="AE699" s="229"/>
      <c r="AF699" s="229"/>
      <c r="AG699" s="229"/>
      <c r="AH699" s="229"/>
      <c r="AI699" s="229"/>
      <c r="AJ699" s="218"/>
      <c r="AK699" s="218"/>
      <c r="AL699" s="218"/>
      <c r="AM699" s="218"/>
    </row>
    <row r="700" spans="1:39" ht="12.75">
      <c r="A700" s="229"/>
      <c r="B700" s="229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  <c r="AA700" s="229"/>
      <c r="AB700" s="229"/>
      <c r="AC700" s="229"/>
      <c r="AD700" s="229"/>
      <c r="AE700" s="229"/>
      <c r="AF700" s="229"/>
      <c r="AG700" s="229"/>
      <c r="AH700" s="229"/>
      <c r="AI700" s="229"/>
      <c r="AJ700" s="218"/>
      <c r="AK700" s="218"/>
      <c r="AL700" s="218"/>
      <c r="AM700" s="218"/>
    </row>
    <row r="701" spans="1:39" ht="12.75">
      <c r="A701" s="229"/>
      <c r="B701" s="229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  <c r="AA701" s="229"/>
      <c r="AB701" s="229"/>
      <c r="AC701" s="229"/>
      <c r="AD701" s="229"/>
      <c r="AE701" s="229"/>
      <c r="AF701" s="229"/>
      <c r="AG701" s="229"/>
      <c r="AH701" s="229"/>
      <c r="AI701" s="229"/>
      <c r="AJ701" s="218"/>
      <c r="AK701" s="218"/>
      <c r="AL701" s="218"/>
      <c r="AM701" s="218"/>
    </row>
    <row r="702" spans="1:39" ht="12.75">
      <c r="A702" s="229"/>
      <c r="B702" s="229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  <c r="AA702" s="229"/>
      <c r="AB702" s="229"/>
      <c r="AC702" s="229"/>
      <c r="AD702" s="229"/>
      <c r="AE702" s="229"/>
      <c r="AF702" s="229"/>
      <c r="AG702" s="229"/>
      <c r="AH702" s="229"/>
      <c r="AI702" s="229"/>
      <c r="AJ702" s="218"/>
      <c r="AK702" s="218"/>
      <c r="AL702" s="218"/>
      <c r="AM702" s="218"/>
    </row>
    <row r="703" spans="1:39" ht="12.75">
      <c r="A703" s="229"/>
      <c r="B703" s="229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  <c r="AA703" s="229"/>
      <c r="AB703" s="229"/>
      <c r="AC703" s="229"/>
      <c r="AD703" s="229"/>
      <c r="AE703" s="229"/>
      <c r="AF703" s="229"/>
      <c r="AG703" s="229"/>
      <c r="AH703" s="229"/>
      <c r="AI703" s="229"/>
      <c r="AJ703" s="218"/>
      <c r="AK703" s="218"/>
      <c r="AL703" s="218"/>
      <c r="AM703" s="218"/>
    </row>
    <row r="704" spans="1:39" ht="12.75">
      <c r="A704" s="229"/>
      <c r="B704" s="229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  <c r="AA704" s="229"/>
      <c r="AB704" s="229"/>
      <c r="AC704" s="229"/>
      <c r="AD704" s="229"/>
      <c r="AE704" s="229"/>
      <c r="AF704" s="229"/>
      <c r="AG704" s="229"/>
      <c r="AH704" s="229"/>
      <c r="AI704" s="229"/>
      <c r="AJ704" s="218"/>
      <c r="AK704" s="218"/>
      <c r="AL704" s="218"/>
      <c r="AM704" s="218"/>
    </row>
    <row r="705" spans="1:39" ht="12.75">
      <c r="A705" s="229"/>
      <c r="B705" s="229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  <c r="AA705" s="229"/>
      <c r="AB705" s="229"/>
      <c r="AC705" s="229"/>
      <c r="AD705" s="229"/>
      <c r="AE705" s="229"/>
      <c r="AF705" s="229"/>
      <c r="AG705" s="229"/>
      <c r="AH705" s="229"/>
      <c r="AI705" s="229"/>
      <c r="AJ705" s="218"/>
      <c r="AK705" s="218"/>
      <c r="AL705" s="218"/>
      <c r="AM705" s="218"/>
    </row>
    <row r="706" spans="1:39" ht="12.75">
      <c r="A706" s="229"/>
      <c r="B706" s="229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  <c r="AA706" s="229"/>
      <c r="AB706" s="229"/>
      <c r="AC706" s="229"/>
      <c r="AD706" s="229"/>
      <c r="AE706" s="229"/>
      <c r="AF706" s="229"/>
      <c r="AG706" s="229"/>
      <c r="AH706" s="229"/>
      <c r="AI706" s="229"/>
      <c r="AJ706" s="218"/>
      <c r="AK706" s="218"/>
      <c r="AL706" s="218"/>
      <c r="AM706" s="218"/>
    </row>
    <row r="707" spans="1:39" ht="12.75">
      <c r="A707" s="229"/>
      <c r="B707" s="229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  <c r="AA707" s="229"/>
      <c r="AB707" s="229"/>
      <c r="AC707" s="229"/>
      <c r="AD707" s="229"/>
      <c r="AE707" s="229"/>
      <c r="AF707" s="229"/>
      <c r="AG707" s="229"/>
      <c r="AH707" s="229"/>
      <c r="AI707" s="229"/>
      <c r="AJ707" s="218"/>
      <c r="AK707" s="218"/>
      <c r="AL707" s="218"/>
      <c r="AM707" s="218"/>
    </row>
    <row r="708" spans="1:39" ht="12.75">
      <c r="A708" s="229"/>
      <c r="B708" s="229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  <c r="AA708" s="229"/>
      <c r="AB708" s="229"/>
      <c r="AC708" s="229"/>
      <c r="AD708" s="229"/>
      <c r="AE708" s="229"/>
      <c r="AF708" s="229"/>
      <c r="AG708" s="229"/>
      <c r="AH708" s="229"/>
      <c r="AI708" s="229"/>
      <c r="AJ708" s="218"/>
      <c r="AK708" s="218"/>
      <c r="AL708" s="218"/>
      <c r="AM708" s="218"/>
    </row>
    <row r="709" spans="1:39" ht="12.75">
      <c r="A709" s="229"/>
      <c r="B709" s="229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  <c r="AA709" s="229"/>
      <c r="AB709" s="229"/>
      <c r="AC709" s="229"/>
      <c r="AD709" s="229"/>
      <c r="AE709" s="229"/>
      <c r="AF709" s="229"/>
      <c r="AG709" s="229"/>
      <c r="AH709" s="229"/>
      <c r="AI709" s="229"/>
      <c r="AJ709" s="218"/>
      <c r="AK709" s="218"/>
      <c r="AL709" s="218"/>
      <c r="AM709" s="218"/>
    </row>
    <row r="710" spans="1:39" ht="12.75">
      <c r="A710" s="229"/>
      <c r="B710" s="229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  <c r="AA710" s="229"/>
      <c r="AB710" s="229"/>
      <c r="AC710" s="229"/>
      <c r="AD710" s="229"/>
      <c r="AE710" s="229"/>
      <c r="AF710" s="229"/>
      <c r="AG710" s="229"/>
      <c r="AH710" s="229"/>
      <c r="AI710" s="229"/>
      <c r="AJ710" s="218"/>
      <c r="AK710" s="218"/>
      <c r="AL710" s="218"/>
      <c r="AM710" s="218"/>
    </row>
    <row r="711" spans="1:39" ht="12.75">
      <c r="A711" s="229"/>
      <c r="B711" s="229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  <c r="AA711" s="229"/>
      <c r="AB711" s="229"/>
      <c r="AC711" s="229"/>
      <c r="AD711" s="229"/>
      <c r="AE711" s="229"/>
      <c r="AF711" s="229"/>
      <c r="AG711" s="229"/>
      <c r="AH711" s="229"/>
      <c r="AI711" s="229"/>
      <c r="AJ711" s="218"/>
      <c r="AK711" s="218"/>
      <c r="AL711" s="218"/>
      <c r="AM711" s="218"/>
    </row>
    <row r="712" spans="1:39" ht="12.75">
      <c r="A712" s="229"/>
      <c r="B712" s="229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  <c r="AA712" s="229"/>
      <c r="AB712" s="229"/>
      <c r="AC712" s="229"/>
      <c r="AD712" s="229"/>
      <c r="AE712" s="229"/>
      <c r="AF712" s="229"/>
      <c r="AG712" s="229"/>
      <c r="AH712" s="229"/>
      <c r="AI712" s="229"/>
      <c r="AJ712" s="218"/>
      <c r="AK712" s="218"/>
      <c r="AL712" s="218"/>
      <c r="AM712" s="218"/>
    </row>
    <row r="713" spans="1:39" ht="12.75">
      <c r="A713" s="229"/>
      <c r="B713" s="229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  <c r="AA713" s="229"/>
      <c r="AB713" s="229"/>
      <c r="AC713" s="229"/>
      <c r="AD713" s="229"/>
      <c r="AE713" s="229"/>
      <c r="AF713" s="229"/>
      <c r="AG713" s="229"/>
      <c r="AH713" s="229"/>
      <c r="AI713" s="229"/>
      <c r="AJ713" s="218"/>
      <c r="AK713" s="218"/>
      <c r="AL713" s="218"/>
      <c r="AM713" s="218"/>
    </row>
    <row r="714" spans="1:39" ht="12.75">
      <c r="A714" s="229"/>
      <c r="B714" s="229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  <c r="AA714" s="229"/>
      <c r="AB714" s="229"/>
      <c r="AC714" s="229"/>
      <c r="AD714" s="229"/>
      <c r="AE714" s="229"/>
      <c r="AF714" s="229"/>
      <c r="AG714" s="229"/>
      <c r="AH714" s="229"/>
      <c r="AI714" s="229"/>
      <c r="AJ714" s="218"/>
      <c r="AK714" s="218"/>
      <c r="AL714" s="218"/>
      <c r="AM714" s="218"/>
    </row>
    <row r="715" spans="1:39" ht="12.75">
      <c r="A715" s="229"/>
      <c r="B715" s="229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  <c r="AA715" s="229"/>
      <c r="AB715" s="229"/>
      <c r="AC715" s="229"/>
      <c r="AD715" s="229"/>
      <c r="AE715" s="229"/>
      <c r="AF715" s="229"/>
      <c r="AG715" s="229"/>
      <c r="AH715" s="229"/>
      <c r="AI715" s="229"/>
      <c r="AJ715" s="218"/>
      <c r="AK715" s="218"/>
      <c r="AL715" s="218"/>
      <c r="AM715" s="218"/>
    </row>
    <row r="716" spans="1:39" ht="12.75">
      <c r="A716" s="229"/>
      <c r="B716" s="229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  <c r="AA716" s="229"/>
      <c r="AB716" s="229"/>
      <c r="AC716" s="229"/>
      <c r="AD716" s="229"/>
      <c r="AE716" s="229"/>
      <c r="AF716" s="229"/>
      <c r="AG716" s="229"/>
      <c r="AH716" s="229"/>
      <c r="AI716" s="229"/>
      <c r="AJ716" s="218"/>
      <c r="AK716" s="218"/>
      <c r="AL716" s="218"/>
      <c r="AM716" s="218"/>
    </row>
    <row r="717" spans="1:39" ht="12.75">
      <c r="A717" s="229"/>
      <c r="B717" s="229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  <c r="AA717" s="229"/>
      <c r="AB717" s="229"/>
      <c r="AC717" s="229"/>
      <c r="AD717" s="229"/>
      <c r="AE717" s="229"/>
      <c r="AF717" s="229"/>
      <c r="AG717" s="229"/>
      <c r="AH717" s="229"/>
      <c r="AI717" s="229"/>
      <c r="AJ717" s="218"/>
      <c r="AK717" s="218"/>
      <c r="AL717" s="218"/>
      <c r="AM717" s="218"/>
    </row>
    <row r="718" spans="1:39" ht="12.75">
      <c r="A718" s="229"/>
      <c r="B718" s="229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  <c r="AA718" s="229"/>
      <c r="AB718" s="229"/>
      <c r="AC718" s="229"/>
      <c r="AD718" s="229"/>
      <c r="AE718" s="229"/>
      <c r="AF718" s="229"/>
      <c r="AG718" s="229"/>
      <c r="AH718" s="229"/>
      <c r="AI718" s="229"/>
      <c r="AJ718" s="218"/>
      <c r="AK718" s="218"/>
      <c r="AL718" s="218"/>
      <c r="AM718" s="218"/>
    </row>
    <row r="719" spans="1:39" ht="12.75">
      <c r="A719" s="229"/>
      <c r="B719" s="229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  <c r="AA719" s="229"/>
      <c r="AB719" s="229"/>
      <c r="AC719" s="229"/>
      <c r="AD719" s="229"/>
      <c r="AE719" s="229"/>
      <c r="AF719" s="229"/>
      <c r="AG719" s="229"/>
      <c r="AH719" s="229"/>
      <c r="AI719" s="229"/>
      <c r="AJ719" s="218"/>
      <c r="AK719" s="218"/>
      <c r="AL719" s="218"/>
      <c r="AM719" s="218"/>
    </row>
    <row r="720" spans="1:39" ht="12.75">
      <c r="A720" s="229"/>
      <c r="B720" s="229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  <c r="AA720" s="229"/>
      <c r="AB720" s="229"/>
      <c r="AC720" s="229"/>
      <c r="AD720" s="229"/>
      <c r="AE720" s="229"/>
      <c r="AF720" s="229"/>
      <c r="AG720" s="229"/>
      <c r="AH720" s="229"/>
      <c r="AI720" s="229"/>
      <c r="AJ720" s="218"/>
      <c r="AK720" s="218"/>
      <c r="AL720" s="218"/>
      <c r="AM720" s="218"/>
    </row>
    <row r="721" spans="1:39" ht="12.75">
      <c r="A721" s="229"/>
      <c r="B721" s="229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  <c r="AA721" s="229"/>
      <c r="AB721" s="229"/>
      <c r="AC721" s="229"/>
      <c r="AD721" s="229"/>
      <c r="AE721" s="229"/>
      <c r="AF721" s="229"/>
      <c r="AG721" s="229"/>
      <c r="AH721" s="229"/>
      <c r="AI721" s="229"/>
      <c r="AJ721" s="218"/>
      <c r="AK721" s="218"/>
      <c r="AL721" s="218"/>
      <c r="AM721" s="218"/>
    </row>
    <row r="722" spans="1:39" ht="12.75">
      <c r="A722" s="229"/>
      <c r="B722" s="229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  <c r="AA722" s="229"/>
      <c r="AB722" s="229"/>
      <c r="AC722" s="229"/>
      <c r="AD722" s="229"/>
      <c r="AE722" s="229"/>
      <c r="AF722" s="229"/>
      <c r="AG722" s="229"/>
      <c r="AH722" s="229"/>
      <c r="AI722" s="229"/>
      <c r="AJ722" s="218"/>
      <c r="AK722" s="218"/>
      <c r="AL722" s="218"/>
      <c r="AM722" s="218"/>
    </row>
    <row r="723" spans="1:39" ht="12.75">
      <c r="A723" s="229"/>
      <c r="B723" s="229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  <c r="AA723" s="229"/>
      <c r="AB723" s="229"/>
      <c r="AC723" s="229"/>
      <c r="AD723" s="229"/>
      <c r="AE723" s="229"/>
      <c r="AF723" s="229"/>
      <c r="AG723" s="229"/>
      <c r="AH723" s="229"/>
      <c r="AI723" s="229"/>
      <c r="AJ723" s="218"/>
      <c r="AK723" s="218"/>
      <c r="AL723" s="218"/>
      <c r="AM723" s="218"/>
    </row>
    <row r="724" spans="1:39" ht="12.75">
      <c r="A724" s="229"/>
      <c r="B724" s="229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  <c r="AA724" s="229"/>
      <c r="AB724" s="229"/>
      <c r="AC724" s="229"/>
      <c r="AD724" s="229"/>
      <c r="AE724" s="229"/>
      <c r="AF724" s="229"/>
      <c r="AG724" s="229"/>
      <c r="AH724" s="229"/>
      <c r="AI724" s="229"/>
      <c r="AJ724" s="218"/>
      <c r="AK724" s="218"/>
      <c r="AL724" s="218"/>
      <c r="AM724" s="218"/>
    </row>
    <row r="725" spans="1:39" ht="12.75">
      <c r="A725" s="229"/>
      <c r="B725" s="229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  <c r="AA725" s="229"/>
      <c r="AB725" s="229"/>
      <c r="AC725" s="229"/>
      <c r="AD725" s="229"/>
      <c r="AE725" s="229"/>
      <c r="AF725" s="229"/>
      <c r="AG725" s="229"/>
      <c r="AH725" s="229"/>
      <c r="AI725" s="229"/>
      <c r="AJ725" s="218"/>
      <c r="AK725" s="218"/>
      <c r="AL725" s="218"/>
      <c r="AM725" s="218"/>
    </row>
    <row r="726" spans="1:39" ht="12.75">
      <c r="A726" s="229"/>
      <c r="B726" s="229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  <c r="AA726" s="229"/>
      <c r="AB726" s="229"/>
      <c r="AC726" s="229"/>
      <c r="AD726" s="229"/>
      <c r="AE726" s="229"/>
      <c r="AF726" s="229"/>
      <c r="AG726" s="229"/>
      <c r="AH726" s="229"/>
      <c r="AI726" s="229"/>
      <c r="AJ726" s="218"/>
      <c r="AK726" s="218"/>
      <c r="AL726" s="218"/>
      <c r="AM726" s="218"/>
    </row>
    <row r="727" spans="1:39" ht="12.75">
      <c r="A727" s="229"/>
      <c r="B727" s="229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  <c r="AA727" s="229"/>
      <c r="AB727" s="229"/>
      <c r="AC727" s="229"/>
      <c r="AD727" s="229"/>
      <c r="AE727" s="229"/>
      <c r="AF727" s="229"/>
      <c r="AG727" s="229"/>
      <c r="AH727" s="229"/>
      <c r="AI727" s="229"/>
      <c r="AJ727" s="218"/>
      <c r="AK727" s="218"/>
      <c r="AL727" s="218"/>
      <c r="AM727" s="218"/>
    </row>
    <row r="728" spans="1:39" ht="12.75">
      <c r="A728" s="229"/>
      <c r="B728" s="229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  <c r="AA728" s="229"/>
      <c r="AB728" s="229"/>
      <c r="AC728" s="229"/>
      <c r="AD728" s="229"/>
      <c r="AE728" s="229"/>
      <c r="AF728" s="229"/>
      <c r="AG728" s="229"/>
      <c r="AH728" s="229"/>
      <c r="AI728" s="229"/>
      <c r="AJ728" s="218"/>
      <c r="AK728" s="218"/>
      <c r="AL728" s="218"/>
      <c r="AM728" s="218"/>
    </row>
    <row r="729" spans="1:39" ht="12.75">
      <c r="A729" s="229"/>
      <c r="B729" s="229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  <c r="AA729" s="229"/>
      <c r="AB729" s="229"/>
      <c r="AC729" s="229"/>
      <c r="AD729" s="229"/>
      <c r="AE729" s="229"/>
      <c r="AF729" s="229"/>
      <c r="AG729" s="229"/>
      <c r="AH729" s="229"/>
      <c r="AI729" s="229"/>
      <c r="AJ729" s="218"/>
      <c r="AK729" s="218"/>
      <c r="AL729" s="218"/>
      <c r="AM729" s="218"/>
    </row>
    <row r="730" spans="1:39" ht="12.75">
      <c r="A730" s="229"/>
      <c r="B730" s="229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  <c r="AA730" s="229"/>
      <c r="AB730" s="229"/>
      <c r="AC730" s="229"/>
      <c r="AD730" s="229"/>
      <c r="AE730" s="229"/>
      <c r="AF730" s="229"/>
      <c r="AG730" s="229"/>
      <c r="AH730" s="229"/>
      <c r="AI730" s="229"/>
      <c r="AJ730" s="218"/>
      <c r="AK730" s="218"/>
      <c r="AL730" s="218"/>
      <c r="AM730" s="218"/>
    </row>
    <row r="731" spans="1:39" ht="12.75">
      <c r="A731" s="229"/>
      <c r="B731" s="229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  <c r="AA731" s="229"/>
      <c r="AB731" s="229"/>
      <c r="AC731" s="229"/>
      <c r="AD731" s="229"/>
      <c r="AE731" s="229"/>
      <c r="AF731" s="229"/>
      <c r="AG731" s="229"/>
      <c r="AH731" s="229"/>
      <c r="AI731" s="229"/>
      <c r="AJ731" s="218"/>
      <c r="AK731" s="218"/>
      <c r="AL731" s="218"/>
      <c r="AM731" s="218"/>
    </row>
    <row r="732" spans="1:39" ht="12.75">
      <c r="A732" s="229"/>
      <c r="B732" s="229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  <c r="AA732" s="229"/>
      <c r="AB732" s="229"/>
      <c r="AC732" s="229"/>
      <c r="AD732" s="229"/>
      <c r="AE732" s="229"/>
      <c r="AF732" s="229"/>
      <c r="AG732" s="229"/>
      <c r="AH732" s="229"/>
      <c r="AI732" s="229"/>
      <c r="AJ732" s="218"/>
      <c r="AK732" s="218"/>
      <c r="AL732" s="218"/>
      <c r="AM732" s="218"/>
    </row>
    <row r="733" spans="1:39" ht="12.75">
      <c r="A733" s="229"/>
      <c r="B733" s="229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  <c r="AA733" s="229"/>
      <c r="AB733" s="229"/>
      <c r="AC733" s="229"/>
      <c r="AD733" s="229"/>
      <c r="AE733" s="229"/>
      <c r="AF733" s="229"/>
      <c r="AG733" s="229"/>
      <c r="AH733" s="229"/>
      <c r="AI733" s="229"/>
      <c r="AJ733" s="218"/>
      <c r="AK733" s="218"/>
      <c r="AL733" s="218"/>
      <c r="AM733" s="218"/>
    </row>
    <row r="734" spans="1:39" ht="12.75">
      <c r="A734" s="229"/>
      <c r="B734" s="229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  <c r="AA734" s="229"/>
      <c r="AB734" s="229"/>
      <c r="AC734" s="229"/>
      <c r="AD734" s="229"/>
      <c r="AE734" s="229"/>
      <c r="AF734" s="229"/>
      <c r="AG734" s="229"/>
      <c r="AH734" s="229"/>
      <c r="AI734" s="229"/>
      <c r="AJ734" s="218"/>
      <c r="AK734" s="218"/>
      <c r="AL734" s="218"/>
      <c r="AM734" s="218"/>
    </row>
    <row r="735" spans="1:39" ht="12.75">
      <c r="A735" s="229"/>
      <c r="B735" s="229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  <c r="AA735" s="229"/>
      <c r="AB735" s="229"/>
      <c r="AC735" s="229"/>
      <c r="AD735" s="229"/>
      <c r="AE735" s="229"/>
      <c r="AF735" s="229"/>
      <c r="AG735" s="229"/>
      <c r="AH735" s="229"/>
      <c r="AI735" s="229"/>
      <c r="AJ735" s="218"/>
      <c r="AK735" s="218"/>
      <c r="AL735" s="218"/>
      <c r="AM735" s="218"/>
    </row>
    <row r="736" spans="1:39" ht="12.75">
      <c r="A736" s="229"/>
      <c r="B736" s="229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  <c r="AA736" s="229"/>
      <c r="AB736" s="229"/>
      <c r="AC736" s="229"/>
      <c r="AD736" s="229"/>
      <c r="AE736" s="229"/>
      <c r="AF736" s="229"/>
      <c r="AG736" s="229"/>
      <c r="AH736" s="229"/>
      <c r="AI736" s="229"/>
      <c r="AJ736" s="218"/>
      <c r="AK736" s="218"/>
      <c r="AL736" s="218"/>
      <c r="AM736" s="218"/>
    </row>
    <row r="737" spans="1:39" ht="12.75">
      <c r="A737" s="229"/>
      <c r="B737" s="229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  <c r="AA737" s="229"/>
      <c r="AB737" s="229"/>
      <c r="AC737" s="229"/>
      <c r="AD737" s="229"/>
      <c r="AE737" s="229"/>
      <c r="AF737" s="229"/>
      <c r="AG737" s="229"/>
      <c r="AH737" s="229"/>
      <c r="AI737" s="229"/>
      <c r="AJ737" s="218"/>
      <c r="AK737" s="218"/>
      <c r="AL737" s="218"/>
      <c r="AM737" s="218"/>
    </row>
    <row r="738" spans="1:39" ht="12.75">
      <c r="A738" s="229"/>
      <c r="B738" s="229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  <c r="AA738" s="229"/>
      <c r="AB738" s="229"/>
      <c r="AC738" s="229"/>
      <c r="AD738" s="229"/>
      <c r="AE738" s="229"/>
      <c r="AF738" s="229"/>
      <c r="AG738" s="229"/>
      <c r="AH738" s="229"/>
      <c r="AI738" s="229"/>
      <c r="AJ738" s="218"/>
      <c r="AK738" s="218"/>
      <c r="AL738" s="218"/>
      <c r="AM738" s="218"/>
    </row>
    <row r="739" spans="1:39" ht="12.75">
      <c r="A739" s="229"/>
      <c r="B739" s="229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  <c r="AA739" s="229"/>
      <c r="AB739" s="229"/>
      <c r="AC739" s="229"/>
      <c r="AD739" s="229"/>
      <c r="AE739" s="229"/>
      <c r="AF739" s="229"/>
      <c r="AG739" s="229"/>
      <c r="AH739" s="229"/>
      <c r="AI739" s="229"/>
      <c r="AJ739" s="218"/>
      <c r="AK739" s="218"/>
      <c r="AL739" s="218"/>
      <c r="AM739" s="218"/>
    </row>
    <row r="740" spans="1:39" ht="12.75">
      <c r="A740" s="229"/>
      <c r="B740" s="229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  <c r="AA740" s="229"/>
      <c r="AB740" s="229"/>
      <c r="AC740" s="229"/>
      <c r="AD740" s="229"/>
      <c r="AE740" s="229"/>
      <c r="AF740" s="229"/>
      <c r="AG740" s="229"/>
      <c r="AH740" s="229"/>
      <c r="AI740" s="229"/>
      <c r="AJ740" s="218"/>
      <c r="AK740" s="218"/>
      <c r="AL740" s="218"/>
      <c r="AM740" s="218"/>
    </row>
    <row r="741" spans="1:39" ht="12.75">
      <c r="A741" s="229"/>
      <c r="B741" s="229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  <c r="AA741" s="229"/>
      <c r="AB741" s="229"/>
      <c r="AC741" s="229"/>
      <c r="AD741" s="229"/>
      <c r="AE741" s="229"/>
      <c r="AF741" s="229"/>
      <c r="AG741" s="229"/>
      <c r="AH741" s="229"/>
      <c r="AI741" s="229"/>
      <c r="AJ741" s="218"/>
      <c r="AK741" s="218"/>
      <c r="AL741" s="218"/>
      <c r="AM741" s="218"/>
    </row>
    <row r="742" spans="1:39" ht="12.75">
      <c r="A742" s="229"/>
      <c r="B742" s="229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  <c r="AA742" s="229"/>
      <c r="AB742" s="229"/>
      <c r="AC742" s="229"/>
      <c r="AD742" s="229"/>
      <c r="AE742" s="229"/>
      <c r="AF742" s="229"/>
      <c r="AG742" s="229"/>
      <c r="AH742" s="229"/>
      <c r="AI742" s="229"/>
      <c r="AJ742" s="218"/>
      <c r="AK742" s="218"/>
      <c r="AL742" s="218"/>
      <c r="AM742" s="218"/>
    </row>
    <row r="743" spans="1:39" ht="12.75">
      <c r="A743" s="229"/>
      <c r="B743" s="229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  <c r="AA743" s="229"/>
      <c r="AB743" s="229"/>
      <c r="AC743" s="229"/>
      <c r="AD743" s="229"/>
      <c r="AE743" s="229"/>
      <c r="AF743" s="229"/>
      <c r="AG743" s="229"/>
      <c r="AH743" s="229"/>
      <c r="AI743" s="229"/>
      <c r="AJ743" s="218"/>
      <c r="AK743" s="218"/>
      <c r="AL743" s="218"/>
      <c r="AM743" s="218"/>
    </row>
    <row r="744" spans="1:39" ht="12.75">
      <c r="A744" s="229"/>
      <c r="B744" s="229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  <c r="AA744" s="229"/>
      <c r="AB744" s="229"/>
      <c r="AC744" s="229"/>
      <c r="AD744" s="229"/>
      <c r="AE744" s="229"/>
      <c r="AF744" s="229"/>
      <c r="AG744" s="229"/>
      <c r="AH744" s="229"/>
      <c r="AI744" s="229"/>
      <c r="AJ744" s="218"/>
      <c r="AK744" s="218"/>
      <c r="AL744" s="218"/>
      <c r="AM744" s="218"/>
    </row>
    <row r="745" spans="1:39" ht="12.75">
      <c r="A745" s="229"/>
      <c r="B745" s="229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  <c r="AA745" s="229"/>
      <c r="AB745" s="229"/>
      <c r="AC745" s="229"/>
      <c r="AD745" s="229"/>
      <c r="AE745" s="229"/>
      <c r="AF745" s="229"/>
      <c r="AG745" s="229"/>
      <c r="AH745" s="229"/>
      <c r="AI745" s="229"/>
      <c r="AJ745" s="218"/>
      <c r="AK745" s="218"/>
      <c r="AL745" s="218"/>
      <c r="AM745" s="218"/>
    </row>
    <row r="746" spans="1:39" ht="12.75">
      <c r="A746" s="229"/>
      <c r="B746" s="229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  <c r="AA746" s="229"/>
      <c r="AB746" s="229"/>
      <c r="AC746" s="229"/>
      <c r="AD746" s="229"/>
      <c r="AE746" s="229"/>
      <c r="AF746" s="229"/>
      <c r="AG746" s="229"/>
      <c r="AH746" s="229"/>
      <c r="AI746" s="229"/>
      <c r="AJ746" s="218"/>
      <c r="AK746" s="218"/>
      <c r="AL746" s="218"/>
      <c r="AM746" s="218"/>
    </row>
    <row r="747" spans="1:39" ht="12.75">
      <c r="A747" s="229"/>
      <c r="B747" s="229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  <c r="AA747" s="229"/>
      <c r="AB747" s="229"/>
      <c r="AC747" s="229"/>
      <c r="AD747" s="229"/>
      <c r="AE747" s="229"/>
      <c r="AF747" s="229"/>
      <c r="AG747" s="229"/>
      <c r="AH747" s="229"/>
      <c r="AI747" s="229"/>
      <c r="AJ747" s="218"/>
      <c r="AK747" s="218"/>
      <c r="AL747" s="218"/>
      <c r="AM747" s="218"/>
    </row>
    <row r="748" spans="1:39" ht="12.75">
      <c r="A748" s="229"/>
      <c r="B748" s="229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  <c r="AA748" s="229"/>
      <c r="AB748" s="229"/>
      <c r="AC748" s="229"/>
      <c r="AD748" s="229"/>
      <c r="AE748" s="229"/>
      <c r="AF748" s="229"/>
      <c r="AG748" s="229"/>
      <c r="AH748" s="229"/>
      <c r="AI748" s="229"/>
      <c r="AJ748" s="218"/>
      <c r="AK748" s="218"/>
      <c r="AL748" s="218"/>
      <c r="AM748" s="218"/>
    </row>
    <row r="749" spans="1:39" ht="12.75">
      <c r="A749" s="229"/>
      <c r="B749" s="229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  <c r="AA749" s="229"/>
      <c r="AB749" s="229"/>
      <c r="AC749" s="229"/>
      <c r="AD749" s="229"/>
      <c r="AE749" s="229"/>
      <c r="AF749" s="229"/>
      <c r="AG749" s="229"/>
      <c r="AH749" s="229"/>
      <c r="AI749" s="229"/>
      <c r="AJ749" s="218"/>
      <c r="AK749" s="218"/>
      <c r="AL749" s="218"/>
      <c r="AM749" s="218"/>
    </row>
    <row r="750" spans="1:39" ht="12.75">
      <c r="A750" s="229"/>
      <c r="B750" s="229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  <c r="AA750" s="229"/>
      <c r="AB750" s="229"/>
      <c r="AC750" s="229"/>
      <c r="AD750" s="229"/>
      <c r="AE750" s="229"/>
      <c r="AF750" s="229"/>
      <c r="AG750" s="229"/>
      <c r="AH750" s="229"/>
      <c r="AI750" s="229"/>
      <c r="AJ750" s="218"/>
      <c r="AK750" s="218"/>
      <c r="AL750" s="218"/>
      <c r="AM750" s="218"/>
    </row>
    <row r="751" spans="1:39" ht="12.75">
      <c r="A751" s="229"/>
      <c r="B751" s="229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  <c r="AA751" s="229"/>
      <c r="AB751" s="229"/>
      <c r="AC751" s="229"/>
      <c r="AD751" s="229"/>
      <c r="AE751" s="229"/>
      <c r="AF751" s="229"/>
      <c r="AG751" s="229"/>
      <c r="AH751" s="229"/>
      <c r="AI751" s="229"/>
      <c r="AJ751" s="218"/>
      <c r="AK751" s="218"/>
      <c r="AL751" s="218"/>
      <c r="AM751" s="218"/>
    </row>
    <row r="752" spans="1:39" ht="12.75">
      <c r="A752" s="229"/>
      <c r="B752" s="229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  <c r="AA752" s="229"/>
      <c r="AB752" s="229"/>
      <c r="AC752" s="229"/>
      <c r="AD752" s="229"/>
      <c r="AE752" s="229"/>
      <c r="AF752" s="229"/>
      <c r="AG752" s="229"/>
      <c r="AH752" s="229"/>
      <c r="AI752" s="229"/>
      <c r="AJ752" s="218"/>
      <c r="AK752" s="218"/>
      <c r="AL752" s="218"/>
      <c r="AM752" s="218"/>
    </row>
    <row r="753" spans="1:39" ht="12.75">
      <c r="A753" s="229"/>
      <c r="B753" s="229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  <c r="AA753" s="229"/>
      <c r="AB753" s="229"/>
      <c r="AC753" s="229"/>
      <c r="AD753" s="229"/>
      <c r="AE753" s="229"/>
      <c r="AF753" s="229"/>
      <c r="AG753" s="229"/>
      <c r="AH753" s="229"/>
      <c r="AI753" s="229"/>
      <c r="AJ753" s="218"/>
      <c r="AK753" s="218"/>
      <c r="AL753" s="218"/>
      <c r="AM753" s="218"/>
    </row>
    <row r="754" spans="1:39" ht="12.75">
      <c r="A754" s="229"/>
      <c r="B754" s="229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  <c r="AA754" s="229"/>
      <c r="AB754" s="229"/>
      <c r="AC754" s="229"/>
      <c r="AD754" s="229"/>
      <c r="AE754" s="229"/>
      <c r="AF754" s="229"/>
      <c r="AG754" s="229"/>
      <c r="AH754" s="229"/>
      <c r="AI754" s="229"/>
      <c r="AJ754" s="218"/>
      <c r="AK754" s="218"/>
      <c r="AL754" s="218"/>
      <c r="AM754" s="218"/>
    </row>
    <row r="755" spans="1:39" ht="12.75">
      <c r="A755" s="229"/>
      <c r="B755" s="229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  <c r="AA755" s="229"/>
      <c r="AB755" s="229"/>
      <c r="AC755" s="229"/>
      <c r="AD755" s="229"/>
      <c r="AE755" s="229"/>
      <c r="AF755" s="229"/>
      <c r="AG755" s="229"/>
      <c r="AH755" s="229"/>
      <c r="AI755" s="229"/>
      <c r="AJ755" s="218"/>
      <c r="AK755" s="218"/>
      <c r="AL755" s="218"/>
      <c r="AM755" s="218"/>
    </row>
    <row r="756" spans="1:39" ht="12.75">
      <c r="A756" s="229"/>
      <c r="B756" s="229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  <c r="AA756" s="229"/>
      <c r="AB756" s="229"/>
      <c r="AC756" s="229"/>
      <c r="AD756" s="229"/>
      <c r="AE756" s="229"/>
      <c r="AF756" s="229"/>
      <c r="AG756" s="229"/>
      <c r="AH756" s="229"/>
      <c r="AI756" s="229"/>
      <c r="AJ756" s="218"/>
      <c r="AK756" s="218"/>
      <c r="AL756" s="218"/>
      <c r="AM756" s="218"/>
    </row>
    <row r="757" spans="1:39" ht="12.75">
      <c r="A757" s="229"/>
      <c r="B757" s="229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  <c r="AA757" s="229"/>
      <c r="AB757" s="229"/>
      <c r="AC757" s="229"/>
      <c r="AD757" s="229"/>
      <c r="AE757" s="229"/>
      <c r="AF757" s="229"/>
      <c r="AG757" s="229"/>
      <c r="AH757" s="229"/>
      <c r="AI757" s="229"/>
      <c r="AJ757" s="218"/>
      <c r="AK757" s="218"/>
      <c r="AL757" s="218"/>
      <c r="AM757" s="218"/>
    </row>
    <row r="758" spans="1:39" ht="12.75">
      <c r="A758" s="229"/>
      <c r="B758" s="229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  <c r="AA758" s="229"/>
      <c r="AB758" s="229"/>
      <c r="AC758" s="229"/>
      <c r="AD758" s="229"/>
      <c r="AE758" s="229"/>
      <c r="AF758" s="229"/>
      <c r="AG758" s="229"/>
      <c r="AH758" s="229"/>
      <c r="AI758" s="229"/>
      <c r="AJ758" s="218"/>
      <c r="AK758" s="218"/>
      <c r="AL758" s="218"/>
      <c r="AM758" s="218"/>
    </row>
    <row r="759" spans="1:39" ht="12.75">
      <c r="A759" s="229"/>
      <c r="B759" s="229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  <c r="AA759" s="229"/>
      <c r="AB759" s="229"/>
      <c r="AC759" s="229"/>
      <c r="AD759" s="229"/>
      <c r="AE759" s="229"/>
      <c r="AF759" s="229"/>
      <c r="AG759" s="229"/>
      <c r="AH759" s="229"/>
      <c r="AI759" s="229"/>
      <c r="AJ759" s="218"/>
      <c r="AK759" s="218"/>
      <c r="AL759" s="218"/>
      <c r="AM759" s="218"/>
    </row>
    <row r="760" spans="1:39" ht="12.75">
      <c r="A760" s="229"/>
      <c r="B760" s="229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  <c r="AA760" s="229"/>
      <c r="AB760" s="229"/>
      <c r="AC760" s="229"/>
      <c r="AD760" s="229"/>
      <c r="AE760" s="229"/>
      <c r="AF760" s="229"/>
      <c r="AG760" s="229"/>
      <c r="AH760" s="229"/>
      <c r="AI760" s="229"/>
      <c r="AJ760" s="218"/>
      <c r="AK760" s="218"/>
      <c r="AL760" s="218"/>
      <c r="AM760" s="218"/>
    </row>
    <row r="761" spans="1:39" ht="12.75">
      <c r="A761" s="229"/>
      <c r="B761" s="229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  <c r="AA761" s="229"/>
      <c r="AB761" s="229"/>
      <c r="AC761" s="229"/>
      <c r="AD761" s="229"/>
      <c r="AE761" s="229"/>
      <c r="AF761" s="229"/>
      <c r="AG761" s="229"/>
      <c r="AH761" s="229"/>
      <c r="AI761" s="229"/>
      <c r="AJ761" s="218"/>
      <c r="AK761" s="218"/>
      <c r="AL761" s="218"/>
      <c r="AM761" s="218"/>
    </row>
    <row r="762" spans="1:39" ht="12.75">
      <c r="A762" s="229"/>
      <c r="B762" s="229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  <c r="AA762" s="229"/>
      <c r="AB762" s="229"/>
      <c r="AC762" s="229"/>
      <c r="AD762" s="229"/>
      <c r="AE762" s="229"/>
      <c r="AF762" s="229"/>
      <c r="AG762" s="229"/>
      <c r="AH762" s="229"/>
      <c r="AI762" s="229"/>
      <c r="AJ762" s="218"/>
      <c r="AK762" s="218"/>
      <c r="AL762" s="218"/>
      <c r="AM762" s="218"/>
    </row>
    <row r="763" spans="1:39" ht="12.75">
      <c r="A763" s="229"/>
      <c r="B763" s="229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  <c r="AA763" s="229"/>
      <c r="AB763" s="229"/>
      <c r="AC763" s="229"/>
      <c r="AD763" s="229"/>
      <c r="AE763" s="229"/>
      <c r="AF763" s="229"/>
      <c r="AG763" s="229"/>
      <c r="AH763" s="229"/>
      <c r="AI763" s="229"/>
      <c r="AJ763" s="218"/>
      <c r="AK763" s="218"/>
      <c r="AL763" s="218"/>
      <c r="AM763" s="218"/>
    </row>
    <row r="764" spans="1:39" ht="12.75">
      <c r="A764" s="229"/>
      <c r="B764" s="229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  <c r="AA764" s="229"/>
      <c r="AB764" s="229"/>
      <c r="AC764" s="229"/>
      <c r="AD764" s="229"/>
      <c r="AE764" s="229"/>
      <c r="AF764" s="229"/>
      <c r="AG764" s="229"/>
      <c r="AH764" s="229"/>
      <c r="AI764" s="229"/>
      <c r="AJ764" s="218"/>
      <c r="AK764" s="218"/>
      <c r="AL764" s="218"/>
      <c r="AM764" s="218"/>
    </row>
    <row r="765" spans="1:39" ht="12.75">
      <c r="A765" s="229"/>
      <c r="B765" s="229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  <c r="AA765" s="229"/>
      <c r="AB765" s="229"/>
      <c r="AC765" s="229"/>
      <c r="AD765" s="229"/>
      <c r="AE765" s="229"/>
      <c r="AF765" s="229"/>
      <c r="AG765" s="229"/>
      <c r="AH765" s="229"/>
      <c r="AI765" s="229"/>
      <c r="AJ765" s="218"/>
      <c r="AK765" s="218"/>
      <c r="AL765" s="218"/>
      <c r="AM765" s="218"/>
    </row>
    <row r="766" spans="1:39" ht="12.75">
      <c r="A766" s="229"/>
      <c r="B766" s="229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  <c r="AA766" s="229"/>
      <c r="AB766" s="229"/>
      <c r="AC766" s="229"/>
      <c r="AD766" s="229"/>
      <c r="AE766" s="229"/>
      <c r="AF766" s="229"/>
      <c r="AG766" s="229"/>
      <c r="AH766" s="229"/>
      <c r="AI766" s="229"/>
      <c r="AJ766" s="218"/>
      <c r="AK766" s="218"/>
      <c r="AL766" s="218"/>
      <c r="AM766" s="218"/>
    </row>
    <row r="767" spans="1:39" ht="12.75">
      <c r="A767" s="229"/>
      <c r="B767" s="229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  <c r="AA767" s="229"/>
      <c r="AB767" s="229"/>
      <c r="AC767" s="229"/>
      <c r="AD767" s="229"/>
      <c r="AE767" s="229"/>
      <c r="AF767" s="229"/>
      <c r="AG767" s="229"/>
      <c r="AH767" s="229"/>
      <c r="AI767" s="229"/>
      <c r="AJ767" s="218"/>
      <c r="AK767" s="218"/>
      <c r="AL767" s="218"/>
      <c r="AM767" s="218"/>
    </row>
    <row r="768" spans="1:39" ht="12.75">
      <c r="A768" s="229"/>
      <c r="B768" s="229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  <c r="AA768" s="229"/>
      <c r="AB768" s="229"/>
      <c r="AC768" s="229"/>
      <c r="AD768" s="229"/>
      <c r="AE768" s="229"/>
      <c r="AF768" s="229"/>
      <c r="AG768" s="229"/>
      <c r="AH768" s="229"/>
      <c r="AI768" s="229"/>
      <c r="AJ768" s="218"/>
      <c r="AK768" s="218"/>
      <c r="AL768" s="218"/>
      <c r="AM768" s="218"/>
    </row>
    <row r="769" spans="1:39" ht="12.75">
      <c r="A769" s="229"/>
      <c r="B769" s="229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  <c r="AA769" s="229"/>
      <c r="AB769" s="229"/>
      <c r="AC769" s="229"/>
      <c r="AD769" s="229"/>
      <c r="AE769" s="229"/>
      <c r="AF769" s="229"/>
      <c r="AG769" s="229"/>
      <c r="AH769" s="229"/>
      <c r="AI769" s="229"/>
      <c r="AJ769" s="218"/>
      <c r="AK769" s="218"/>
      <c r="AL769" s="218"/>
      <c r="AM769" s="218"/>
    </row>
    <row r="770" spans="1:39" ht="12.75">
      <c r="A770" s="229"/>
      <c r="B770" s="229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  <c r="AA770" s="229"/>
      <c r="AB770" s="229"/>
      <c r="AC770" s="229"/>
      <c r="AD770" s="229"/>
      <c r="AE770" s="229"/>
      <c r="AF770" s="229"/>
      <c r="AG770" s="229"/>
      <c r="AH770" s="229"/>
      <c r="AI770" s="229"/>
      <c r="AJ770" s="218"/>
      <c r="AK770" s="218"/>
      <c r="AL770" s="218"/>
      <c r="AM770" s="218"/>
    </row>
    <row r="771" spans="1:39" ht="12.75">
      <c r="A771" s="229"/>
      <c r="B771" s="229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  <c r="AA771" s="229"/>
      <c r="AB771" s="229"/>
      <c r="AC771" s="229"/>
      <c r="AD771" s="229"/>
      <c r="AE771" s="229"/>
      <c r="AF771" s="229"/>
      <c r="AG771" s="229"/>
      <c r="AH771" s="229"/>
      <c r="AI771" s="229"/>
      <c r="AJ771" s="218"/>
      <c r="AK771" s="218"/>
      <c r="AL771" s="218"/>
      <c r="AM771" s="218"/>
    </row>
    <row r="772" spans="1:39" ht="12.75">
      <c r="A772" s="229"/>
      <c r="B772" s="229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  <c r="AA772" s="229"/>
      <c r="AB772" s="229"/>
      <c r="AC772" s="229"/>
      <c r="AD772" s="229"/>
      <c r="AE772" s="229"/>
      <c r="AF772" s="229"/>
      <c r="AG772" s="229"/>
      <c r="AH772" s="229"/>
      <c r="AI772" s="229"/>
      <c r="AJ772" s="218"/>
      <c r="AK772" s="218"/>
      <c r="AL772" s="218"/>
      <c r="AM772" s="218"/>
    </row>
    <row r="773" spans="1:39" ht="12.75">
      <c r="A773" s="229"/>
      <c r="B773" s="229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  <c r="AA773" s="229"/>
      <c r="AB773" s="229"/>
      <c r="AC773" s="229"/>
      <c r="AD773" s="229"/>
      <c r="AE773" s="229"/>
      <c r="AF773" s="229"/>
      <c r="AG773" s="229"/>
      <c r="AH773" s="229"/>
      <c r="AI773" s="229"/>
      <c r="AJ773" s="218"/>
      <c r="AK773" s="218"/>
      <c r="AL773" s="218"/>
      <c r="AM773" s="218"/>
    </row>
    <row r="774" spans="1:39" ht="12.75">
      <c r="A774" s="229"/>
      <c r="B774" s="229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  <c r="AA774" s="229"/>
      <c r="AB774" s="229"/>
      <c r="AC774" s="229"/>
      <c r="AD774" s="229"/>
      <c r="AE774" s="229"/>
      <c r="AF774" s="229"/>
      <c r="AG774" s="229"/>
      <c r="AH774" s="229"/>
      <c r="AI774" s="229"/>
      <c r="AJ774" s="218"/>
      <c r="AK774" s="218"/>
      <c r="AL774" s="218"/>
      <c r="AM774" s="218"/>
    </row>
    <row r="775" spans="1:39" ht="12.75">
      <c r="A775" s="229"/>
      <c r="B775" s="229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  <c r="AA775" s="229"/>
      <c r="AB775" s="229"/>
      <c r="AC775" s="229"/>
      <c r="AD775" s="229"/>
      <c r="AE775" s="229"/>
      <c r="AF775" s="229"/>
      <c r="AG775" s="229"/>
      <c r="AH775" s="229"/>
      <c r="AI775" s="229"/>
      <c r="AJ775" s="218"/>
      <c r="AK775" s="218"/>
      <c r="AL775" s="218"/>
      <c r="AM775" s="218"/>
    </row>
    <row r="776" spans="1:39" ht="12.75">
      <c r="A776" s="229"/>
      <c r="B776" s="229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  <c r="AA776" s="229"/>
      <c r="AB776" s="229"/>
      <c r="AC776" s="229"/>
      <c r="AD776" s="229"/>
      <c r="AE776" s="229"/>
      <c r="AF776" s="229"/>
      <c r="AG776" s="229"/>
      <c r="AH776" s="229"/>
      <c r="AI776" s="229"/>
      <c r="AJ776" s="218"/>
      <c r="AK776" s="218"/>
      <c r="AL776" s="218"/>
      <c r="AM776" s="218"/>
    </row>
    <row r="777" spans="1:39" ht="12.75">
      <c r="A777" s="229"/>
      <c r="B777" s="229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  <c r="AA777" s="229"/>
      <c r="AB777" s="229"/>
      <c r="AC777" s="229"/>
      <c r="AD777" s="229"/>
      <c r="AE777" s="229"/>
      <c r="AF777" s="229"/>
      <c r="AG777" s="229"/>
      <c r="AH777" s="229"/>
      <c r="AI777" s="229"/>
      <c r="AJ777" s="218"/>
      <c r="AK777" s="218"/>
      <c r="AL777" s="218"/>
      <c r="AM777" s="218"/>
    </row>
    <row r="778" spans="1:39" ht="12.75">
      <c r="A778" s="229"/>
      <c r="B778" s="229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  <c r="AA778" s="229"/>
      <c r="AB778" s="229"/>
      <c r="AC778" s="229"/>
      <c r="AD778" s="229"/>
      <c r="AE778" s="229"/>
      <c r="AF778" s="229"/>
      <c r="AG778" s="229"/>
      <c r="AH778" s="229"/>
      <c r="AI778" s="229"/>
      <c r="AJ778" s="218"/>
      <c r="AK778" s="218"/>
      <c r="AL778" s="218"/>
      <c r="AM778" s="218"/>
    </row>
    <row r="779" spans="1:39" ht="12.75">
      <c r="A779" s="229"/>
      <c r="B779" s="229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  <c r="AA779" s="229"/>
      <c r="AB779" s="229"/>
      <c r="AC779" s="229"/>
      <c r="AD779" s="229"/>
      <c r="AE779" s="229"/>
      <c r="AF779" s="229"/>
      <c r="AG779" s="229"/>
      <c r="AH779" s="229"/>
      <c r="AI779" s="229"/>
      <c r="AJ779" s="218"/>
      <c r="AK779" s="218"/>
      <c r="AL779" s="218"/>
      <c r="AM779" s="218"/>
    </row>
    <row r="780" spans="1:39" ht="12.75">
      <c r="A780" s="229"/>
      <c r="B780" s="229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  <c r="AA780" s="229"/>
      <c r="AB780" s="229"/>
      <c r="AC780" s="229"/>
      <c r="AD780" s="229"/>
      <c r="AE780" s="229"/>
      <c r="AF780" s="229"/>
      <c r="AG780" s="229"/>
      <c r="AH780" s="229"/>
      <c r="AI780" s="229"/>
      <c r="AJ780" s="218"/>
      <c r="AK780" s="218"/>
      <c r="AL780" s="218"/>
      <c r="AM780" s="218"/>
    </row>
    <row r="781" spans="1:39" ht="12.75">
      <c r="A781" s="229"/>
      <c r="B781" s="229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  <c r="AA781" s="229"/>
      <c r="AB781" s="229"/>
      <c r="AC781" s="229"/>
      <c r="AD781" s="229"/>
      <c r="AE781" s="229"/>
      <c r="AF781" s="229"/>
      <c r="AG781" s="229"/>
      <c r="AH781" s="229"/>
      <c r="AI781" s="229"/>
      <c r="AJ781" s="218"/>
      <c r="AK781" s="218"/>
      <c r="AL781" s="218"/>
      <c r="AM781" s="218"/>
    </row>
    <row r="782" spans="1:39" ht="12.75">
      <c r="A782" s="229"/>
      <c r="B782" s="229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  <c r="AA782" s="229"/>
      <c r="AB782" s="229"/>
      <c r="AC782" s="229"/>
      <c r="AD782" s="229"/>
      <c r="AE782" s="229"/>
      <c r="AF782" s="229"/>
      <c r="AG782" s="229"/>
      <c r="AH782" s="229"/>
      <c r="AI782" s="229"/>
      <c r="AJ782" s="218"/>
      <c r="AK782" s="218"/>
      <c r="AL782" s="218"/>
      <c r="AM782" s="218"/>
    </row>
    <row r="783" spans="1:39" ht="12.75">
      <c r="A783" s="229"/>
      <c r="B783" s="229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  <c r="AA783" s="229"/>
      <c r="AB783" s="229"/>
      <c r="AC783" s="229"/>
      <c r="AD783" s="229"/>
      <c r="AE783" s="229"/>
      <c r="AF783" s="229"/>
      <c r="AG783" s="229"/>
      <c r="AH783" s="229"/>
      <c r="AI783" s="229"/>
      <c r="AJ783" s="218"/>
      <c r="AK783" s="218"/>
      <c r="AL783" s="218"/>
      <c r="AM783" s="218"/>
    </row>
    <row r="784" spans="1:39" ht="12.75">
      <c r="A784" s="229"/>
      <c r="B784" s="229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  <c r="AA784" s="229"/>
      <c r="AB784" s="229"/>
      <c r="AC784" s="229"/>
      <c r="AD784" s="229"/>
      <c r="AE784" s="229"/>
      <c r="AF784" s="229"/>
      <c r="AG784" s="229"/>
      <c r="AH784" s="229"/>
      <c r="AI784" s="229"/>
      <c r="AJ784" s="218"/>
      <c r="AK784" s="218"/>
      <c r="AL784" s="218"/>
      <c r="AM784" s="218"/>
    </row>
    <row r="785" spans="1:39" ht="12.75">
      <c r="A785" s="229"/>
      <c r="B785" s="229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  <c r="AA785" s="229"/>
      <c r="AB785" s="229"/>
      <c r="AC785" s="229"/>
      <c r="AD785" s="229"/>
      <c r="AE785" s="229"/>
      <c r="AF785" s="229"/>
      <c r="AG785" s="229"/>
      <c r="AH785" s="229"/>
      <c r="AI785" s="229"/>
      <c r="AJ785" s="218"/>
      <c r="AK785" s="218"/>
      <c r="AL785" s="218"/>
      <c r="AM785" s="218"/>
    </row>
    <row r="786" spans="1:39" ht="12.75">
      <c r="A786" s="229"/>
      <c r="B786" s="229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  <c r="AA786" s="229"/>
      <c r="AB786" s="229"/>
      <c r="AC786" s="229"/>
      <c r="AD786" s="229"/>
      <c r="AE786" s="229"/>
      <c r="AF786" s="229"/>
      <c r="AG786" s="229"/>
      <c r="AH786" s="229"/>
      <c r="AI786" s="229"/>
      <c r="AJ786" s="218"/>
      <c r="AK786" s="218"/>
      <c r="AL786" s="218"/>
      <c r="AM786" s="218"/>
    </row>
    <row r="787" spans="1:39" ht="12.75">
      <c r="A787" s="229"/>
      <c r="B787" s="229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  <c r="AA787" s="229"/>
      <c r="AB787" s="229"/>
      <c r="AC787" s="229"/>
      <c r="AD787" s="229"/>
      <c r="AE787" s="229"/>
      <c r="AF787" s="229"/>
      <c r="AG787" s="229"/>
      <c r="AH787" s="229"/>
      <c r="AI787" s="229"/>
      <c r="AJ787" s="218"/>
      <c r="AK787" s="218"/>
      <c r="AL787" s="218"/>
      <c r="AM787" s="218"/>
    </row>
    <row r="788" spans="1:39" ht="12.75">
      <c r="A788" s="229"/>
      <c r="B788" s="229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  <c r="AA788" s="229"/>
      <c r="AB788" s="229"/>
      <c r="AC788" s="229"/>
      <c r="AD788" s="229"/>
      <c r="AE788" s="229"/>
      <c r="AF788" s="229"/>
      <c r="AG788" s="229"/>
      <c r="AH788" s="229"/>
      <c r="AI788" s="229"/>
      <c r="AJ788" s="218"/>
      <c r="AK788" s="218"/>
      <c r="AL788" s="218"/>
      <c r="AM788" s="218"/>
    </row>
    <row r="789" spans="1:39" ht="12.75">
      <c r="A789" s="229"/>
      <c r="B789" s="229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  <c r="AA789" s="229"/>
      <c r="AB789" s="229"/>
      <c r="AC789" s="229"/>
      <c r="AD789" s="229"/>
      <c r="AE789" s="229"/>
      <c r="AF789" s="229"/>
      <c r="AG789" s="229"/>
      <c r="AH789" s="229"/>
      <c r="AI789" s="229"/>
      <c r="AJ789" s="218"/>
      <c r="AK789" s="218"/>
      <c r="AL789" s="218"/>
      <c r="AM789" s="218"/>
    </row>
    <row r="790" spans="1:39" ht="12.75">
      <c r="A790" s="229"/>
      <c r="B790" s="229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  <c r="AA790" s="229"/>
      <c r="AB790" s="229"/>
      <c r="AC790" s="229"/>
      <c r="AD790" s="229"/>
      <c r="AE790" s="229"/>
      <c r="AF790" s="229"/>
      <c r="AG790" s="229"/>
      <c r="AH790" s="229"/>
      <c r="AI790" s="229"/>
      <c r="AJ790" s="218"/>
      <c r="AK790" s="218"/>
      <c r="AL790" s="218"/>
      <c r="AM790" s="218"/>
    </row>
    <row r="791" spans="1:39" ht="12.75">
      <c r="A791" s="229"/>
      <c r="B791" s="229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  <c r="AA791" s="229"/>
      <c r="AB791" s="229"/>
      <c r="AC791" s="229"/>
      <c r="AD791" s="229"/>
      <c r="AE791" s="229"/>
      <c r="AF791" s="229"/>
      <c r="AG791" s="229"/>
      <c r="AH791" s="229"/>
      <c r="AI791" s="229"/>
      <c r="AJ791" s="218"/>
      <c r="AK791" s="218"/>
      <c r="AL791" s="218"/>
      <c r="AM791" s="218"/>
    </row>
    <row r="792" spans="1:39" ht="12.75">
      <c r="A792" s="229"/>
      <c r="B792" s="229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  <c r="AA792" s="229"/>
      <c r="AB792" s="229"/>
      <c r="AC792" s="229"/>
      <c r="AD792" s="229"/>
      <c r="AE792" s="229"/>
      <c r="AF792" s="229"/>
      <c r="AG792" s="229"/>
      <c r="AH792" s="229"/>
      <c r="AI792" s="229"/>
      <c r="AJ792" s="218"/>
      <c r="AK792" s="218"/>
      <c r="AL792" s="218"/>
      <c r="AM792" s="218"/>
    </row>
    <row r="793" spans="1:39" ht="12.75">
      <c r="A793" s="229"/>
      <c r="B793" s="229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  <c r="AA793" s="229"/>
      <c r="AB793" s="229"/>
      <c r="AC793" s="229"/>
      <c r="AD793" s="229"/>
      <c r="AE793" s="229"/>
      <c r="AF793" s="229"/>
      <c r="AG793" s="229"/>
      <c r="AH793" s="229"/>
      <c r="AI793" s="229"/>
      <c r="AJ793" s="218"/>
      <c r="AK793" s="218"/>
      <c r="AL793" s="218"/>
      <c r="AM793" s="218"/>
    </row>
    <row r="794" spans="1:39" ht="12.75">
      <c r="A794" s="229"/>
      <c r="B794" s="229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  <c r="AA794" s="229"/>
      <c r="AB794" s="229"/>
      <c r="AC794" s="229"/>
      <c r="AD794" s="229"/>
      <c r="AE794" s="229"/>
      <c r="AF794" s="229"/>
      <c r="AG794" s="229"/>
      <c r="AH794" s="229"/>
      <c r="AI794" s="229"/>
      <c r="AJ794" s="218"/>
      <c r="AK794" s="218"/>
      <c r="AL794" s="218"/>
      <c r="AM794" s="218"/>
    </row>
    <row r="795" spans="1:39" ht="12.75">
      <c r="A795" s="229"/>
      <c r="B795" s="229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  <c r="AA795" s="229"/>
      <c r="AB795" s="229"/>
      <c r="AC795" s="229"/>
      <c r="AD795" s="229"/>
      <c r="AE795" s="229"/>
      <c r="AF795" s="229"/>
      <c r="AG795" s="229"/>
      <c r="AH795" s="229"/>
      <c r="AI795" s="229"/>
      <c r="AJ795" s="218"/>
      <c r="AK795" s="218"/>
      <c r="AL795" s="218"/>
      <c r="AM795" s="218"/>
    </row>
    <row r="796" spans="1:39" ht="12.75">
      <c r="A796" s="229"/>
      <c r="B796" s="229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  <c r="AA796" s="229"/>
      <c r="AB796" s="229"/>
      <c r="AC796" s="229"/>
      <c r="AD796" s="229"/>
      <c r="AE796" s="229"/>
      <c r="AF796" s="229"/>
      <c r="AG796" s="229"/>
      <c r="AH796" s="229"/>
      <c r="AI796" s="229"/>
      <c r="AJ796" s="218"/>
      <c r="AK796" s="218"/>
      <c r="AL796" s="218"/>
      <c r="AM796" s="218"/>
    </row>
    <row r="797" spans="1:39" ht="12.75">
      <c r="A797" s="229"/>
      <c r="B797" s="229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  <c r="AA797" s="229"/>
      <c r="AB797" s="229"/>
      <c r="AC797" s="229"/>
      <c r="AD797" s="229"/>
      <c r="AE797" s="229"/>
      <c r="AF797" s="229"/>
      <c r="AG797" s="229"/>
      <c r="AH797" s="229"/>
      <c r="AI797" s="229"/>
      <c r="AJ797" s="218"/>
      <c r="AK797" s="218"/>
      <c r="AL797" s="218"/>
      <c r="AM797" s="218"/>
    </row>
    <row r="798" spans="1:39" ht="12.75">
      <c r="A798" s="229"/>
      <c r="B798" s="229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  <c r="AA798" s="229"/>
      <c r="AB798" s="229"/>
      <c r="AC798" s="229"/>
      <c r="AD798" s="229"/>
      <c r="AE798" s="229"/>
      <c r="AF798" s="229"/>
      <c r="AG798" s="229"/>
      <c r="AH798" s="229"/>
      <c r="AI798" s="229"/>
      <c r="AJ798" s="218"/>
      <c r="AK798" s="218"/>
      <c r="AL798" s="218"/>
      <c r="AM798" s="218"/>
    </row>
    <row r="799" spans="1:39" ht="12.75">
      <c r="A799" s="229"/>
      <c r="B799" s="229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  <c r="AA799" s="229"/>
      <c r="AB799" s="229"/>
      <c r="AC799" s="229"/>
      <c r="AD799" s="229"/>
      <c r="AE799" s="229"/>
      <c r="AF799" s="229"/>
      <c r="AG799" s="229"/>
      <c r="AH799" s="229"/>
      <c r="AI799" s="229"/>
      <c r="AJ799" s="218"/>
      <c r="AK799" s="218"/>
      <c r="AL799" s="218"/>
      <c r="AM799" s="218"/>
    </row>
    <row r="800" spans="1:39" ht="12.75">
      <c r="A800" s="229"/>
      <c r="B800" s="229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  <c r="AA800" s="229"/>
      <c r="AB800" s="229"/>
      <c r="AC800" s="229"/>
      <c r="AD800" s="229"/>
      <c r="AE800" s="229"/>
      <c r="AF800" s="229"/>
      <c r="AG800" s="229"/>
      <c r="AH800" s="229"/>
      <c r="AI800" s="229"/>
      <c r="AJ800" s="218"/>
      <c r="AK800" s="218"/>
      <c r="AL800" s="218"/>
      <c r="AM800" s="218"/>
    </row>
    <row r="801" spans="1:39" ht="12.75">
      <c r="A801" s="229"/>
      <c r="B801" s="229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  <c r="AA801" s="229"/>
      <c r="AB801" s="229"/>
      <c r="AC801" s="229"/>
      <c r="AD801" s="229"/>
      <c r="AE801" s="229"/>
      <c r="AF801" s="229"/>
      <c r="AG801" s="229"/>
      <c r="AH801" s="229"/>
      <c r="AI801" s="229"/>
      <c r="AJ801" s="218"/>
      <c r="AK801" s="218"/>
      <c r="AL801" s="218"/>
      <c r="AM801" s="218"/>
    </row>
    <row r="802" spans="1:39" ht="12.75">
      <c r="A802" s="229"/>
      <c r="B802" s="229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  <c r="AA802" s="229"/>
      <c r="AB802" s="229"/>
      <c r="AC802" s="229"/>
      <c r="AD802" s="229"/>
      <c r="AE802" s="229"/>
      <c r="AF802" s="229"/>
      <c r="AG802" s="229"/>
      <c r="AH802" s="229"/>
      <c r="AI802" s="229"/>
      <c r="AJ802" s="218"/>
      <c r="AK802" s="218"/>
      <c r="AL802" s="218"/>
      <c r="AM802" s="218"/>
    </row>
    <row r="803" spans="1:39" ht="12.75">
      <c r="A803" s="229"/>
      <c r="B803" s="229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  <c r="AA803" s="229"/>
      <c r="AB803" s="229"/>
      <c r="AC803" s="229"/>
      <c r="AD803" s="229"/>
      <c r="AE803" s="229"/>
      <c r="AF803" s="229"/>
      <c r="AG803" s="229"/>
      <c r="AH803" s="229"/>
      <c r="AI803" s="229"/>
      <c r="AJ803" s="218"/>
      <c r="AK803" s="218"/>
      <c r="AL803" s="218"/>
      <c r="AM803" s="218"/>
    </row>
    <row r="804" spans="1:39" ht="12.75">
      <c r="A804" s="229"/>
      <c r="B804" s="229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  <c r="AA804" s="229"/>
      <c r="AB804" s="229"/>
      <c r="AC804" s="229"/>
      <c r="AD804" s="229"/>
      <c r="AE804" s="229"/>
      <c r="AF804" s="229"/>
      <c r="AG804" s="229"/>
      <c r="AH804" s="229"/>
      <c r="AI804" s="229"/>
      <c r="AJ804" s="218"/>
      <c r="AK804" s="218"/>
      <c r="AL804" s="218"/>
      <c r="AM804" s="218"/>
    </row>
    <row r="805" spans="1:39" ht="12.75">
      <c r="A805" s="229"/>
      <c r="B805" s="229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  <c r="AA805" s="229"/>
      <c r="AB805" s="229"/>
      <c r="AC805" s="229"/>
      <c r="AD805" s="229"/>
      <c r="AE805" s="229"/>
      <c r="AF805" s="229"/>
      <c r="AG805" s="229"/>
      <c r="AH805" s="229"/>
      <c r="AI805" s="229"/>
      <c r="AJ805" s="218"/>
      <c r="AK805" s="218"/>
      <c r="AL805" s="218"/>
      <c r="AM805" s="218"/>
    </row>
    <row r="806" spans="1:39" ht="12.75">
      <c r="A806" s="229"/>
      <c r="B806" s="229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  <c r="AA806" s="229"/>
      <c r="AB806" s="229"/>
      <c r="AC806" s="229"/>
      <c r="AD806" s="229"/>
      <c r="AE806" s="229"/>
      <c r="AF806" s="229"/>
      <c r="AG806" s="229"/>
      <c r="AH806" s="229"/>
      <c r="AI806" s="229"/>
      <c r="AJ806" s="218"/>
      <c r="AK806" s="218"/>
      <c r="AL806" s="218"/>
      <c r="AM806" s="218"/>
    </row>
    <row r="807" spans="1:39" ht="12.75">
      <c r="A807" s="229"/>
      <c r="B807" s="229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  <c r="AA807" s="229"/>
      <c r="AB807" s="229"/>
      <c r="AC807" s="229"/>
      <c r="AD807" s="229"/>
      <c r="AE807" s="229"/>
      <c r="AF807" s="229"/>
      <c r="AG807" s="229"/>
      <c r="AH807" s="229"/>
      <c r="AI807" s="229"/>
      <c r="AJ807" s="218"/>
      <c r="AK807" s="218"/>
      <c r="AL807" s="218"/>
      <c r="AM807" s="218"/>
    </row>
    <row r="808" spans="1:39" ht="12.75">
      <c r="A808" s="229"/>
      <c r="B808" s="229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  <c r="AA808" s="229"/>
      <c r="AB808" s="229"/>
      <c r="AC808" s="229"/>
      <c r="AD808" s="229"/>
      <c r="AE808" s="229"/>
      <c r="AF808" s="229"/>
      <c r="AG808" s="229"/>
      <c r="AH808" s="229"/>
      <c r="AI808" s="229"/>
      <c r="AJ808" s="218"/>
      <c r="AK808" s="218"/>
      <c r="AL808" s="218"/>
      <c r="AM808" s="218"/>
    </row>
    <row r="809" spans="1:39" ht="12.75">
      <c r="A809" s="229"/>
      <c r="B809" s="229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  <c r="AA809" s="229"/>
      <c r="AB809" s="229"/>
      <c r="AC809" s="229"/>
      <c r="AD809" s="229"/>
      <c r="AE809" s="229"/>
      <c r="AF809" s="229"/>
      <c r="AG809" s="229"/>
      <c r="AH809" s="229"/>
      <c r="AI809" s="229"/>
      <c r="AJ809" s="218"/>
      <c r="AK809" s="218"/>
      <c r="AL809" s="218"/>
      <c r="AM809" s="218"/>
    </row>
    <row r="810" spans="1:39" ht="12.75">
      <c r="A810" s="229"/>
      <c r="B810" s="229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  <c r="AA810" s="229"/>
      <c r="AB810" s="229"/>
      <c r="AC810" s="229"/>
      <c r="AD810" s="229"/>
      <c r="AE810" s="229"/>
      <c r="AF810" s="229"/>
      <c r="AG810" s="229"/>
      <c r="AH810" s="229"/>
      <c r="AI810" s="229"/>
      <c r="AJ810" s="218"/>
      <c r="AK810" s="218"/>
      <c r="AL810" s="218"/>
      <c r="AM810" s="218"/>
    </row>
    <row r="811" spans="1:39" ht="12.75">
      <c r="A811" s="229"/>
      <c r="B811" s="229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  <c r="AA811" s="229"/>
      <c r="AB811" s="229"/>
      <c r="AC811" s="229"/>
      <c r="AD811" s="229"/>
      <c r="AE811" s="229"/>
      <c r="AF811" s="229"/>
      <c r="AG811" s="229"/>
      <c r="AH811" s="229"/>
      <c r="AI811" s="229"/>
      <c r="AJ811" s="218"/>
      <c r="AK811" s="218"/>
      <c r="AL811" s="218"/>
      <c r="AM811" s="218"/>
    </row>
    <row r="812" spans="1:39" ht="12.75">
      <c r="A812" s="229"/>
      <c r="B812" s="229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  <c r="AA812" s="229"/>
      <c r="AB812" s="229"/>
      <c r="AC812" s="229"/>
      <c r="AD812" s="229"/>
      <c r="AE812" s="229"/>
      <c r="AF812" s="229"/>
      <c r="AG812" s="229"/>
      <c r="AH812" s="229"/>
      <c r="AI812" s="229"/>
      <c r="AJ812" s="218"/>
      <c r="AK812" s="218"/>
      <c r="AL812" s="218"/>
      <c r="AM812" s="218"/>
    </row>
    <row r="813" spans="1:39" ht="12.75">
      <c r="A813" s="229"/>
      <c r="B813" s="229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  <c r="AA813" s="229"/>
      <c r="AB813" s="229"/>
      <c r="AC813" s="229"/>
      <c r="AD813" s="229"/>
      <c r="AE813" s="229"/>
      <c r="AF813" s="229"/>
      <c r="AG813" s="229"/>
      <c r="AH813" s="229"/>
      <c r="AI813" s="229"/>
      <c r="AJ813" s="218"/>
      <c r="AK813" s="218"/>
      <c r="AL813" s="218"/>
      <c r="AM813" s="218"/>
    </row>
    <row r="814" spans="1:39" ht="12.75">
      <c r="A814" s="229"/>
      <c r="B814" s="229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  <c r="AA814" s="229"/>
      <c r="AB814" s="229"/>
      <c r="AC814" s="229"/>
      <c r="AD814" s="229"/>
      <c r="AE814" s="229"/>
      <c r="AF814" s="229"/>
      <c r="AG814" s="229"/>
      <c r="AH814" s="229"/>
      <c r="AI814" s="229"/>
      <c r="AJ814" s="218"/>
      <c r="AK814" s="218"/>
      <c r="AL814" s="218"/>
      <c r="AM814" s="218"/>
    </row>
    <row r="815" spans="1:39" ht="12.75">
      <c r="A815" s="229"/>
      <c r="B815" s="229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  <c r="AA815" s="229"/>
      <c r="AB815" s="229"/>
      <c r="AC815" s="229"/>
      <c r="AD815" s="229"/>
      <c r="AE815" s="229"/>
      <c r="AF815" s="229"/>
      <c r="AG815" s="229"/>
      <c r="AH815" s="229"/>
      <c r="AI815" s="229"/>
      <c r="AJ815" s="218"/>
      <c r="AK815" s="218"/>
      <c r="AL815" s="218"/>
      <c r="AM815" s="218"/>
    </row>
    <row r="816" spans="1:39" ht="12.75">
      <c r="A816" s="229"/>
      <c r="B816" s="229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  <c r="AA816" s="229"/>
      <c r="AB816" s="229"/>
      <c r="AC816" s="229"/>
      <c r="AD816" s="229"/>
      <c r="AE816" s="229"/>
      <c r="AF816" s="229"/>
      <c r="AG816" s="229"/>
      <c r="AH816" s="229"/>
      <c r="AI816" s="229"/>
      <c r="AJ816" s="218"/>
      <c r="AK816" s="218"/>
      <c r="AL816" s="218"/>
      <c r="AM816" s="218"/>
    </row>
    <row r="817" spans="1:39" ht="12.75">
      <c r="A817" s="229"/>
      <c r="B817" s="229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  <c r="AA817" s="229"/>
      <c r="AB817" s="229"/>
      <c r="AC817" s="229"/>
      <c r="AD817" s="229"/>
      <c r="AE817" s="229"/>
      <c r="AF817" s="229"/>
      <c r="AG817" s="229"/>
      <c r="AH817" s="229"/>
      <c r="AI817" s="229"/>
      <c r="AJ817" s="218"/>
      <c r="AK817" s="218"/>
      <c r="AL817" s="218"/>
      <c r="AM817" s="218"/>
    </row>
    <row r="818" spans="1:39" ht="12.75">
      <c r="A818" s="229"/>
      <c r="B818" s="229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  <c r="AA818" s="229"/>
      <c r="AB818" s="229"/>
      <c r="AC818" s="229"/>
      <c r="AD818" s="229"/>
      <c r="AE818" s="229"/>
      <c r="AF818" s="229"/>
      <c r="AG818" s="229"/>
      <c r="AH818" s="229"/>
      <c r="AI818" s="229"/>
      <c r="AJ818" s="218"/>
      <c r="AK818" s="218"/>
      <c r="AL818" s="218"/>
      <c r="AM818" s="218"/>
    </row>
    <row r="819" spans="1:39" ht="12.75">
      <c r="A819" s="229"/>
      <c r="B819" s="229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  <c r="AA819" s="229"/>
      <c r="AB819" s="229"/>
      <c r="AC819" s="229"/>
      <c r="AD819" s="229"/>
      <c r="AE819" s="229"/>
      <c r="AF819" s="229"/>
      <c r="AG819" s="229"/>
      <c r="AH819" s="229"/>
      <c r="AI819" s="229"/>
      <c r="AJ819" s="218"/>
      <c r="AK819" s="218"/>
      <c r="AL819" s="218"/>
      <c r="AM819" s="218"/>
    </row>
    <row r="820" spans="1:39" ht="12.75">
      <c r="A820" s="229"/>
      <c r="B820" s="229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  <c r="AA820" s="229"/>
      <c r="AB820" s="229"/>
      <c r="AC820" s="229"/>
      <c r="AD820" s="229"/>
      <c r="AE820" s="229"/>
      <c r="AF820" s="229"/>
      <c r="AG820" s="229"/>
      <c r="AH820" s="229"/>
      <c r="AI820" s="229"/>
      <c r="AJ820" s="218"/>
      <c r="AK820" s="218"/>
      <c r="AL820" s="218"/>
      <c r="AM820" s="218"/>
    </row>
    <row r="821" spans="1:39" ht="12.75">
      <c r="A821" s="229"/>
      <c r="B821" s="229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  <c r="AA821" s="229"/>
      <c r="AB821" s="229"/>
      <c r="AC821" s="229"/>
      <c r="AD821" s="229"/>
      <c r="AE821" s="229"/>
      <c r="AF821" s="229"/>
      <c r="AG821" s="229"/>
      <c r="AH821" s="229"/>
      <c r="AI821" s="229"/>
      <c r="AJ821" s="218"/>
      <c r="AK821" s="218"/>
      <c r="AL821" s="218"/>
      <c r="AM821" s="218"/>
    </row>
    <row r="822" spans="1:39" ht="12.75">
      <c r="A822" s="229"/>
      <c r="B822" s="229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  <c r="AA822" s="229"/>
      <c r="AB822" s="229"/>
      <c r="AC822" s="229"/>
      <c r="AD822" s="229"/>
      <c r="AE822" s="229"/>
      <c r="AF822" s="229"/>
      <c r="AG822" s="229"/>
      <c r="AH822" s="229"/>
      <c r="AI822" s="229"/>
      <c r="AJ822" s="218"/>
      <c r="AK822" s="218"/>
      <c r="AL822" s="218"/>
      <c r="AM822" s="218"/>
    </row>
    <row r="823" spans="1:39" ht="12.75">
      <c r="A823" s="229"/>
      <c r="B823" s="229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  <c r="AA823" s="229"/>
      <c r="AB823" s="229"/>
      <c r="AC823" s="229"/>
      <c r="AD823" s="229"/>
      <c r="AE823" s="229"/>
      <c r="AF823" s="229"/>
      <c r="AG823" s="229"/>
      <c r="AH823" s="229"/>
      <c r="AI823" s="229"/>
      <c r="AJ823" s="218"/>
      <c r="AK823" s="218"/>
      <c r="AL823" s="218"/>
      <c r="AM823" s="218"/>
    </row>
    <row r="824" spans="1:39" ht="12.75">
      <c r="A824" s="229"/>
      <c r="B824" s="229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  <c r="AA824" s="229"/>
      <c r="AB824" s="229"/>
      <c r="AC824" s="229"/>
      <c r="AD824" s="229"/>
      <c r="AE824" s="229"/>
      <c r="AF824" s="229"/>
      <c r="AG824" s="229"/>
      <c r="AH824" s="229"/>
      <c r="AI824" s="229"/>
      <c r="AJ824" s="218"/>
      <c r="AK824" s="218"/>
      <c r="AL824" s="218"/>
      <c r="AM824" s="218"/>
    </row>
    <row r="825" spans="1:39" ht="12.75">
      <c r="A825" s="229"/>
      <c r="B825" s="229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  <c r="AA825" s="229"/>
      <c r="AB825" s="229"/>
      <c r="AC825" s="229"/>
      <c r="AD825" s="229"/>
      <c r="AE825" s="229"/>
      <c r="AF825" s="229"/>
      <c r="AG825" s="229"/>
      <c r="AH825" s="229"/>
      <c r="AI825" s="229"/>
      <c r="AJ825" s="218"/>
      <c r="AK825" s="218"/>
      <c r="AL825" s="218"/>
      <c r="AM825" s="218"/>
    </row>
    <row r="826" spans="1:39" ht="12.75">
      <c r="A826" s="229"/>
      <c r="B826" s="229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  <c r="AA826" s="229"/>
      <c r="AB826" s="229"/>
      <c r="AC826" s="229"/>
      <c r="AD826" s="229"/>
      <c r="AE826" s="229"/>
      <c r="AF826" s="229"/>
      <c r="AG826" s="229"/>
      <c r="AH826" s="229"/>
      <c r="AI826" s="229"/>
      <c r="AJ826" s="218"/>
      <c r="AK826" s="218"/>
      <c r="AL826" s="218"/>
      <c r="AM826" s="218"/>
    </row>
    <row r="827" spans="1:39" ht="12.75">
      <c r="A827" s="229"/>
      <c r="B827" s="229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  <c r="AA827" s="229"/>
      <c r="AB827" s="229"/>
      <c r="AC827" s="229"/>
      <c r="AD827" s="229"/>
      <c r="AE827" s="229"/>
      <c r="AF827" s="229"/>
      <c r="AG827" s="229"/>
      <c r="AH827" s="229"/>
      <c r="AI827" s="229"/>
      <c r="AJ827" s="218"/>
      <c r="AK827" s="218"/>
      <c r="AL827" s="218"/>
      <c r="AM827" s="218"/>
    </row>
    <row r="828" spans="1:39" ht="12.75">
      <c r="A828" s="229"/>
      <c r="B828" s="229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  <c r="AA828" s="229"/>
      <c r="AB828" s="229"/>
      <c r="AC828" s="229"/>
      <c r="AD828" s="229"/>
      <c r="AE828" s="229"/>
      <c r="AF828" s="229"/>
      <c r="AG828" s="229"/>
      <c r="AH828" s="229"/>
      <c r="AI828" s="229"/>
      <c r="AJ828" s="218"/>
      <c r="AK828" s="218"/>
      <c r="AL828" s="218"/>
      <c r="AM828" s="218"/>
    </row>
    <row r="829" spans="1:39" ht="12.75">
      <c r="A829" s="229"/>
      <c r="B829" s="229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  <c r="AA829" s="229"/>
      <c r="AB829" s="229"/>
      <c r="AC829" s="229"/>
      <c r="AD829" s="229"/>
      <c r="AE829" s="229"/>
      <c r="AF829" s="229"/>
      <c r="AG829" s="229"/>
      <c r="AH829" s="229"/>
      <c r="AI829" s="229"/>
      <c r="AJ829" s="218"/>
      <c r="AK829" s="218"/>
      <c r="AL829" s="218"/>
      <c r="AM829" s="218"/>
    </row>
    <row r="830" spans="1:39" ht="12.75">
      <c r="A830" s="229"/>
      <c r="B830" s="229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  <c r="AA830" s="229"/>
      <c r="AB830" s="229"/>
      <c r="AC830" s="229"/>
      <c r="AD830" s="229"/>
      <c r="AE830" s="229"/>
      <c r="AF830" s="229"/>
      <c r="AG830" s="229"/>
      <c r="AH830" s="229"/>
      <c r="AI830" s="229"/>
      <c r="AJ830" s="218"/>
      <c r="AK830" s="218"/>
      <c r="AL830" s="218"/>
      <c r="AM830" s="218"/>
    </row>
    <row r="831" spans="1:39" ht="12.75">
      <c r="A831" s="229"/>
      <c r="B831" s="229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  <c r="AA831" s="229"/>
      <c r="AB831" s="229"/>
      <c r="AC831" s="229"/>
      <c r="AD831" s="229"/>
      <c r="AE831" s="229"/>
      <c r="AF831" s="229"/>
      <c r="AG831" s="229"/>
      <c r="AH831" s="229"/>
      <c r="AI831" s="229"/>
      <c r="AJ831" s="218"/>
      <c r="AK831" s="218"/>
      <c r="AL831" s="218"/>
      <c r="AM831" s="218"/>
    </row>
    <row r="832" spans="1:39" ht="12.75">
      <c r="A832" s="229"/>
      <c r="B832" s="229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  <c r="AA832" s="229"/>
      <c r="AB832" s="229"/>
      <c r="AC832" s="229"/>
      <c r="AD832" s="229"/>
      <c r="AE832" s="229"/>
      <c r="AF832" s="229"/>
      <c r="AG832" s="229"/>
      <c r="AH832" s="229"/>
      <c r="AI832" s="229"/>
      <c r="AJ832" s="218"/>
      <c r="AK832" s="218"/>
      <c r="AL832" s="218"/>
      <c r="AM832" s="218"/>
    </row>
    <row r="833" spans="1:39" ht="12.75">
      <c r="A833" s="229"/>
      <c r="B833" s="229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  <c r="AA833" s="229"/>
      <c r="AB833" s="229"/>
      <c r="AC833" s="229"/>
      <c r="AD833" s="229"/>
      <c r="AE833" s="229"/>
      <c r="AF833" s="229"/>
      <c r="AG833" s="229"/>
      <c r="AH833" s="229"/>
      <c r="AI833" s="229"/>
      <c r="AJ833" s="218"/>
      <c r="AK833" s="218"/>
      <c r="AL833" s="218"/>
      <c r="AM833" s="218"/>
    </row>
    <row r="834" spans="1:39" ht="12.75">
      <c r="A834" s="229"/>
      <c r="B834" s="229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  <c r="AA834" s="229"/>
      <c r="AB834" s="229"/>
      <c r="AC834" s="229"/>
      <c r="AD834" s="229"/>
      <c r="AE834" s="229"/>
      <c r="AF834" s="229"/>
      <c r="AG834" s="229"/>
      <c r="AH834" s="229"/>
      <c r="AI834" s="229"/>
      <c r="AJ834" s="218"/>
      <c r="AK834" s="218"/>
      <c r="AL834" s="218"/>
      <c r="AM834" s="218"/>
    </row>
    <row r="835" spans="1:39" ht="12.75">
      <c r="A835" s="229"/>
      <c r="B835" s="229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  <c r="AA835" s="229"/>
      <c r="AB835" s="229"/>
      <c r="AC835" s="229"/>
      <c r="AD835" s="229"/>
      <c r="AE835" s="229"/>
      <c r="AF835" s="229"/>
      <c r="AG835" s="229"/>
      <c r="AH835" s="229"/>
      <c r="AI835" s="229"/>
      <c r="AJ835" s="218"/>
      <c r="AK835" s="218"/>
      <c r="AL835" s="218"/>
      <c r="AM835" s="218"/>
    </row>
    <row r="836" spans="1:39" ht="12.75">
      <c r="A836" s="229"/>
      <c r="B836" s="229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  <c r="AA836" s="229"/>
      <c r="AB836" s="229"/>
      <c r="AC836" s="229"/>
      <c r="AD836" s="229"/>
      <c r="AE836" s="229"/>
      <c r="AF836" s="229"/>
      <c r="AG836" s="229"/>
      <c r="AH836" s="229"/>
      <c r="AI836" s="229"/>
      <c r="AJ836" s="218"/>
      <c r="AK836" s="218"/>
      <c r="AL836" s="218"/>
      <c r="AM836" s="218"/>
    </row>
    <row r="837" spans="1:39" ht="12.75">
      <c r="A837" s="229"/>
      <c r="B837" s="229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  <c r="AA837" s="229"/>
      <c r="AB837" s="229"/>
      <c r="AC837" s="229"/>
      <c r="AD837" s="229"/>
      <c r="AE837" s="229"/>
      <c r="AF837" s="229"/>
      <c r="AG837" s="229"/>
      <c r="AH837" s="229"/>
      <c r="AI837" s="229"/>
      <c r="AJ837" s="218"/>
      <c r="AK837" s="218"/>
      <c r="AL837" s="218"/>
      <c r="AM837" s="218"/>
    </row>
    <row r="838" spans="1:39" ht="12.75">
      <c r="A838" s="229"/>
      <c r="B838" s="229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  <c r="AA838" s="229"/>
      <c r="AB838" s="229"/>
      <c r="AC838" s="229"/>
      <c r="AD838" s="229"/>
      <c r="AE838" s="229"/>
      <c r="AF838" s="229"/>
      <c r="AG838" s="229"/>
      <c r="AH838" s="229"/>
      <c r="AI838" s="229"/>
      <c r="AJ838" s="218"/>
      <c r="AK838" s="218"/>
      <c r="AL838" s="218"/>
      <c r="AM838" s="218"/>
    </row>
    <row r="839" spans="1:39" ht="12.75">
      <c r="A839" s="229"/>
      <c r="B839" s="229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  <c r="AA839" s="229"/>
      <c r="AB839" s="229"/>
      <c r="AC839" s="229"/>
      <c r="AD839" s="229"/>
      <c r="AE839" s="229"/>
      <c r="AF839" s="229"/>
      <c r="AG839" s="229"/>
      <c r="AH839" s="229"/>
      <c r="AI839" s="229"/>
      <c r="AJ839" s="218"/>
      <c r="AK839" s="218"/>
      <c r="AL839" s="218"/>
      <c r="AM839" s="218"/>
    </row>
    <row r="840" spans="1:39" ht="12.75">
      <c r="A840" s="229"/>
      <c r="B840" s="229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  <c r="AA840" s="229"/>
      <c r="AB840" s="229"/>
      <c r="AC840" s="229"/>
      <c r="AD840" s="229"/>
      <c r="AE840" s="229"/>
      <c r="AF840" s="229"/>
      <c r="AG840" s="229"/>
      <c r="AH840" s="229"/>
      <c r="AI840" s="229"/>
      <c r="AJ840" s="218"/>
      <c r="AK840" s="218"/>
      <c r="AL840" s="218"/>
      <c r="AM840" s="218"/>
    </row>
    <row r="841" spans="1:39" ht="12.75">
      <c r="A841" s="229"/>
      <c r="B841" s="229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  <c r="AA841" s="229"/>
      <c r="AB841" s="229"/>
      <c r="AC841" s="229"/>
      <c r="AD841" s="229"/>
      <c r="AE841" s="229"/>
      <c r="AF841" s="229"/>
      <c r="AG841" s="229"/>
      <c r="AH841" s="229"/>
      <c r="AI841" s="229"/>
      <c r="AJ841" s="218"/>
      <c r="AK841" s="218"/>
      <c r="AL841" s="218"/>
      <c r="AM841" s="218"/>
    </row>
    <row r="842" spans="1:39" ht="12.75">
      <c r="A842" s="229"/>
      <c r="B842" s="229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  <c r="AA842" s="229"/>
      <c r="AB842" s="229"/>
      <c r="AC842" s="229"/>
      <c r="AD842" s="229"/>
      <c r="AE842" s="229"/>
      <c r="AF842" s="229"/>
      <c r="AG842" s="229"/>
      <c r="AH842" s="229"/>
      <c r="AI842" s="229"/>
      <c r="AJ842" s="218"/>
      <c r="AK842" s="218"/>
      <c r="AL842" s="218"/>
      <c r="AM842" s="218"/>
    </row>
    <row r="843" spans="1:39" ht="12.75">
      <c r="A843" s="229"/>
      <c r="B843" s="229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  <c r="AA843" s="229"/>
      <c r="AB843" s="229"/>
      <c r="AC843" s="229"/>
      <c r="AD843" s="229"/>
      <c r="AE843" s="229"/>
      <c r="AF843" s="229"/>
      <c r="AG843" s="229"/>
      <c r="AH843" s="229"/>
      <c r="AI843" s="229"/>
      <c r="AJ843" s="218"/>
      <c r="AK843" s="218"/>
      <c r="AL843" s="218"/>
      <c r="AM843" s="218"/>
    </row>
    <row r="844" spans="1:39" ht="12.75">
      <c r="A844" s="229"/>
      <c r="B844" s="229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  <c r="AA844" s="229"/>
      <c r="AB844" s="229"/>
      <c r="AC844" s="229"/>
      <c r="AD844" s="229"/>
      <c r="AE844" s="229"/>
      <c r="AF844" s="229"/>
      <c r="AG844" s="229"/>
      <c r="AH844" s="229"/>
      <c r="AI844" s="229"/>
      <c r="AJ844" s="218"/>
      <c r="AK844" s="218"/>
      <c r="AL844" s="218"/>
      <c r="AM844" s="218"/>
    </row>
    <row r="845" spans="1:39" ht="12.75">
      <c r="A845" s="229"/>
      <c r="B845" s="229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  <c r="AA845" s="229"/>
      <c r="AB845" s="229"/>
      <c r="AC845" s="229"/>
      <c r="AD845" s="229"/>
      <c r="AE845" s="229"/>
      <c r="AF845" s="229"/>
      <c r="AG845" s="229"/>
      <c r="AH845" s="229"/>
      <c r="AI845" s="229"/>
      <c r="AJ845" s="218"/>
      <c r="AK845" s="218"/>
      <c r="AL845" s="218"/>
      <c r="AM845" s="218"/>
    </row>
    <row r="846" spans="1:39" ht="12.75">
      <c r="A846" s="229"/>
      <c r="B846" s="229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  <c r="AA846" s="229"/>
      <c r="AB846" s="229"/>
      <c r="AC846" s="229"/>
      <c r="AD846" s="229"/>
      <c r="AE846" s="229"/>
      <c r="AF846" s="229"/>
      <c r="AG846" s="229"/>
      <c r="AH846" s="229"/>
      <c r="AI846" s="229"/>
      <c r="AJ846" s="218"/>
      <c r="AK846" s="218"/>
      <c r="AL846" s="218"/>
      <c r="AM846" s="218"/>
    </row>
    <row r="847" spans="1:39" ht="12.75">
      <c r="A847" s="229"/>
      <c r="B847" s="229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  <c r="AA847" s="229"/>
      <c r="AB847" s="229"/>
      <c r="AC847" s="229"/>
      <c r="AD847" s="229"/>
      <c r="AE847" s="229"/>
      <c r="AF847" s="229"/>
      <c r="AG847" s="229"/>
      <c r="AH847" s="229"/>
      <c r="AI847" s="229"/>
      <c r="AJ847" s="218"/>
      <c r="AK847" s="218"/>
      <c r="AL847" s="218"/>
      <c r="AM847" s="218"/>
    </row>
    <row r="848" spans="1:39" ht="12.75">
      <c r="A848" s="229"/>
      <c r="B848" s="229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  <c r="AA848" s="229"/>
      <c r="AB848" s="229"/>
      <c r="AC848" s="229"/>
      <c r="AD848" s="229"/>
      <c r="AE848" s="229"/>
      <c r="AF848" s="229"/>
      <c r="AG848" s="229"/>
      <c r="AH848" s="229"/>
      <c r="AI848" s="229"/>
      <c r="AJ848" s="218"/>
      <c r="AK848" s="218"/>
      <c r="AL848" s="218"/>
      <c r="AM848" s="218"/>
    </row>
    <row r="849" spans="1:39" ht="12.75">
      <c r="A849" s="229"/>
      <c r="B849" s="229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  <c r="AA849" s="229"/>
      <c r="AB849" s="229"/>
      <c r="AC849" s="229"/>
      <c r="AD849" s="229"/>
      <c r="AE849" s="229"/>
      <c r="AF849" s="229"/>
      <c r="AG849" s="229"/>
      <c r="AH849" s="229"/>
      <c r="AI849" s="229"/>
      <c r="AJ849" s="218"/>
      <c r="AK849" s="218"/>
      <c r="AL849" s="218"/>
      <c r="AM849" s="218"/>
    </row>
    <row r="850" spans="1:39" ht="12.75">
      <c r="A850" s="229"/>
      <c r="B850" s="229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  <c r="AA850" s="229"/>
      <c r="AB850" s="229"/>
      <c r="AC850" s="229"/>
      <c r="AD850" s="229"/>
      <c r="AE850" s="229"/>
      <c r="AF850" s="229"/>
      <c r="AG850" s="229"/>
      <c r="AH850" s="229"/>
      <c r="AI850" s="229"/>
      <c r="AJ850" s="218"/>
      <c r="AK850" s="218"/>
      <c r="AL850" s="218"/>
      <c r="AM850" s="218"/>
    </row>
    <row r="851" spans="1:39" ht="12.75">
      <c r="A851" s="229"/>
      <c r="B851" s="229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  <c r="AA851" s="229"/>
      <c r="AB851" s="229"/>
      <c r="AC851" s="229"/>
      <c r="AD851" s="229"/>
      <c r="AE851" s="229"/>
      <c r="AF851" s="229"/>
      <c r="AG851" s="229"/>
      <c r="AH851" s="229"/>
      <c r="AI851" s="229"/>
      <c r="AJ851" s="218"/>
      <c r="AK851" s="218"/>
      <c r="AL851" s="218"/>
      <c r="AM851" s="218"/>
    </row>
    <row r="852" spans="1:39" ht="12.75">
      <c r="A852" s="229"/>
      <c r="B852" s="229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  <c r="AA852" s="229"/>
      <c r="AB852" s="229"/>
      <c r="AC852" s="229"/>
      <c r="AD852" s="229"/>
      <c r="AE852" s="229"/>
      <c r="AF852" s="229"/>
      <c r="AG852" s="229"/>
      <c r="AH852" s="229"/>
      <c r="AI852" s="229"/>
      <c r="AJ852" s="218"/>
      <c r="AK852" s="218"/>
      <c r="AL852" s="218"/>
      <c r="AM852" s="218"/>
    </row>
    <row r="853" spans="1:39" ht="12.75">
      <c r="A853" s="229"/>
      <c r="B853" s="229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  <c r="AA853" s="229"/>
      <c r="AB853" s="229"/>
      <c r="AC853" s="229"/>
      <c r="AD853" s="229"/>
      <c r="AE853" s="229"/>
      <c r="AF853" s="229"/>
      <c r="AG853" s="229"/>
      <c r="AH853" s="229"/>
      <c r="AI853" s="229"/>
      <c r="AJ853" s="218"/>
      <c r="AK853" s="218"/>
      <c r="AL853" s="218"/>
      <c r="AM853" s="218"/>
    </row>
    <row r="854" spans="1:39" ht="12.75">
      <c r="A854" s="229"/>
      <c r="B854" s="229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  <c r="AA854" s="229"/>
      <c r="AB854" s="229"/>
      <c r="AC854" s="229"/>
      <c r="AD854" s="229"/>
      <c r="AE854" s="229"/>
      <c r="AF854" s="229"/>
      <c r="AG854" s="229"/>
      <c r="AH854" s="229"/>
      <c r="AI854" s="229"/>
      <c r="AJ854" s="218"/>
      <c r="AK854" s="218"/>
      <c r="AL854" s="218"/>
      <c r="AM854" s="218"/>
    </row>
    <row r="855" spans="1:39" ht="12.75">
      <c r="A855" s="229"/>
      <c r="B855" s="229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  <c r="AA855" s="229"/>
      <c r="AB855" s="229"/>
      <c r="AC855" s="229"/>
      <c r="AD855" s="229"/>
      <c r="AE855" s="229"/>
      <c r="AF855" s="229"/>
      <c r="AG855" s="229"/>
      <c r="AH855" s="229"/>
      <c r="AI855" s="229"/>
      <c r="AJ855" s="218"/>
      <c r="AK855" s="218"/>
      <c r="AL855" s="218"/>
      <c r="AM855" s="218"/>
    </row>
    <row r="856" spans="1:39" ht="12.75">
      <c r="A856" s="229"/>
      <c r="B856" s="229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  <c r="AA856" s="229"/>
      <c r="AB856" s="229"/>
      <c r="AC856" s="229"/>
      <c r="AD856" s="229"/>
      <c r="AE856" s="229"/>
      <c r="AF856" s="229"/>
      <c r="AG856" s="229"/>
      <c r="AH856" s="229"/>
      <c r="AI856" s="229"/>
      <c r="AJ856" s="218"/>
      <c r="AK856" s="218"/>
      <c r="AL856" s="218"/>
      <c r="AM856" s="218"/>
    </row>
    <row r="857" spans="1:39" ht="12.75">
      <c r="A857" s="229"/>
      <c r="B857" s="229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  <c r="AA857" s="229"/>
      <c r="AB857" s="229"/>
      <c r="AC857" s="229"/>
      <c r="AD857" s="229"/>
      <c r="AE857" s="229"/>
      <c r="AF857" s="229"/>
      <c r="AG857" s="229"/>
      <c r="AH857" s="229"/>
      <c r="AI857" s="229"/>
      <c r="AJ857" s="218"/>
      <c r="AK857" s="218"/>
      <c r="AL857" s="218"/>
      <c r="AM857" s="218"/>
    </row>
    <row r="858" spans="1:39" ht="12.75">
      <c r="A858" s="229"/>
      <c r="B858" s="229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  <c r="AA858" s="229"/>
      <c r="AB858" s="229"/>
      <c r="AC858" s="229"/>
      <c r="AD858" s="229"/>
      <c r="AE858" s="229"/>
      <c r="AF858" s="229"/>
      <c r="AG858" s="229"/>
      <c r="AH858" s="229"/>
      <c r="AI858" s="229"/>
      <c r="AJ858" s="218"/>
      <c r="AK858" s="218"/>
      <c r="AL858" s="218"/>
      <c r="AM858" s="218"/>
    </row>
    <row r="859" spans="1:39" ht="12.75">
      <c r="A859" s="229"/>
      <c r="B859" s="229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  <c r="AA859" s="229"/>
      <c r="AB859" s="229"/>
      <c r="AC859" s="229"/>
      <c r="AD859" s="229"/>
      <c r="AE859" s="229"/>
      <c r="AF859" s="229"/>
      <c r="AG859" s="229"/>
      <c r="AH859" s="229"/>
      <c r="AI859" s="229"/>
      <c r="AJ859" s="218"/>
      <c r="AK859" s="218"/>
      <c r="AL859" s="218"/>
      <c r="AM859" s="218"/>
    </row>
    <row r="860" spans="1:39" ht="12.75">
      <c r="A860" s="229"/>
      <c r="B860" s="229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  <c r="AA860" s="229"/>
      <c r="AB860" s="229"/>
      <c r="AC860" s="229"/>
      <c r="AD860" s="229"/>
      <c r="AE860" s="229"/>
      <c r="AF860" s="229"/>
      <c r="AG860" s="229"/>
      <c r="AH860" s="229"/>
      <c r="AI860" s="229"/>
      <c r="AJ860" s="218"/>
      <c r="AK860" s="218"/>
      <c r="AL860" s="218"/>
      <c r="AM860" s="218"/>
    </row>
    <row r="861" spans="1:39" ht="12.75">
      <c r="A861" s="229"/>
      <c r="B861" s="229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  <c r="AA861" s="229"/>
      <c r="AB861" s="229"/>
      <c r="AC861" s="229"/>
      <c r="AD861" s="229"/>
      <c r="AE861" s="229"/>
      <c r="AF861" s="229"/>
      <c r="AG861" s="229"/>
      <c r="AH861" s="229"/>
      <c r="AI861" s="229"/>
      <c r="AJ861" s="218"/>
      <c r="AK861" s="218"/>
      <c r="AL861" s="218"/>
      <c r="AM861" s="218"/>
    </row>
    <row r="862" spans="1:39" ht="12.75">
      <c r="A862" s="229"/>
      <c r="B862" s="229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  <c r="AA862" s="229"/>
      <c r="AB862" s="229"/>
      <c r="AC862" s="229"/>
      <c r="AD862" s="229"/>
      <c r="AE862" s="229"/>
      <c r="AF862" s="229"/>
      <c r="AG862" s="229"/>
      <c r="AH862" s="229"/>
      <c r="AI862" s="229"/>
      <c r="AJ862" s="218"/>
      <c r="AK862" s="218"/>
      <c r="AL862" s="218"/>
      <c r="AM862" s="218"/>
    </row>
    <row r="863" spans="1:39" ht="12.75">
      <c r="A863" s="229"/>
      <c r="B863" s="229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  <c r="AA863" s="229"/>
      <c r="AB863" s="229"/>
      <c r="AC863" s="229"/>
      <c r="AD863" s="229"/>
      <c r="AE863" s="229"/>
      <c r="AF863" s="229"/>
      <c r="AG863" s="229"/>
      <c r="AH863" s="229"/>
      <c r="AI863" s="229"/>
      <c r="AJ863" s="218"/>
      <c r="AK863" s="218"/>
      <c r="AL863" s="218"/>
      <c r="AM863" s="218"/>
    </row>
    <row r="864" spans="1:39" ht="12.75">
      <c r="A864" s="229"/>
      <c r="B864" s="229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  <c r="AA864" s="229"/>
      <c r="AB864" s="229"/>
      <c r="AC864" s="229"/>
      <c r="AD864" s="229"/>
      <c r="AE864" s="229"/>
      <c r="AF864" s="229"/>
      <c r="AG864" s="229"/>
      <c r="AH864" s="229"/>
      <c r="AI864" s="229"/>
      <c r="AJ864" s="218"/>
      <c r="AK864" s="218"/>
      <c r="AL864" s="218"/>
      <c r="AM864" s="218"/>
    </row>
    <row r="865" spans="1:39" ht="12.75">
      <c r="A865" s="229"/>
      <c r="B865" s="229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  <c r="AA865" s="229"/>
      <c r="AB865" s="229"/>
      <c r="AC865" s="229"/>
      <c r="AD865" s="229"/>
      <c r="AE865" s="229"/>
      <c r="AF865" s="229"/>
      <c r="AG865" s="229"/>
      <c r="AH865" s="229"/>
      <c r="AI865" s="229"/>
      <c r="AJ865" s="218"/>
      <c r="AK865" s="218"/>
      <c r="AL865" s="218"/>
      <c r="AM865" s="218"/>
    </row>
    <row r="866" spans="1:39" ht="12.75">
      <c r="A866" s="229"/>
      <c r="B866" s="229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  <c r="AA866" s="229"/>
      <c r="AB866" s="229"/>
      <c r="AC866" s="229"/>
      <c r="AD866" s="229"/>
      <c r="AE866" s="229"/>
      <c r="AF866" s="229"/>
      <c r="AG866" s="229"/>
      <c r="AH866" s="229"/>
      <c r="AI866" s="229"/>
      <c r="AJ866" s="218"/>
      <c r="AK866" s="218"/>
      <c r="AL866" s="218"/>
      <c r="AM866" s="218"/>
    </row>
    <row r="867" spans="1:39" ht="12.75">
      <c r="A867" s="229"/>
      <c r="B867" s="229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  <c r="AA867" s="229"/>
      <c r="AB867" s="229"/>
      <c r="AC867" s="229"/>
      <c r="AD867" s="229"/>
      <c r="AE867" s="229"/>
      <c r="AF867" s="229"/>
      <c r="AG867" s="229"/>
      <c r="AH867" s="229"/>
      <c r="AI867" s="229"/>
      <c r="AJ867" s="218"/>
      <c r="AK867" s="218"/>
      <c r="AL867" s="218"/>
      <c r="AM867" s="218"/>
    </row>
    <row r="868" spans="1:39" ht="12.75">
      <c r="A868" s="229"/>
      <c r="B868" s="229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  <c r="AA868" s="229"/>
      <c r="AB868" s="229"/>
      <c r="AC868" s="229"/>
      <c r="AD868" s="229"/>
      <c r="AE868" s="229"/>
      <c r="AF868" s="229"/>
      <c r="AG868" s="229"/>
      <c r="AH868" s="229"/>
      <c r="AI868" s="229"/>
      <c r="AJ868" s="218"/>
      <c r="AK868" s="218"/>
      <c r="AL868" s="218"/>
      <c r="AM868" s="218"/>
    </row>
    <row r="869" spans="1:39" ht="12.75">
      <c r="A869" s="229"/>
      <c r="B869" s="229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  <c r="AA869" s="229"/>
      <c r="AB869" s="229"/>
      <c r="AC869" s="229"/>
      <c r="AD869" s="229"/>
      <c r="AE869" s="229"/>
      <c r="AF869" s="229"/>
      <c r="AG869" s="229"/>
      <c r="AH869" s="229"/>
      <c r="AI869" s="229"/>
      <c r="AJ869" s="218"/>
      <c r="AK869" s="218"/>
      <c r="AL869" s="218"/>
      <c r="AM869" s="218"/>
    </row>
    <row r="870" spans="1:39" ht="12.75">
      <c r="A870" s="229"/>
      <c r="B870" s="229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  <c r="AA870" s="229"/>
      <c r="AB870" s="229"/>
      <c r="AC870" s="229"/>
      <c r="AD870" s="229"/>
      <c r="AE870" s="229"/>
      <c r="AF870" s="229"/>
      <c r="AG870" s="229"/>
      <c r="AH870" s="229"/>
      <c r="AI870" s="229"/>
      <c r="AJ870" s="218"/>
      <c r="AK870" s="218"/>
      <c r="AL870" s="218"/>
      <c r="AM870" s="218"/>
    </row>
    <row r="871" spans="1:39" ht="12.75">
      <c r="A871" s="229"/>
      <c r="B871" s="229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  <c r="AA871" s="229"/>
      <c r="AB871" s="229"/>
      <c r="AC871" s="229"/>
      <c r="AD871" s="229"/>
      <c r="AE871" s="229"/>
      <c r="AF871" s="229"/>
      <c r="AG871" s="229"/>
      <c r="AH871" s="229"/>
      <c r="AI871" s="229"/>
      <c r="AJ871" s="218"/>
      <c r="AK871" s="218"/>
      <c r="AL871" s="218"/>
      <c r="AM871" s="218"/>
    </row>
    <row r="872" spans="1:39" ht="12.75">
      <c r="A872" s="229"/>
      <c r="B872" s="229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  <c r="AA872" s="229"/>
      <c r="AB872" s="229"/>
      <c r="AC872" s="229"/>
      <c r="AD872" s="229"/>
      <c r="AE872" s="229"/>
      <c r="AF872" s="229"/>
      <c r="AG872" s="229"/>
      <c r="AH872" s="229"/>
      <c r="AI872" s="229"/>
      <c r="AJ872" s="218"/>
      <c r="AK872" s="218"/>
      <c r="AL872" s="218"/>
      <c r="AM872" s="218"/>
    </row>
    <row r="873" spans="1:39" ht="12.75">
      <c r="A873" s="229"/>
      <c r="B873" s="229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  <c r="AA873" s="229"/>
      <c r="AB873" s="229"/>
      <c r="AC873" s="229"/>
      <c r="AD873" s="229"/>
      <c r="AE873" s="229"/>
      <c r="AF873" s="229"/>
      <c r="AG873" s="229"/>
      <c r="AH873" s="229"/>
      <c r="AI873" s="229"/>
      <c r="AJ873" s="218"/>
      <c r="AK873" s="218"/>
      <c r="AL873" s="218"/>
      <c r="AM873" s="218"/>
    </row>
    <row r="874" spans="1:39" ht="12.75">
      <c r="A874" s="229"/>
      <c r="B874" s="229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  <c r="AA874" s="229"/>
      <c r="AB874" s="229"/>
      <c r="AC874" s="229"/>
      <c r="AD874" s="229"/>
      <c r="AE874" s="229"/>
      <c r="AF874" s="229"/>
      <c r="AG874" s="229"/>
      <c r="AH874" s="229"/>
      <c r="AI874" s="229"/>
      <c r="AJ874" s="218"/>
      <c r="AK874" s="218"/>
      <c r="AL874" s="218"/>
      <c r="AM874" s="218"/>
    </row>
    <row r="875" spans="1:39" ht="12.75">
      <c r="A875" s="229"/>
      <c r="B875" s="229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  <c r="AA875" s="229"/>
      <c r="AB875" s="229"/>
      <c r="AC875" s="229"/>
      <c r="AD875" s="229"/>
      <c r="AE875" s="229"/>
      <c r="AF875" s="229"/>
      <c r="AG875" s="229"/>
      <c r="AH875" s="229"/>
      <c r="AI875" s="229"/>
      <c r="AJ875" s="218"/>
      <c r="AK875" s="218"/>
      <c r="AL875" s="218"/>
      <c r="AM875" s="218"/>
    </row>
    <row r="876" spans="1:39" ht="12.75">
      <c r="A876" s="229"/>
      <c r="B876" s="229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  <c r="AA876" s="229"/>
      <c r="AB876" s="229"/>
      <c r="AC876" s="229"/>
      <c r="AD876" s="229"/>
      <c r="AE876" s="229"/>
      <c r="AF876" s="229"/>
      <c r="AG876" s="229"/>
      <c r="AH876" s="229"/>
      <c r="AI876" s="229"/>
      <c r="AJ876" s="218"/>
      <c r="AK876" s="218"/>
      <c r="AL876" s="218"/>
      <c r="AM876" s="218"/>
    </row>
    <row r="877" spans="1:39" ht="12.75">
      <c r="A877" s="229"/>
      <c r="B877" s="229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  <c r="AA877" s="229"/>
      <c r="AB877" s="229"/>
      <c r="AC877" s="229"/>
      <c r="AD877" s="229"/>
      <c r="AE877" s="229"/>
      <c r="AF877" s="229"/>
      <c r="AG877" s="229"/>
      <c r="AH877" s="229"/>
      <c r="AI877" s="229"/>
      <c r="AJ877" s="218"/>
      <c r="AK877" s="218"/>
      <c r="AL877" s="218"/>
      <c r="AM877" s="218"/>
    </row>
    <row r="878" spans="1:39" ht="12.75">
      <c r="A878" s="229"/>
      <c r="B878" s="229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  <c r="AA878" s="229"/>
      <c r="AB878" s="229"/>
      <c r="AC878" s="229"/>
      <c r="AD878" s="229"/>
      <c r="AE878" s="229"/>
      <c r="AF878" s="229"/>
      <c r="AG878" s="229"/>
      <c r="AH878" s="229"/>
      <c r="AI878" s="229"/>
      <c r="AJ878" s="218"/>
      <c r="AK878" s="218"/>
      <c r="AL878" s="218"/>
      <c r="AM878" s="218"/>
    </row>
    <row r="879" spans="1:39" ht="12.75">
      <c r="A879" s="229"/>
      <c r="B879" s="229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  <c r="AA879" s="229"/>
      <c r="AB879" s="229"/>
      <c r="AC879" s="229"/>
      <c r="AD879" s="229"/>
      <c r="AE879" s="229"/>
      <c r="AF879" s="229"/>
      <c r="AG879" s="229"/>
      <c r="AH879" s="229"/>
      <c r="AI879" s="229"/>
      <c r="AJ879" s="218"/>
      <c r="AK879" s="218"/>
      <c r="AL879" s="218"/>
      <c r="AM879" s="218"/>
    </row>
    <row r="880" spans="1:39" ht="12.75">
      <c r="A880" s="229"/>
      <c r="B880" s="229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  <c r="AA880" s="229"/>
      <c r="AB880" s="229"/>
      <c r="AC880" s="229"/>
      <c r="AD880" s="229"/>
      <c r="AE880" s="229"/>
      <c r="AF880" s="229"/>
      <c r="AG880" s="229"/>
      <c r="AH880" s="229"/>
      <c r="AI880" s="229"/>
      <c r="AJ880" s="218"/>
      <c r="AK880" s="218"/>
      <c r="AL880" s="218"/>
      <c r="AM880" s="218"/>
    </row>
    <row r="881" spans="1:39" ht="12.75">
      <c r="A881" s="229"/>
      <c r="B881" s="229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  <c r="AA881" s="229"/>
      <c r="AB881" s="229"/>
      <c r="AC881" s="229"/>
      <c r="AD881" s="229"/>
      <c r="AE881" s="229"/>
      <c r="AF881" s="229"/>
      <c r="AG881" s="229"/>
      <c r="AH881" s="229"/>
      <c r="AI881" s="229"/>
      <c r="AJ881" s="218"/>
      <c r="AK881" s="218"/>
      <c r="AL881" s="218"/>
      <c r="AM881" s="218"/>
    </row>
    <row r="882" spans="1:39" ht="12.75">
      <c r="A882" s="229"/>
      <c r="B882" s="229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  <c r="AA882" s="229"/>
      <c r="AB882" s="229"/>
      <c r="AC882" s="229"/>
      <c r="AD882" s="229"/>
      <c r="AE882" s="229"/>
      <c r="AF882" s="229"/>
      <c r="AG882" s="229"/>
      <c r="AH882" s="229"/>
      <c r="AI882" s="229"/>
      <c r="AJ882" s="218"/>
      <c r="AK882" s="218"/>
      <c r="AL882" s="218"/>
      <c r="AM882" s="218"/>
    </row>
    <row r="883" spans="1:39" ht="12.75">
      <c r="A883" s="229"/>
      <c r="B883" s="229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  <c r="AA883" s="229"/>
      <c r="AB883" s="229"/>
      <c r="AC883" s="229"/>
      <c r="AD883" s="229"/>
      <c r="AE883" s="229"/>
      <c r="AF883" s="229"/>
      <c r="AG883" s="229"/>
      <c r="AH883" s="229"/>
      <c r="AI883" s="229"/>
      <c r="AJ883" s="218"/>
      <c r="AK883" s="218"/>
      <c r="AL883" s="218"/>
      <c r="AM883" s="218"/>
    </row>
    <row r="884" spans="1:39" ht="12.75">
      <c r="A884" s="229"/>
      <c r="B884" s="229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  <c r="AA884" s="229"/>
      <c r="AB884" s="229"/>
      <c r="AC884" s="229"/>
      <c r="AD884" s="229"/>
      <c r="AE884" s="229"/>
      <c r="AF884" s="229"/>
      <c r="AG884" s="229"/>
      <c r="AH884" s="229"/>
      <c r="AI884" s="229"/>
      <c r="AJ884" s="218"/>
      <c r="AK884" s="218"/>
      <c r="AL884" s="218"/>
      <c r="AM884" s="218"/>
    </row>
    <row r="885" spans="1:39" ht="12.75">
      <c r="A885" s="229"/>
      <c r="B885" s="229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  <c r="AA885" s="229"/>
      <c r="AB885" s="229"/>
      <c r="AC885" s="229"/>
      <c r="AD885" s="229"/>
      <c r="AE885" s="229"/>
      <c r="AF885" s="229"/>
      <c r="AG885" s="229"/>
      <c r="AH885" s="229"/>
      <c r="AI885" s="229"/>
      <c r="AJ885" s="218"/>
      <c r="AK885" s="218"/>
      <c r="AL885" s="218"/>
      <c r="AM885" s="218"/>
    </row>
    <row r="886" spans="1:39" ht="12.75">
      <c r="A886" s="229"/>
      <c r="B886" s="229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  <c r="AA886" s="229"/>
      <c r="AB886" s="229"/>
      <c r="AC886" s="229"/>
      <c r="AD886" s="229"/>
      <c r="AE886" s="229"/>
      <c r="AF886" s="229"/>
      <c r="AG886" s="229"/>
      <c r="AH886" s="229"/>
      <c r="AI886" s="229"/>
      <c r="AJ886" s="218"/>
      <c r="AK886" s="218"/>
      <c r="AL886" s="218"/>
      <c r="AM886" s="218"/>
    </row>
    <row r="887" spans="1:39" ht="12.75">
      <c r="A887" s="229"/>
      <c r="B887" s="229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  <c r="AA887" s="229"/>
      <c r="AB887" s="229"/>
      <c r="AC887" s="229"/>
      <c r="AD887" s="229"/>
      <c r="AE887" s="229"/>
      <c r="AF887" s="229"/>
      <c r="AG887" s="229"/>
      <c r="AH887" s="229"/>
      <c r="AI887" s="229"/>
      <c r="AJ887" s="218"/>
      <c r="AK887" s="218"/>
      <c r="AL887" s="218"/>
      <c r="AM887" s="218"/>
    </row>
    <row r="888" spans="1:39" ht="12.75">
      <c r="A888" s="229"/>
      <c r="B888" s="229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  <c r="AA888" s="229"/>
      <c r="AB888" s="229"/>
      <c r="AC888" s="229"/>
      <c r="AD888" s="229"/>
      <c r="AE888" s="229"/>
      <c r="AF888" s="229"/>
      <c r="AG888" s="229"/>
      <c r="AH888" s="229"/>
      <c r="AI888" s="229"/>
      <c r="AJ888" s="218"/>
      <c r="AK888" s="218"/>
      <c r="AL888" s="218"/>
      <c r="AM888" s="218"/>
    </row>
    <row r="889" spans="1:39" ht="12.75">
      <c r="A889" s="229"/>
      <c r="B889" s="229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  <c r="AA889" s="229"/>
      <c r="AB889" s="229"/>
      <c r="AC889" s="229"/>
      <c r="AD889" s="229"/>
      <c r="AE889" s="229"/>
      <c r="AF889" s="229"/>
      <c r="AG889" s="229"/>
      <c r="AH889" s="229"/>
      <c r="AI889" s="229"/>
      <c r="AJ889" s="218"/>
      <c r="AK889" s="218"/>
      <c r="AL889" s="218"/>
      <c r="AM889" s="218"/>
    </row>
    <row r="890" spans="1:39" ht="12.75">
      <c r="A890" s="229"/>
      <c r="B890" s="229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  <c r="AA890" s="229"/>
      <c r="AB890" s="229"/>
      <c r="AC890" s="229"/>
      <c r="AD890" s="229"/>
      <c r="AE890" s="229"/>
      <c r="AF890" s="229"/>
      <c r="AG890" s="229"/>
      <c r="AH890" s="229"/>
      <c r="AI890" s="229"/>
      <c r="AJ890" s="218"/>
      <c r="AK890" s="218"/>
      <c r="AL890" s="218"/>
      <c r="AM890" s="218"/>
    </row>
    <row r="891" spans="1:39" ht="12.75">
      <c r="A891" s="229"/>
      <c r="B891" s="229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  <c r="AA891" s="229"/>
      <c r="AB891" s="229"/>
      <c r="AC891" s="229"/>
      <c r="AD891" s="229"/>
      <c r="AE891" s="229"/>
      <c r="AF891" s="229"/>
      <c r="AG891" s="229"/>
      <c r="AH891" s="229"/>
      <c r="AI891" s="229"/>
      <c r="AJ891" s="218"/>
      <c r="AK891" s="218"/>
      <c r="AL891" s="218"/>
      <c r="AM891" s="218"/>
    </row>
    <row r="892" spans="1:39" ht="12.75">
      <c r="A892" s="229"/>
      <c r="B892" s="229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  <c r="AA892" s="229"/>
      <c r="AB892" s="229"/>
      <c r="AC892" s="229"/>
      <c r="AD892" s="229"/>
      <c r="AE892" s="229"/>
      <c r="AF892" s="229"/>
      <c r="AG892" s="229"/>
      <c r="AH892" s="229"/>
      <c r="AI892" s="229"/>
      <c r="AJ892" s="218"/>
      <c r="AK892" s="218"/>
      <c r="AL892" s="218"/>
      <c r="AM892" s="218"/>
    </row>
    <row r="893" spans="1:39" ht="12.75">
      <c r="A893" s="229"/>
      <c r="B893" s="229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  <c r="AA893" s="229"/>
      <c r="AB893" s="229"/>
      <c r="AC893" s="229"/>
      <c r="AD893" s="229"/>
      <c r="AE893" s="229"/>
      <c r="AF893" s="229"/>
      <c r="AG893" s="229"/>
      <c r="AH893" s="229"/>
      <c r="AI893" s="229"/>
      <c r="AJ893" s="218"/>
      <c r="AK893" s="218"/>
      <c r="AL893" s="218"/>
      <c r="AM893" s="218"/>
    </row>
    <row r="894" spans="1:39" ht="12.75">
      <c r="A894" s="229"/>
      <c r="B894" s="229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  <c r="AA894" s="229"/>
      <c r="AB894" s="229"/>
      <c r="AC894" s="229"/>
      <c r="AD894" s="229"/>
      <c r="AE894" s="229"/>
      <c r="AF894" s="229"/>
      <c r="AG894" s="229"/>
      <c r="AH894" s="229"/>
      <c r="AI894" s="229"/>
      <c r="AJ894" s="218"/>
      <c r="AK894" s="218"/>
      <c r="AL894" s="218"/>
      <c r="AM894" s="218"/>
    </row>
    <row r="895" spans="1:39" ht="12.75">
      <c r="A895" s="229"/>
      <c r="B895" s="229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  <c r="AA895" s="229"/>
      <c r="AB895" s="229"/>
      <c r="AC895" s="229"/>
      <c r="AD895" s="229"/>
      <c r="AE895" s="229"/>
      <c r="AF895" s="229"/>
      <c r="AG895" s="229"/>
      <c r="AH895" s="229"/>
      <c r="AI895" s="229"/>
      <c r="AJ895" s="218"/>
      <c r="AK895" s="218"/>
      <c r="AL895" s="218"/>
      <c r="AM895" s="218"/>
    </row>
    <row r="896" spans="1:39" ht="12.75">
      <c r="A896" s="229"/>
      <c r="B896" s="229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  <c r="AA896" s="229"/>
      <c r="AB896" s="229"/>
      <c r="AC896" s="229"/>
      <c r="AD896" s="229"/>
      <c r="AE896" s="229"/>
      <c r="AF896" s="229"/>
      <c r="AG896" s="229"/>
      <c r="AH896" s="229"/>
      <c r="AI896" s="229"/>
      <c r="AJ896" s="218"/>
      <c r="AK896" s="218"/>
      <c r="AL896" s="218"/>
      <c r="AM896" s="218"/>
    </row>
    <row r="897" spans="1:39" ht="12.75">
      <c r="A897" s="229"/>
      <c r="B897" s="229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  <c r="AA897" s="229"/>
      <c r="AB897" s="229"/>
      <c r="AC897" s="229"/>
      <c r="AD897" s="229"/>
      <c r="AE897" s="229"/>
      <c r="AF897" s="229"/>
      <c r="AG897" s="229"/>
      <c r="AH897" s="229"/>
      <c r="AI897" s="229"/>
      <c r="AJ897" s="218"/>
      <c r="AK897" s="218"/>
      <c r="AL897" s="218"/>
      <c r="AM897" s="218"/>
    </row>
    <row r="898" spans="1:39" ht="12.75">
      <c r="A898" s="229"/>
      <c r="B898" s="229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  <c r="AA898" s="229"/>
      <c r="AB898" s="229"/>
      <c r="AC898" s="229"/>
      <c r="AD898" s="229"/>
      <c r="AE898" s="229"/>
      <c r="AF898" s="229"/>
      <c r="AG898" s="229"/>
      <c r="AH898" s="229"/>
      <c r="AI898" s="229"/>
      <c r="AJ898" s="218"/>
      <c r="AK898" s="218"/>
      <c r="AL898" s="218"/>
      <c r="AM898" s="218"/>
    </row>
    <row r="899" spans="1:39" ht="12.75">
      <c r="A899" s="229"/>
      <c r="B899" s="229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  <c r="AA899" s="229"/>
      <c r="AB899" s="229"/>
      <c r="AC899" s="229"/>
      <c r="AD899" s="229"/>
      <c r="AE899" s="229"/>
      <c r="AF899" s="229"/>
      <c r="AG899" s="229"/>
      <c r="AH899" s="229"/>
      <c r="AI899" s="229"/>
      <c r="AJ899" s="218"/>
      <c r="AK899" s="218"/>
      <c r="AL899" s="218"/>
      <c r="AM899" s="218"/>
    </row>
    <row r="900" spans="1:39" ht="12.75">
      <c r="A900" s="229"/>
      <c r="B900" s="229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  <c r="AA900" s="229"/>
      <c r="AB900" s="229"/>
      <c r="AC900" s="229"/>
      <c r="AD900" s="229"/>
      <c r="AE900" s="229"/>
      <c r="AF900" s="229"/>
      <c r="AG900" s="229"/>
      <c r="AH900" s="229"/>
      <c r="AI900" s="229"/>
      <c r="AJ900" s="218"/>
      <c r="AK900" s="218"/>
      <c r="AL900" s="218"/>
      <c r="AM900" s="218"/>
    </row>
    <row r="901" spans="1:39" ht="12.75">
      <c r="A901" s="229"/>
      <c r="B901" s="229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  <c r="AA901" s="229"/>
      <c r="AB901" s="229"/>
      <c r="AC901" s="229"/>
      <c r="AD901" s="229"/>
      <c r="AE901" s="229"/>
      <c r="AF901" s="229"/>
      <c r="AG901" s="229"/>
      <c r="AH901" s="229"/>
      <c r="AI901" s="229"/>
      <c r="AJ901" s="218"/>
      <c r="AK901" s="218"/>
      <c r="AL901" s="218"/>
      <c r="AM901" s="218"/>
    </row>
    <row r="902" spans="1:39" ht="12.75">
      <c r="A902" s="229"/>
      <c r="B902" s="229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  <c r="AA902" s="229"/>
      <c r="AB902" s="229"/>
      <c r="AC902" s="229"/>
      <c r="AD902" s="229"/>
      <c r="AE902" s="229"/>
      <c r="AF902" s="229"/>
      <c r="AG902" s="229"/>
      <c r="AH902" s="229"/>
      <c r="AI902" s="229"/>
      <c r="AJ902" s="218"/>
      <c r="AK902" s="218"/>
      <c r="AL902" s="218"/>
      <c r="AM902" s="218"/>
    </row>
    <row r="903" spans="1:39" ht="12.75">
      <c r="A903" s="229"/>
      <c r="B903" s="229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  <c r="AA903" s="229"/>
      <c r="AB903" s="229"/>
      <c r="AC903" s="229"/>
      <c r="AD903" s="229"/>
      <c r="AE903" s="229"/>
      <c r="AF903" s="229"/>
      <c r="AG903" s="229"/>
      <c r="AH903" s="229"/>
      <c r="AI903" s="229"/>
      <c r="AJ903" s="218"/>
      <c r="AK903" s="218"/>
      <c r="AL903" s="218"/>
      <c r="AM903" s="218"/>
    </row>
    <row r="904" spans="1:39" ht="12.75">
      <c r="A904" s="229"/>
      <c r="B904" s="229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  <c r="AA904" s="229"/>
      <c r="AB904" s="229"/>
      <c r="AC904" s="229"/>
      <c r="AD904" s="229"/>
      <c r="AE904" s="229"/>
      <c r="AF904" s="229"/>
      <c r="AG904" s="229"/>
      <c r="AH904" s="229"/>
      <c r="AI904" s="229"/>
      <c r="AJ904" s="218"/>
      <c r="AK904" s="218"/>
      <c r="AL904" s="218"/>
      <c r="AM904" s="218"/>
    </row>
    <row r="905" spans="1:39" ht="12.75">
      <c r="A905" s="229"/>
      <c r="B905" s="229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  <c r="AA905" s="229"/>
      <c r="AB905" s="229"/>
      <c r="AC905" s="229"/>
      <c r="AD905" s="229"/>
      <c r="AE905" s="229"/>
      <c r="AF905" s="229"/>
      <c r="AG905" s="229"/>
      <c r="AH905" s="229"/>
      <c r="AI905" s="229"/>
      <c r="AJ905" s="218"/>
      <c r="AK905" s="218"/>
      <c r="AL905" s="218"/>
      <c r="AM905" s="218"/>
    </row>
    <row r="906" spans="1:39" ht="12.75">
      <c r="A906" s="229"/>
      <c r="B906" s="229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  <c r="AA906" s="229"/>
      <c r="AB906" s="229"/>
      <c r="AC906" s="229"/>
      <c r="AD906" s="229"/>
      <c r="AE906" s="229"/>
      <c r="AF906" s="229"/>
      <c r="AG906" s="229"/>
      <c r="AH906" s="229"/>
      <c r="AI906" s="229"/>
      <c r="AJ906" s="218"/>
      <c r="AK906" s="218"/>
      <c r="AL906" s="218"/>
      <c r="AM906" s="218"/>
    </row>
    <row r="907" spans="1:39" ht="12.75">
      <c r="A907" s="229"/>
      <c r="B907" s="229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  <c r="AA907" s="229"/>
      <c r="AB907" s="229"/>
      <c r="AC907" s="229"/>
      <c r="AD907" s="229"/>
      <c r="AE907" s="229"/>
      <c r="AF907" s="229"/>
      <c r="AG907" s="229"/>
      <c r="AH907" s="229"/>
      <c r="AI907" s="229"/>
      <c r="AJ907" s="218"/>
      <c r="AK907" s="218"/>
      <c r="AL907" s="218"/>
      <c r="AM907" s="218"/>
    </row>
    <row r="908" spans="1:39" ht="12.75">
      <c r="A908" s="229"/>
      <c r="B908" s="229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  <c r="AA908" s="229"/>
      <c r="AB908" s="229"/>
      <c r="AC908" s="229"/>
      <c r="AD908" s="229"/>
      <c r="AE908" s="229"/>
      <c r="AF908" s="229"/>
      <c r="AG908" s="229"/>
      <c r="AH908" s="229"/>
      <c r="AI908" s="229"/>
      <c r="AJ908" s="218"/>
      <c r="AK908" s="218"/>
      <c r="AL908" s="218"/>
      <c r="AM908" s="218"/>
    </row>
    <row r="909" spans="1:39" ht="12.75">
      <c r="A909" s="229"/>
      <c r="B909" s="229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  <c r="AA909" s="229"/>
      <c r="AB909" s="229"/>
      <c r="AC909" s="229"/>
      <c r="AD909" s="229"/>
      <c r="AE909" s="229"/>
      <c r="AF909" s="229"/>
      <c r="AG909" s="229"/>
      <c r="AH909" s="229"/>
      <c r="AI909" s="229"/>
      <c r="AJ909" s="218"/>
      <c r="AK909" s="218"/>
      <c r="AL909" s="218"/>
      <c r="AM909" s="218"/>
    </row>
    <row r="910" spans="1:39" ht="12.75">
      <c r="A910" s="229"/>
      <c r="B910" s="229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  <c r="AA910" s="229"/>
      <c r="AB910" s="229"/>
      <c r="AC910" s="229"/>
      <c r="AD910" s="229"/>
      <c r="AE910" s="229"/>
      <c r="AF910" s="229"/>
      <c r="AG910" s="229"/>
      <c r="AH910" s="229"/>
      <c r="AI910" s="229"/>
      <c r="AJ910" s="218"/>
      <c r="AK910" s="218"/>
      <c r="AL910" s="218"/>
      <c r="AM910" s="218"/>
    </row>
    <row r="911" spans="1:39" ht="12.75">
      <c r="A911" s="229"/>
      <c r="B911" s="229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  <c r="AA911" s="229"/>
      <c r="AB911" s="229"/>
      <c r="AC911" s="229"/>
      <c r="AD911" s="229"/>
      <c r="AE911" s="229"/>
      <c r="AF911" s="229"/>
      <c r="AG911" s="229"/>
      <c r="AH911" s="229"/>
      <c r="AI911" s="229"/>
      <c r="AJ911" s="218"/>
      <c r="AK911" s="218"/>
      <c r="AL911" s="218"/>
      <c r="AM911" s="218"/>
    </row>
    <row r="912" spans="1:39" ht="12.75">
      <c r="A912" s="229"/>
      <c r="B912" s="229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  <c r="AA912" s="229"/>
      <c r="AB912" s="229"/>
      <c r="AC912" s="229"/>
      <c r="AD912" s="229"/>
      <c r="AE912" s="229"/>
      <c r="AF912" s="229"/>
      <c r="AG912" s="229"/>
      <c r="AH912" s="229"/>
      <c r="AI912" s="229"/>
      <c r="AJ912" s="218"/>
      <c r="AK912" s="218"/>
      <c r="AL912" s="218"/>
      <c r="AM912" s="218"/>
    </row>
    <row r="913" spans="1:39" ht="12.75">
      <c r="A913" s="229"/>
      <c r="B913" s="229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  <c r="AA913" s="229"/>
      <c r="AB913" s="229"/>
      <c r="AC913" s="229"/>
      <c r="AD913" s="229"/>
      <c r="AE913" s="229"/>
      <c r="AF913" s="229"/>
      <c r="AG913" s="229"/>
      <c r="AH913" s="229"/>
      <c r="AI913" s="229"/>
      <c r="AJ913" s="218"/>
      <c r="AK913" s="218"/>
      <c r="AL913" s="218"/>
      <c r="AM913" s="218"/>
    </row>
    <row r="914" spans="1:39" ht="12.75">
      <c r="A914" s="229"/>
      <c r="B914" s="229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  <c r="AA914" s="229"/>
      <c r="AB914" s="229"/>
      <c r="AC914" s="229"/>
      <c r="AD914" s="229"/>
      <c r="AE914" s="229"/>
      <c r="AF914" s="229"/>
      <c r="AG914" s="229"/>
      <c r="AH914" s="229"/>
      <c r="AI914" s="229"/>
      <c r="AJ914" s="218"/>
      <c r="AK914" s="218"/>
      <c r="AL914" s="218"/>
      <c r="AM914" s="218"/>
    </row>
    <row r="915" spans="1:39" ht="12.75">
      <c r="A915" s="229"/>
      <c r="B915" s="229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  <c r="AA915" s="229"/>
      <c r="AB915" s="229"/>
      <c r="AC915" s="229"/>
      <c r="AD915" s="229"/>
      <c r="AE915" s="229"/>
      <c r="AF915" s="229"/>
      <c r="AG915" s="229"/>
      <c r="AH915" s="229"/>
      <c r="AI915" s="229"/>
      <c r="AJ915" s="218"/>
      <c r="AK915" s="218"/>
      <c r="AL915" s="218"/>
      <c r="AM915" s="218"/>
    </row>
    <row r="916" spans="1:39" ht="12.75">
      <c r="A916" s="229"/>
      <c r="B916" s="229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  <c r="AA916" s="229"/>
      <c r="AB916" s="229"/>
      <c r="AC916" s="229"/>
      <c r="AD916" s="229"/>
      <c r="AE916" s="229"/>
      <c r="AF916" s="229"/>
      <c r="AG916" s="229"/>
      <c r="AH916" s="229"/>
      <c r="AI916" s="229"/>
      <c r="AJ916" s="218"/>
      <c r="AK916" s="218"/>
      <c r="AL916" s="218"/>
      <c r="AM916" s="218"/>
    </row>
    <row r="917" spans="1:39" ht="12.75">
      <c r="A917" s="229"/>
      <c r="B917" s="229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  <c r="AA917" s="229"/>
      <c r="AB917" s="229"/>
      <c r="AC917" s="229"/>
      <c r="AD917" s="229"/>
      <c r="AE917" s="229"/>
      <c r="AF917" s="229"/>
      <c r="AG917" s="229"/>
      <c r="AH917" s="229"/>
      <c r="AI917" s="229"/>
      <c r="AJ917" s="218"/>
      <c r="AK917" s="218"/>
      <c r="AL917" s="218"/>
      <c r="AM917" s="218"/>
    </row>
    <row r="918" spans="1:39" ht="12.75">
      <c r="A918" s="229"/>
      <c r="B918" s="229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  <c r="AA918" s="229"/>
      <c r="AB918" s="229"/>
      <c r="AC918" s="229"/>
      <c r="AD918" s="229"/>
      <c r="AE918" s="229"/>
      <c r="AF918" s="229"/>
      <c r="AG918" s="229"/>
      <c r="AH918" s="229"/>
      <c r="AI918" s="229"/>
      <c r="AJ918" s="218"/>
      <c r="AK918" s="218"/>
      <c r="AL918" s="218"/>
      <c r="AM918" s="218"/>
    </row>
    <row r="919" spans="1:39" ht="12.75">
      <c r="A919" s="229"/>
      <c r="B919" s="229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  <c r="AA919" s="229"/>
      <c r="AB919" s="229"/>
      <c r="AC919" s="229"/>
      <c r="AD919" s="229"/>
      <c r="AE919" s="229"/>
      <c r="AF919" s="229"/>
      <c r="AG919" s="229"/>
      <c r="AH919" s="229"/>
      <c r="AI919" s="229"/>
      <c r="AJ919" s="218"/>
      <c r="AK919" s="218"/>
      <c r="AL919" s="218"/>
      <c r="AM919" s="218"/>
    </row>
    <row r="920" spans="1:39" ht="12.75">
      <c r="A920" s="229"/>
      <c r="B920" s="229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  <c r="AA920" s="229"/>
      <c r="AB920" s="229"/>
      <c r="AC920" s="229"/>
      <c r="AD920" s="229"/>
      <c r="AE920" s="229"/>
      <c r="AF920" s="229"/>
      <c r="AG920" s="229"/>
      <c r="AH920" s="229"/>
      <c r="AI920" s="229"/>
      <c r="AJ920" s="218"/>
      <c r="AK920" s="218"/>
      <c r="AL920" s="218"/>
      <c r="AM920" s="218"/>
    </row>
    <row r="921" spans="1:39" ht="12.75">
      <c r="A921" s="229"/>
      <c r="B921" s="229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  <c r="AA921" s="229"/>
      <c r="AB921" s="229"/>
      <c r="AC921" s="229"/>
      <c r="AD921" s="229"/>
      <c r="AE921" s="229"/>
      <c r="AF921" s="229"/>
      <c r="AG921" s="229"/>
      <c r="AH921" s="229"/>
      <c r="AI921" s="229"/>
      <c r="AJ921" s="218"/>
      <c r="AK921" s="218"/>
      <c r="AL921" s="218"/>
      <c r="AM921" s="218"/>
    </row>
    <row r="922" spans="1:39" ht="12.75">
      <c r="A922" s="229"/>
      <c r="B922" s="229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  <c r="AA922" s="229"/>
      <c r="AB922" s="229"/>
      <c r="AC922" s="229"/>
      <c r="AD922" s="229"/>
      <c r="AE922" s="229"/>
      <c r="AF922" s="229"/>
      <c r="AG922" s="229"/>
      <c r="AH922" s="229"/>
      <c r="AI922" s="229"/>
      <c r="AJ922" s="218"/>
      <c r="AK922" s="218"/>
      <c r="AL922" s="218"/>
      <c r="AM922" s="218"/>
    </row>
    <row r="923" spans="1:39" ht="12.75">
      <c r="A923" s="229"/>
      <c r="B923" s="229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  <c r="AA923" s="229"/>
      <c r="AB923" s="229"/>
      <c r="AC923" s="229"/>
      <c r="AD923" s="229"/>
      <c r="AE923" s="229"/>
      <c r="AF923" s="229"/>
      <c r="AG923" s="229"/>
      <c r="AH923" s="229"/>
      <c r="AI923" s="229"/>
      <c r="AJ923" s="218"/>
      <c r="AK923" s="218"/>
      <c r="AL923" s="218"/>
      <c r="AM923" s="218"/>
    </row>
    <row r="924" spans="1:39" ht="12.75">
      <c r="A924" s="229"/>
      <c r="B924" s="229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  <c r="AA924" s="229"/>
      <c r="AB924" s="229"/>
      <c r="AC924" s="229"/>
      <c r="AD924" s="229"/>
      <c r="AE924" s="229"/>
      <c r="AF924" s="229"/>
      <c r="AG924" s="229"/>
      <c r="AH924" s="229"/>
      <c r="AI924" s="229"/>
      <c r="AJ924" s="218"/>
      <c r="AK924" s="218"/>
      <c r="AL924" s="218"/>
      <c r="AM924" s="218"/>
    </row>
    <row r="925" spans="1:39" ht="12.75">
      <c r="A925" s="229"/>
      <c r="B925" s="229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  <c r="AA925" s="229"/>
      <c r="AB925" s="229"/>
      <c r="AC925" s="229"/>
      <c r="AD925" s="229"/>
      <c r="AE925" s="229"/>
      <c r="AF925" s="229"/>
      <c r="AG925" s="229"/>
      <c r="AH925" s="229"/>
      <c r="AI925" s="229"/>
      <c r="AJ925" s="218"/>
      <c r="AK925" s="218"/>
      <c r="AL925" s="218"/>
      <c r="AM925" s="218"/>
    </row>
    <row r="926" spans="1:39" ht="12.75">
      <c r="A926" s="229"/>
      <c r="B926" s="229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  <c r="AA926" s="229"/>
      <c r="AB926" s="229"/>
      <c r="AC926" s="229"/>
      <c r="AD926" s="229"/>
      <c r="AE926" s="229"/>
      <c r="AF926" s="229"/>
      <c r="AG926" s="229"/>
      <c r="AH926" s="229"/>
      <c r="AI926" s="229"/>
      <c r="AJ926" s="218"/>
      <c r="AK926" s="218"/>
      <c r="AL926" s="218"/>
      <c r="AM926" s="218"/>
    </row>
    <row r="927" spans="1:39" ht="12.75">
      <c r="A927" s="229"/>
      <c r="B927" s="229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  <c r="AA927" s="229"/>
      <c r="AB927" s="229"/>
      <c r="AC927" s="229"/>
      <c r="AD927" s="229"/>
      <c r="AE927" s="229"/>
      <c r="AF927" s="229"/>
      <c r="AG927" s="229"/>
      <c r="AH927" s="229"/>
      <c r="AI927" s="229"/>
      <c r="AJ927" s="218"/>
      <c r="AK927" s="218"/>
      <c r="AL927" s="218"/>
      <c r="AM927" s="218"/>
    </row>
    <row r="928" spans="1:39" ht="12.75">
      <c r="A928" s="229"/>
      <c r="B928" s="229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  <c r="AA928" s="229"/>
      <c r="AB928" s="229"/>
      <c r="AC928" s="229"/>
      <c r="AD928" s="229"/>
      <c r="AE928" s="229"/>
      <c r="AF928" s="229"/>
      <c r="AG928" s="229"/>
      <c r="AH928" s="229"/>
      <c r="AI928" s="229"/>
      <c r="AJ928" s="218"/>
      <c r="AK928" s="218"/>
      <c r="AL928" s="218"/>
      <c r="AM928" s="218"/>
    </row>
    <row r="929" spans="1:39" ht="12.75">
      <c r="A929" s="229"/>
      <c r="B929" s="229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  <c r="AA929" s="229"/>
      <c r="AB929" s="229"/>
      <c r="AC929" s="229"/>
      <c r="AD929" s="229"/>
      <c r="AE929" s="229"/>
      <c r="AF929" s="229"/>
      <c r="AG929" s="229"/>
      <c r="AH929" s="229"/>
      <c r="AI929" s="229"/>
      <c r="AJ929" s="218"/>
      <c r="AK929" s="218"/>
      <c r="AL929" s="218"/>
      <c r="AM929" s="218"/>
    </row>
    <row r="930" spans="1:39" ht="12.75">
      <c r="A930" s="229"/>
      <c r="B930" s="229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  <c r="AA930" s="229"/>
      <c r="AB930" s="229"/>
      <c r="AC930" s="229"/>
      <c r="AD930" s="229"/>
      <c r="AE930" s="229"/>
      <c r="AF930" s="229"/>
      <c r="AG930" s="229"/>
      <c r="AH930" s="229"/>
      <c r="AI930" s="229"/>
      <c r="AJ930" s="218"/>
      <c r="AK930" s="218"/>
      <c r="AL930" s="218"/>
      <c r="AM930" s="218"/>
    </row>
    <row r="931" spans="1:39" ht="12.75">
      <c r="A931" s="229"/>
      <c r="B931" s="229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  <c r="AA931" s="229"/>
      <c r="AB931" s="229"/>
      <c r="AC931" s="229"/>
      <c r="AD931" s="229"/>
      <c r="AE931" s="229"/>
      <c r="AF931" s="229"/>
      <c r="AG931" s="229"/>
      <c r="AH931" s="229"/>
      <c r="AI931" s="229"/>
      <c r="AJ931" s="218"/>
      <c r="AK931" s="218"/>
      <c r="AL931" s="218"/>
      <c r="AM931" s="218"/>
    </row>
    <row r="932" spans="1:39" ht="12.75">
      <c r="A932" s="229"/>
      <c r="B932" s="229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  <c r="AA932" s="229"/>
      <c r="AB932" s="229"/>
      <c r="AC932" s="229"/>
      <c r="AD932" s="229"/>
      <c r="AE932" s="229"/>
      <c r="AF932" s="229"/>
      <c r="AG932" s="229"/>
      <c r="AH932" s="229"/>
      <c r="AI932" s="229"/>
      <c r="AJ932" s="218"/>
      <c r="AK932" s="218"/>
      <c r="AL932" s="218"/>
      <c r="AM932" s="218"/>
    </row>
    <row r="933" spans="1:39" ht="12.75">
      <c r="A933" s="229"/>
      <c r="B933" s="229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  <c r="AA933" s="229"/>
      <c r="AB933" s="229"/>
      <c r="AC933" s="229"/>
      <c r="AD933" s="229"/>
      <c r="AE933" s="229"/>
      <c r="AF933" s="229"/>
      <c r="AG933" s="229"/>
      <c r="AH933" s="229"/>
      <c r="AI933" s="229"/>
      <c r="AJ933" s="218"/>
      <c r="AK933" s="218"/>
      <c r="AL933" s="218"/>
      <c r="AM933" s="218"/>
    </row>
    <row r="934" spans="1:39" ht="12.75">
      <c r="A934" s="229"/>
      <c r="B934" s="229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  <c r="AA934" s="229"/>
      <c r="AB934" s="229"/>
      <c r="AC934" s="229"/>
      <c r="AD934" s="229"/>
      <c r="AE934" s="229"/>
      <c r="AF934" s="229"/>
      <c r="AG934" s="229"/>
      <c r="AH934" s="229"/>
      <c r="AI934" s="229"/>
      <c r="AJ934" s="218"/>
      <c r="AK934" s="218"/>
      <c r="AL934" s="218"/>
      <c r="AM934" s="218"/>
    </row>
    <row r="935" spans="1:39" ht="12.75">
      <c r="A935" s="229"/>
      <c r="B935" s="229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  <c r="AA935" s="229"/>
      <c r="AB935" s="229"/>
      <c r="AC935" s="229"/>
      <c r="AD935" s="229"/>
      <c r="AE935" s="229"/>
      <c r="AF935" s="229"/>
      <c r="AG935" s="229"/>
      <c r="AH935" s="229"/>
      <c r="AI935" s="229"/>
      <c r="AJ935" s="218"/>
      <c r="AK935" s="218"/>
      <c r="AL935" s="218"/>
      <c r="AM935" s="218"/>
    </row>
    <row r="936" spans="1:39" ht="12.75">
      <c r="A936" s="229"/>
      <c r="B936" s="229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  <c r="AA936" s="229"/>
      <c r="AB936" s="229"/>
      <c r="AC936" s="229"/>
      <c r="AD936" s="229"/>
      <c r="AE936" s="229"/>
      <c r="AF936" s="229"/>
      <c r="AG936" s="229"/>
      <c r="AH936" s="229"/>
      <c r="AI936" s="229"/>
      <c r="AJ936" s="218"/>
      <c r="AK936" s="218"/>
      <c r="AL936" s="218"/>
      <c r="AM936" s="218"/>
    </row>
    <row r="937" spans="1:39" ht="12.75">
      <c r="A937" s="229"/>
      <c r="B937" s="229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  <c r="AA937" s="229"/>
      <c r="AB937" s="229"/>
      <c r="AC937" s="229"/>
      <c r="AD937" s="229"/>
      <c r="AE937" s="229"/>
      <c r="AF937" s="229"/>
      <c r="AG937" s="229"/>
      <c r="AH937" s="229"/>
      <c r="AI937" s="229"/>
      <c r="AJ937" s="218"/>
      <c r="AK937" s="218"/>
      <c r="AL937" s="218"/>
      <c r="AM937" s="218"/>
    </row>
    <row r="938" spans="1:39" ht="12.75">
      <c r="A938" s="229"/>
      <c r="B938" s="229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  <c r="AA938" s="229"/>
      <c r="AB938" s="229"/>
      <c r="AC938" s="229"/>
      <c r="AD938" s="229"/>
      <c r="AE938" s="229"/>
      <c r="AF938" s="229"/>
      <c r="AG938" s="229"/>
      <c r="AH938" s="229"/>
      <c r="AI938" s="229"/>
      <c r="AJ938" s="218"/>
      <c r="AK938" s="218"/>
      <c r="AL938" s="218"/>
      <c r="AM938" s="218"/>
    </row>
    <row r="939" spans="1:39" ht="12.75">
      <c r="A939" s="229"/>
      <c r="B939" s="229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  <c r="AA939" s="229"/>
      <c r="AB939" s="229"/>
      <c r="AC939" s="229"/>
      <c r="AD939" s="229"/>
      <c r="AE939" s="229"/>
      <c r="AF939" s="229"/>
      <c r="AG939" s="229"/>
      <c r="AH939" s="229"/>
      <c r="AI939" s="229"/>
      <c r="AJ939" s="218"/>
      <c r="AK939" s="218"/>
      <c r="AL939" s="218"/>
      <c r="AM939" s="218"/>
    </row>
    <row r="940" spans="1:39" ht="12.75">
      <c r="A940" s="229"/>
      <c r="B940" s="229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  <c r="AA940" s="229"/>
      <c r="AB940" s="229"/>
      <c r="AC940" s="229"/>
      <c r="AD940" s="229"/>
      <c r="AE940" s="229"/>
      <c r="AF940" s="229"/>
      <c r="AG940" s="229"/>
      <c r="AH940" s="229"/>
      <c r="AI940" s="229"/>
      <c r="AJ940" s="218"/>
      <c r="AK940" s="218"/>
      <c r="AL940" s="218"/>
      <c r="AM940" s="218"/>
    </row>
    <row r="941" spans="1:39" ht="12.75">
      <c r="A941" s="229"/>
      <c r="B941" s="229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  <c r="AA941" s="229"/>
      <c r="AB941" s="229"/>
      <c r="AC941" s="229"/>
      <c r="AD941" s="229"/>
      <c r="AE941" s="229"/>
      <c r="AF941" s="229"/>
      <c r="AG941" s="229"/>
      <c r="AH941" s="229"/>
      <c r="AI941" s="229"/>
      <c r="AJ941" s="218"/>
      <c r="AK941" s="218"/>
      <c r="AL941" s="218"/>
      <c r="AM941" s="218"/>
    </row>
    <row r="942" spans="1:39" ht="12.75">
      <c r="A942" s="229"/>
      <c r="B942" s="229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  <c r="AA942" s="229"/>
      <c r="AB942" s="229"/>
      <c r="AC942" s="229"/>
      <c r="AD942" s="229"/>
      <c r="AE942" s="229"/>
      <c r="AF942" s="229"/>
      <c r="AG942" s="229"/>
      <c r="AH942" s="229"/>
      <c r="AI942" s="229"/>
      <c r="AJ942" s="218"/>
      <c r="AK942" s="218"/>
      <c r="AL942" s="218"/>
      <c r="AM942" s="218"/>
    </row>
    <row r="943" spans="1:39" ht="12.75">
      <c r="A943" s="229"/>
      <c r="B943" s="229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  <c r="AA943" s="229"/>
      <c r="AB943" s="229"/>
      <c r="AC943" s="229"/>
      <c r="AD943" s="229"/>
      <c r="AE943" s="229"/>
      <c r="AF943" s="229"/>
      <c r="AG943" s="229"/>
      <c r="AH943" s="229"/>
      <c r="AI943" s="229"/>
      <c r="AJ943" s="218"/>
      <c r="AK943" s="218"/>
      <c r="AL943" s="218"/>
      <c r="AM943" s="218"/>
    </row>
    <row r="944" spans="1:39" ht="12.75">
      <c r="A944" s="229"/>
      <c r="B944" s="229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  <c r="AA944" s="229"/>
      <c r="AB944" s="229"/>
      <c r="AC944" s="229"/>
      <c r="AD944" s="229"/>
      <c r="AE944" s="229"/>
      <c r="AF944" s="229"/>
      <c r="AG944" s="229"/>
      <c r="AH944" s="229"/>
      <c r="AI944" s="229"/>
      <c r="AJ944" s="218"/>
      <c r="AK944" s="218"/>
      <c r="AL944" s="218"/>
      <c r="AM944" s="218"/>
    </row>
    <row r="945" spans="1:39" ht="12.75">
      <c r="A945" s="229"/>
      <c r="B945" s="229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  <c r="AA945" s="229"/>
      <c r="AB945" s="229"/>
      <c r="AC945" s="229"/>
      <c r="AD945" s="229"/>
      <c r="AE945" s="229"/>
      <c r="AF945" s="229"/>
      <c r="AG945" s="229"/>
      <c r="AH945" s="229"/>
      <c r="AI945" s="229"/>
      <c r="AJ945" s="218"/>
      <c r="AK945" s="218"/>
      <c r="AL945" s="218"/>
      <c r="AM945" s="218"/>
    </row>
    <row r="946" spans="1:39" ht="12.75">
      <c r="A946" s="229"/>
      <c r="B946" s="229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  <c r="AA946" s="229"/>
      <c r="AB946" s="229"/>
      <c r="AC946" s="229"/>
      <c r="AD946" s="229"/>
      <c r="AE946" s="229"/>
      <c r="AF946" s="229"/>
      <c r="AG946" s="229"/>
      <c r="AH946" s="229"/>
      <c r="AI946" s="229"/>
      <c r="AJ946" s="218"/>
      <c r="AK946" s="218"/>
      <c r="AL946" s="218"/>
      <c r="AM946" s="218"/>
    </row>
    <row r="947" spans="1:39" ht="12.75">
      <c r="A947" s="229"/>
      <c r="B947" s="229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  <c r="AA947" s="229"/>
      <c r="AB947" s="229"/>
      <c r="AC947" s="229"/>
      <c r="AD947" s="229"/>
      <c r="AE947" s="229"/>
      <c r="AF947" s="229"/>
      <c r="AG947" s="229"/>
      <c r="AH947" s="229"/>
      <c r="AI947" s="229"/>
      <c r="AJ947" s="218"/>
      <c r="AK947" s="218"/>
      <c r="AL947" s="218"/>
      <c r="AM947" s="218"/>
    </row>
    <row r="948" spans="1:39" ht="12.75">
      <c r="A948" s="229"/>
      <c r="B948" s="229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  <c r="AA948" s="229"/>
      <c r="AB948" s="229"/>
      <c r="AC948" s="229"/>
      <c r="AD948" s="229"/>
      <c r="AE948" s="229"/>
      <c r="AF948" s="229"/>
      <c r="AG948" s="229"/>
      <c r="AH948" s="229"/>
      <c r="AI948" s="229"/>
      <c r="AJ948" s="218"/>
      <c r="AK948" s="218"/>
      <c r="AL948" s="218"/>
      <c r="AM948" s="218"/>
    </row>
    <row r="949" spans="1:39" ht="12.75">
      <c r="A949" s="229"/>
      <c r="B949" s="229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  <c r="AA949" s="229"/>
      <c r="AB949" s="229"/>
      <c r="AC949" s="229"/>
      <c r="AD949" s="229"/>
      <c r="AE949" s="229"/>
      <c r="AF949" s="229"/>
      <c r="AG949" s="229"/>
      <c r="AH949" s="229"/>
      <c r="AI949" s="229"/>
      <c r="AJ949" s="218"/>
      <c r="AK949" s="218"/>
      <c r="AL949" s="218"/>
      <c r="AM949" s="218"/>
    </row>
    <row r="950" spans="1:39" ht="12.75">
      <c r="A950" s="229"/>
      <c r="B950" s="229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  <c r="AA950" s="229"/>
      <c r="AB950" s="229"/>
      <c r="AC950" s="229"/>
      <c r="AD950" s="229"/>
      <c r="AE950" s="229"/>
      <c r="AF950" s="229"/>
      <c r="AG950" s="229"/>
      <c r="AH950" s="229"/>
      <c r="AI950" s="229"/>
      <c r="AJ950" s="218"/>
      <c r="AK950" s="218"/>
      <c r="AL950" s="218"/>
      <c r="AM950" s="218"/>
    </row>
    <row r="951" spans="1:39" ht="12.75">
      <c r="A951" s="229"/>
      <c r="B951" s="229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  <c r="AA951" s="229"/>
      <c r="AB951" s="229"/>
      <c r="AC951" s="229"/>
      <c r="AD951" s="229"/>
      <c r="AE951" s="229"/>
      <c r="AF951" s="229"/>
      <c r="AG951" s="229"/>
      <c r="AH951" s="229"/>
      <c r="AI951" s="229"/>
      <c r="AJ951" s="218"/>
      <c r="AK951" s="218"/>
      <c r="AL951" s="218"/>
      <c r="AM951" s="218"/>
    </row>
    <row r="952" spans="1:39" ht="12.75">
      <c r="A952" s="229"/>
      <c r="B952" s="229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  <c r="AA952" s="229"/>
      <c r="AB952" s="229"/>
      <c r="AC952" s="229"/>
      <c r="AD952" s="229"/>
      <c r="AE952" s="229"/>
      <c r="AF952" s="229"/>
      <c r="AG952" s="229"/>
      <c r="AH952" s="229"/>
      <c r="AI952" s="229"/>
      <c r="AJ952" s="218"/>
      <c r="AK952" s="218"/>
      <c r="AL952" s="218"/>
      <c r="AM952" s="218"/>
    </row>
    <row r="953" spans="1:39" ht="12.75">
      <c r="A953" s="229"/>
      <c r="B953" s="229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  <c r="AA953" s="229"/>
      <c r="AB953" s="229"/>
      <c r="AC953" s="229"/>
      <c r="AD953" s="229"/>
      <c r="AE953" s="229"/>
      <c r="AF953" s="229"/>
      <c r="AG953" s="229"/>
      <c r="AH953" s="229"/>
      <c r="AI953" s="229"/>
      <c r="AJ953" s="218"/>
      <c r="AK953" s="218"/>
      <c r="AL953" s="218"/>
      <c r="AM953" s="218"/>
    </row>
    <row r="954" spans="1:39" ht="12.75">
      <c r="A954" s="229"/>
      <c r="B954" s="229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  <c r="AA954" s="229"/>
      <c r="AB954" s="229"/>
      <c r="AC954" s="229"/>
      <c r="AD954" s="229"/>
      <c r="AE954" s="229"/>
      <c r="AF954" s="229"/>
      <c r="AG954" s="229"/>
      <c r="AH954" s="229"/>
      <c r="AI954" s="229"/>
      <c r="AJ954" s="218"/>
      <c r="AK954" s="218"/>
      <c r="AL954" s="218"/>
      <c r="AM954" s="218"/>
    </row>
    <row r="955" spans="1:39" ht="12.75">
      <c r="A955" s="229"/>
      <c r="B955" s="229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  <c r="AA955" s="229"/>
      <c r="AB955" s="229"/>
      <c r="AC955" s="229"/>
      <c r="AD955" s="229"/>
      <c r="AE955" s="229"/>
      <c r="AF955" s="229"/>
      <c r="AG955" s="229"/>
      <c r="AH955" s="229"/>
      <c r="AI955" s="229"/>
      <c r="AJ955" s="218"/>
      <c r="AK955" s="218"/>
      <c r="AL955" s="218"/>
      <c r="AM955" s="218"/>
    </row>
    <row r="956" spans="1:39" ht="12.75">
      <c r="A956" s="229"/>
      <c r="B956" s="229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  <c r="AA956" s="229"/>
      <c r="AB956" s="229"/>
      <c r="AC956" s="229"/>
      <c r="AD956" s="229"/>
      <c r="AE956" s="229"/>
      <c r="AF956" s="229"/>
      <c r="AG956" s="229"/>
      <c r="AH956" s="229"/>
      <c r="AI956" s="229"/>
      <c r="AJ956" s="218"/>
      <c r="AK956" s="218"/>
      <c r="AL956" s="218"/>
      <c r="AM956" s="218"/>
    </row>
    <row r="957" spans="1:39" ht="12.75">
      <c r="A957" s="229"/>
      <c r="B957" s="229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  <c r="AA957" s="229"/>
      <c r="AB957" s="229"/>
      <c r="AC957" s="229"/>
      <c r="AD957" s="229"/>
      <c r="AE957" s="229"/>
      <c r="AF957" s="229"/>
      <c r="AG957" s="229"/>
      <c r="AH957" s="229"/>
      <c r="AI957" s="229"/>
      <c r="AJ957" s="218"/>
      <c r="AK957" s="218"/>
      <c r="AL957" s="218"/>
      <c r="AM957" s="218"/>
    </row>
    <row r="958" spans="1:39" ht="12.75">
      <c r="A958" s="229"/>
      <c r="B958" s="229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  <c r="AA958" s="229"/>
      <c r="AB958" s="229"/>
      <c r="AC958" s="229"/>
      <c r="AD958" s="229"/>
      <c r="AE958" s="229"/>
      <c r="AF958" s="229"/>
      <c r="AG958" s="229"/>
      <c r="AH958" s="229"/>
      <c r="AI958" s="229"/>
      <c r="AJ958" s="218"/>
      <c r="AK958" s="218"/>
      <c r="AL958" s="218"/>
      <c r="AM958" s="218"/>
    </row>
    <row r="959" spans="1:39" ht="12.75">
      <c r="A959" s="229"/>
      <c r="B959" s="229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  <c r="AA959" s="229"/>
      <c r="AB959" s="229"/>
      <c r="AC959" s="229"/>
      <c r="AD959" s="229"/>
      <c r="AE959" s="229"/>
      <c r="AF959" s="229"/>
      <c r="AG959" s="229"/>
      <c r="AH959" s="229"/>
      <c r="AI959" s="229"/>
      <c r="AJ959" s="218"/>
      <c r="AK959" s="218"/>
      <c r="AL959" s="218"/>
      <c r="AM959" s="218"/>
    </row>
    <row r="960" spans="1:39" ht="12.75">
      <c r="A960" s="229"/>
      <c r="B960" s="229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  <c r="AA960" s="229"/>
      <c r="AB960" s="229"/>
      <c r="AC960" s="229"/>
      <c r="AD960" s="229"/>
      <c r="AE960" s="229"/>
      <c r="AF960" s="229"/>
      <c r="AG960" s="229"/>
      <c r="AH960" s="229"/>
      <c r="AI960" s="229"/>
      <c r="AJ960" s="218"/>
      <c r="AK960" s="218"/>
      <c r="AL960" s="218"/>
      <c r="AM960" s="218"/>
    </row>
    <row r="961" spans="1:39" ht="12.75">
      <c r="A961" s="229"/>
      <c r="B961" s="229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  <c r="AA961" s="229"/>
      <c r="AB961" s="229"/>
      <c r="AC961" s="229"/>
      <c r="AD961" s="229"/>
      <c r="AE961" s="229"/>
      <c r="AF961" s="229"/>
      <c r="AG961" s="229"/>
      <c r="AH961" s="229"/>
      <c r="AI961" s="229"/>
      <c r="AJ961" s="218"/>
      <c r="AK961" s="218"/>
      <c r="AL961" s="218"/>
      <c r="AM961" s="218"/>
    </row>
    <row r="962" spans="1:39" ht="12.75">
      <c r="A962" s="229"/>
      <c r="B962" s="229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  <c r="AA962" s="229"/>
      <c r="AB962" s="229"/>
      <c r="AC962" s="229"/>
      <c r="AD962" s="229"/>
      <c r="AE962" s="229"/>
      <c r="AF962" s="229"/>
      <c r="AG962" s="229"/>
      <c r="AH962" s="229"/>
      <c r="AI962" s="229"/>
      <c r="AJ962" s="218"/>
      <c r="AK962" s="218"/>
      <c r="AL962" s="218"/>
      <c r="AM962" s="218"/>
    </row>
    <row r="963" spans="1:39" ht="12.75">
      <c r="A963" s="229"/>
      <c r="B963" s="229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  <c r="AA963" s="229"/>
      <c r="AB963" s="229"/>
      <c r="AC963" s="229"/>
      <c r="AD963" s="229"/>
      <c r="AE963" s="229"/>
      <c r="AF963" s="229"/>
      <c r="AG963" s="229"/>
      <c r="AH963" s="229"/>
      <c r="AI963" s="229"/>
      <c r="AJ963" s="218"/>
      <c r="AK963" s="218"/>
      <c r="AL963" s="218"/>
      <c r="AM963" s="218"/>
    </row>
    <row r="964" spans="1:39" ht="12.75">
      <c r="A964" s="229"/>
      <c r="B964" s="229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  <c r="AA964" s="229"/>
      <c r="AB964" s="229"/>
      <c r="AC964" s="229"/>
      <c r="AD964" s="229"/>
      <c r="AE964" s="229"/>
      <c r="AF964" s="229"/>
      <c r="AG964" s="229"/>
      <c r="AH964" s="229"/>
      <c r="AI964" s="229"/>
      <c r="AJ964" s="218"/>
      <c r="AK964" s="218"/>
      <c r="AL964" s="218"/>
      <c r="AM964" s="218"/>
    </row>
    <row r="965" spans="1:39" ht="12.75">
      <c r="A965" s="229"/>
      <c r="B965" s="229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  <c r="AA965" s="229"/>
      <c r="AB965" s="229"/>
      <c r="AC965" s="229"/>
      <c r="AD965" s="229"/>
      <c r="AE965" s="229"/>
      <c r="AF965" s="229"/>
      <c r="AG965" s="229"/>
      <c r="AH965" s="229"/>
      <c r="AI965" s="229"/>
      <c r="AJ965" s="218"/>
      <c r="AK965" s="218"/>
      <c r="AL965" s="218"/>
      <c r="AM965" s="218"/>
    </row>
    <row r="966" spans="1:39" ht="12.75">
      <c r="A966" s="229"/>
      <c r="B966" s="229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  <c r="AA966" s="229"/>
      <c r="AB966" s="229"/>
      <c r="AC966" s="229"/>
      <c r="AD966" s="229"/>
      <c r="AE966" s="229"/>
      <c r="AF966" s="229"/>
      <c r="AG966" s="229"/>
      <c r="AH966" s="229"/>
      <c r="AI966" s="229"/>
      <c r="AJ966" s="218"/>
      <c r="AK966" s="218"/>
      <c r="AL966" s="218"/>
      <c r="AM966" s="218"/>
    </row>
    <row r="967" spans="1:39" ht="12.75">
      <c r="A967" s="229"/>
      <c r="B967" s="229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  <c r="AA967" s="229"/>
      <c r="AB967" s="229"/>
      <c r="AC967" s="229"/>
      <c r="AD967" s="229"/>
      <c r="AE967" s="229"/>
      <c r="AF967" s="229"/>
      <c r="AG967" s="229"/>
      <c r="AH967" s="229"/>
      <c r="AI967" s="229"/>
      <c r="AJ967" s="218"/>
      <c r="AK967" s="218"/>
      <c r="AL967" s="218"/>
      <c r="AM967" s="218"/>
    </row>
    <row r="968" spans="1:39" ht="12.75">
      <c r="A968" s="229"/>
      <c r="B968" s="229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  <c r="AA968" s="229"/>
      <c r="AB968" s="229"/>
      <c r="AC968" s="229"/>
      <c r="AD968" s="229"/>
      <c r="AE968" s="229"/>
      <c r="AF968" s="229"/>
      <c r="AG968" s="229"/>
      <c r="AH968" s="229"/>
      <c r="AI968" s="229"/>
      <c r="AJ968" s="218"/>
      <c r="AK968" s="218"/>
      <c r="AL968" s="218"/>
      <c r="AM968" s="218"/>
    </row>
    <row r="969" spans="1:39" ht="12.75">
      <c r="A969" s="229"/>
      <c r="B969" s="229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  <c r="AA969" s="229"/>
      <c r="AB969" s="229"/>
      <c r="AC969" s="229"/>
      <c r="AD969" s="229"/>
      <c r="AE969" s="229"/>
      <c r="AF969" s="229"/>
      <c r="AG969" s="229"/>
      <c r="AH969" s="229"/>
      <c r="AI969" s="229"/>
      <c r="AJ969" s="218"/>
      <c r="AK969" s="218"/>
      <c r="AL969" s="218"/>
      <c r="AM969" s="218"/>
    </row>
    <row r="970" spans="1:39" ht="12.75">
      <c r="A970" s="229"/>
      <c r="B970" s="229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  <c r="AA970" s="229"/>
      <c r="AB970" s="229"/>
      <c r="AC970" s="229"/>
      <c r="AD970" s="229"/>
      <c r="AE970" s="229"/>
      <c r="AF970" s="229"/>
      <c r="AG970" s="229"/>
      <c r="AH970" s="229"/>
      <c r="AI970" s="229"/>
      <c r="AJ970" s="218"/>
      <c r="AK970" s="218"/>
      <c r="AL970" s="218"/>
      <c r="AM970" s="218"/>
    </row>
    <row r="971" spans="1:39" ht="12.75">
      <c r="A971" s="229"/>
      <c r="B971" s="229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  <c r="AA971" s="229"/>
      <c r="AB971" s="229"/>
      <c r="AC971" s="229"/>
      <c r="AD971" s="229"/>
      <c r="AE971" s="229"/>
      <c r="AF971" s="229"/>
      <c r="AG971" s="229"/>
      <c r="AH971" s="229"/>
      <c r="AI971" s="229"/>
      <c r="AJ971" s="218"/>
      <c r="AK971" s="218"/>
      <c r="AL971" s="218"/>
      <c r="AM971" s="218"/>
    </row>
    <row r="972" spans="1:39" ht="12.75">
      <c r="A972" s="229"/>
      <c r="B972" s="229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  <c r="AA972" s="229"/>
      <c r="AB972" s="229"/>
      <c r="AC972" s="229"/>
      <c r="AD972" s="229"/>
      <c r="AE972" s="229"/>
      <c r="AF972" s="229"/>
      <c r="AG972" s="229"/>
      <c r="AH972" s="229"/>
      <c r="AI972" s="229"/>
      <c r="AJ972" s="218"/>
      <c r="AK972" s="218"/>
      <c r="AL972" s="218"/>
      <c r="AM972" s="218"/>
    </row>
    <row r="973" spans="1:39" ht="12.75">
      <c r="A973" s="229"/>
      <c r="B973" s="229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  <c r="AA973" s="229"/>
      <c r="AB973" s="229"/>
      <c r="AC973" s="229"/>
      <c r="AD973" s="229"/>
      <c r="AE973" s="229"/>
      <c r="AF973" s="229"/>
      <c r="AG973" s="229"/>
      <c r="AH973" s="229"/>
      <c r="AI973" s="229"/>
      <c r="AJ973" s="218"/>
      <c r="AK973" s="218"/>
      <c r="AL973" s="218"/>
      <c r="AM973" s="218"/>
    </row>
    <row r="974" spans="1:39" ht="12.75">
      <c r="A974" s="229"/>
      <c r="B974" s="229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  <c r="AA974" s="229"/>
      <c r="AB974" s="229"/>
      <c r="AC974" s="229"/>
      <c r="AD974" s="229"/>
      <c r="AE974" s="229"/>
      <c r="AF974" s="229"/>
      <c r="AG974" s="229"/>
      <c r="AH974" s="229"/>
      <c r="AI974" s="229"/>
      <c r="AJ974" s="218"/>
      <c r="AK974" s="218"/>
      <c r="AL974" s="218"/>
      <c r="AM974" s="218"/>
    </row>
    <row r="975" spans="1:39" ht="12.75">
      <c r="A975" s="229"/>
      <c r="B975" s="229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  <c r="AA975" s="229"/>
      <c r="AB975" s="229"/>
      <c r="AC975" s="229"/>
      <c r="AD975" s="229"/>
      <c r="AE975" s="229"/>
      <c r="AF975" s="229"/>
      <c r="AG975" s="229"/>
      <c r="AH975" s="229"/>
      <c r="AI975" s="229"/>
      <c r="AJ975" s="218"/>
      <c r="AK975" s="218"/>
      <c r="AL975" s="218"/>
      <c r="AM975" s="218"/>
    </row>
    <row r="976" spans="1:39" ht="12.75">
      <c r="A976" s="229"/>
      <c r="B976" s="229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  <c r="AA976" s="229"/>
      <c r="AB976" s="229"/>
      <c r="AC976" s="229"/>
      <c r="AD976" s="229"/>
      <c r="AE976" s="229"/>
      <c r="AF976" s="229"/>
      <c r="AG976" s="229"/>
      <c r="AH976" s="229"/>
      <c r="AI976" s="229"/>
      <c r="AJ976" s="218"/>
      <c r="AK976" s="218"/>
      <c r="AL976" s="218"/>
      <c r="AM976" s="218"/>
    </row>
    <row r="977" spans="1:39" ht="12.75">
      <c r="A977" s="229"/>
      <c r="B977" s="229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  <c r="AA977" s="229"/>
      <c r="AB977" s="229"/>
      <c r="AC977" s="229"/>
      <c r="AD977" s="229"/>
      <c r="AE977" s="229"/>
      <c r="AF977" s="229"/>
      <c r="AG977" s="229"/>
      <c r="AH977" s="229"/>
      <c r="AI977" s="229"/>
      <c r="AJ977" s="218"/>
      <c r="AK977" s="218"/>
      <c r="AL977" s="218"/>
      <c r="AM977" s="218"/>
    </row>
    <row r="978" spans="1:39" ht="12.75">
      <c r="A978" s="229"/>
      <c r="B978" s="229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  <c r="AA978" s="229"/>
      <c r="AB978" s="229"/>
      <c r="AC978" s="229"/>
      <c r="AD978" s="229"/>
      <c r="AE978" s="229"/>
      <c r="AF978" s="229"/>
      <c r="AG978" s="229"/>
      <c r="AH978" s="229"/>
      <c r="AI978" s="229"/>
      <c r="AJ978" s="218"/>
      <c r="AK978" s="218"/>
      <c r="AL978" s="218"/>
      <c r="AM978" s="218"/>
    </row>
    <row r="979" spans="1:39" ht="12.75">
      <c r="A979" s="229"/>
      <c r="B979" s="229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  <c r="AA979" s="229"/>
      <c r="AB979" s="229"/>
      <c r="AC979" s="229"/>
      <c r="AD979" s="229"/>
      <c r="AE979" s="229"/>
      <c r="AF979" s="229"/>
      <c r="AG979" s="229"/>
      <c r="AH979" s="229"/>
      <c r="AI979" s="229"/>
      <c r="AJ979" s="218"/>
      <c r="AK979" s="218"/>
      <c r="AL979" s="218"/>
      <c r="AM979" s="218"/>
    </row>
    <row r="980" spans="1:39" ht="12.75">
      <c r="A980" s="229"/>
      <c r="B980" s="229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  <c r="AA980" s="229"/>
      <c r="AB980" s="229"/>
      <c r="AC980" s="229"/>
      <c r="AD980" s="229"/>
      <c r="AE980" s="229"/>
      <c r="AF980" s="229"/>
      <c r="AG980" s="229"/>
      <c r="AH980" s="229"/>
      <c r="AI980" s="229"/>
      <c r="AJ980" s="218"/>
      <c r="AK980" s="218"/>
      <c r="AL980" s="218"/>
      <c r="AM980" s="218"/>
    </row>
    <row r="981" spans="1:39" ht="12.75">
      <c r="A981" s="229"/>
      <c r="B981" s="229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  <c r="AA981" s="229"/>
      <c r="AB981" s="229"/>
      <c r="AC981" s="229"/>
      <c r="AD981" s="229"/>
      <c r="AE981" s="229"/>
      <c r="AF981" s="229"/>
      <c r="AG981" s="229"/>
      <c r="AH981" s="229"/>
      <c r="AI981" s="229"/>
      <c r="AJ981" s="218"/>
      <c r="AK981" s="218"/>
      <c r="AL981" s="218"/>
      <c r="AM981" s="218"/>
    </row>
    <row r="982" spans="1:39" ht="12.75">
      <c r="A982" s="229"/>
      <c r="B982" s="229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  <c r="AA982" s="229"/>
      <c r="AB982" s="229"/>
      <c r="AC982" s="229"/>
      <c r="AD982" s="229"/>
      <c r="AE982" s="229"/>
      <c r="AF982" s="229"/>
      <c r="AG982" s="229"/>
      <c r="AH982" s="229"/>
      <c r="AI982" s="229"/>
      <c r="AJ982" s="218"/>
      <c r="AK982" s="218"/>
      <c r="AL982" s="218"/>
      <c r="AM982" s="218"/>
    </row>
    <row r="983" spans="1:39" ht="12.75">
      <c r="A983" s="229"/>
      <c r="B983" s="229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  <c r="AA983" s="229"/>
      <c r="AB983" s="229"/>
      <c r="AC983" s="229"/>
      <c r="AD983" s="229"/>
      <c r="AE983" s="229"/>
      <c r="AF983" s="229"/>
      <c r="AG983" s="229"/>
      <c r="AH983" s="229"/>
      <c r="AI983" s="229"/>
      <c r="AJ983" s="218"/>
      <c r="AK983" s="218"/>
      <c r="AL983" s="218"/>
      <c r="AM983" s="218"/>
    </row>
    <row r="984" spans="1:39" ht="12.75">
      <c r="A984" s="229"/>
      <c r="B984" s="229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  <c r="AA984" s="229"/>
      <c r="AB984" s="229"/>
      <c r="AC984" s="229"/>
      <c r="AD984" s="229"/>
      <c r="AE984" s="229"/>
      <c r="AF984" s="229"/>
      <c r="AG984" s="229"/>
      <c r="AH984" s="229"/>
      <c r="AI984" s="229"/>
      <c r="AJ984" s="218"/>
      <c r="AK984" s="218"/>
      <c r="AL984" s="218"/>
      <c r="AM984" s="218"/>
    </row>
    <row r="985" spans="1:39" ht="12.75">
      <c r="A985" s="229"/>
      <c r="B985" s="229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  <c r="AA985" s="229"/>
      <c r="AB985" s="229"/>
      <c r="AC985" s="229"/>
      <c r="AD985" s="229"/>
      <c r="AE985" s="229"/>
      <c r="AF985" s="229"/>
      <c r="AG985" s="229"/>
      <c r="AH985" s="229"/>
      <c r="AI985" s="229"/>
      <c r="AJ985" s="218"/>
      <c r="AK985" s="218"/>
      <c r="AL985" s="218"/>
      <c r="AM985" s="218"/>
    </row>
    <row r="986" spans="1:39" ht="12.75">
      <c r="A986" s="229"/>
      <c r="B986" s="229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  <c r="AA986" s="229"/>
      <c r="AB986" s="229"/>
      <c r="AC986" s="229"/>
      <c r="AD986" s="229"/>
      <c r="AE986" s="229"/>
      <c r="AF986" s="229"/>
      <c r="AG986" s="229"/>
      <c r="AH986" s="229"/>
      <c r="AI986" s="229"/>
      <c r="AJ986" s="218"/>
      <c r="AK986" s="218"/>
      <c r="AL986" s="218"/>
      <c r="AM986" s="218"/>
    </row>
    <row r="987" spans="1:39" ht="12.75">
      <c r="A987" s="229"/>
      <c r="B987" s="229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  <c r="AA987" s="229"/>
      <c r="AB987" s="229"/>
      <c r="AC987" s="229"/>
      <c r="AD987" s="229"/>
      <c r="AE987" s="229"/>
      <c r="AF987" s="229"/>
      <c r="AG987" s="229"/>
      <c r="AH987" s="229"/>
      <c r="AI987" s="229"/>
      <c r="AJ987" s="218"/>
      <c r="AK987" s="218"/>
      <c r="AL987" s="218"/>
      <c r="AM987" s="218"/>
    </row>
    <row r="988" spans="1:39" ht="12.75">
      <c r="A988" s="229"/>
      <c r="B988" s="229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  <c r="AA988" s="229"/>
      <c r="AB988" s="229"/>
      <c r="AC988" s="229"/>
      <c r="AD988" s="229"/>
      <c r="AE988" s="229"/>
      <c r="AF988" s="229"/>
      <c r="AG988" s="229"/>
      <c r="AH988" s="229"/>
      <c r="AI988" s="229"/>
      <c r="AJ988" s="218"/>
      <c r="AK988" s="218"/>
      <c r="AL988" s="218"/>
      <c r="AM988" s="218"/>
    </row>
    <row r="989" spans="1:39" ht="12.75">
      <c r="A989" s="229"/>
      <c r="B989" s="229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  <c r="AA989" s="229"/>
      <c r="AB989" s="229"/>
      <c r="AC989" s="229"/>
      <c r="AD989" s="229"/>
      <c r="AE989" s="229"/>
      <c r="AF989" s="229"/>
      <c r="AG989" s="229"/>
      <c r="AH989" s="229"/>
      <c r="AI989" s="229"/>
      <c r="AJ989" s="218"/>
      <c r="AK989" s="218"/>
      <c r="AL989" s="218"/>
      <c r="AM989" s="218"/>
    </row>
    <row r="990" spans="1:39" ht="12.75">
      <c r="A990" s="229"/>
      <c r="B990" s="229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  <c r="AA990" s="229"/>
      <c r="AB990" s="229"/>
      <c r="AC990" s="229"/>
      <c r="AD990" s="229"/>
      <c r="AE990" s="229"/>
      <c r="AF990" s="229"/>
      <c r="AG990" s="229"/>
      <c r="AH990" s="229"/>
      <c r="AI990" s="229"/>
      <c r="AJ990" s="218"/>
      <c r="AK990" s="218"/>
      <c r="AL990" s="218"/>
      <c r="AM990" s="218"/>
    </row>
    <row r="991" spans="1:39" ht="12.75">
      <c r="A991" s="229"/>
      <c r="B991" s="229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  <c r="AA991" s="229"/>
      <c r="AB991" s="229"/>
      <c r="AC991" s="229"/>
      <c r="AD991" s="229"/>
      <c r="AE991" s="229"/>
      <c r="AF991" s="229"/>
      <c r="AG991" s="229"/>
      <c r="AH991" s="229"/>
      <c r="AI991" s="229"/>
      <c r="AJ991" s="218"/>
      <c r="AK991" s="218"/>
      <c r="AL991" s="218"/>
      <c r="AM991" s="218"/>
    </row>
    <row r="992" spans="1:39" ht="12.75">
      <c r="A992" s="229"/>
      <c r="B992" s="229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  <c r="AA992" s="229"/>
      <c r="AB992" s="229"/>
      <c r="AC992" s="229"/>
      <c r="AD992" s="229"/>
      <c r="AE992" s="229"/>
      <c r="AF992" s="229"/>
      <c r="AG992" s="229"/>
      <c r="AH992" s="229"/>
      <c r="AI992" s="229"/>
      <c r="AJ992" s="218"/>
      <c r="AK992" s="218"/>
      <c r="AL992" s="218"/>
      <c r="AM992" s="218"/>
    </row>
    <row r="993" spans="1:39" ht="12.75">
      <c r="A993" s="229"/>
      <c r="B993" s="229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  <c r="AA993" s="229"/>
      <c r="AB993" s="229"/>
      <c r="AC993" s="229"/>
      <c r="AD993" s="229"/>
      <c r="AE993" s="229"/>
      <c r="AF993" s="229"/>
      <c r="AG993" s="229"/>
      <c r="AH993" s="229"/>
      <c r="AI993" s="229"/>
      <c r="AJ993" s="218"/>
      <c r="AK993" s="218"/>
      <c r="AL993" s="218"/>
      <c r="AM993" s="218"/>
    </row>
    <row r="994" spans="1:39" ht="12.75">
      <c r="A994" s="229"/>
      <c r="B994" s="229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  <c r="AA994" s="229"/>
      <c r="AB994" s="229"/>
      <c r="AC994" s="229"/>
      <c r="AD994" s="229"/>
      <c r="AE994" s="229"/>
      <c r="AF994" s="229"/>
      <c r="AG994" s="229"/>
      <c r="AH994" s="229"/>
      <c r="AI994" s="229"/>
      <c r="AJ994" s="218"/>
      <c r="AK994" s="218"/>
      <c r="AL994" s="218"/>
      <c r="AM994" s="218"/>
    </row>
    <row r="995" spans="1:39" ht="12.75">
      <c r="A995" s="229"/>
      <c r="B995" s="229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  <c r="AA995" s="229"/>
      <c r="AB995" s="229"/>
      <c r="AC995" s="229"/>
      <c r="AD995" s="229"/>
      <c r="AE995" s="229"/>
      <c r="AF995" s="229"/>
      <c r="AG995" s="229"/>
      <c r="AH995" s="229"/>
      <c r="AI995" s="229"/>
      <c r="AJ995" s="218"/>
      <c r="AK995" s="218"/>
      <c r="AL995" s="218"/>
      <c r="AM995" s="218"/>
    </row>
    <row r="996" spans="1:39" ht="12.75">
      <c r="A996" s="229"/>
      <c r="B996" s="229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  <c r="AA996" s="229"/>
      <c r="AB996" s="229"/>
      <c r="AC996" s="229"/>
      <c r="AD996" s="229"/>
      <c r="AE996" s="229"/>
      <c r="AF996" s="229"/>
      <c r="AG996" s="229"/>
      <c r="AH996" s="229"/>
      <c r="AI996" s="229"/>
      <c r="AJ996" s="218"/>
      <c r="AK996" s="218"/>
      <c r="AL996" s="218"/>
      <c r="AM996" s="218"/>
    </row>
    <row r="997" spans="1:39" ht="12.75">
      <c r="A997" s="229"/>
      <c r="B997" s="229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  <c r="AA997" s="229"/>
      <c r="AB997" s="229"/>
      <c r="AC997" s="229"/>
      <c r="AD997" s="229"/>
      <c r="AE997" s="229"/>
      <c r="AF997" s="229"/>
      <c r="AG997" s="229"/>
      <c r="AH997" s="229"/>
      <c r="AI997" s="229"/>
      <c r="AJ997" s="218"/>
      <c r="AK997" s="218"/>
      <c r="AL997" s="218"/>
      <c r="AM997" s="218"/>
    </row>
    <row r="998" spans="1:39" ht="12.75">
      <c r="A998" s="229"/>
      <c r="B998" s="229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  <c r="AA998" s="229"/>
      <c r="AB998" s="229"/>
      <c r="AC998" s="229"/>
      <c r="AD998" s="229"/>
      <c r="AE998" s="229"/>
      <c r="AF998" s="229"/>
      <c r="AG998" s="229"/>
      <c r="AH998" s="229"/>
      <c r="AI998" s="229"/>
      <c r="AJ998" s="218"/>
      <c r="AK998" s="218"/>
      <c r="AL998" s="218"/>
      <c r="AM998" s="218"/>
    </row>
    <row r="999" spans="1:39" ht="12.75">
      <c r="A999" s="229"/>
      <c r="B999" s="229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  <c r="AA999" s="229"/>
      <c r="AB999" s="229"/>
      <c r="AC999" s="229"/>
      <c r="AD999" s="229"/>
      <c r="AE999" s="229"/>
      <c r="AF999" s="229"/>
      <c r="AG999" s="229"/>
      <c r="AH999" s="229"/>
      <c r="AI999" s="229"/>
      <c r="AJ999" s="218"/>
      <c r="AK999" s="218"/>
      <c r="AL999" s="218"/>
      <c r="AM999" s="218"/>
    </row>
  </sheetData>
  <dataValidations count="1">
    <dataValidation type="list" allowBlank="1" showErrorMessage="1" sqref="D2:AI33" xr:uid="{00000000-0002-0000-1400-000000000000}">
      <formula1>$B$48:$B$58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6"/>
  <sheetViews>
    <sheetView workbookViewId="0"/>
  </sheetViews>
  <sheetFormatPr defaultColWidth="12.5703125" defaultRowHeight="15.75" customHeight="1"/>
  <sheetData>
    <row r="1" spans="1:1">
      <c r="A1" s="7" t="s">
        <v>5903</v>
      </c>
    </row>
    <row r="2" spans="1:1">
      <c r="A2" s="7" t="s">
        <v>5904</v>
      </c>
    </row>
    <row r="3" spans="1:1">
      <c r="A3" s="7" t="s">
        <v>5905</v>
      </c>
    </row>
    <row r="4" spans="1:1">
      <c r="A4" s="7" t="s">
        <v>5906</v>
      </c>
    </row>
    <row r="5" spans="1:1">
      <c r="A5" s="7" t="s">
        <v>5907</v>
      </c>
    </row>
    <row r="6" spans="1:1">
      <c r="A6" s="7" t="s">
        <v>5908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L33"/>
  <sheetViews>
    <sheetView workbookViewId="0"/>
  </sheetViews>
  <sheetFormatPr defaultColWidth="12.5703125" defaultRowHeight="15.75" customHeight="1"/>
  <cols>
    <col min="1" max="1" width="21.28515625" customWidth="1"/>
    <col min="2" max="2" width="51.7109375" customWidth="1"/>
    <col min="3" max="3" width="17.28515625" customWidth="1"/>
    <col min="4" max="4" width="27.28515625" customWidth="1"/>
    <col min="5" max="5" width="27.5703125" customWidth="1"/>
    <col min="6" max="6" width="26.42578125" customWidth="1"/>
    <col min="7" max="7" width="26.140625" customWidth="1"/>
    <col min="8" max="8" width="23.42578125" customWidth="1"/>
    <col min="10" max="10" width="22.5703125" customWidth="1"/>
  </cols>
  <sheetData>
    <row r="1" spans="1:12">
      <c r="A1" s="3" t="s">
        <v>5871</v>
      </c>
      <c r="B1" s="3" t="s">
        <v>5909</v>
      </c>
      <c r="C1" s="4" t="s">
        <v>5910</v>
      </c>
      <c r="D1" s="233" t="s">
        <v>5911</v>
      </c>
      <c r="E1" s="233" t="s">
        <v>5912</v>
      </c>
      <c r="F1" s="233" t="s">
        <v>5913</v>
      </c>
      <c r="G1" s="233" t="s">
        <v>5914</v>
      </c>
      <c r="H1" s="233" t="s">
        <v>5915</v>
      </c>
      <c r="I1" s="7" t="s">
        <v>5916</v>
      </c>
      <c r="J1" s="7" t="s">
        <v>5917</v>
      </c>
      <c r="K1" s="7" t="s">
        <v>5918</v>
      </c>
      <c r="L1" s="7" t="s">
        <v>5919</v>
      </c>
    </row>
    <row r="2" spans="1:12" ht="15.75" customHeight="1">
      <c r="A2" s="3" t="s">
        <v>4194</v>
      </c>
      <c r="B2" s="3" t="s">
        <v>4195</v>
      </c>
      <c r="C2" s="4">
        <v>2</v>
      </c>
      <c r="D2" s="234">
        <v>5</v>
      </c>
      <c r="E2" s="234">
        <v>3</v>
      </c>
      <c r="F2" s="234">
        <v>4</v>
      </c>
      <c r="G2" s="235" t="s">
        <v>5920</v>
      </c>
      <c r="H2" s="235" t="s">
        <v>5921</v>
      </c>
    </row>
    <row r="3" spans="1:12" ht="15.75" customHeight="1">
      <c r="A3" s="3" t="s">
        <v>4197</v>
      </c>
      <c r="B3" s="3" t="s">
        <v>4</v>
      </c>
      <c r="C3" s="4">
        <v>2</v>
      </c>
      <c r="D3" s="234">
        <v>8</v>
      </c>
      <c r="E3" s="234">
        <v>2</v>
      </c>
      <c r="F3" s="234">
        <v>2</v>
      </c>
      <c r="G3" s="235" t="s">
        <v>5922</v>
      </c>
      <c r="H3" s="235" t="s">
        <v>5923</v>
      </c>
    </row>
    <row r="4" spans="1:12" ht="15.75" customHeight="1">
      <c r="A4" s="3" t="s">
        <v>174</v>
      </c>
      <c r="B4" s="3" t="s">
        <v>175</v>
      </c>
      <c r="C4" s="4">
        <v>2</v>
      </c>
      <c r="D4" s="234">
        <v>7</v>
      </c>
      <c r="E4" s="234">
        <v>6</v>
      </c>
      <c r="F4" s="234">
        <v>3</v>
      </c>
      <c r="G4" s="235" t="s">
        <v>5924</v>
      </c>
      <c r="H4" s="235" t="s">
        <v>5925</v>
      </c>
    </row>
    <row r="5" spans="1:12" ht="15.75" customHeight="1">
      <c r="A5" s="3" t="s">
        <v>202</v>
      </c>
      <c r="B5" s="3" t="s">
        <v>203</v>
      </c>
      <c r="C5" s="4">
        <v>2</v>
      </c>
      <c r="D5" s="234">
        <v>6</v>
      </c>
      <c r="E5" s="234">
        <v>8</v>
      </c>
      <c r="F5" s="234">
        <v>4</v>
      </c>
      <c r="G5" s="235" t="s">
        <v>5926</v>
      </c>
      <c r="H5" s="235" t="s">
        <v>5927</v>
      </c>
    </row>
    <row r="6" spans="1:12" ht="15.75" customHeight="1">
      <c r="A6" s="3" t="s">
        <v>366</v>
      </c>
      <c r="B6" s="3" t="s">
        <v>367</v>
      </c>
      <c r="C6" s="4">
        <v>2</v>
      </c>
      <c r="D6" s="234">
        <v>5</v>
      </c>
      <c r="E6" s="234">
        <v>4</v>
      </c>
      <c r="F6" s="234">
        <v>2</v>
      </c>
      <c r="G6" s="235" t="s">
        <v>5928</v>
      </c>
      <c r="H6" s="235" t="s">
        <v>5929</v>
      </c>
    </row>
    <row r="7" spans="1:12" ht="15.75" customHeight="1">
      <c r="A7" s="3" t="s">
        <v>534</v>
      </c>
      <c r="B7" s="3" t="s">
        <v>535</v>
      </c>
      <c r="C7" s="4">
        <v>2</v>
      </c>
      <c r="D7" s="234">
        <v>4</v>
      </c>
      <c r="E7" s="234">
        <v>2</v>
      </c>
      <c r="F7" s="234">
        <v>7</v>
      </c>
      <c r="G7" s="235" t="s">
        <v>5930</v>
      </c>
      <c r="H7" s="235" t="s">
        <v>5923</v>
      </c>
    </row>
    <row r="8" spans="1:12" ht="15.75" customHeight="1">
      <c r="A8" s="3" t="s">
        <v>610</v>
      </c>
      <c r="B8" s="3" t="s">
        <v>611</v>
      </c>
      <c r="C8" s="4">
        <v>2</v>
      </c>
      <c r="D8" s="234">
        <v>8</v>
      </c>
      <c r="E8" s="234">
        <v>4</v>
      </c>
      <c r="F8" s="234">
        <v>6</v>
      </c>
      <c r="G8" s="235" t="s">
        <v>5931</v>
      </c>
      <c r="H8" s="235" t="s">
        <v>5929</v>
      </c>
    </row>
    <row r="9" spans="1:12" ht="15.75" customHeight="1">
      <c r="A9" s="3" t="s">
        <v>814</v>
      </c>
      <c r="B9" s="3" t="s">
        <v>815</v>
      </c>
      <c r="C9" s="4">
        <v>2</v>
      </c>
      <c r="D9" s="234">
        <v>3</v>
      </c>
      <c r="E9" s="234">
        <v>1</v>
      </c>
      <c r="F9" s="234">
        <v>3</v>
      </c>
      <c r="G9" s="235" t="s">
        <v>5932</v>
      </c>
      <c r="H9" s="235" t="s">
        <v>5923</v>
      </c>
    </row>
    <row r="10" spans="1:12" ht="15.75" customHeight="1">
      <c r="A10" s="3" t="s">
        <v>866</v>
      </c>
      <c r="B10" s="3" t="s">
        <v>867</v>
      </c>
      <c r="C10" s="4">
        <v>2</v>
      </c>
      <c r="D10" s="234">
        <v>4</v>
      </c>
      <c r="E10" s="234">
        <v>3</v>
      </c>
      <c r="F10" s="234">
        <v>5</v>
      </c>
      <c r="G10" s="235" t="s">
        <v>5933</v>
      </c>
      <c r="H10" s="235" t="s">
        <v>5929</v>
      </c>
    </row>
    <row r="11" spans="1:12" ht="15.75" customHeight="1">
      <c r="A11" s="3" t="s">
        <v>934</v>
      </c>
      <c r="B11" s="3" t="s">
        <v>935</v>
      </c>
      <c r="C11" s="4">
        <v>2</v>
      </c>
      <c r="D11" s="234">
        <v>4</v>
      </c>
      <c r="E11" s="234">
        <v>4</v>
      </c>
      <c r="F11" s="234">
        <v>7</v>
      </c>
      <c r="G11" s="235" t="s">
        <v>5934</v>
      </c>
      <c r="H11" s="235" t="s">
        <v>5935</v>
      </c>
    </row>
    <row r="12" spans="1:12" ht="15.75" customHeight="1">
      <c r="A12" s="3" t="s">
        <v>954</v>
      </c>
      <c r="B12" s="3" t="s">
        <v>955</v>
      </c>
      <c r="C12" s="4">
        <v>2</v>
      </c>
      <c r="D12" s="234">
        <v>5</v>
      </c>
      <c r="E12" s="234">
        <v>6</v>
      </c>
      <c r="F12" s="234">
        <v>4</v>
      </c>
      <c r="G12" s="235" t="s">
        <v>5936</v>
      </c>
      <c r="H12" s="235" t="s">
        <v>5937</v>
      </c>
    </row>
    <row r="13" spans="1:12" ht="15.75" customHeight="1">
      <c r="A13" s="3" t="s">
        <v>1046</v>
      </c>
      <c r="B13" s="3" t="s">
        <v>1047</v>
      </c>
      <c r="C13" s="4">
        <v>2</v>
      </c>
      <c r="D13" s="234">
        <v>6</v>
      </c>
      <c r="E13" s="234">
        <v>8</v>
      </c>
      <c r="F13" s="234">
        <v>8</v>
      </c>
      <c r="G13" s="235" t="s">
        <v>5938</v>
      </c>
      <c r="H13" s="235" t="s">
        <v>5939</v>
      </c>
    </row>
    <row r="14" spans="1:12" ht="15.75" customHeight="1">
      <c r="A14" s="3" t="s">
        <v>1066</v>
      </c>
      <c r="B14" s="3" t="s">
        <v>1067</v>
      </c>
      <c r="C14" s="4">
        <v>2</v>
      </c>
      <c r="D14" s="234">
        <v>7</v>
      </c>
      <c r="E14" s="234">
        <v>6</v>
      </c>
      <c r="F14" s="234">
        <v>7</v>
      </c>
      <c r="G14" s="235" t="s">
        <v>5940</v>
      </c>
      <c r="H14" s="235" t="s">
        <v>5941</v>
      </c>
    </row>
    <row r="15" spans="1:12" ht="15.75" customHeight="1">
      <c r="A15" s="3" t="s">
        <v>1086</v>
      </c>
      <c r="B15" s="3" t="s">
        <v>1087</v>
      </c>
      <c r="C15" s="4">
        <v>2</v>
      </c>
      <c r="D15" s="234">
        <v>5</v>
      </c>
      <c r="E15" s="234">
        <v>5</v>
      </c>
      <c r="F15" s="234">
        <v>6</v>
      </c>
      <c r="G15" s="235" t="s">
        <v>5942</v>
      </c>
      <c r="H15" s="235" t="s">
        <v>5943</v>
      </c>
    </row>
    <row r="16" spans="1:12" ht="15.75" customHeight="1">
      <c r="A16" s="3" t="s">
        <v>1378</v>
      </c>
      <c r="B16" s="3" t="s">
        <v>1379</v>
      </c>
      <c r="C16" s="4">
        <v>2</v>
      </c>
      <c r="D16" s="234">
        <v>6</v>
      </c>
      <c r="E16" s="234">
        <v>8</v>
      </c>
      <c r="F16" s="234">
        <v>8</v>
      </c>
      <c r="G16" s="235" t="s">
        <v>5944</v>
      </c>
      <c r="H16" s="235" t="s">
        <v>5927</v>
      </c>
    </row>
    <row r="17" spans="1:8" ht="15.75" customHeight="1">
      <c r="A17" s="3" t="s">
        <v>1434</v>
      </c>
      <c r="B17" s="3" t="s">
        <v>1435</v>
      </c>
      <c r="C17" s="4">
        <v>2</v>
      </c>
      <c r="D17" s="234">
        <v>4</v>
      </c>
      <c r="E17" s="234">
        <v>5</v>
      </c>
      <c r="F17" s="234">
        <v>5</v>
      </c>
      <c r="G17" s="235" t="s">
        <v>5945</v>
      </c>
      <c r="H17" s="235" t="s">
        <v>5946</v>
      </c>
    </row>
    <row r="18" spans="1:8" ht="15.75" customHeight="1">
      <c r="A18" s="3" t="s">
        <v>1470</v>
      </c>
      <c r="B18" s="3" t="s">
        <v>1471</v>
      </c>
      <c r="C18" s="4">
        <v>2</v>
      </c>
      <c r="D18" s="234">
        <v>3</v>
      </c>
      <c r="E18" s="234">
        <v>3</v>
      </c>
      <c r="F18" s="234">
        <v>4</v>
      </c>
      <c r="G18" s="235" t="s">
        <v>5947</v>
      </c>
      <c r="H18" s="235" t="s">
        <v>5929</v>
      </c>
    </row>
    <row r="19" spans="1:8" ht="15.75" customHeight="1">
      <c r="A19" s="3" t="s">
        <v>1498</v>
      </c>
      <c r="B19" s="3" t="s">
        <v>1499</v>
      </c>
      <c r="C19" s="4">
        <v>2</v>
      </c>
      <c r="D19" s="234">
        <v>3</v>
      </c>
      <c r="E19" s="234">
        <v>3</v>
      </c>
      <c r="F19" s="234">
        <v>2</v>
      </c>
      <c r="G19" s="235" t="s">
        <v>5948</v>
      </c>
      <c r="H19" s="235" t="s">
        <v>5935</v>
      </c>
    </row>
    <row r="20" spans="1:8" ht="15.75" customHeight="1">
      <c r="A20" s="3" t="s">
        <v>1530</v>
      </c>
      <c r="B20" s="3" t="s">
        <v>1531</v>
      </c>
      <c r="C20" s="4">
        <v>2</v>
      </c>
      <c r="D20" s="234">
        <v>5</v>
      </c>
      <c r="E20" s="234">
        <v>6</v>
      </c>
      <c r="F20" s="234">
        <v>3</v>
      </c>
      <c r="G20" s="235" t="s">
        <v>5949</v>
      </c>
      <c r="H20" s="235" t="s">
        <v>5950</v>
      </c>
    </row>
    <row r="21" spans="1:8" ht="15.75" customHeight="1">
      <c r="A21" s="3" t="s">
        <v>1586</v>
      </c>
      <c r="B21" s="3" t="s">
        <v>1587</v>
      </c>
      <c r="C21" s="4">
        <v>2</v>
      </c>
      <c r="D21" s="234">
        <v>3</v>
      </c>
      <c r="E21" s="234">
        <v>3</v>
      </c>
      <c r="F21" s="234">
        <v>3</v>
      </c>
      <c r="G21" s="235" t="s">
        <v>5951</v>
      </c>
      <c r="H21" s="235" t="s">
        <v>5952</v>
      </c>
    </row>
    <row r="22" spans="1:8" ht="15.75" customHeight="1">
      <c r="A22" s="3" t="s">
        <v>1710</v>
      </c>
      <c r="B22" s="3" t="s">
        <v>1711</v>
      </c>
      <c r="C22" s="4">
        <v>2</v>
      </c>
      <c r="D22" s="234">
        <v>7</v>
      </c>
      <c r="E22" s="234">
        <v>6</v>
      </c>
      <c r="F22" s="234">
        <v>8</v>
      </c>
      <c r="G22" s="235" t="s">
        <v>5953</v>
      </c>
      <c r="H22" s="235" t="s">
        <v>5954</v>
      </c>
    </row>
    <row r="23" spans="1:8" ht="15.75" customHeight="1">
      <c r="A23" s="3" t="s">
        <v>1758</v>
      </c>
      <c r="B23" s="3" t="s">
        <v>1759</v>
      </c>
      <c r="C23" s="4">
        <v>2</v>
      </c>
      <c r="D23" s="234">
        <v>4</v>
      </c>
      <c r="E23" s="234">
        <v>5</v>
      </c>
      <c r="F23" s="234">
        <v>6</v>
      </c>
      <c r="G23" s="235" t="s">
        <v>5955</v>
      </c>
      <c r="H23" s="235" t="s">
        <v>5956</v>
      </c>
    </row>
    <row r="24" spans="1:8" ht="15.75" customHeight="1">
      <c r="A24" s="3" t="s">
        <v>1926</v>
      </c>
      <c r="B24" s="3" t="s">
        <v>1927</v>
      </c>
      <c r="C24" s="4">
        <v>2</v>
      </c>
      <c r="D24" s="234">
        <v>5</v>
      </c>
      <c r="E24" s="234">
        <v>4</v>
      </c>
      <c r="F24" s="234">
        <v>5</v>
      </c>
      <c r="G24" s="235" t="s">
        <v>5957</v>
      </c>
      <c r="H24" s="235" t="s">
        <v>5958</v>
      </c>
    </row>
    <row r="25" spans="1:8" ht="15.75" customHeight="1">
      <c r="A25" s="3" t="s">
        <v>1994</v>
      </c>
      <c r="B25" s="3" t="s">
        <v>1995</v>
      </c>
      <c r="C25" s="4">
        <v>2</v>
      </c>
      <c r="D25" s="234">
        <v>4</v>
      </c>
      <c r="E25" s="234">
        <v>3</v>
      </c>
      <c r="F25" s="234">
        <v>4</v>
      </c>
      <c r="G25" s="235" t="s">
        <v>5959</v>
      </c>
      <c r="H25" s="235" t="s">
        <v>5935</v>
      </c>
    </row>
    <row r="26" spans="1:8" ht="15.75" customHeight="1">
      <c r="A26" s="3" t="s">
        <v>2030</v>
      </c>
      <c r="B26" s="3" t="s">
        <v>2031</v>
      </c>
      <c r="C26" s="4">
        <v>2</v>
      </c>
      <c r="D26" s="234">
        <v>6</v>
      </c>
      <c r="E26" s="234">
        <v>5</v>
      </c>
      <c r="F26" s="234">
        <v>6</v>
      </c>
      <c r="G26" s="235" t="s">
        <v>5960</v>
      </c>
      <c r="H26" s="235" t="s">
        <v>5961</v>
      </c>
    </row>
    <row r="27" spans="1:8" ht="15.75" customHeight="1">
      <c r="A27" s="3" t="s">
        <v>2369</v>
      </c>
      <c r="B27" s="3" t="s">
        <v>2370</v>
      </c>
      <c r="C27" s="4">
        <v>2</v>
      </c>
      <c r="D27" s="234">
        <v>7</v>
      </c>
      <c r="E27" s="234">
        <v>6</v>
      </c>
      <c r="F27" s="234">
        <v>7</v>
      </c>
      <c r="G27" s="235" t="s">
        <v>5962</v>
      </c>
      <c r="H27" s="235" t="s">
        <v>5963</v>
      </c>
    </row>
    <row r="28" spans="1:8" ht="15.75" customHeight="1">
      <c r="A28" s="3" t="s">
        <v>2493</v>
      </c>
      <c r="B28" s="3" t="s">
        <v>2494</v>
      </c>
      <c r="C28" s="4">
        <v>2</v>
      </c>
      <c r="D28" s="234">
        <v>6</v>
      </c>
      <c r="E28" s="234">
        <v>5</v>
      </c>
      <c r="F28" s="234">
        <v>8</v>
      </c>
      <c r="G28" s="235" t="s">
        <v>5964</v>
      </c>
      <c r="H28" s="235" t="s">
        <v>5965</v>
      </c>
    </row>
    <row r="29" spans="1:8" ht="15.75" customHeight="1">
      <c r="A29" s="3" t="s">
        <v>2673</v>
      </c>
      <c r="B29" s="3" t="s">
        <v>2674</v>
      </c>
      <c r="C29" s="4">
        <v>2</v>
      </c>
      <c r="D29" s="234">
        <v>3</v>
      </c>
      <c r="E29" s="234">
        <v>3</v>
      </c>
      <c r="F29" s="234">
        <v>3</v>
      </c>
      <c r="G29" s="235" t="s">
        <v>5966</v>
      </c>
      <c r="H29" s="235" t="s">
        <v>5935</v>
      </c>
    </row>
    <row r="30" spans="1:8" ht="15.75" customHeight="1">
      <c r="A30" s="3" t="s">
        <v>2693</v>
      </c>
      <c r="B30" s="3" t="s">
        <v>2694</v>
      </c>
      <c r="C30" s="4">
        <v>2</v>
      </c>
      <c r="D30" s="234">
        <v>6</v>
      </c>
      <c r="E30" s="234">
        <v>8</v>
      </c>
      <c r="F30" s="234">
        <v>5</v>
      </c>
      <c r="G30" s="235" t="s">
        <v>5967</v>
      </c>
      <c r="H30" s="235" t="s">
        <v>5968</v>
      </c>
    </row>
    <row r="31" spans="1:8" ht="15.75" customHeight="1">
      <c r="A31" s="3" t="s">
        <v>2705</v>
      </c>
      <c r="B31" s="3" t="s">
        <v>2706</v>
      </c>
      <c r="C31" s="4">
        <v>2</v>
      </c>
      <c r="D31" s="234">
        <v>5</v>
      </c>
      <c r="E31" s="234">
        <v>7</v>
      </c>
      <c r="F31" s="234">
        <v>4</v>
      </c>
      <c r="G31" s="235" t="s">
        <v>5969</v>
      </c>
      <c r="H31" s="235" t="s">
        <v>5958</v>
      </c>
    </row>
    <row r="32" spans="1:8" ht="15.75" customHeight="1">
      <c r="A32" s="3" t="s">
        <v>2751</v>
      </c>
      <c r="B32" s="3" t="s">
        <v>2752</v>
      </c>
      <c r="C32" s="4">
        <v>2</v>
      </c>
      <c r="D32" s="234">
        <v>4</v>
      </c>
      <c r="E32" s="234">
        <v>5</v>
      </c>
      <c r="F32" s="234">
        <v>7</v>
      </c>
      <c r="G32" s="235" t="s">
        <v>5970</v>
      </c>
      <c r="H32" s="235" t="s">
        <v>5937</v>
      </c>
    </row>
    <row r="33" spans="1:8" ht="15.75" customHeight="1">
      <c r="A33" s="3" t="s">
        <v>2843</v>
      </c>
      <c r="B33" s="3" t="s">
        <v>2844</v>
      </c>
      <c r="C33" s="4">
        <v>2</v>
      </c>
      <c r="D33" s="234">
        <v>6</v>
      </c>
      <c r="E33" s="234">
        <v>6</v>
      </c>
      <c r="F33" s="234">
        <v>8</v>
      </c>
      <c r="G33" s="235" t="s">
        <v>5971</v>
      </c>
      <c r="H33" s="235" t="s">
        <v>5963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N62"/>
  <sheetViews>
    <sheetView workbookViewId="0"/>
  </sheetViews>
  <sheetFormatPr defaultColWidth="12.5703125" defaultRowHeight="15.75" customHeight="1"/>
  <cols>
    <col min="1" max="1" width="24.85546875" customWidth="1"/>
    <col min="2" max="2" width="34.42578125" customWidth="1"/>
    <col min="3" max="3" width="19.42578125" customWidth="1"/>
  </cols>
  <sheetData>
    <row r="1" spans="1:14">
      <c r="A1" s="3"/>
      <c r="B1" s="3"/>
      <c r="C1" s="4"/>
      <c r="D1" s="172" t="s">
        <v>5972</v>
      </c>
      <c r="E1" s="172" t="s">
        <v>5973</v>
      </c>
      <c r="F1" s="172" t="s">
        <v>5974</v>
      </c>
      <c r="G1" s="172" t="s">
        <v>5975</v>
      </c>
      <c r="H1" s="172" t="s">
        <v>5976</v>
      </c>
      <c r="I1" s="172" t="s">
        <v>5977</v>
      </c>
      <c r="J1" s="172" t="s">
        <v>5978</v>
      </c>
      <c r="K1" s="172" t="s">
        <v>5979</v>
      </c>
      <c r="L1" s="172" t="s">
        <v>5980</v>
      </c>
      <c r="M1" s="172" t="s">
        <v>5981</v>
      </c>
      <c r="N1" s="172" t="s">
        <v>5982</v>
      </c>
    </row>
    <row r="2" spans="1:14">
      <c r="A2" s="3" t="s">
        <v>5983</v>
      </c>
      <c r="B2" s="3"/>
      <c r="C2" s="4"/>
    </row>
    <row r="3" spans="1:14">
      <c r="A3" s="3" t="s">
        <v>5984</v>
      </c>
      <c r="B3" s="3"/>
      <c r="C3" s="4"/>
    </row>
    <row r="4" spans="1:14">
      <c r="A4" s="3" t="s">
        <v>5985</v>
      </c>
      <c r="B4" s="3"/>
      <c r="C4" s="4"/>
    </row>
    <row r="5" spans="1:14">
      <c r="A5" s="3" t="s">
        <v>4134</v>
      </c>
      <c r="B5" s="3"/>
      <c r="C5" s="4"/>
    </row>
    <row r="6" spans="1:14">
      <c r="A6" s="3" t="s">
        <v>5986</v>
      </c>
      <c r="B6" s="3"/>
      <c r="C6" s="4"/>
    </row>
    <row r="7" spans="1:14">
      <c r="A7" s="3" t="s">
        <v>5987</v>
      </c>
      <c r="B7" s="3"/>
      <c r="C7" s="4"/>
    </row>
    <row r="8" spans="1:14">
      <c r="A8" s="3" t="s">
        <v>4944</v>
      </c>
      <c r="B8" s="3"/>
      <c r="C8" s="4"/>
    </row>
    <row r="9" spans="1:14">
      <c r="A9" s="3" t="s">
        <v>4194</v>
      </c>
      <c r="B9" s="3" t="s">
        <v>4195</v>
      </c>
      <c r="C9" s="4">
        <v>2</v>
      </c>
    </row>
    <row r="10" spans="1:14">
      <c r="A10" s="3" t="s">
        <v>4197</v>
      </c>
      <c r="B10" s="3" t="s">
        <v>4</v>
      </c>
      <c r="C10" s="4">
        <v>2</v>
      </c>
    </row>
    <row r="11" spans="1:14">
      <c r="A11" s="3" t="s">
        <v>174</v>
      </c>
      <c r="B11" s="3" t="s">
        <v>175</v>
      </c>
      <c r="C11" s="4">
        <v>2</v>
      </c>
    </row>
    <row r="12" spans="1:14">
      <c r="A12" s="3" t="s">
        <v>202</v>
      </c>
      <c r="B12" s="3" t="s">
        <v>203</v>
      </c>
      <c r="C12" s="4">
        <v>2</v>
      </c>
    </row>
    <row r="13" spans="1:14">
      <c r="A13" s="3" t="s">
        <v>366</v>
      </c>
      <c r="B13" s="3" t="s">
        <v>367</v>
      </c>
      <c r="C13" s="4">
        <v>2</v>
      </c>
    </row>
    <row r="14" spans="1:14">
      <c r="A14" s="3" t="s">
        <v>534</v>
      </c>
      <c r="B14" s="3" t="s">
        <v>535</v>
      </c>
      <c r="C14" s="4">
        <v>2</v>
      </c>
    </row>
    <row r="15" spans="1:14">
      <c r="A15" s="3" t="s">
        <v>610</v>
      </c>
      <c r="B15" s="3" t="s">
        <v>611</v>
      </c>
      <c r="C15" s="4">
        <v>2</v>
      </c>
    </row>
    <row r="16" spans="1:14">
      <c r="A16" s="3" t="s">
        <v>814</v>
      </c>
      <c r="B16" s="3" t="s">
        <v>815</v>
      </c>
      <c r="C16" s="4">
        <v>2</v>
      </c>
    </row>
    <row r="17" spans="1:3">
      <c r="A17" s="3" t="s">
        <v>866</v>
      </c>
      <c r="B17" s="3" t="s">
        <v>867</v>
      </c>
      <c r="C17" s="4">
        <v>2</v>
      </c>
    </row>
    <row r="18" spans="1:3">
      <c r="A18" s="3" t="s">
        <v>934</v>
      </c>
      <c r="B18" s="3" t="s">
        <v>935</v>
      </c>
      <c r="C18" s="4">
        <v>2</v>
      </c>
    </row>
    <row r="19" spans="1:3">
      <c r="A19" s="3" t="s">
        <v>954</v>
      </c>
      <c r="B19" s="3" t="s">
        <v>955</v>
      </c>
      <c r="C19" s="4">
        <v>2</v>
      </c>
    </row>
    <row r="20" spans="1:3">
      <c r="A20" s="3" t="s">
        <v>1046</v>
      </c>
      <c r="B20" s="3" t="s">
        <v>1047</v>
      </c>
      <c r="C20" s="4">
        <v>2</v>
      </c>
    </row>
    <row r="21" spans="1:3">
      <c r="A21" s="3" t="s">
        <v>1066</v>
      </c>
      <c r="B21" s="3" t="s">
        <v>1067</v>
      </c>
      <c r="C21" s="4">
        <v>2</v>
      </c>
    </row>
    <row r="22" spans="1:3">
      <c r="A22" s="3" t="s">
        <v>1086</v>
      </c>
      <c r="B22" s="3" t="s">
        <v>1087</v>
      </c>
      <c r="C22" s="4">
        <v>2</v>
      </c>
    </row>
    <row r="23" spans="1:3">
      <c r="A23" s="3" t="s">
        <v>1378</v>
      </c>
      <c r="B23" s="3" t="s">
        <v>1379</v>
      </c>
      <c r="C23" s="4">
        <v>2</v>
      </c>
    </row>
    <row r="24" spans="1:3">
      <c r="A24" s="3" t="s">
        <v>1434</v>
      </c>
      <c r="B24" s="3" t="s">
        <v>1435</v>
      </c>
      <c r="C24" s="4">
        <v>2</v>
      </c>
    </row>
    <row r="25" spans="1:3">
      <c r="A25" s="3" t="s">
        <v>1470</v>
      </c>
      <c r="B25" s="3" t="s">
        <v>1471</v>
      </c>
      <c r="C25" s="4">
        <v>2</v>
      </c>
    </row>
    <row r="26" spans="1:3">
      <c r="A26" s="3" t="s">
        <v>1498</v>
      </c>
      <c r="B26" s="3" t="s">
        <v>1499</v>
      </c>
      <c r="C26" s="4">
        <v>2</v>
      </c>
    </row>
    <row r="27" spans="1:3">
      <c r="A27" s="3" t="s">
        <v>1530</v>
      </c>
      <c r="B27" s="3" t="s">
        <v>1531</v>
      </c>
      <c r="C27" s="4">
        <v>2</v>
      </c>
    </row>
    <row r="28" spans="1:3">
      <c r="A28" s="3" t="s">
        <v>1586</v>
      </c>
      <c r="B28" s="3" t="s">
        <v>1587</v>
      </c>
      <c r="C28" s="4">
        <v>2</v>
      </c>
    </row>
    <row r="29" spans="1:3">
      <c r="A29" s="3" t="s">
        <v>1710</v>
      </c>
      <c r="B29" s="3" t="s">
        <v>1711</v>
      </c>
      <c r="C29" s="4">
        <v>2</v>
      </c>
    </row>
    <row r="30" spans="1:3">
      <c r="A30" s="3" t="s">
        <v>1758</v>
      </c>
      <c r="B30" s="3" t="s">
        <v>1759</v>
      </c>
      <c r="C30" s="4">
        <v>2</v>
      </c>
    </row>
    <row r="31" spans="1:3">
      <c r="A31" s="3" t="s">
        <v>1926</v>
      </c>
      <c r="B31" s="3" t="s">
        <v>1927</v>
      </c>
      <c r="C31" s="4">
        <v>2</v>
      </c>
    </row>
    <row r="32" spans="1:3">
      <c r="A32" s="3" t="s">
        <v>1994</v>
      </c>
      <c r="B32" s="3" t="s">
        <v>1995</v>
      </c>
      <c r="C32" s="4">
        <v>2</v>
      </c>
    </row>
    <row r="33" spans="1:5">
      <c r="A33" s="3" t="s">
        <v>2030</v>
      </c>
      <c r="B33" s="3" t="s">
        <v>2031</v>
      </c>
      <c r="C33" s="4">
        <v>2</v>
      </c>
    </row>
    <row r="34" spans="1:5">
      <c r="A34" s="3" t="s">
        <v>2369</v>
      </c>
      <c r="B34" s="3" t="s">
        <v>2370</v>
      </c>
      <c r="C34" s="4">
        <v>2</v>
      </c>
    </row>
    <row r="35" spans="1:5">
      <c r="A35" s="3" t="s">
        <v>2493</v>
      </c>
      <c r="B35" s="3" t="s">
        <v>2494</v>
      </c>
      <c r="C35" s="4">
        <v>2</v>
      </c>
    </row>
    <row r="36" spans="1:5">
      <c r="A36" s="3" t="s">
        <v>2673</v>
      </c>
      <c r="B36" s="3" t="s">
        <v>2674</v>
      </c>
      <c r="C36" s="4">
        <v>2</v>
      </c>
    </row>
    <row r="37" spans="1:5">
      <c r="A37" s="3" t="s">
        <v>2693</v>
      </c>
      <c r="B37" s="3" t="s">
        <v>2694</v>
      </c>
      <c r="C37" s="4">
        <v>2</v>
      </c>
    </row>
    <row r="38" spans="1:5">
      <c r="A38" s="3" t="s">
        <v>2705</v>
      </c>
      <c r="B38" s="3" t="s">
        <v>2706</v>
      </c>
      <c r="C38" s="4">
        <v>2</v>
      </c>
    </row>
    <row r="39" spans="1:5">
      <c r="A39" s="3" t="s">
        <v>2751</v>
      </c>
      <c r="B39" s="3" t="s">
        <v>2752</v>
      </c>
      <c r="C39" s="4">
        <v>2</v>
      </c>
    </row>
    <row r="40" spans="1:5">
      <c r="A40" s="3" t="s">
        <v>2843</v>
      </c>
      <c r="B40" s="3" t="s">
        <v>2844</v>
      </c>
      <c r="C40" s="4">
        <v>2</v>
      </c>
    </row>
    <row r="45" spans="1:5">
      <c r="D45" s="7" t="s">
        <v>5988</v>
      </c>
      <c r="E45" s="7" t="s">
        <v>5989</v>
      </c>
    </row>
    <row r="46" spans="1:5">
      <c r="A46" s="3" t="s">
        <v>5983</v>
      </c>
      <c r="B46" s="7" t="s">
        <v>5990</v>
      </c>
    </row>
    <row r="47" spans="1:5">
      <c r="A47" s="236" t="s">
        <v>5984</v>
      </c>
    </row>
    <row r="48" spans="1:5">
      <c r="A48" s="236" t="s">
        <v>5985</v>
      </c>
    </row>
    <row r="49" spans="1:9">
      <c r="A49" s="3" t="s">
        <v>4134</v>
      </c>
      <c r="B49" s="7" t="s">
        <v>5991</v>
      </c>
    </row>
    <row r="50" spans="1:9">
      <c r="A50" s="7" t="s">
        <v>5992</v>
      </c>
    </row>
    <row r="51" spans="1:9">
      <c r="B51" s="237" t="s">
        <v>4126</v>
      </c>
      <c r="D51" s="7" t="s">
        <v>5993</v>
      </c>
      <c r="E51" s="7" t="s">
        <v>5993</v>
      </c>
    </row>
    <row r="52" spans="1:9">
      <c r="B52" s="237" t="s">
        <v>4120</v>
      </c>
      <c r="D52" s="7" t="s">
        <v>5994</v>
      </c>
      <c r="E52" s="7" t="s">
        <v>5994</v>
      </c>
    </row>
    <row r="53" spans="1:9">
      <c r="B53" s="237" t="s">
        <v>4093</v>
      </c>
      <c r="D53" s="7" t="s">
        <v>5995</v>
      </c>
      <c r="E53" s="7" t="s">
        <v>5995</v>
      </c>
    </row>
    <row r="54" spans="1:9">
      <c r="B54" s="237" t="s">
        <v>4096</v>
      </c>
      <c r="D54" s="7" t="s">
        <v>5996</v>
      </c>
      <c r="E54" s="7" t="s">
        <v>5996</v>
      </c>
    </row>
    <row r="55" spans="1:9">
      <c r="B55" s="237" t="s">
        <v>5454</v>
      </c>
      <c r="D55" s="7" t="s">
        <v>5997</v>
      </c>
      <c r="E55" s="7" t="s">
        <v>5997</v>
      </c>
    </row>
    <row r="56" spans="1:9">
      <c r="B56" s="237" t="s">
        <v>4105</v>
      </c>
      <c r="D56" s="7" t="s">
        <v>5998</v>
      </c>
      <c r="E56" s="7" t="s">
        <v>5998</v>
      </c>
    </row>
    <row r="57" spans="1:9">
      <c r="B57" s="237" t="s">
        <v>5460</v>
      </c>
      <c r="D57" s="7" t="s">
        <v>5999</v>
      </c>
      <c r="E57" s="7" t="s">
        <v>5999</v>
      </c>
    </row>
    <row r="58" spans="1:9">
      <c r="B58" s="237" t="s">
        <v>5416</v>
      </c>
      <c r="D58" s="7" t="s">
        <v>6000</v>
      </c>
      <c r="E58" s="7" t="s">
        <v>6000</v>
      </c>
    </row>
    <row r="59" spans="1:9">
      <c r="A59" s="7" t="s">
        <v>6001</v>
      </c>
    </row>
    <row r="60" spans="1:9">
      <c r="A60" s="3" t="s">
        <v>5986</v>
      </c>
    </row>
    <row r="61" spans="1:9">
      <c r="A61" s="3" t="s">
        <v>5987</v>
      </c>
    </row>
    <row r="62" spans="1:9">
      <c r="A62" s="3" t="s">
        <v>4944</v>
      </c>
      <c r="G62" s="238">
        <v>45688</v>
      </c>
      <c r="H62" s="238">
        <v>45597</v>
      </c>
      <c r="I62" s="7">
        <f>G62-H62</f>
        <v>91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I20"/>
  <sheetViews>
    <sheetView workbookViewId="0"/>
  </sheetViews>
  <sheetFormatPr defaultColWidth="12.5703125" defaultRowHeight="15.75" customHeight="1"/>
  <cols>
    <col min="3" max="3" width="16.5703125" customWidth="1"/>
    <col min="4" max="4" width="68.140625" customWidth="1"/>
  </cols>
  <sheetData>
    <row r="1" spans="1:9">
      <c r="A1" s="7" t="s">
        <v>5789</v>
      </c>
      <c r="B1" s="7" t="s">
        <v>5790</v>
      </c>
      <c r="C1" s="7" t="str">
        <f t="shared" ref="C1:C8" si="0">A1&amp;"-"&amp;B1</f>
        <v>ZA-Zona Alta</v>
      </c>
      <c r="D1" s="7" t="s">
        <v>5791</v>
      </c>
      <c r="E1" s="196"/>
      <c r="F1" s="7" t="s">
        <v>4069</v>
      </c>
      <c r="G1" s="7">
        <v>58</v>
      </c>
      <c r="H1" s="7">
        <v>98</v>
      </c>
      <c r="I1" s="7">
        <v>68</v>
      </c>
    </row>
    <row r="2" spans="1:9">
      <c r="A2" s="7" t="s">
        <v>5797</v>
      </c>
      <c r="B2" s="7" t="s">
        <v>5798</v>
      </c>
      <c r="C2" s="7" t="str">
        <f t="shared" si="0"/>
        <v>ZT-Zona Tipo</v>
      </c>
      <c r="D2" s="7" t="s">
        <v>6002</v>
      </c>
      <c r="E2" s="11"/>
      <c r="F2" s="12" t="s">
        <v>4065</v>
      </c>
      <c r="G2" s="10">
        <v>50</v>
      </c>
      <c r="H2" s="10">
        <v>182</v>
      </c>
      <c r="I2" s="10">
        <v>68</v>
      </c>
    </row>
    <row r="3" spans="1:9">
      <c r="A3" s="7" t="s">
        <v>5803</v>
      </c>
      <c r="B3" s="7" t="s">
        <v>5804</v>
      </c>
      <c r="C3" s="7" t="str">
        <f t="shared" si="0"/>
        <v>ZB-Zona Baixa</v>
      </c>
      <c r="D3" s="7" t="s">
        <v>5805</v>
      </c>
      <c r="E3" s="199"/>
      <c r="F3" s="7" t="s">
        <v>5806</v>
      </c>
      <c r="G3" s="7">
        <v>138</v>
      </c>
      <c r="H3" s="7">
        <v>194</v>
      </c>
      <c r="I3" s="7">
        <v>174</v>
      </c>
    </row>
    <row r="4" spans="1:9">
      <c r="A4" s="7" t="s">
        <v>5810</v>
      </c>
      <c r="B4" s="7" t="s">
        <v>5811</v>
      </c>
      <c r="C4" s="7" t="str">
        <f t="shared" si="0"/>
        <v>ZI-Zona Inferior</v>
      </c>
      <c r="D4" s="7" t="s">
        <v>6003</v>
      </c>
      <c r="E4" s="200"/>
      <c r="F4" s="7" t="s">
        <v>5813</v>
      </c>
      <c r="G4" s="7">
        <v>204</v>
      </c>
      <c r="H4" s="7">
        <v>220</v>
      </c>
      <c r="I4" s="7">
        <v>58</v>
      </c>
    </row>
    <row r="5" spans="1:9">
      <c r="A5" s="7" t="s">
        <v>5817</v>
      </c>
      <c r="B5" s="7" t="s">
        <v>5818</v>
      </c>
      <c r="C5" s="7" t="str">
        <f t="shared" si="0"/>
        <v>ZE-Zona Externa</v>
      </c>
      <c r="D5" s="7" t="s">
        <v>5819</v>
      </c>
      <c r="E5" s="202"/>
      <c r="F5" s="7" t="s">
        <v>6004</v>
      </c>
      <c r="G5" s="7">
        <v>254</v>
      </c>
      <c r="H5" s="7">
        <v>234</v>
      </c>
      <c r="I5" s="7">
        <v>58</v>
      </c>
    </row>
    <row r="6" spans="1:9">
      <c r="A6" s="7" t="s">
        <v>6005</v>
      </c>
      <c r="B6" s="7" t="s">
        <v>6006</v>
      </c>
      <c r="C6" s="7" t="str">
        <f t="shared" si="0"/>
        <v>ZV-Zona Vertical</v>
      </c>
      <c r="D6" s="7" t="s">
        <v>6007</v>
      </c>
      <c r="E6" s="203"/>
      <c r="F6" s="7" t="s">
        <v>5824</v>
      </c>
      <c r="G6" s="7">
        <v>254</v>
      </c>
      <c r="H6" s="7">
        <v>194</v>
      </c>
      <c r="I6" s="7">
        <v>8</v>
      </c>
    </row>
    <row r="7" spans="1:9">
      <c r="A7" s="7" t="s">
        <v>5821</v>
      </c>
      <c r="B7" s="7" t="s">
        <v>6008</v>
      </c>
      <c r="C7" s="7" t="str">
        <f t="shared" si="0"/>
        <v>ZS-Zona Especial</v>
      </c>
      <c r="D7" s="7" t="s">
        <v>6009</v>
      </c>
      <c r="E7" s="19"/>
      <c r="F7" s="12" t="s">
        <v>4076</v>
      </c>
      <c r="G7" s="10">
        <v>252</v>
      </c>
      <c r="H7" s="10">
        <v>178</v>
      </c>
      <c r="I7" s="10">
        <v>0</v>
      </c>
    </row>
    <row r="8" spans="1:9">
      <c r="A8" s="7" t="s">
        <v>5829</v>
      </c>
      <c r="B8" s="7" t="s">
        <v>5830</v>
      </c>
      <c r="C8" s="7" t="str">
        <f t="shared" si="0"/>
        <v>NI-Não Incidente</v>
      </c>
      <c r="D8" s="7" t="s">
        <v>5831</v>
      </c>
      <c r="E8" s="21"/>
      <c r="F8" s="7" t="s">
        <v>4078</v>
      </c>
      <c r="G8" s="7">
        <v>244</v>
      </c>
      <c r="H8" s="7">
        <v>124</v>
      </c>
      <c r="I8" s="7">
        <v>0</v>
      </c>
    </row>
    <row r="13" spans="1:9">
      <c r="A13" s="7" t="s">
        <v>5829</v>
      </c>
      <c r="B13" s="7" t="s">
        <v>5830</v>
      </c>
      <c r="C13" s="7" t="str">
        <f t="shared" ref="C13:C20" si="1">A13&amp;"-"&amp;B13</f>
        <v>NI-Não Incidente</v>
      </c>
    </row>
    <row r="14" spans="1:9">
      <c r="A14" s="7" t="s">
        <v>5789</v>
      </c>
      <c r="B14" s="7" t="s">
        <v>5790</v>
      </c>
      <c r="C14" s="7" t="str">
        <f t="shared" si="1"/>
        <v>ZA-Zona Alta</v>
      </c>
    </row>
    <row r="15" spans="1:9">
      <c r="A15" s="7" t="s">
        <v>5803</v>
      </c>
      <c r="B15" s="7" t="s">
        <v>5804</v>
      </c>
      <c r="C15" s="7" t="str">
        <f t="shared" si="1"/>
        <v>ZB-Zona Baixa</v>
      </c>
    </row>
    <row r="16" spans="1:9">
      <c r="A16" s="7" t="s">
        <v>5817</v>
      </c>
      <c r="B16" s="7" t="s">
        <v>6008</v>
      </c>
      <c r="C16" s="7" t="str">
        <f t="shared" si="1"/>
        <v>ZE-Zona Especial</v>
      </c>
    </row>
    <row r="17" spans="1:3">
      <c r="A17" s="7" t="s">
        <v>5810</v>
      </c>
      <c r="B17" s="7" t="s">
        <v>5811</v>
      </c>
      <c r="C17" s="7" t="str">
        <f t="shared" si="1"/>
        <v>ZI-Zona Inferior</v>
      </c>
    </row>
    <row r="18" spans="1:3">
      <c r="A18" s="7" t="s">
        <v>5797</v>
      </c>
      <c r="B18" s="7" t="s">
        <v>5798</v>
      </c>
      <c r="C18" s="7" t="str">
        <f t="shared" si="1"/>
        <v>ZT-Zona Tipo</v>
      </c>
    </row>
    <row r="19" spans="1:3">
      <c r="A19" s="7" t="s">
        <v>6005</v>
      </c>
      <c r="B19" s="7" t="s">
        <v>6006</v>
      </c>
      <c r="C19" s="7" t="str">
        <f t="shared" si="1"/>
        <v>ZV-Zona Vertical</v>
      </c>
    </row>
    <row r="20" spans="1:3">
      <c r="A20" s="7" t="s">
        <v>6010</v>
      </c>
      <c r="B20" s="7" t="s">
        <v>5818</v>
      </c>
      <c r="C20" s="7" t="str">
        <f t="shared" si="1"/>
        <v>ZX-Zona Externa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G69"/>
  <sheetViews>
    <sheetView workbookViewId="0"/>
  </sheetViews>
  <sheetFormatPr defaultColWidth="12.5703125" defaultRowHeight="15.75" customHeight="1"/>
  <sheetData>
    <row r="1" spans="1:7">
      <c r="A1" s="239" t="s">
        <v>6011</v>
      </c>
      <c r="B1" s="12" t="s">
        <v>6012</v>
      </c>
      <c r="C1" s="12" t="s">
        <v>6013</v>
      </c>
      <c r="D1" s="12" t="s">
        <v>6014</v>
      </c>
      <c r="E1" s="12" t="s">
        <v>6015</v>
      </c>
      <c r="F1" s="12" t="s">
        <v>6016</v>
      </c>
      <c r="G1" s="12" t="s">
        <v>6017</v>
      </c>
    </row>
    <row r="2" spans="1:7">
      <c r="A2" s="12" t="s">
        <v>4126</v>
      </c>
      <c r="B2" s="12" t="s">
        <v>5523</v>
      </c>
      <c r="C2" s="12" t="s">
        <v>6018</v>
      </c>
      <c r="D2" s="12" t="s">
        <v>6019</v>
      </c>
      <c r="E2" s="12" t="s">
        <v>6020</v>
      </c>
      <c r="F2" s="12" t="s">
        <v>6021</v>
      </c>
      <c r="G2" s="12" t="s">
        <v>6022</v>
      </c>
    </row>
    <row r="3" spans="1:7">
      <c r="A3" s="12" t="s">
        <v>4096</v>
      </c>
      <c r="B3" s="12" t="s">
        <v>5507</v>
      </c>
      <c r="C3" s="12" t="s">
        <v>6023</v>
      </c>
      <c r="D3" s="12" t="s">
        <v>6019</v>
      </c>
      <c r="E3" s="12" t="s">
        <v>6020</v>
      </c>
      <c r="F3" s="12" t="s">
        <v>6021</v>
      </c>
      <c r="G3" s="12" t="s">
        <v>6022</v>
      </c>
    </row>
    <row r="4" spans="1:7">
      <c r="A4" s="12" t="s">
        <v>5523</v>
      </c>
      <c r="B4" s="12" t="s">
        <v>5477</v>
      </c>
      <c r="C4" s="12" t="s">
        <v>6023</v>
      </c>
      <c r="D4" s="12" t="s">
        <v>6019</v>
      </c>
      <c r="E4" s="12" t="s">
        <v>6020</v>
      </c>
      <c r="F4" s="12" t="s">
        <v>6021</v>
      </c>
      <c r="G4" s="12" t="s">
        <v>6022</v>
      </c>
    </row>
    <row r="5" spans="1:7">
      <c r="A5" s="12" t="s">
        <v>4126</v>
      </c>
      <c r="B5" s="12" t="s">
        <v>5489</v>
      </c>
      <c r="C5" s="12" t="s">
        <v>6018</v>
      </c>
      <c r="D5" s="12" t="s">
        <v>6019</v>
      </c>
      <c r="E5" s="12" t="s">
        <v>6020</v>
      </c>
      <c r="F5" s="12" t="s">
        <v>6021</v>
      </c>
      <c r="G5" s="12" t="s">
        <v>6022</v>
      </c>
    </row>
    <row r="6" spans="1:7">
      <c r="A6" s="12" t="s">
        <v>5523</v>
      </c>
      <c r="B6" s="12" t="s">
        <v>5495</v>
      </c>
      <c r="C6" s="12" t="s">
        <v>6018</v>
      </c>
      <c r="D6" s="12" t="s">
        <v>6019</v>
      </c>
      <c r="E6" s="12" t="s">
        <v>6020</v>
      </c>
      <c r="F6" s="12" t="s">
        <v>6021</v>
      </c>
      <c r="G6" s="12" t="s">
        <v>6022</v>
      </c>
    </row>
    <row r="7" spans="1:7">
      <c r="A7" s="12" t="s">
        <v>5477</v>
      </c>
      <c r="B7" s="12" t="s">
        <v>5495</v>
      </c>
      <c r="C7" s="12" t="s">
        <v>6018</v>
      </c>
      <c r="D7" s="12" t="s">
        <v>6019</v>
      </c>
      <c r="E7" s="12" t="s">
        <v>6020</v>
      </c>
      <c r="F7" s="12" t="s">
        <v>6021</v>
      </c>
      <c r="G7" s="12" t="s">
        <v>6022</v>
      </c>
    </row>
    <row r="8" spans="1:7">
      <c r="A8" s="12" t="s">
        <v>5400</v>
      </c>
      <c r="B8" s="12" t="s">
        <v>5477</v>
      </c>
      <c r="C8" s="12" t="s">
        <v>6023</v>
      </c>
      <c r="D8" s="12" t="s">
        <v>6019</v>
      </c>
      <c r="E8" s="12" t="s">
        <v>6020</v>
      </c>
      <c r="F8" s="12" t="s">
        <v>6021</v>
      </c>
      <c r="G8" s="12" t="s">
        <v>6022</v>
      </c>
    </row>
    <row r="9" spans="1:7">
      <c r="A9" s="12" t="s">
        <v>4096</v>
      </c>
      <c r="B9" s="12" t="s">
        <v>4096</v>
      </c>
      <c r="C9" s="12" t="s">
        <v>6018</v>
      </c>
      <c r="D9" s="12" t="s">
        <v>6019</v>
      </c>
      <c r="E9" s="12" t="s">
        <v>6020</v>
      </c>
      <c r="F9" s="12" t="s">
        <v>6021</v>
      </c>
      <c r="G9" s="12" t="s">
        <v>6022</v>
      </c>
    </row>
    <row r="10" spans="1:7">
      <c r="A10" s="12" t="s">
        <v>5400</v>
      </c>
      <c r="B10" s="12" t="s">
        <v>5495</v>
      </c>
      <c r="C10" s="12" t="s">
        <v>6018</v>
      </c>
      <c r="D10" s="12" t="s">
        <v>6019</v>
      </c>
      <c r="E10" s="12" t="s">
        <v>6020</v>
      </c>
      <c r="F10" s="12" t="s">
        <v>6021</v>
      </c>
      <c r="G10" s="12" t="s">
        <v>6022</v>
      </c>
    </row>
    <row r="11" spans="1:7">
      <c r="A11" s="12" t="s">
        <v>4120</v>
      </c>
      <c r="B11" s="12" t="s">
        <v>5495</v>
      </c>
      <c r="C11" s="12" t="s">
        <v>6018</v>
      </c>
      <c r="D11" s="12" t="s">
        <v>6019</v>
      </c>
      <c r="E11" s="12" t="s">
        <v>6020</v>
      </c>
      <c r="F11" s="12" t="s">
        <v>6021</v>
      </c>
      <c r="G11" s="12" t="s">
        <v>6022</v>
      </c>
    </row>
    <row r="12" spans="1:7">
      <c r="A12" s="12" t="s">
        <v>5400</v>
      </c>
      <c r="B12" s="12" t="s">
        <v>4120</v>
      </c>
      <c r="C12" s="12" t="s">
        <v>6023</v>
      </c>
      <c r="D12" s="12" t="s">
        <v>6019</v>
      </c>
      <c r="E12" s="12" t="s">
        <v>6020</v>
      </c>
      <c r="F12" s="12" t="s">
        <v>6021</v>
      </c>
      <c r="G12" s="12" t="s">
        <v>6022</v>
      </c>
    </row>
    <row r="13" spans="1:7">
      <c r="A13" s="12" t="s">
        <v>4093</v>
      </c>
      <c r="B13" s="12" t="s">
        <v>5499</v>
      </c>
      <c r="C13" s="12" t="s">
        <v>6023</v>
      </c>
      <c r="D13" s="12" t="s">
        <v>6019</v>
      </c>
      <c r="E13" s="12" t="s">
        <v>6020</v>
      </c>
      <c r="F13" s="12" t="s">
        <v>6021</v>
      </c>
      <c r="G13" s="12" t="s">
        <v>6022</v>
      </c>
    </row>
    <row r="14" spans="1:7">
      <c r="A14" s="12" t="s">
        <v>4093</v>
      </c>
      <c r="B14" s="12" t="s">
        <v>5507</v>
      </c>
      <c r="C14" s="12" t="s">
        <v>6023</v>
      </c>
      <c r="D14" s="12" t="s">
        <v>6019</v>
      </c>
      <c r="E14" s="12" t="s">
        <v>6020</v>
      </c>
      <c r="F14" s="12" t="s">
        <v>6021</v>
      </c>
      <c r="G14" s="12" t="s">
        <v>6022</v>
      </c>
    </row>
    <row r="15" spans="1:7">
      <c r="A15" s="12" t="s">
        <v>4120</v>
      </c>
      <c r="B15" s="12" t="s">
        <v>6024</v>
      </c>
      <c r="C15" s="12" t="s">
        <v>6018</v>
      </c>
      <c r="D15" s="12" t="s">
        <v>6019</v>
      </c>
      <c r="E15" s="12" t="s">
        <v>6020</v>
      </c>
      <c r="F15" s="12" t="s">
        <v>6021</v>
      </c>
      <c r="G15" s="12" t="s">
        <v>6022</v>
      </c>
    </row>
    <row r="16" spans="1:7">
      <c r="A16" s="12" t="s">
        <v>5489</v>
      </c>
      <c r="B16" s="12" t="s">
        <v>5507</v>
      </c>
      <c r="C16" s="12" t="s">
        <v>6023</v>
      </c>
      <c r="D16" s="12" t="s">
        <v>6019</v>
      </c>
      <c r="E16" s="12" t="s">
        <v>6020</v>
      </c>
      <c r="F16" s="12" t="s">
        <v>6021</v>
      </c>
      <c r="G16" s="12" t="s">
        <v>6022</v>
      </c>
    </row>
    <row r="17" spans="1:7">
      <c r="A17" s="12" t="s">
        <v>4093</v>
      </c>
      <c r="B17" s="12" t="s">
        <v>4096</v>
      </c>
      <c r="C17" s="12" t="s">
        <v>6023</v>
      </c>
      <c r="D17" s="12" t="s">
        <v>6019</v>
      </c>
      <c r="E17" s="12" t="s">
        <v>6020</v>
      </c>
      <c r="F17" s="12" t="s">
        <v>6021</v>
      </c>
      <c r="G17" s="12" t="s">
        <v>6022</v>
      </c>
    </row>
    <row r="18" spans="1:7">
      <c r="A18" s="12" t="s">
        <v>6024</v>
      </c>
      <c r="B18" s="12" t="s">
        <v>5507</v>
      </c>
      <c r="C18" s="12" t="s">
        <v>6023</v>
      </c>
      <c r="D18" s="12" t="s">
        <v>6019</v>
      </c>
      <c r="E18" s="12" t="s">
        <v>6020</v>
      </c>
      <c r="F18" s="12" t="s">
        <v>6021</v>
      </c>
      <c r="G18" s="12" t="s">
        <v>6022</v>
      </c>
    </row>
    <row r="19" spans="1:7">
      <c r="A19" s="12" t="s">
        <v>5499</v>
      </c>
      <c r="B19" s="12" t="s">
        <v>5477</v>
      </c>
      <c r="C19" s="12" t="s">
        <v>6023</v>
      </c>
      <c r="D19" s="12" t="s">
        <v>6019</v>
      </c>
      <c r="E19" s="12" t="s">
        <v>6020</v>
      </c>
      <c r="F19" s="12" t="s">
        <v>6021</v>
      </c>
      <c r="G19" s="12" t="s">
        <v>6022</v>
      </c>
    </row>
    <row r="20" spans="1:7">
      <c r="A20" s="12" t="s">
        <v>5523</v>
      </c>
      <c r="B20" s="12" t="s">
        <v>6024</v>
      </c>
      <c r="C20" s="12" t="s">
        <v>6018</v>
      </c>
      <c r="D20" s="12" t="s">
        <v>6019</v>
      </c>
      <c r="E20" s="12" t="s">
        <v>6020</v>
      </c>
      <c r="F20" s="12" t="s">
        <v>6021</v>
      </c>
      <c r="G20" s="12" t="s">
        <v>6022</v>
      </c>
    </row>
    <row r="21" spans="1:7">
      <c r="A21" s="12" t="s">
        <v>4120</v>
      </c>
      <c r="B21" s="12" t="s">
        <v>5523</v>
      </c>
      <c r="C21" s="12" t="s">
        <v>6023</v>
      </c>
      <c r="D21" s="12" t="s">
        <v>6019</v>
      </c>
      <c r="E21" s="12" t="s">
        <v>6020</v>
      </c>
      <c r="F21" s="12" t="s">
        <v>6021</v>
      </c>
      <c r="G21" s="12" t="s">
        <v>6022</v>
      </c>
    </row>
    <row r="22" spans="1:7">
      <c r="A22" s="12" t="s">
        <v>4093</v>
      </c>
      <c r="B22" s="12" t="s">
        <v>4093</v>
      </c>
      <c r="C22" s="12" t="s">
        <v>6018</v>
      </c>
      <c r="D22" s="12" t="s">
        <v>6019</v>
      </c>
      <c r="E22" s="12" t="s">
        <v>6020</v>
      </c>
      <c r="F22" s="12" t="s">
        <v>6021</v>
      </c>
      <c r="G22" s="12" t="s">
        <v>6022</v>
      </c>
    </row>
    <row r="23" spans="1:7">
      <c r="A23" s="12" t="s">
        <v>4126</v>
      </c>
      <c r="B23" s="12" t="s">
        <v>5499</v>
      </c>
      <c r="C23" s="12" t="s">
        <v>6018</v>
      </c>
      <c r="D23" s="12" t="s">
        <v>6019</v>
      </c>
      <c r="E23" s="12" t="s">
        <v>6020</v>
      </c>
      <c r="F23" s="12" t="s">
        <v>6021</v>
      </c>
      <c r="G23" s="12" t="s">
        <v>6022</v>
      </c>
    </row>
    <row r="24" spans="1:7">
      <c r="A24" s="12" t="s">
        <v>5400</v>
      </c>
      <c r="B24" s="12" t="s">
        <v>6024</v>
      </c>
      <c r="C24" s="12" t="s">
        <v>6018</v>
      </c>
      <c r="D24" s="12" t="s">
        <v>6019</v>
      </c>
      <c r="E24" s="12" t="s">
        <v>6020</v>
      </c>
      <c r="F24" s="12" t="s">
        <v>6021</v>
      </c>
      <c r="G24" s="12" t="s">
        <v>6022</v>
      </c>
    </row>
    <row r="25" spans="1:7">
      <c r="A25" s="12" t="s">
        <v>4126</v>
      </c>
      <c r="B25" s="12" t="s">
        <v>5400</v>
      </c>
      <c r="C25" s="12" t="s">
        <v>6018</v>
      </c>
      <c r="D25" s="12" t="s">
        <v>6019</v>
      </c>
      <c r="E25" s="12" t="s">
        <v>6020</v>
      </c>
      <c r="F25" s="12" t="s">
        <v>6021</v>
      </c>
      <c r="G25" s="12" t="s">
        <v>6022</v>
      </c>
    </row>
    <row r="26" spans="1:7">
      <c r="A26" s="12" t="s">
        <v>4126</v>
      </c>
      <c r="B26" s="12" t="s">
        <v>5507</v>
      </c>
      <c r="C26" s="12" t="s">
        <v>6018</v>
      </c>
      <c r="D26" s="12" t="s">
        <v>6019</v>
      </c>
      <c r="E26" s="12" t="s">
        <v>6020</v>
      </c>
      <c r="F26" s="12" t="s">
        <v>6021</v>
      </c>
      <c r="G26" s="12" t="s">
        <v>6022</v>
      </c>
    </row>
    <row r="27" spans="1:7">
      <c r="A27" s="12" t="s">
        <v>4120</v>
      </c>
      <c r="B27" s="12" t="s">
        <v>5489</v>
      </c>
      <c r="C27" s="12" t="s">
        <v>6018</v>
      </c>
      <c r="D27" s="12" t="s">
        <v>6019</v>
      </c>
      <c r="E27" s="12" t="s">
        <v>6020</v>
      </c>
      <c r="F27" s="12" t="s">
        <v>6021</v>
      </c>
      <c r="G27" s="12" t="s">
        <v>6022</v>
      </c>
    </row>
    <row r="28" spans="1:7">
      <c r="A28" s="12" t="s">
        <v>5499</v>
      </c>
      <c r="B28" s="12" t="s">
        <v>5495</v>
      </c>
      <c r="C28" s="12" t="s">
        <v>6018</v>
      </c>
      <c r="D28" s="12" t="s">
        <v>6019</v>
      </c>
      <c r="E28" s="12" t="s">
        <v>6020</v>
      </c>
      <c r="F28" s="12" t="s">
        <v>6021</v>
      </c>
      <c r="G28" s="12" t="s">
        <v>6022</v>
      </c>
    </row>
    <row r="29" spans="1:7">
      <c r="A29" s="12" t="s">
        <v>4126</v>
      </c>
      <c r="B29" s="12" t="s">
        <v>4096</v>
      </c>
      <c r="C29" s="12" t="s">
        <v>6018</v>
      </c>
      <c r="D29" s="12" t="s">
        <v>6019</v>
      </c>
      <c r="E29" s="12" t="s">
        <v>6020</v>
      </c>
      <c r="F29" s="12" t="s">
        <v>6021</v>
      </c>
      <c r="G29" s="12" t="s">
        <v>6022</v>
      </c>
    </row>
    <row r="30" spans="1:7">
      <c r="A30" s="12" t="s">
        <v>4126</v>
      </c>
      <c r="B30" s="12" t="s">
        <v>4093</v>
      </c>
      <c r="C30" s="12" t="s">
        <v>6018</v>
      </c>
      <c r="D30" s="12" t="s">
        <v>6019</v>
      </c>
      <c r="E30" s="12" t="s">
        <v>6020</v>
      </c>
      <c r="F30" s="12" t="s">
        <v>6021</v>
      </c>
      <c r="G30" s="12" t="s">
        <v>6022</v>
      </c>
    </row>
    <row r="31" spans="1:7">
      <c r="A31" s="12" t="s">
        <v>4096</v>
      </c>
      <c r="B31" s="12" t="s">
        <v>5495</v>
      </c>
      <c r="C31" s="12" t="s">
        <v>6018</v>
      </c>
      <c r="D31" s="12" t="s">
        <v>6019</v>
      </c>
      <c r="E31" s="12" t="s">
        <v>6020</v>
      </c>
      <c r="F31" s="12" t="s">
        <v>6021</v>
      </c>
      <c r="G31" s="12" t="s">
        <v>6022</v>
      </c>
    </row>
    <row r="32" spans="1:7">
      <c r="A32" s="12" t="s">
        <v>5400</v>
      </c>
      <c r="B32" s="12" t="s">
        <v>5523</v>
      </c>
      <c r="C32" s="12" t="s">
        <v>6023</v>
      </c>
      <c r="D32" s="12" t="s">
        <v>6019</v>
      </c>
      <c r="E32" s="12" t="s">
        <v>6020</v>
      </c>
      <c r="F32" s="12" t="s">
        <v>6021</v>
      </c>
      <c r="G32" s="12" t="s">
        <v>6022</v>
      </c>
    </row>
    <row r="33" spans="1:7">
      <c r="A33" s="12" t="s">
        <v>4096</v>
      </c>
      <c r="B33" s="12" t="s">
        <v>5477</v>
      </c>
      <c r="C33" s="12" t="s">
        <v>6023</v>
      </c>
      <c r="D33" s="12" t="s">
        <v>6019</v>
      </c>
      <c r="E33" s="12" t="s">
        <v>6020</v>
      </c>
      <c r="F33" s="12" t="s">
        <v>6021</v>
      </c>
      <c r="G33" s="12" t="s">
        <v>6022</v>
      </c>
    </row>
    <row r="34" spans="1:7">
      <c r="A34" s="12" t="s">
        <v>5523</v>
      </c>
      <c r="B34" s="12" t="s">
        <v>5489</v>
      </c>
      <c r="C34" s="12" t="s">
        <v>6018</v>
      </c>
      <c r="D34" s="12" t="s">
        <v>6019</v>
      </c>
      <c r="E34" s="12" t="s">
        <v>6020</v>
      </c>
      <c r="F34" s="12" t="s">
        <v>6021</v>
      </c>
      <c r="G34" s="12" t="s">
        <v>6022</v>
      </c>
    </row>
    <row r="35" spans="1:7">
      <c r="A35" s="12" t="s">
        <v>5499</v>
      </c>
      <c r="B35" s="12" t="s">
        <v>6024</v>
      </c>
      <c r="C35" s="12" t="s">
        <v>6018</v>
      </c>
      <c r="D35" s="12" t="s">
        <v>6019</v>
      </c>
      <c r="E35" s="12" t="s">
        <v>6020</v>
      </c>
      <c r="F35" s="12" t="s">
        <v>6021</v>
      </c>
      <c r="G35" s="12" t="s">
        <v>6022</v>
      </c>
    </row>
    <row r="36" spans="1:7">
      <c r="A36" s="12" t="s">
        <v>5400</v>
      </c>
      <c r="B36" s="12" t="s">
        <v>5489</v>
      </c>
      <c r="C36" s="12" t="s">
        <v>6023</v>
      </c>
      <c r="D36" s="12" t="s">
        <v>6019</v>
      </c>
      <c r="E36" s="12" t="s">
        <v>6020</v>
      </c>
      <c r="F36" s="12" t="s">
        <v>6021</v>
      </c>
      <c r="G36" s="12" t="s">
        <v>6022</v>
      </c>
    </row>
    <row r="37" spans="1:7">
      <c r="A37" s="12" t="s">
        <v>4093</v>
      </c>
      <c r="B37" s="12" t="s">
        <v>5477</v>
      </c>
      <c r="C37" s="12" t="s">
        <v>6023</v>
      </c>
      <c r="D37" s="12" t="s">
        <v>6019</v>
      </c>
      <c r="E37" s="12" t="s">
        <v>6020</v>
      </c>
      <c r="F37" s="12" t="s">
        <v>6021</v>
      </c>
      <c r="G37" s="12" t="s">
        <v>6022</v>
      </c>
    </row>
    <row r="38" spans="1:7">
      <c r="A38" s="12" t="s">
        <v>4120</v>
      </c>
      <c r="B38" s="12" t="s">
        <v>5499</v>
      </c>
      <c r="C38" s="12" t="s">
        <v>6018</v>
      </c>
      <c r="D38" s="12" t="s">
        <v>6019</v>
      </c>
      <c r="E38" s="12" t="s">
        <v>6020</v>
      </c>
      <c r="F38" s="12" t="s">
        <v>6021</v>
      </c>
      <c r="G38" s="12" t="s">
        <v>6022</v>
      </c>
    </row>
    <row r="39" spans="1:7">
      <c r="A39" s="12" t="s">
        <v>5489</v>
      </c>
      <c r="B39" s="12" t="s">
        <v>5495</v>
      </c>
      <c r="C39" s="12" t="s">
        <v>6018</v>
      </c>
      <c r="D39" s="12" t="s">
        <v>6019</v>
      </c>
      <c r="E39" s="12" t="s">
        <v>6020</v>
      </c>
      <c r="F39" s="12" t="s">
        <v>6021</v>
      </c>
      <c r="G39" s="12" t="s">
        <v>6022</v>
      </c>
    </row>
    <row r="40" spans="1:7">
      <c r="A40" s="12" t="s">
        <v>4093</v>
      </c>
      <c r="B40" s="12" t="s">
        <v>5495</v>
      </c>
      <c r="C40" s="12" t="s">
        <v>6018</v>
      </c>
      <c r="D40" s="12" t="s">
        <v>6019</v>
      </c>
      <c r="E40" s="12" t="s">
        <v>6020</v>
      </c>
      <c r="F40" s="12" t="s">
        <v>6021</v>
      </c>
      <c r="G40" s="12" t="s">
        <v>6022</v>
      </c>
    </row>
    <row r="41" spans="1:7">
      <c r="A41" s="12" t="s">
        <v>4120</v>
      </c>
      <c r="B41" s="12" t="s">
        <v>5507</v>
      </c>
      <c r="C41" s="12" t="s">
        <v>6018</v>
      </c>
      <c r="D41" s="12" t="s">
        <v>6019</v>
      </c>
      <c r="E41" s="12" t="s">
        <v>6020</v>
      </c>
      <c r="F41" s="12" t="s">
        <v>6021</v>
      </c>
      <c r="G41" s="12" t="s">
        <v>6022</v>
      </c>
    </row>
    <row r="42" spans="1:7">
      <c r="A42" s="12" t="s">
        <v>6024</v>
      </c>
      <c r="B42" s="12" t="s">
        <v>5495</v>
      </c>
      <c r="C42" s="12" t="s">
        <v>6023</v>
      </c>
      <c r="D42" s="12" t="s">
        <v>6019</v>
      </c>
      <c r="E42" s="12" t="s">
        <v>6020</v>
      </c>
      <c r="F42" s="12" t="s">
        <v>6021</v>
      </c>
      <c r="G42" s="12" t="s">
        <v>6022</v>
      </c>
    </row>
    <row r="43" spans="1:7">
      <c r="A43" s="12" t="s">
        <v>5499</v>
      </c>
      <c r="B43" s="12" t="s">
        <v>5523</v>
      </c>
      <c r="C43" s="12" t="s">
        <v>6023</v>
      </c>
      <c r="D43" s="12" t="s">
        <v>6019</v>
      </c>
      <c r="E43" s="12" t="s">
        <v>6020</v>
      </c>
      <c r="F43" s="12" t="s">
        <v>6021</v>
      </c>
      <c r="G43" s="12" t="s">
        <v>6022</v>
      </c>
    </row>
    <row r="44" spans="1:7">
      <c r="A44" s="12" t="s">
        <v>5489</v>
      </c>
      <c r="B44" s="12" t="s">
        <v>5477</v>
      </c>
      <c r="C44" s="12" t="s">
        <v>6023</v>
      </c>
      <c r="D44" s="12" t="s">
        <v>6019</v>
      </c>
      <c r="E44" s="12" t="s">
        <v>6020</v>
      </c>
      <c r="F44" s="12" t="s">
        <v>6021</v>
      </c>
      <c r="G44" s="12" t="s">
        <v>6022</v>
      </c>
    </row>
    <row r="45" spans="1:7">
      <c r="A45" s="12" t="s">
        <v>4120</v>
      </c>
      <c r="B45" s="12" t="s">
        <v>4096</v>
      </c>
      <c r="C45" s="12" t="s">
        <v>6018</v>
      </c>
      <c r="D45" s="12" t="s">
        <v>6019</v>
      </c>
      <c r="E45" s="12" t="s">
        <v>6020</v>
      </c>
      <c r="F45" s="12" t="s">
        <v>6021</v>
      </c>
      <c r="G45" s="12" t="s">
        <v>6022</v>
      </c>
    </row>
    <row r="46" spans="1:7">
      <c r="A46" s="12" t="s">
        <v>4093</v>
      </c>
      <c r="B46" s="12" t="s">
        <v>4120</v>
      </c>
      <c r="C46" s="12" t="s">
        <v>6023</v>
      </c>
      <c r="D46" s="12" t="s">
        <v>6019</v>
      </c>
      <c r="E46" s="12" t="s">
        <v>6020</v>
      </c>
      <c r="F46" s="12" t="s">
        <v>6021</v>
      </c>
      <c r="G46" s="12" t="s">
        <v>6022</v>
      </c>
    </row>
    <row r="47" spans="1:7">
      <c r="A47" s="12" t="s">
        <v>6024</v>
      </c>
      <c r="B47" s="12" t="s">
        <v>5477</v>
      </c>
      <c r="C47" s="12" t="s">
        <v>6018</v>
      </c>
      <c r="D47" s="12" t="s">
        <v>6019</v>
      </c>
      <c r="E47" s="12" t="s">
        <v>6020</v>
      </c>
      <c r="F47" s="12" t="s">
        <v>6021</v>
      </c>
      <c r="G47" s="12" t="s">
        <v>6022</v>
      </c>
    </row>
    <row r="48" spans="1:7">
      <c r="A48" s="12" t="s">
        <v>4096</v>
      </c>
      <c r="B48" s="12" t="s">
        <v>6024</v>
      </c>
      <c r="C48" s="12" t="s">
        <v>6018</v>
      </c>
      <c r="D48" s="12" t="s">
        <v>6019</v>
      </c>
      <c r="E48" s="12" t="s">
        <v>6020</v>
      </c>
      <c r="F48" s="12" t="s">
        <v>6021</v>
      </c>
      <c r="G48" s="12" t="s">
        <v>6022</v>
      </c>
    </row>
    <row r="49" spans="1:7">
      <c r="A49" s="12" t="s">
        <v>5499</v>
      </c>
      <c r="B49" s="12" t="s">
        <v>5489</v>
      </c>
      <c r="C49" s="12" t="s">
        <v>6023</v>
      </c>
      <c r="D49" s="12" t="s">
        <v>6019</v>
      </c>
      <c r="E49" s="12" t="s">
        <v>6020</v>
      </c>
      <c r="F49" s="12" t="s">
        <v>6021</v>
      </c>
      <c r="G49" s="12" t="s">
        <v>6022</v>
      </c>
    </row>
    <row r="50" spans="1:7">
      <c r="A50" s="12" t="s">
        <v>4126</v>
      </c>
      <c r="B50" s="12" t="s">
        <v>5495</v>
      </c>
      <c r="C50" s="12" t="s">
        <v>6018</v>
      </c>
      <c r="D50" s="12" t="s">
        <v>6019</v>
      </c>
      <c r="E50" s="12" t="s">
        <v>6020</v>
      </c>
      <c r="F50" s="12" t="s">
        <v>6021</v>
      </c>
      <c r="G50" s="12" t="s">
        <v>6022</v>
      </c>
    </row>
    <row r="51" spans="1:7">
      <c r="A51" s="12" t="s">
        <v>4126</v>
      </c>
      <c r="B51" s="12" t="s">
        <v>5477</v>
      </c>
      <c r="C51" s="12" t="s">
        <v>6018</v>
      </c>
      <c r="D51" s="12" t="s">
        <v>6019</v>
      </c>
      <c r="E51" s="12" t="s">
        <v>6020</v>
      </c>
      <c r="F51" s="12" t="s">
        <v>6021</v>
      </c>
      <c r="G51" s="12" t="s">
        <v>6022</v>
      </c>
    </row>
    <row r="52" spans="1:7">
      <c r="A52" s="12" t="s">
        <v>5523</v>
      </c>
      <c r="B52" s="12" t="s">
        <v>5507</v>
      </c>
      <c r="C52" s="12" t="s">
        <v>6023</v>
      </c>
      <c r="D52" s="12" t="s">
        <v>6019</v>
      </c>
      <c r="E52" s="12" t="s">
        <v>6020</v>
      </c>
      <c r="F52" s="12" t="s">
        <v>6021</v>
      </c>
      <c r="G52" s="12" t="s">
        <v>6022</v>
      </c>
    </row>
    <row r="53" spans="1:7">
      <c r="A53" s="12" t="s">
        <v>5400</v>
      </c>
      <c r="B53" s="12" t="s">
        <v>5499</v>
      </c>
      <c r="C53" s="12" t="s">
        <v>6018</v>
      </c>
      <c r="D53" s="12" t="s">
        <v>6019</v>
      </c>
      <c r="E53" s="12" t="s">
        <v>6020</v>
      </c>
      <c r="F53" s="12" t="s">
        <v>6021</v>
      </c>
      <c r="G53" s="12" t="s">
        <v>6022</v>
      </c>
    </row>
    <row r="54" spans="1:7">
      <c r="A54" s="12" t="s">
        <v>5400</v>
      </c>
      <c r="B54" s="12" t="s">
        <v>4096</v>
      </c>
      <c r="C54" s="12" t="s">
        <v>6018</v>
      </c>
      <c r="D54" s="12" t="s">
        <v>6019</v>
      </c>
      <c r="E54" s="12" t="s">
        <v>6020</v>
      </c>
      <c r="F54" s="12" t="s">
        <v>6021</v>
      </c>
      <c r="G54" s="12" t="s">
        <v>6022</v>
      </c>
    </row>
    <row r="55" spans="1:7">
      <c r="A55" s="12" t="s">
        <v>5400</v>
      </c>
      <c r="B55" s="12" t="s">
        <v>5507</v>
      </c>
      <c r="C55" s="12" t="s">
        <v>6023</v>
      </c>
      <c r="D55" s="12" t="s">
        <v>6019</v>
      </c>
      <c r="E55" s="12" t="s">
        <v>6020</v>
      </c>
      <c r="F55" s="12" t="s">
        <v>6021</v>
      </c>
      <c r="G55" s="12" t="s">
        <v>6022</v>
      </c>
    </row>
    <row r="56" spans="1:7">
      <c r="A56" s="12" t="s">
        <v>4126</v>
      </c>
      <c r="B56" s="12" t="s">
        <v>4120</v>
      </c>
      <c r="C56" s="12" t="s">
        <v>6018</v>
      </c>
      <c r="D56" s="12" t="s">
        <v>6019</v>
      </c>
      <c r="E56" s="12" t="s">
        <v>6020</v>
      </c>
      <c r="F56" s="12" t="s">
        <v>6021</v>
      </c>
      <c r="G56" s="12" t="s">
        <v>6022</v>
      </c>
    </row>
    <row r="57" spans="1:7">
      <c r="A57" s="12" t="s">
        <v>5523</v>
      </c>
      <c r="B57" s="12" t="s">
        <v>4096</v>
      </c>
      <c r="C57" s="12" t="s">
        <v>6018</v>
      </c>
      <c r="D57" s="12" t="s">
        <v>6019</v>
      </c>
      <c r="E57" s="12" t="s">
        <v>6020</v>
      </c>
      <c r="F57" s="12" t="s">
        <v>6021</v>
      </c>
      <c r="G57" s="12" t="s">
        <v>6022</v>
      </c>
    </row>
    <row r="58" spans="1:7">
      <c r="A58" s="12" t="s">
        <v>4093</v>
      </c>
      <c r="B58" s="12" t="s">
        <v>6024</v>
      </c>
      <c r="C58" s="12" t="s">
        <v>6018</v>
      </c>
      <c r="D58" s="12" t="s">
        <v>6019</v>
      </c>
      <c r="E58" s="12" t="s">
        <v>6020</v>
      </c>
      <c r="F58" s="12" t="s">
        <v>6021</v>
      </c>
      <c r="G58" s="12" t="s">
        <v>6022</v>
      </c>
    </row>
    <row r="59" spans="1:7">
      <c r="A59" s="12" t="s">
        <v>5507</v>
      </c>
      <c r="B59" s="12" t="s">
        <v>5477</v>
      </c>
      <c r="C59" s="12" t="s">
        <v>6018</v>
      </c>
      <c r="D59" s="12" t="s">
        <v>6019</v>
      </c>
      <c r="E59" s="12" t="s">
        <v>6020</v>
      </c>
      <c r="F59" s="12" t="s">
        <v>6021</v>
      </c>
      <c r="G59" s="12" t="s">
        <v>6022</v>
      </c>
    </row>
    <row r="60" spans="1:7">
      <c r="A60" s="12" t="s">
        <v>5507</v>
      </c>
      <c r="B60" s="12" t="s">
        <v>5495</v>
      </c>
      <c r="C60" s="12" t="s">
        <v>6018</v>
      </c>
      <c r="D60" s="12" t="s">
        <v>6019</v>
      </c>
      <c r="E60" s="12" t="s">
        <v>6020</v>
      </c>
      <c r="F60" s="12" t="s">
        <v>6021</v>
      </c>
      <c r="G60" s="12" t="s">
        <v>6022</v>
      </c>
    </row>
    <row r="61" spans="1:7">
      <c r="A61" s="12" t="s">
        <v>5400</v>
      </c>
      <c r="B61" s="12" t="s">
        <v>4093</v>
      </c>
      <c r="C61" s="12" t="s">
        <v>6018</v>
      </c>
      <c r="D61" s="12" t="s">
        <v>6019</v>
      </c>
      <c r="E61" s="12" t="s">
        <v>6020</v>
      </c>
      <c r="F61" s="12" t="s">
        <v>6021</v>
      </c>
      <c r="G61" s="12" t="s">
        <v>6022</v>
      </c>
    </row>
    <row r="62" spans="1:7">
      <c r="A62" s="12" t="s">
        <v>5489</v>
      </c>
      <c r="B62" s="12" t="s">
        <v>6024</v>
      </c>
      <c r="C62" s="12" t="s">
        <v>6018</v>
      </c>
      <c r="D62" s="12" t="s">
        <v>6019</v>
      </c>
      <c r="E62" s="12" t="s">
        <v>6020</v>
      </c>
      <c r="F62" s="12" t="s">
        <v>6021</v>
      </c>
      <c r="G62" s="12" t="s">
        <v>6022</v>
      </c>
    </row>
    <row r="63" spans="1:7">
      <c r="A63" s="12" t="s">
        <v>4096</v>
      </c>
      <c r="B63" s="12" t="s">
        <v>5489</v>
      </c>
      <c r="C63" s="12" t="s">
        <v>6023</v>
      </c>
      <c r="D63" s="12" t="s">
        <v>6019</v>
      </c>
      <c r="E63" s="12" t="s">
        <v>6020</v>
      </c>
      <c r="F63" s="12" t="s">
        <v>6021</v>
      </c>
      <c r="G63" s="12" t="s">
        <v>6022</v>
      </c>
    </row>
    <row r="64" spans="1:7">
      <c r="A64" s="12" t="s">
        <v>5499</v>
      </c>
      <c r="B64" s="12" t="s">
        <v>5507</v>
      </c>
      <c r="C64" s="12" t="s">
        <v>6023</v>
      </c>
      <c r="D64" s="12" t="s">
        <v>6019</v>
      </c>
      <c r="E64" s="12" t="s">
        <v>6020</v>
      </c>
      <c r="F64" s="12" t="s">
        <v>6021</v>
      </c>
      <c r="G64" s="12" t="s">
        <v>6022</v>
      </c>
    </row>
    <row r="65" spans="1:7">
      <c r="A65" s="12" t="s">
        <v>4126</v>
      </c>
      <c r="B65" s="12" t="s">
        <v>6024</v>
      </c>
      <c r="C65" s="12" t="s">
        <v>6018</v>
      </c>
      <c r="D65" s="12" t="s">
        <v>6019</v>
      </c>
      <c r="E65" s="12" t="s">
        <v>6020</v>
      </c>
      <c r="F65" s="12" t="s">
        <v>6021</v>
      </c>
      <c r="G65" s="12" t="s">
        <v>6022</v>
      </c>
    </row>
    <row r="66" spans="1:7">
      <c r="A66" s="12" t="s">
        <v>4093</v>
      </c>
      <c r="B66" s="12" t="s">
        <v>5523</v>
      </c>
      <c r="C66" s="12" t="s">
        <v>6023</v>
      </c>
      <c r="D66" s="12" t="s">
        <v>6019</v>
      </c>
      <c r="E66" s="12" t="s">
        <v>6020</v>
      </c>
      <c r="F66" s="12" t="s">
        <v>6021</v>
      </c>
      <c r="G66" s="12" t="s">
        <v>6022</v>
      </c>
    </row>
    <row r="67" spans="1:7">
      <c r="A67" s="12" t="s">
        <v>4120</v>
      </c>
      <c r="B67" s="12" t="s">
        <v>5477</v>
      </c>
      <c r="C67" s="12" t="s">
        <v>6018</v>
      </c>
      <c r="D67" s="12" t="s">
        <v>6019</v>
      </c>
      <c r="E67" s="12" t="s">
        <v>6020</v>
      </c>
      <c r="F67" s="12" t="s">
        <v>6021</v>
      </c>
      <c r="G67" s="12" t="s">
        <v>6022</v>
      </c>
    </row>
    <row r="68" spans="1:7">
      <c r="A68" s="12" t="s">
        <v>4093</v>
      </c>
      <c r="B68" s="12" t="s">
        <v>5489</v>
      </c>
      <c r="C68" s="12" t="s">
        <v>6023</v>
      </c>
      <c r="D68" s="12" t="s">
        <v>6019</v>
      </c>
      <c r="E68" s="12" t="s">
        <v>6020</v>
      </c>
      <c r="F68" s="12" t="s">
        <v>6021</v>
      </c>
      <c r="G68" s="12" t="s">
        <v>6022</v>
      </c>
    </row>
    <row r="69" spans="1:7">
      <c r="A69" s="12" t="s">
        <v>5499</v>
      </c>
      <c r="B69" s="12" t="s">
        <v>4096</v>
      </c>
      <c r="C69" s="12" t="s">
        <v>6023</v>
      </c>
      <c r="D69" s="12" t="s">
        <v>6019</v>
      </c>
      <c r="E69" s="12" t="s">
        <v>6020</v>
      </c>
      <c r="F69" s="12" t="s">
        <v>6021</v>
      </c>
      <c r="G69" s="12" t="s">
        <v>6022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V37"/>
  <sheetViews>
    <sheetView workbookViewId="0"/>
  </sheetViews>
  <sheetFormatPr defaultColWidth="12.5703125" defaultRowHeight="15.75" customHeight="1"/>
  <cols>
    <col min="1" max="1" width="39.85546875" customWidth="1"/>
    <col min="3" max="3" width="22" customWidth="1"/>
    <col min="4" max="6" width="19.42578125" customWidth="1"/>
    <col min="7" max="8" width="18.85546875" customWidth="1"/>
    <col min="9" max="9" width="18.7109375" customWidth="1"/>
    <col min="21" max="21" width="14" customWidth="1"/>
  </cols>
  <sheetData>
    <row r="1" spans="1:22">
      <c r="B1" s="7"/>
      <c r="C1" s="7"/>
      <c r="D1" s="7" t="s">
        <v>6025</v>
      </c>
      <c r="E1" s="7" t="s">
        <v>5705</v>
      </c>
      <c r="F1" s="7" t="s">
        <v>5705</v>
      </c>
      <c r="G1" s="7" t="s">
        <v>6026</v>
      </c>
      <c r="H1" s="7" t="s">
        <v>6027</v>
      </c>
      <c r="I1" s="7" t="s">
        <v>6027</v>
      </c>
      <c r="J1" s="7" t="s">
        <v>6027</v>
      </c>
      <c r="K1" s="7" t="s">
        <v>6027</v>
      </c>
      <c r="L1" s="7" t="s">
        <v>6027</v>
      </c>
      <c r="M1" s="7" t="s">
        <v>6028</v>
      </c>
      <c r="N1" s="7" t="s">
        <v>6029</v>
      </c>
      <c r="O1" s="7" t="s">
        <v>6030</v>
      </c>
      <c r="P1" s="7" t="s">
        <v>6031</v>
      </c>
      <c r="Q1" s="7" t="s">
        <v>6032</v>
      </c>
      <c r="R1" s="7" t="s">
        <v>6033</v>
      </c>
      <c r="S1" s="7" t="s">
        <v>6034</v>
      </c>
      <c r="T1" s="7" t="s">
        <v>6035</v>
      </c>
      <c r="U1" s="7" t="s">
        <v>6036</v>
      </c>
      <c r="V1" s="7" t="s">
        <v>6037</v>
      </c>
    </row>
    <row r="2" spans="1:22">
      <c r="B2" s="7" t="s">
        <v>6038</v>
      </c>
      <c r="D2" s="7" t="s">
        <v>6039</v>
      </c>
      <c r="E2" s="7" t="s">
        <v>6039</v>
      </c>
      <c r="F2" s="7"/>
      <c r="G2" s="7" t="s">
        <v>6040</v>
      </c>
      <c r="H2" s="7" t="s">
        <v>6041</v>
      </c>
      <c r="I2" s="7" t="s">
        <v>6042</v>
      </c>
      <c r="N2" s="7" t="s">
        <v>6043</v>
      </c>
      <c r="O2" s="7" t="s">
        <v>6044</v>
      </c>
      <c r="P2" s="7" t="s">
        <v>6045</v>
      </c>
      <c r="Q2" s="7" t="s">
        <v>6046</v>
      </c>
      <c r="R2" s="7" t="s">
        <v>6047</v>
      </c>
      <c r="S2" s="7" t="s">
        <v>6048</v>
      </c>
      <c r="T2" s="7" t="s">
        <v>6049</v>
      </c>
      <c r="U2" s="7" t="s">
        <v>6050</v>
      </c>
      <c r="V2" s="7" t="s">
        <v>6051</v>
      </c>
    </row>
    <row r="3" spans="1:22">
      <c r="C3" s="7" t="s">
        <v>6052</v>
      </c>
      <c r="N3" s="7" t="s">
        <v>6053</v>
      </c>
      <c r="O3" s="7" t="s">
        <v>6054</v>
      </c>
      <c r="S3" s="7" t="s">
        <v>6055</v>
      </c>
      <c r="T3" s="7" t="s">
        <v>6056</v>
      </c>
      <c r="U3" s="7" t="s">
        <v>6057</v>
      </c>
      <c r="V3" s="7">
        <f>SUM(N4:U4)</f>
        <v>360</v>
      </c>
    </row>
    <row r="4" spans="1:22">
      <c r="N4" s="7">
        <v>90</v>
      </c>
      <c r="O4" s="7">
        <v>30</v>
      </c>
      <c r="P4" s="7">
        <v>30</v>
      </c>
      <c r="Q4" s="7">
        <v>60</v>
      </c>
      <c r="R4" s="7">
        <v>60</v>
      </c>
      <c r="S4" s="7">
        <v>30</v>
      </c>
      <c r="T4" s="7">
        <v>30</v>
      </c>
      <c r="U4" s="7">
        <v>30</v>
      </c>
    </row>
    <row r="5" spans="1:22">
      <c r="A5" s="7" t="s">
        <v>5721</v>
      </c>
    </row>
    <row r="6" spans="1:22">
      <c r="A6" s="7" t="s">
        <v>5731</v>
      </c>
    </row>
    <row r="7" spans="1:22">
      <c r="A7" s="7" t="s">
        <v>5737</v>
      </c>
    </row>
    <row r="8" spans="1:22">
      <c r="A8" s="7" t="s">
        <v>5738</v>
      </c>
    </row>
    <row r="9" spans="1:22">
      <c r="A9" s="7" t="s">
        <v>5740</v>
      </c>
    </row>
    <row r="10" spans="1:22">
      <c r="A10" s="7" t="s">
        <v>5742</v>
      </c>
    </row>
    <row r="11" spans="1:22">
      <c r="A11" s="7" t="s">
        <v>5743</v>
      </c>
    </row>
    <row r="12" spans="1:22">
      <c r="A12" s="7" t="s">
        <v>5744</v>
      </c>
    </row>
    <row r="13" spans="1:22">
      <c r="A13" s="7" t="s">
        <v>5745</v>
      </c>
    </row>
    <row r="14" spans="1:22">
      <c r="A14" s="7" t="s">
        <v>5746</v>
      </c>
    </row>
    <row r="15" spans="1:22">
      <c r="A15" s="7" t="s">
        <v>5747</v>
      </c>
    </row>
    <row r="16" spans="1:22">
      <c r="A16" s="7" t="s">
        <v>6058</v>
      </c>
    </row>
    <row r="17" spans="1:1">
      <c r="A17" s="7" t="s">
        <v>5750</v>
      </c>
    </row>
    <row r="18" spans="1:1">
      <c r="A18" s="7" t="s">
        <v>5752</v>
      </c>
    </row>
    <row r="19" spans="1:1">
      <c r="A19" s="7" t="s">
        <v>5753</v>
      </c>
    </row>
    <row r="20" spans="1:1">
      <c r="A20" s="7" t="s">
        <v>5755</v>
      </c>
    </row>
    <row r="21" spans="1:1">
      <c r="A21" s="7" t="s">
        <v>5757</v>
      </c>
    </row>
    <row r="22" spans="1:1">
      <c r="A22" s="7" t="s">
        <v>5759</v>
      </c>
    </row>
    <row r="23" spans="1:1">
      <c r="A23" s="7" t="s">
        <v>5761</v>
      </c>
    </row>
    <row r="24" spans="1:1">
      <c r="A24" s="7" t="s">
        <v>5763</v>
      </c>
    </row>
    <row r="25" spans="1:1">
      <c r="A25" s="7" t="s">
        <v>5764</v>
      </c>
    </row>
    <row r="26" spans="1:1">
      <c r="A26" s="7" t="s">
        <v>5766</v>
      </c>
    </row>
    <row r="27" spans="1:1">
      <c r="A27" s="7" t="s">
        <v>5768</v>
      </c>
    </row>
    <row r="28" spans="1:1">
      <c r="A28" s="7" t="s">
        <v>6059</v>
      </c>
    </row>
    <row r="29" spans="1:1">
      <c r="A29" s="7" t="s">
        <v>5770</v>
      </c>
    </row>
    <row r="30" spans="1:1">
      <c r="A30" s="7" t="s">
        <v>5772</v>
      </c>
    </row>
    <row r="31" spans="1:1">
      <c r="A31" s="7" t="s">
        <v>5774</v>
      </c>
    </row>
    <row r="32" spans="1:1">
      <c r="A32" s="7" t="s">
        <v>5776</v>
      </c>
    </row>
    <row r="33" spans="1:1">
      <c r="A33" s="7" t="s">
        <v>2674</v>
      </c>
    </row>
    <row r="34" spans="1:1">
      <c r="A34" s="7" t="s">
        <v>5779</v>
      </c>
    </row>
    <row r="35" spans="1:1">
      <c r="A35" s="7" t="s">
        <v>5780</v>
      </c>
    </row>
    <row r="36" spans="1:1">
      <c r="A36" s="7" t="s">
        <v>5781</v>
      </c>
    </row>
    <row r="37" spans="1:1">
      <c r="A37" s="7" t="s">
        <v>5782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X3"/>
  <sheetViews>
    <sheetView workbookViewId="0"/>
  </sheetViews>
  <sheetFormatPr defaultColWidth="12.5703125" defaultRowHeight="15.75" customHeight="1"/>
  <cols>
    <col min="1" max="1" width="18.140625" customWidth="1"/>
    <col min="5" max="5" width="15.140625" customWidth="1"/>
    <col min="8" max="8" width="23.5703125" customWidth="1"/>
    <col min="9" max="9" width="14.85546875" customWidth="1"/>
    <col min="10" max="10" width="18" customWidth="1"/>
    <col min="11" max="24" width="18.42578125" customWidth="1"/>
  </cols>
  <sheetData>
    <row r="1" spans="1:24">
      <c r="A1" s="7"/>
      <c r="B1" s="7"/>
      <c r="C1" s="7" t="s">
        <v>6060</v>
      </c>
      <c r="D1" s="7" t="s">
        <v>6060</v>
      </c>
      <c r="E1" s="7" t="s">
        <v>6061</v>
      </c>
      <c r="F1" s="7" t="s">
        <v>6061</v>
      </c>
      <c r="G1" s="7" t="s">
        <v>6061</v>
      </c>
      <c r="H1" s="7" t="s">
        <v>6062</v>
      </c>
      <c r="I1" s="7" t="s">
        <v>6063</v>
      </c>
      <c r="J1" s="7" t="s">
        <v>6063</v>
      </c>
      <c r="K1" s="7" t="s">
        <v>6064</v>
      </c>
      <c r="L1" s="7" t="s">
        <v>6064</v>
      </c>
      <c r="M1" s="7" t="s">
        <v>6064</v>
      </c>
      <c r="N1" s="7" t="s">
        <v>6064</v>
      </c>
      <c r="O1" s="7" t="s">
        <v>6064</v>
      </c>
      <c r="P1" s="7" t="s">
        <v>6064</v>
      </c>
      <c r="Q1" s="7" t="s">
        <v>6064</v>
      </c>
      <c r="R1" s="7" t="s">
        <v>6065</v>
      </c>
      <c r="S1" s="7" t="s">
        <v>6065</v>
      </c>
      <c r="T1" s="7" t="s">
        <v>6065</v>
      </c>
      <c r="U1" s="7" t="s">
        <v>6065</v>
      </c>
      <c r="V1" s="7" t="s">
        <v>6065</v>
      </c>
      <c r="W1" s="7" t="s">
        <v>6065</v>
      </c>
      <c r="X1" s="7" t="s">
        <v>6065</v>
      </c>
    </row>
    <row r="2" spans="1:24">
      <c r="A2" s="7"/>
      <c r="B2" s="7" t="s">
        <v>6066</v>
      </c>
      <c r="C2" s="7" t="s">
        <v>6067</v>
      </c>
      <c r="D2" s="7" t="s">
        <v>6068</v>
      </c>
      <c r="E2" s="7" t="s">
        <v>6069</v>
      </c>
      <c r="F2" s="7" t="s">
        <v>6070</v>
      </c>
      <c r="G2" s="7" t="s">
        <v>6071</v>
      </c>
      <c r="H2" s="7" t="s">
        <v>6072</v>
      </c>
      <c r="I2" s="7" t="s">
        <v>6073</v>
      </c>
      <c r="J2" s="7" t="s">
        <v>6074</v>
      </c>
      <c r="K2" s="7" t="s">
        <v>6075</v>
      </c>
      <c r="L2" s="7" t="s">
        <v>6076</v>
      </c>
      <c r="M2" s="7" t="s">
        <v>6077</v>
      </c>
      <c r="N2" s="7" t="s">
        <v>6078</v>
      </c>
      <c r="O2" s="7" t="s">
        <v>6079</v>
      </c>
      <c r="P2" s="7" t="s">
        <v>5323</v>
      </c>
      <c r="Q2" s="7" t="s">
        <v>6080</v>
      </c>
      <c r="R2" s="7" t="s">
        <v>6081</v>
      </c>
      <c r="S2" s="7" t="s">
        <v>6082</v>
      </c>
      <c r="T2" s="7" t="s">
        <v>6083</v>
      </c>
      <c r="U2" s="7" t="s">
        <v>6084</v>
      </c>
      <c r="V2" s="7" t="s">
        <v>6085</v>
      </c>
      <c r="W2" s="7" t="s">
        <v>6086</v>
      </c>
      <c r="X2" s="7" t="s">
        <v>6087</v>
      </c>
    </row>
    <row r="3" spans="1:24">
      <c r="A3" s="7" t="s">
        <v>6088</v>
      </c>
      <c r="C3" s="7" t="s">
        <v>5859</v>
      </c>
      <c r="D3" s="7" t="s">
        <v>5710</v>
      </c>
      <c r="E3" s="7" t="s">
        <v>6089</v>
      </c>
      <c r="F3" s="7" t="s">
        <v>6089</v>
      </c>
      <c r="G3" s="7" t="s">
        <v>6089</v>
      </c>
      <c r="H3" s="7" t="s">
        <v>5710</v>
      </c>
      <c r="I3" s="7" t="s">
        <v>6090</v>
      </c>
      <c r="J3" s="7" t="s">
        <v>6090</v>
      </c>
      <c r="K3" s="7" t="s">
        <v>6090</v>
      </c>
      <c r="L3" s="7" t="s">
        <v>6090</v>
      </c>
      <c r="M3" s="7" t="s">
        <v>6090</v>
      </c>
      <c r="N3" s="7" t="s">
        <v>6090</v>
      </c>
      <c r="O3" s="7" t="s">
        <v>6090</v>
      </c>
      <c r="P3" s="7" t="s">
        <v>6090</v>
      </c>
      <c r="Q3" s="7" t="s">
        <v>6090</v>
      </c>
      <c r="R3" s="7" t="s">
        <v>6090</v>
      </c>
      <c r="S3" s="7" t="s">
        <v>6090</v>
      </c>
      <c r="T3" s="7" t="s">
        <v>6090</v>
      </c>
      <c r="U3" s="7" t="s">
        <v>6090</v>
      </c>
      <c r="V3" s="7" t="s">
        <v>6090</v>
      </c>
      <c r="W3" s="7" t="s">
        <v>6090</v>
      </c>
      <c r="X3" s="7" t="s">
        <v>6090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O115"/>
  <sheetViews>
    <sheetView workbookViewId="0"/>
  </sheetViews>
  <sheetFormatPr defaultColWidth="12.5703125" defaultRowHeight="15.75" customHeight="1"/>
  <cols>
    <col min="1" max="1" width="9.140625" customWidth="1"/>
    <col min="2" max="2" width="7.85546875" customWidth="1"/>
    <col min="3" max="3" width="21.28515625" customWidth="1"/>
    <col min="4" max="4" width="51.7109375" customWidth="1"/>
    <col min="5" max="5" width="17.28515625" customWidth="1"/>
    <col min="6" max="6" width="27.28515625" customWidth="1"/>
    <col min="7" max="7" width="31.7109375" customWidth="1"/>
    <col min="8" max="8" width="3" customWidth="1"/>
    <col min="9" max="9" width="19.42578125" customWidth="1"/>
    <col min="10" max="10" width="26.140625" customWidth="1"/>
    <col min="11" max="11" width="23.42578125" customWidth="1"/>
    <col min="13" max="13" width="22.5703125" customWidth="1"/>
  </cols>
  <sheetData>
    <row r="1" spans="1:15">
      <c r="A1" s="3"/>
      <c r="B1" s="3"/>
      <c r="C1" s="3" t="s">
        <v>5871</v>
      </c>
      <c r="D1" s="3" t="s">
        <v>5909</v>
      </c>
      <c r="E1" s="4" t="s">
        <v>5910</v>
      </c>
      <c r="F1" s="233" t="s">
        <v>5911</v>
      </c>
      <c r="G1" s="233" t="s">
        <v>5912</v>
      </c>
      <c r="H1" s="233"/>
      <c r="I1" s="233" t="s">
        <v>5913</v>
      </c>
      <c r="J1" s="233" t="s">
        <v>5914</v>
      </c>
      <c r="K1" s="233" t="s">
        <v>5915</v>
      </c>
      <c r="L1" s="7" t="s">
        <v>5916</v>
      </c>
      <c r="M1" s="7" t="s">
        <v>5917</v>
      </c>
      <c r="N1" s="7" t="s">
        <v>5918</v>
      </c>
      <c r="O1" s="7" t="s">
        <v>5919</v>
      </c>
    </row>
    <row r="2" spans="1:15" ht="15.75" customHeight="1">
      <c r="A2" s="3"/>
      <c r="B2" s="3"/>
      <c r="C2" s="3" t="s">
        <v>4194</v>
      </c>
      <c r="D2" s="3" t="s">
        <v>4195</v>
      </c>
      <c r="E2" s="4">
        <v>2</v>
      </c>
      <c r="F2" s="234">
        <v>5</v>
      </c>
      <c r="G2" s="234">
        <v>3</v>
      </c>
      <c r="H2" s="234"/>
      <c r="I2" s="234">
        <v>4</v>
      </c>
      <c r="J2" s="235" t="s">
        <v>5920</v>
      </c>
      <c r="K2" s="235" t="s">
        <v>5921</v>
      </c>
    </row>
    <row r="3" spans="1:15" ht="15.75" customHeight="1">
      <c r="A3" s="3"/>
      <c r="B3" s="3"/>
      <c r="C3" s="3" t="s">
        <v>4197</v>
      </c>
      <c r="D3" s="3" t="s">
        <v>4</v>
      </c>
      <c r="E3" s="4">
        <v>2</v>
      </c>
      <c r="F3" s="234">
        <v>8</v>
      </c>
      <c r="G3" s="234">
        <v>2</v>
      </c>
      <c r="H3" s="234"/>
      <c r="I3" s="234">
        <v>2</v>
      </c>
      <c r="J3" s="235" t="s">
        <v>5922</v>
      </c>
      <c r="K3" s="235" t="s">
        <v>5923</v>
      </c>
    </row>
    <row r="4" spans="1:15" ht="15.75" customHeight="1">
      <c r="A4" s="3"/>
      <c r="B4" s="3"/>
      <c r="C4" s="3" t="s">
        <v>174</v>
      </c>
      <c r="D4" s="3" t="s">
        <v>175</v>
      </c>
      <c r="E4" s="4">
        <v>2</v>
      </c>
      <c r="F4" s="234">
        <v>7</v>
      </c>
      <c r="G4" s="234">
        <v>6</v>
      </c>
      <c r="H4" s="234"/>
      <c r="I4" s="234">
        <v>3</v>
      </c>
      <c r="J4" s="235" t="s">
        <v>5924</v>
      </c>
      <c r="K4" s="235" t="s">
        <v>5925</v>
      </c>
    </row>
    <row r="5" spans="1:15" ht="15.75" customHeight="1">
      <c r="A5" s="3"/>
      <c r="B5" s="3"/>
      <c r="C5" s="3" t="s">
        <v>202</v>
      </c>
      <c r="D5" s="3" t="s">
        <v>203</v>
      </c>
      <c r="E5" s="4">
        <v>2</v>
      </c>
      <c r="F5" s="234">
        <v>6</v>
      </c>
      <c r="G5" s="234">
        <v>8</v>
      </c>
      <c r="H5" s="234"/>
      <c r="I5" s="234">
        <v>4</v>
      </c>
      <c r="J5" s="235" t="s">
        <v>5926</v>
      </c>
      <c r="K5" s="235" t="s">
        <v>5927</v>
      </c>
    </row>
    <row r="6" spans="1:15" ht="15.75" customHeight="1">
      <c r="A6" s="3"/>
      <c r="B6" s="3"/>
      <c r="C6" s="3" t="s">
        <v>366</v>
      </c>
      <c r="D6" s="3" t="s">
        <v>367</v>
      </c>
      <c r="E6" s="4">
        <v>2</v>
      </c>
      <c r="F6" s="234">
        <v>5</v>
      </c>
      <c r="G6" s="234">
        <v>4</v>
      </c>
      <c r="H6" s="234"/>
      <c r="I6" s="234">
        <v>2</v>
      </c>
      <c r="J6" s="235" t="s">
        <v>5928</v>
      </c>
      <c r="K6" s="235" t="s">
        <v>5929</v>
      </c>
    </row>
    <row r="7" spans="1:15" ht="15.75" customHeight="1">
      <c r="A7" s="3"/>
      <c r="B7" s="3"/>
      <c r="C7" s="3" t="s">
        <v>534</v>
      </c>
      <c r="D7" s="3" t="s">
        <v>535</v>
      </c>
      <c r="E7" s="4">
        <v>2</v>
      </c>
      <c r="F7" s="234">
        <v>4</v>
      </c>
      <c r="G7" s="234">
        <v>2</v>
      </c>
      <c r="H7" s="234"/>
      <c r="I7" s="234">
        <v>7</v>
      </c>
      <c r="J7" s="235" t="s">
        <v>5930</v>
      </c>
      <c r="K7" s="235" t="s">
        <v>5923</v>
      </c>
    </row>
    <row r="8" spans="1:15" ht="15.75" customHeight="1">
      <c r="A8" s="3"/>
      <c r="B8" s="3"/>
      <c r="C8" s="3" t="s">
        <v>610</v>
      </c>
      <c r="D8" s="3" t="s">
        <v>611</v>
      </c>
      <c r="E8" s="4">
        <v>2</v>
      </c>
      <c r="F8" s="234">
        <v>8</v>
      </c>
      <c r="G8" s="234">
        <v>4</v>
      </c>
      <c r="H8" s="234"/>
      <c r="I8" s="234">
        <v>6</v>
      </c>
      <c r="J8" s="235" t="s">
        <v>5931</v>
      </c>
      <c r="K8" s="235" t="s">
        <v>5929</v>
      </c>
    </row>
    <row r="9" spans="1:15" ht="15.75" customHeight="1">
      <c r="A9" s="3"/>
      <c r="B9" s="3"/>
      <c r="C9" s="3" t="s">
        <v>814</v>
      </c>
      <c r="D9" s="3" t="s">
        <v>815</v>
      </c>
      <c r="E9" s="4">
        <v>2</v>
      </c>
      <c r="F9" s="234">
        <v>3</v>
      </c>
      <c r="G9" s="234">
        <v>1</v>
      </c>
      <c r="H9" s="234"/>
      <c r="I9" s="234">
        <v>3</v>
      </c>
      <c r="J9" s="235" t="s">
        <v>5932</v>
      </c>
      <c r="K9" s="235" t="s">
        <v>5923</v>
      </c>
    </row>
    <row r="10" spans="1:15" ht="15.75" customHeight="1">
      <c r="A10" s="3"/>
      <c r="B10" s="3"/>
      <c r="C10" s="3" t="s">
        <v>866</v>
      </c>
      <c r="D10" s="3" t="s">
        <v>867</v>
      </c>
      <c r="E10" s="4">
        <v>2</v>
      </c>
      <c r="F10" s="234">
        <v>4</v>
      </c>
      <c r="G10" s="234">
        <v>3</v>
      </c>
      <c r="H10" s="234"/>
      <c r="I10" s="234">
        <v>5</v>
      </c>
      <c r="J10" s="235" t="s">
        <v>5933</v>
      </c>
      <c r="K10" s="235" t="s">
        <v>5929</v>
      </c>
    </row>
    <row r="11" spans="1:15" ht="15.75" customHeight="1">
      <c r="A11" s="3"/>
      <c r="B11" s="3"/>
      <c r="C11" s="3" t="s">
        <v>934</v>
      </c>
      <c r="D11" s="3" t="s">
        <v>935</v>
      </c>
      <c r="E11" s="4">
        <v>2</v>
      </c>
      <c r="F11" s="234">
        <v>4</v>
      </c>
      <c r="G11" s="234">
        <v>4</v>
      </c>
      <c r="H11" s="234"/>
      <c r="I11" s="234">
        <v>7</v>
      </c>
      <c r="J11" s="235" t="s">
        <v>5934</v>
      </c>
      <c r="K11" s="235" t="s">
        <v>5935</v>
      </c>
    </row>
    <row r="12" spans="1:15" ht="15.75" customHeight="1">
      <c r="A12" s="3"/>
      <c r="B12" s="3"/>
      <c r="C12" s="3" t="s">
        <v>954</v>
      </c>
      <c r="D12" s="3" t="s">
        <v>955</v>
      </c>
      <c r="E12" s="4">
        <v>2</v>
      </c>
      <c r="F12" s="234">
        <v>5</v>
      </c>
      <c r="G12" s="234">
        <v>6</v>
      </c>
      <c r="H12" s="234"/>
      <c r="I12" s="234">
        <v>4</v>
      </c>
      <c r="J12" s="235" t="s">
        <v>5936</v>
      </c>
      <c r="K12" s="235" t="s">
        <v>5937</v>
      </c>
    </row>
    <row r="13" spans="1:15" ht="15.75" customHeight="1">
      <c r="A13" s="3"/>
      <c r="B13" s="3"/>
      <c r="C13" s="3" t="s">
        <v>1046</v>
      </c>
      <c r="D13" s="3" t="s">
        <v>1047</v>
      </c>
      <c r="E13" s="4">
        <v>2</v>
      </c>
      <c r="F13" s="234">
        <v>6</v>
      </c>
      <c r="G13" s="234">
        <v>8</v>
      </c>
      <c r="H13" s="234"/>
      <c r="I13" s="234">
        <v>8</v>
      </c>
      <c r="J13" s="235" t="s">
        <v>5938</v>
      </c>
      <c r="K13" s="235" t="s">
        <v>5939</v>
      </c>
    </row>
    <row r="14" spans="1:15" ht="15.75" customHeight="1">
      <c r="A14" s="3"/>
      <c r="B14" s="3"/>
      <c r="C14" s="3" t="s">
        <v>1066</v>
      </c>
      <c r="D14" s="3" t="s">
        <v>1067</v>
      </c>
      <c r="E14" s="4">
        <v>2</v>
      </c>
      <c r="F14" s="234">
        <v>7</v>
      </c>
      <c r="G14" s="234">
        <v>6</v>
      </c>
      <c r="H14" s="234"/>
      <c r="I14" s="234">
        <v>7</v>
      </c>
      <c r="J14" s="235" t="s">
        <v>5940</v>
      </c>
      <c r="K14" s="235" t="s">
        <v>5941</v>
      </c>
    </row>
    <row r="15" spans="1:15" ht="15.75" customHeight="1">
      <c r="A15" s="3"/>
      <c r="B15" s="3"/>
      <c r="C15" s="3" t="s">
        <v>1086</v>
      </c>
      <c r="D15" s="3" t="s">
        <v>1087</v>
      </c>
      <c r="E15" s="4">
        <v>2</v>
      </c>
      <c r="F15" s="234">
        <v>5</v>
      </c>
      <c r="G15" s="234">
        <v>5</v>
      </c>
      <c r="H15" s="234"/>
      <c r="I15" s="234">
        <v>6</v>
      </c>
      <c r="J15" s="235" t="s">
        <v>5942</v>
      </c>
      <c r="K15" s="235" t="s">
        <v>5943</v>
      </c>
    </row>
    <row r="16" spans="1:15" ht="15.75" customHeight="1">
      <c r="A16" s="3"/>
      <c r="B16" s="3"/>
      <c r="C16" s="3" t="s">
        <v>1378</v>
      </c>
      <c r="D16" s="3" t="s">
        <v>1379</v>
      </c>
      <c r="E16" s="4">
        <v>2</v>
      </c>
      <c r="F16" s="234">
        <v>6</v>
      </c>
      <c r="G16" s="234">
        <v>8</v>
      </c>
      <c r="H16" s="234"/>
      <c r="I16" s="234">
        <v>8</v>
      </c>
      <c r="J16" s="235" t="s">
        <v>5944</v>
      </c>
      <c r="K16" s="235" t="s">
        <v>5927</v>
      </c>
    </row>
    <row r="17" spans="1:11" ht="15.75" customHeight="1">
      <c r="A17" s="3"/>
      <c r="B17" s="3"/>
      <c r="C17" s="3" t="s">
        <v>1434</v>
      </c>
      <c r="D17" s="3" t="s">
        <v>1435</v>
      </c>
      <c r="E17" s="4">
        <v>2</v>
      </c>
      <c r="F17" s="234">
        <v>4</v>
      </c>
      <c r="G17" s="234">
        <v>5</v>
      </c>
      <c r="H17" s="234"/>
      <c r="I17" s="234">
        <v>5</v>
      </c>
      <c r="J17" s="235" t="s">
        <v>5945</v>
      </c>
      <c r="K17" s="235" t="s">
        <v>5946</v>
      </c>
    </row>
    <row r="18" spans="1:11" ht="15.75" customHeight="1">
      <c r="A18" s="3"/>
      <c r="B18" s="3"/>
      <c r="C18" s="3" t="s">
        <v>1470</v>
      </c>
      <c r="D18" s="3" t="s">
        <v>1471</v>
      </c>
      <c r="E18" s="4">
        <v>2</v>
      </c>
      <c r="F18" s="234">
        <v>3</v>
      </c>
      <c r="G18" s="234">
        <v>3</v>
      </c>
      <c r="H18" s="234"/>
      <c r="I18" s="234">
        <v>4</v>
      </c>
      <c r="J18" s="235" t="s">
        <v>5947</v>
      </c>
      <c r="K18" s="235" t="s">
        <v>5929</v>
      </c>
    </row>
    <row r="19" spans="1:11" ht="15.75" customHeight="1">
      <c r="A19" s="3"/>
      <c r="B19" s="3"/>
      <c r="C19" s="3" t="s">
        <v>1498</v>
      </c>
      <c r="D19" s="3" t="s">
        <v>1499</v>
      </c>
      <c r="E19" s="4">
        <v>2</v>
      </c>
      <c r="F19" s="234">
        <v>3</v>
      </c>
      <c r="G19" s="234">
        <v>3</v>
      </c>
      <c r="H19" s="234"/>
      <c r="I19" s="234">
        <v>2</v>
      </c>
      <c r="J19" s="235" t="s">
        <v>5948</v>
      </c>
      <c r="K19" s="235" t="s">
        <v>5935</v>
      </c>
    </row>
    <row r="20" spans="1:11" ht="15.75" customHeight="1">
      <c r="A20" s="3"/>
      <c r="B20" s="3"/>
      <c r="C20" s="3" t="s">
        <v>1530</v>
      </c>
      <c r="D20" s="3" t="s">
        <v>1531</v>
      </c>
      <c r="E20" s="4">
        <v>2</v>
      </c>
      <c r="F20" s="234">
        <v>5</v>
      </c>
      <c r="G20" s="234">
        <v>6</v>
      </c>
      <c r="H20" s="234"/>
      <c r="I20" s="234">
        <v>3</v>
      </c>
      <c r="J20" s="235" t="s">
        <v>5949</v>
      </c>
      <c r="K20" s="235" t="s">
        <v>5950</v>
      </c>
    </row>
    <row r="21" spans="1:11" ht="15.75" customHeight="1">
      <c r="A21" s="3"/>
      <c r="B21" s="3"/>
      <c r="C21" s="3" t="s">
        <v>1586</v>
      </c>
      <c r="D21" s="3" t="s">
        <v>1587</v>
      </c>
      <c r="E21" s="4">
        <v>2</v>
      </c>
      <c r="F21" s="234">
        <v>3</v>
      </c>
      <c r="G21" s="234">
        <v>3</v>
      </c>
      <c r="H21" s="234"/>
      <c r="I21" s="234">
        <v>3</v>
      </c>
      <c r="J21" s="235" t="s">
        <v>5951</v>
      </c>
      <c r="K21" s="235" t="s">
        <v>5952</v>
      </c>
    </row>
    <row r="22" spans="1:11" ht="15.75" customHeight="1">
      <c r="A22" s="3"/>
      <c r="B22" s="3"/>
      <c r="C22" s="3" t="s">
        <v>1710</v>
      </c>
      <c r="D22" s="3" t="s">
        <v>1711</v>
      </c>
      <c r="E22" s="4">
        <v>2</v>
      </c>
      <c r="F22" s="234">
        <v>7</v>
      </c>
      <c r="G22" s="234">
        <v>6</v>
      </c>
      <c r="H22" s="234"/>
      <c r="I22" s="234">
        <v>8</v>
      </c>
      <c r="J22" s="235" t="s">
        <v>5953</v>
      </c>
      <c r="K22" s="235" t="s">
        <v>5954</v>
      </c>
    </row>
    <row r="23" spans="1:11" ht="15.75" customHeight="1">
      <c r="A23" s="3"/>
      <c r="B23" s="3"/>
      <c r="C23" s="3" t="s">
        <v>1758</v>
      </c>
      <c r="D23" s="3" t="s">
        <v>1759</v>
      </c>
      <c r="E23" s="4">
        <v>2</v>
      </c>
      <c r="F23" s="234">
        <v>4</v>
      </c>
      <c r="G23" s="234">
        <v>5</v>
      </c>
      <c r="H23" s="234"/>
      <c r="I23" s="234">
        <v>6</v>
      </c>
      <c r="J23" s="235" t="s">
        <v>5955</v>
      </c>
      <c r="K23" s="235" t="s">
        <v>5956</v>
      </c>
    </row>
    <row r="24" spans="1:11" ht="15.75" customHeight="1">
      <c r="A24" s="3"/>
      <c r="B24" s="3"/>
      <c r="C24" s="3" t="s">
        <v>1926</v>
      </c>
      <c r="D24" s="3" t="s">
        <v>1927</v>
      </c>
      <c r="E24" s="4">
        <v>2</v>
      </c>
      <c r="F24" s="234">
        <v>5</v>
      </c>
      <c r="G24" s="234">
        <v>4</v>
      </c>
      <c r="H24" s="234"/>
      <c r="I24" s="234">
        <v>5</v>
      </c>
      <c r="J24" s="235" t="s">
        <v>5957</v>
      </c>
      <c r="K24" s="235" t="s">
        <v>5958</v>
      </c>
    </row>
    <row r="25" spans="1:11" ht="15.75" customHeight="1">
      <c r="A25" s="3"/>
      <c r="B25" s="3"/>
      <c r="C25" s="3" t="s">
        <v>1994</v>
      </c>
      <c r="D25" s="3" t="s">
        <v>1995</v>
      </c>
      <c r="E25" s="4">
        <v>2</v>
      </c>
      <c r="F25" s="234">
        <v>4</v>
      </c>
      <c r="G25" s="234">
        <v>3</v>
      </c>
      <c r="H25" s="234"/>
      <c r="I25" s="234">
        <v>4</v>
      </c>
      <c r="J25" s="235" t="s">
        <v>5959</v>
      </c>
      <c r="K25" s="235" t="s">
        <v>5935</v>
      </c>
    </row>
    <row r="26" spans="1:11" ht="15.75" customHeight="1">
      <c r="A26" s="3"/>
      <c r="B26" s="3"/>
      <c r="C26" s="3" t="s">
        <v>2030</v>
      </c>
      <c r="D26" s="3" t="s">
        <v>2031</v>
      </c>
      <c r="E26" s="4">
        <v>2</v>
      </c>
      <c r="F26" s="234">
        <v>6</v>
      </c>
      <c r="G26" s="234">
        <v>5</v>
      </c>
      <c r="H26" s="234"/>
      <c r="I26" s="234">
        <v>6</v>
      </c>
      <c r="J26" s="235" t="s">
        <v>5960</v>
      </c>
      <c r="K26" s="235" t="s">
        <v>5961</v>
      </c>
    </row>
    <row r="27" spans="1:11" ht="15.75" customHeight="1">
      <c r="A27" s="3"/>
      <c r="B27" s="3"/>
      <c r="C27" s="3" t="s">
        <v>2369</v>
      </c>
      <c r="D27" s="3" t="s">
        <v>2370</v>
      </c>
      <c r="E27" s="4">
        <v>2</v>
      </c>
      <c r="F27" s="234">
        <v>7</v>
      </c>
      <c r="G27" s="234">
        <v>6</v>
      </c>
      <c r="H27" s="234"/>
      <c r="I27" s="234">
        <v>7</v>
      </c>
      <c r="J27" s="235" t="s">
        <v>5962</v>
      </c>
      <c r="K27" s="235" t="s">
        <v>5963</v>
      </c>
    </row>
    <row r="28" spans="1:11" ht="15.75" customHeight="1">
      <c r="A28" s="3"/>
      <c r="B28" s="3"/>
      <c r="C28" s="3" t="s">
        <v>2493</v>
      </c>
      <c r="D28" s="3" t="s">
        <v>2494</v>
      </c>
      <c r="E28" s="4">
        <v>2</v>
      </c>
      <c r="F28" s="234">
        <v>6</v>
      </c>
      <c r="G28" s="234">
        <v>5</v>
      </c>
      <c r="H28" s="234"/>
      <c r="I28" s="234">
        <v>8</v>
      </c>
      <c r="J28" s="235" t="s">
        <v>5964</v>
      </c>
      <c r="K28" s="235" t="s">
        <v>5965</v>
      </c>
    </row>
    <row r="29" spans="1:11" ht="15.75" customHeight="1">
      <c r="A29" s="3"/>
      <c r="B29" s="3"/>
      <c r="C29" s="3" t="s">
        <v>2673</v>
      </c>
      <c r="D29" s="3" t="s">
        <v>2674</v>
      </c>
      <c r="E29" s="4">
        <v>2</v>
      </c>
      <c r="F29" s="234">
        <v>3</v>
      </c>
      <c r="G29" s="234">
        <v>3</v>
      </c>
      <c r="H29" s="234"/>
      <c r="I29" s="234">
        <v>3</v>
      </c>
      <c r="J29" s="235" t="s">
        <v>5966</v>
      </c>
      <c r="K29" s="235" t="s">
        <v>5935</v>
      </c>
    </row>
    <row r="30" spans="1:11" ht="15.75" customHeight="1">
      <c r="A30" s="3"/>
      <c r="B30" s="3"/>
      <c r="C30" s="3" t="s">
        <v>2693</v>
      </c>
      <c r="D30" s="3" t="s">
        <v>2694</v>
      </c>
      <c r="E30" s="4">
        <v>2</v>
      </c>
      <c r="F30" s="234">
        <v>6</v>
      </c>
      <c r="G30" s="234">
        <v>8</v>
      </c>
      <c r="H30" s="234"/>
      <c r="I30" s="234">
        <v>5</v>
      </c>
      <c r="J30" s="235" t="s">
        <v>5967</v>
      </c>
      <c r="K30" s="235" t="s">
        <v>5968</v>
      </c>
    </row>
    <row r="31" spans="1:11" ht="15.75" customHeight="1">
      <c r="A31" s="3"/>
      <c r="B31" s="3"/>
      <c r="C31" s="3" t="s">
        <v>2705</v>
      </c>
      <c r="D31" s="3" t="s">
        <v>2706</v>
      </c>
      <c r="E31" s="4">
        <v>2</v>
      </c>
      <c r="F31" s="234">
        <v>5</v>
      </c>
      <c r="G31" s="234">
        <v>7</v>
      </c>
      <c r="H31" s="234"/>
      <c r="I31" s="234">
        <v>4</v>
      </c>
      <c r="J31" s="235" t="s">
        <v>5969</v>
      </c>
      <c r="K31" s="235" t="s">
        <v>5958</v>
      </c>
    </row>
    <row r="32" spans="1:11" ht="15.75" customHeight="1">
      <c r="A32" s="3"/>
      <c r="B32" s="3"/>
      <c r="C32" s="3" t="s">
        <v>2751</v>
      </c>
      <c r="D32" s="3" t="s">
        <v>2752</v>
      </c>
      <c r="E32" s="4">
        <v>2</v>
      </c>
      <c r="F32" s="234">
        <v>4</v>
      </c>
      <c r="G32" s="234">
        <v>5</v>
      </c>
      <c r="H32" s="234"/>
      <c r="I32" s="234">
        <v>7</v>
      </c>
      <c r="J32" s="235" t="s">
        <v>5970</v>
      </c>
      <c r="K32" s="235" t="s">
        <v>5937</v>
      </c>
    </row>
    <row r="33" spans="1:13" ht="15.75" customHeight="1">
      <c r="A33" s="3"/>
      <c r="B33" s="3"/>
      <c r="C33" s="3" t="s">
        <v>2843</v>
      </c>
      <c r="D33" s="3" t="s">
        <v>2844</v>
      </c>
      <c r="E33" s="4">
        <v>2</v>
      </c>
      <c r="F33" s="234">
        <v>6</v>
      </c>
      <c r="G33" s="234">
        <v>6</v>
      </c>
      <c r="H33" s="234"/>
      <c r="I33" s="234">
        <v>8</v>
      </c>
      <c r="J33" s="235" t="s">
        <v>5971</v>
      </c>
      <c r="K33" s="235" t="s">
        <v>5963</v>
      </c>
    </row>
    <row r="38" spans="1:13" ht="12.75">
      <c r="A38" s="240" t="s">
        <v>6091</v>
      </c>
      <c r="B38" s="241" t="s">
        <v>6092</v>
      </c>
      <c r="E38" s="3" t="s">
        <v>4194</v>
      </c>
      <c r="F38" s="3" t="s">
        <v>4195</v>
      </c>
    </row>
    <row r="39" spans="1:13" ht="12.75">
      <c r="A39" s="242" t="s">
        <v>6093</v>
      </c>
      <c r="B39" s="243" t="s">
        <v>6094</v>
      </c>
      <c r="E39" s="3" t="s">
        <v>6095</v>
      </c>
      <c r="F39" s="3" t="s">
        <v>4195</v>
      </c>
    </row>
    <row r="40" spans="1:13" ht="12.75">
      <c r="A40" s="244" t="s">
        <v>6096</v>
      </c>
      <c r="B40" s="241" t="s">
        <v>6092</v>
      </c>
      <c r="E40" s="3" t="s">
        <v>4197</v>
      </c>
      <c r="F40" s="3" t="s">
        <v>4</v>
      </c>
    </row>
    <row r="41" spans="1:13" ht="12.75">
      <c r="A41" s="2" t="s">
        <v>6097</v>
      </c>
      <c r="B41" s="243" t="s">
        <v>6094</v>
      </c>
      <c r="E41" s="3" t="s">
        <v>6098</v>
      </c>
      <c r="F41" s="3" t="s">
        <v>4</v>
      </c>
    </row>
    <row r="42" spans="1:13" ht="12.75">
      <c r="A42" s="244" t="s">
        <v>6096</v>
      </c>
      <c r="B42" s="241" t="s">
        <v>6092</v>
      </c>
      <c r="E42" s="3" t="s">
        <v>174</v>
      </c>
      <c r="F42" s="3" t="s">
        <v>175</v>
      </c>
    </row>
    <row r="43" spans="1:13" ht="12.75">
      <c r="A43" s="2" t="s">
        <v>6097</v>
      </c>
      <c r="B43" s="243" t="s">
        <v>6094</v>
      </c>
      <c r="E43" s="3" t="s">
        <v>6099</v>
      </c>
      <c r="F43" s="3" t="s">
        <v>175</v>
      </c>
    </row>
    <row r="44" spans="1:13" ht="12.75">
      <c r="A44" s="244" t="s">
        <v>6096</v>
      </c>
      <c r="B44" s="241" t="s">
        <v>6092</v>
      </c>
      <c r="E44" s="3" t="s">
        <v>202</v>
      </c>
      <c r="F44" s="3" t="s">
        <v>203</v>
      </c>
    </row>
    <row r="45" spans="1:13" ht="12.75">
      <c r="A45" s="2" t="s">
        <v>6097</v>
      </c>
      <c r="B45" s="243" t="s">
        <v>6094</v>
      </c>
      <c r="E45" s="3" t="s">
        <v>6100</v>
      </c>
      <c r="F45" s="3" t="s">
        <v>203</v>
      </c>
      <c r="K45" s="264" t="s">
        <v>6101</v>
      </c>
      <c r="L45" s="265"/>
      <c r="M45" s="265"/>
    </row>
    <row r="46" spans="1:13" ht="12.75">
      <c r="C46" s="3"/>
      <c r="D46" s="3"/>
    </row>
    <row r="48" spans="1:13" ht="12.75">
      <c r="E48" s="245" t="s">
        <v>5461</v>
      </c>
      <c r="F48" s="246" t="b">
        <v>1</v>
      </c>
      <c r="G48" s="247" t="s">
        <v>5721</v>
      </c>
      <c r="H48" s="248" t="s">
        <v>6102</v>
      </c>
      <c r="I48" s="249">
        <v>0</v>
      </c>
    </row>
    <row r="49" spans="5:9" ht="12.75">
      <c r="E49" s="245"/>
      <c r="F49" s="246" t="b">
        <v>0</v>
      </c>
      <c r="G49" s="12" t="str">
        <f>G48</f>
        <v>entorno</v>
      </c>
      <c r="H49" s="248"/>
      <c r="I49" s="249">
        <v>1</v>
      </c>
    </row>
    <row r="50" spans="5:9" ht="12.75">
      <c r="E50" s="245" t="s">
        <v>5461</v>
      </c>
      <c r="F50" s="246" t="b">
        <v>1</v>
      </c>
      <c r="G50" s="12" t="s">
        <v>5731</v>
      </c>
      <c r="H50" s="248" t="s">
        <v>6102</v>
      </c>
      <c r="I50" s="249">
        <v>2</v>
      </c>
    </row>
    <row r="51" spans="5:9" ht="12.75">
      <c r="E51" s="245"/>
      <c r="F51" s="246" t="b">
        <v>0</v>
      </c>
      <c r="G51" s="247" t="str">
        <f>G50</f>
        <v>manejo do terreno</v>
      </c>
      <c r="H51" s="248"/>
      <c r="I51" s="249">
        <f t="shared" ref="I51:I113" si="0">I49+2</f>
        <v>3</v>
      </c>
    </row>
    <row r="52" spans="5:9" ht="12.75">
      <c r="E52" s="245" t="s">
        <v>5463</v>
      </c>
      <c r="F52" s="246" t="b">
        <v>1</v>
      </c>
      <c r="G52" s="247" t="s">
        <v>5737</v>
      </c>
      <c r="H52" s="248" t="s">
        <v>6102</v>
      </c>
      <c r="I52" s="249">
        <f t="shared" si="0"/>
        <v>4</v>
      </c>
    </row>
    <row r="53" spans="5:9" ht="12.75">
      <c r="E53" s="245"/>
      <c r="F53" s="246" t="b">
        <v>0</v>
      </c>
      <c r="G53" s="12" t="str">
        <f>G52</f>
        <v>canteiro de obra</v>
      </c>
      <c r="H53" s="248"/>
      <c r="I53" s="249">
        <f t="shared" si="0"/>
        <v>5</v>
      </c>
    </row>
    <row r="54" spans="5:9" ht="12.75">
      <c r="E54" s="245" t="s">
        <v>5461</v>
      </c>
      <c r="F54" s="246" t="b">
        <v>1</v>
      </c>
      <c r="G54" s="12" t="s">
        <v>5738</v>
      </c>
      <c r="H54" s="248" t="s">
        <v>6102</v>
      </c>
      <c r="I54" s="249">
        <f t="shared" si="0"/>
        <v>6</v>
      </c>
    </row>
    <row r="55" spans="5:9" ht="12.75">
      <c r="E55" s="245"/>
      <c r="F55" s="246" t="b">
        <v>0</v>
      </c>
      <c r="G55" s="12" t="str">
        <f>G54</f>
        <v>drenagem</v>
      </c>
      <c r="H55" s="248"/>
      <c r="I55" s="249">
        <f t="shared" si="0"/>
        <v>7</v>
      </c>
    </row>
    <row r="56" spans="5:9" ht="12.75">
      <c r="E56" s="245" t="s">
        <v>5463</v>
      </c>
      <c r="F56" s="246" t="b">
        <v>1</v>
      </c>
      <c r="G56" s="12" t="s">
        <v>5740</v>
      </c>
      <c r="H56" s="248" t="s">
        <v>6102</v>
      </c>
      <c r="I56" s="249">
        <f t="shared" si="0"/>
        <v>8</v>
      </c>
    </row>
    <row r="57" spans="5:9" ht="12.75">
      <c r="E57" s="245"/>
      <c r="F57" s="246" t="b">
        <v>0</v>
      </c>
      <c r="G57" s="12" t="str">
        <f>G56</f>
        <v>tráfego</v>
      </c>
      <c r="H57" s="248"/>
      <c r="I57" s="249">
        <f t="shared" si="0"/>
        <v>9</v>
      </c>
    </row>
    <row r="58" spans="5:9" ht="12.75">
      <c r="E58" s="245" t="s">
        <v>5439</v>
      </c>
      <c r="F58" s="246" t="b">
        <v>1</v>
      </c>
      <c r="G58" s="12" t="s">
        <v>5742</v>
      </c>
      <c r="H58" s="248" t="s">
        <v>6102</v>
      </c>
      <c r="I58" s="249">
        <f t="shared" si="0"/>
        <v>10</v>
      </c>
    </row>
    <row r="59" spans="5:9" ht="12.75">
      <c r="E59" s="245"/>
      <c r="F59" s="246" t="b">
        <v>0</v>
      </c>
      <c r="G59" s="12" t="str">
        <f>G58</f>
        <v>fundações</v>
      </c>
      <c r="H59" s="248"/>
      <c r="I59" s="249">
        <f t="shared" si="0"/>
        <v>11</v>
      </c>
    </row>
    <row r="60" spans="5:9" ht="12.75">
      <c r="E60" s="245" t="s">
        <v>5439</v>
      </c>
      <c r="F60" s="246" t="b">
        <v>1</v>
      </c>
      <c r="G60" s="12" t="s">
        <v>5743</v>
      </c>
      <c r="H60" s="248" t="s">
        <v>6102</v>
      </c>
      <c r="I60" s="249">
        <f t="shared" si="0"/>
        <v>12</v>
      </c>
    </row>
    <row r="61" spans="5:9" ht="12.75">
      <c r="E61" s="245"/>
      <c r="F61" s="246" t="b">
        <v>0</v>
      </c>
      <c r="G61" s="12" t="str">
        <f>G60</f>
        <v>estruturas</v>
      </c>
      <c r="H61" s="248"/>
      <c r="I61" s="249">
        <f t="shared" si="0"/>
        <v>13</v>
      </c>
    </row>
    <row r="62" spans="5:9" ht="12.75">
      <c r="E62" s="245" t="s">
        <v>5433</v>
      </c>
      <c r="F62" s="246" t="b">
        <v>1</v>
      </c>
      <c r="G62" s="12" t="s">
        <v>5744</v>
      </c>
      <c r="H62" s="248" t="s">
        <v>6102</v>
      </c>
      <c r="I62" s="249">
        <f t="shared" si="0"/>
        <v>14</v>
      </c>
    </row>
    <row r="63" spans="5:9" ht="12.75">
      <c r="E63" s="245"/>
      <c r="F63" s="246" t="b">
        <v>0</v>
      </c>
      <c r="G63" s="12" t="str">
        <f>G62</f>
        <v>vedações</v>
      </c>
      <c r="H63" s="248"/>
      <c r="I63" s="249">
        <f t="shared" si="0"/>
        <v>15</v>
      </c>
    </row>
    <row r="64" spans="5:9" ht="12.75">
      <c r="E64" s="245" t="s">
        <v>5433</v>
      </c>
      <c r="F64" s="246" t="b">
        <v>1</v>
      </c>
      <c r="G64" s="12" t="s">
        <v>5745</v>
      </c>
      <c r="H64" s="248" t="s">
        <v>6102</v>
      </c>
      <c r="I64" s="249">
        <f t="shared" si="0"/>
        <v>16</v>
      </c>
    </row>
    <row r="65" spans="5:9" ht="12.75">
      <c r="E65" s="245"/>
      <c r="F65" s="246" t="b">
        <v>0</v>
      </c>
      <c r="G65" s="12" t="str">
        <f>G64</f>
        <v>acabamentos</v>
      </c>
      <c r="H65" s="248"/>
      <c r="I65" s="249">
        <f t="shared" si="0"/>
        <v>17</v>
      </c>
    </row>
    <row r="66" spans="5:9" ht="12.75">
      <c r="E66" s="245" t="s">
        <v>5433</v>
      </c>
      <c r="F66" s="246" t="b">
        <v>1</v>
      </c>
      <c r="G66" s="12" t="s">
        <v>5746</v>
      </c>
      <c r="H66" s="248" t="s">
        <v>6102</v>
      </c>
      <c r="I66" s="249">
        <f t="shared" si="0"/>
        <v>18</v>
      </c>
    </row>
    <row r="67" spans="5:9" ht="12.75">
      <c r="E67" s="245"/>
      <c r="F67" s="246" t="b">
        <v>0</v>
      </c>
      <c r="G67" s="12" t="str">
        <f>G66</f>
        <v>impermeabilização</v>
      </c>
      <c r="H67" s="248"/>
      <c r="I67" s="249">
        <f t="shared" si="0"/>
        <v>19</v>
      </c>
    </row>
    <row r="68" spans="5:9" ht="12.75">
      <c r="E68" s="245" t="s">
        <v>5433</v>
      </c>
      <c r="F68" s="246" t="b">
        <v>1</v>
      </c>
      <c r="G68" s="12" t="s">
        <v>5747</v>
      </c>
      <c r="H68" s="248" t="s">
        <v>6102</v>
      </c>
      <c r="I68" s="249">
        <f t="shared" si="0"/>
        <v>20</v>
      </c>
    </row>
    <row r="69" spans="5:9" ht="12.75">
      <c r="E69" s="245"/>
      <c r="F69" s="246" t="b">
        <v>0</v>
      </c>
      <c r="G69" s="12" t="str">
        <f>G68</f>
        <v>aberturas</v>
      </c>
      <c r="H69" s="248"/>
      <c r="I69" s="249">
        <f t="shared" si="0"/>
        <v>21</v>
      </c>
    </row>
    <row r="70" spans="5:9" ht="12.75">
      <c r="E70" s="245" t="s">
        <v>5433</v>
      </c>
      <c r="F70" s="246" t="b">
        <v>1</v>
      </c>
      <c r="G70" s="12" t="s">
        <v>5748</v>
      </c>
      <c r="H70" s="248" t="s">
        <v>6102</v>
      </c>
      <c r="I70" s="249">
        <f t="shared" si="0"/>
        <v>22</v>
      </c>
    </row>
    <row r="71" spans="5:9" ht="12.75">
      <c r="E71" s="245"/>
      <c r="F71" s="246" t="b">
        <v>0</v>
      </c>
      <c r="G71" s="12" t="str">
        <f>G70</f>
        <v>acústicos</v>
      </c>
      <c r="H71" s="248"/>
      <c r="I71" s="249">
        <f t="shared" si="0"/>
        <v>23</v>
      </c>
    </row>
    <row r="72" spans="5:9" ht="12.75">
      <c r="E72" s="245" t="s">
        <v>5461</v>
      </c>
      <c r="F72" s="246" t="b">
        <v>0</v>
      </c>
      <c r="G72" s="12" t="s">
        <v>5750</v>
      </c>
      <c r="H72" s="248" t="s">
        <v>6102</v>
      </c>
      <c r="I72" s="249">
        <f t="shared" si="0"/>
        <v>24</v>
      </c>
    </row>
    <row r="73" spans="5:9" ht="12.75">
      <c r="E73" s="245"/>
      <c r="F73" s="246" t="b">
        <v>0</v>
      </c>
      <c r="G73" s="12" t="str">
        <f>G72</f>
        <v>redes de transmissão de eletricidade</v>
      </c>
      <c r="H73" s="248"/>
      <c r="I73" s="249">
        <f t="shared" si="0"/>
        <v>25</v>
      </c>
    </row>
    <row r="74" spans="5:9" ht="12.75">
      <c r="E74" s="245" t="s">
        <v>5445</v>
      </c>
      <c r="F74" s="246" t="b">
        <v>1</v>
      </c>
      <c r="G74" s="12" t="s">
        <v>5752</v>
      </c>
      <c r="H74" s="248" t="s">
        <v>6102</v>
      </c>
      <c r="I74" s="249">
        <f t="shared" si="0"/>
        <v>26</v>
      </c>
    </row>
    <row r="75" spans="5:9" ht="12.75">
      <c r="E75" s="245"/>
      <c r="F75" s="246" t="b">
        <v>0</v>
      </c>
      <c r="G75" s="12" t="str">
        <f>G74</f>
        <v>instalações prediais de eletricidade</v>
      </c>
      <c r="H75" s="248"/>
      <c r="I75" s="249">
        <f t="shared" si="0"/>
        <v>27</v>
      </c>
    </row>
    <row r="76" spans="5:9" ht="12.75">
      <c r="E76" s="245" t="s">
        <v>5445</v>
      </c>
      <c r="F76" s="246" t="b">
        <v>1</v>
      </c>
      <c r="G76" s="12" t="s">
        <v>5753</v>
      </c>
      <c r="H76" s="248" t="s">
        <v>6102</v>
      </c>
      <c r="I76" s="249">
        <f t="shared" si="0"/>
        <v>28</v>
      </c>
    </row>
    <row r="77" spans="5:9" ht="12.75">
      <c r="E77" s="245"/>
      <c r="F77" s="246" t="b">
        <v>0</v>
      </c>
      <c r="G77" s="12" t="str">
        <f>G76</f>
        <v>iluminação</v>
      </c>
      <c r="H77" s="248"/>
      <c r="I77" s="249">
        <f t="shared" si="0"/>
        <v>29</v>
      </c>
    </row>
    <row r="78" spans="5:9" ht="12.75">
      <c r="E78" s="245" t="s">
        <v>5455</v>
      </c>
      <c r="F78" s="246" t="b">
        <v>1</v>
      </c>
      <c r="G78" s="12" t="s">
        <v>5755</v>
      </c>
      <c r="H78" s="248" t="s">
        <v>6102</v>
      </c>
      <c r="I78" s="249">
        <f t="shared" si="0"/>
        <v>30</v>
      </c>
    </row>
    <row r="79" spans="5:9" ht="12.75">
      <c r="E79" s="245"/>
      <c r="F79" s="246" t="b">
        <v>0</v>
      </c>
      <c r="G79" s="12" t="str">
        <f>G78</f>
        <v>ventilação e exaustão</v>
      </c>
      <c r="H79" s="248"/>
      <c r="I79" s="249">
        <f t="shared" si="0"/>
        <v>31</v>
      </c>
    </row>
    <row r="80" spans="5:9" ht="12.75">
      <c r="E80" s="245" t="s">
        <v>5461</v>
      </c>
      <c r="F80" s="246" t="b">
        <v>0</v>
      </c>
      <c r="G80" s="12" t="s">
        <v>5757</v>
      </c>
      <c r="H80" s="248" t="s">
        <v>6102</v>
      </c>
      <c r="I80" s="249">
        <f t="shared" si="0"/>
        <v>32</v>
      </c>
    </row>
    <row r="81" spans="5:9" ht="12.75">
      <c r="E81" s="245"/>
      <c r="F81" s="246" t="b">
        <v>0</v>
      </c>
      <c r="G81" s="12" t="str">
        <f>G80</f>
        <v>rede de distribuição de telecomunicações</v>
      </c>
      <c r="H81" s="248"/>
      <c r="I81" s="249">
        <f t="shared" si="0"/>
        <v>33</v>
      </c>
    </row>
    <row r="82" spans="5:9" ht="12.75">
      <c r="E82" s="245" t="s">
        <v>5445</v>
      </c>
      <c r="F82" s="246" t="b">
        <v>1</v>
      </c>
      <c r="G82" s="12" t="s">
        <v>5759</v>
      </c>
      <c r="H82" s="248" t="s">
        <v>6102</v>
      </c>
      <c r="I82" s="249">
        <f t="shared" si="0"/>
        <v>34</v>
      </c>
    </row>
    <row r="83" spans="5:9" ht="12.75">
      <c r="E83" s="245"/>
      <c r="F83" s="246" t="b">
        <v>0</v>
      </c>
      <c r="G83" s="12" t="str">
        <f>G82</f>
        <v>instalações prediais de telecomunicações</v>
      </c>
      <c r="H83" s="248"/>
      <c r="I83" s="249">
        <f t="shared" si="0"/>
        <v>35</v>
      </c>
    </row>
    <row r="84" spans="5:9" ht="12.75">
      <c r="E84" s="245" t="s">
        <v>5461</v>
      </c>
      <c r="F84" s="246" t="b">
        <v>0</v>
      </c>
      <c r="G84" s="12" t="s">
        <v>5761</v>
      </c>
      <c r="H84" s="248" t="s">
        <v>6102</v>
      </c>
      <c r="I84" s="249">
        <f t="shared" si="0"/>
        <v>36</v>
      </c>
    </row>
    <row r="85" spans="5:9" ht="12.75">
      <c r="E85" s="245"/>
      <c r="F85" s="246" t="b">
        <v>0</v>
      </c>
      <c r="G85" s="12" t="str">
        <f>G84</f>
        <v>sistemas de abastecimento de água</v>
      </c>
      <c r="H85" s="248"/>
      <c r="I85" s="249">
        <f t="shared" si="0"/>
        <v>37</v>
      </c>
    </row>
    <row r="86" spans="5:9" ht="12.75">
      <c r="E86" s="245" t="s">
        <v>5450</v>
      </c>
      <c r="F86" s="246" t="b">
        <v>1</v>
      </c>
      <c r="G86" s="12" t="s">
        <v>5763</v>
      </c>
      <c r="H86" s="248" t="s">
        <v>6102</v>
      </c>
      <c r="I86" s="249">
        <f t="shared" si="0"/>
        <v>38</v>
      </c>
    </row>
    <row r="87" spans="5:9" ht="12.75">
      <c r="E87" s="245"/>
      <c r="F87" s="246" t="b">
        <v>0</v>
      </c>
      <c r="G87" s="12" t="str">
        <f>G86</f>
        <v>instalações hidráulicas</v>
      </c>
      <c r="H87" s="248"/>
      <c r="I87" s="249">
        <f t="shared" si="0"/>
        <v>39</v>
      </c>
    </row>
    <row r="88" spans="5:9" ht="12.75">
      <c r="E88" s="245" t="s">
        <v>5450</v>
      </c>
      <c r="F88" s="246" t="b">
        <v>1</v>
      </c>
      <c r="G88" s="12" t="s">
        <v>5764</v>
      </c>
      <c r="H88" s="248" t="s">
        <v>6102</v>
      </c>
      <c r="I88" s="249">
        <f t="shared" si="0"/>
        <v>40</v>
      </c>
    </row>
    <row r="89" spans="5:9" ht="12.75">
      <c r="E89" s="245"/>
      <c r="F89" s="246" t="b">
        <v>0</v>
      </c>
      <c r="G89" s="12" t="str">
        <f>G88</f>
        <v>instalações de água pluvial</v>
      </c>
      <c r="H89" s="248"/>
      <c r="I89" s="249">
        <f t="shared" si="0"/>
        <v>41</v>
      </c>
    </row>
    <row r="90" spans="5:9" ht="12.75">
      <c r="E90" s="245" t="s">
        <v>5450</v>
      </c>
      <c r="F90" s="246" t="b">
        <v>1</v>
      </c>
      <c r="G90" s="12" t="s">
        <v>5766</v>
      </c>
      <c r="H90" s="248" t="s">
        <v>6102</v>
      </c>
      <c r="I90" s="249">
        <f t="shared" si="0"/>
        <v>42</v>
      </c>
    </row>
    <row r="91" spans="5:9" ht="12.75">
      <c r="E91" s="245"/>
      <c r="F91" s="246" t="b">
        <v>0</v>
      </c>
      <c r="G91" s="12" t="str">
        <f>G90</f>
        <v>instalações sanitárias</v>
      </c>
      <c r="H91" s="248"/>
      <c r="I91" s="249">
        <f t="shared" si="0"/>
        <v>43</v>
      </c>
    </row>
    <row r="92" spans="5:9" ht="12.75">
      <c r="E92" s="245" t="s">
        <v>5461</v>
      </c>
      <c r="F92" s="246" t="b">
        <v>1</v>
      </c>
      <c r="G92" s="12" t="s">
        <v>5768</v>
      </c>
      <c r="H92" s="248" t="s">
        <v>6102</v>
      </c>
      <c r="I92" s="249">
        <f t="shared" si="0"/>
        <v>44</v>
      </c>
    </row>
    <row r="93" spans="5:9" ht="12.75">
      <c r="E93" s="245"/>
      <c r="F93" s="246" t="b">
        <v>0</v>
      </c>
      <c r="G93" s="12" t="str">
        <f>G92</f>
        <v>rede de esgotamento sanitário</v>
      </c>
      <c r="H93" s="248"/>
      <c r="I93" s="249">
        <f t="shared" si="0"/>
        <v>45</v>
      </c>
    </row>
    <row r="94" spans="5:9" ht="12.75">
      <c r="E94" s="245" t="s">
        <v>5461</v>
      </c>
      <c r="F94" s="246" t="b">
        <v>0</v>
      </c>
      <c r="G94" s="12" t="s">
        <v>5770</v>
      </c>
      <c r="H94" s="248" t="s">
        <v>6102</v>
      </c>
      <c r="I94" s="249">
        <f t="shared" si="0"/>
        <v>46</v>
      </c>
    </row>
    <row r="95" spans="5:9" ht="12.75">
      <c r="E95" s="245"/>
      <c r="F95" s="246" t="b">
        <v>0</v>
      </c>
      <c r="G95" s="12" t="str">
        <f>G94</f>
        <v>tratamento de resíduos sólidos</v>
      </c>
      <c r="H95" s="248"/>
      <c r="I95" s="249">
        <f t="shared" si="0"/>
        <v>47</v>
      </c>
    </row>
    <row r="96" spans="5:9" ht="12.75">
      <c r="E96" s="245" t="s">
        <v>5463</v>
      </c>
      <c r="F96" s="246" t="b">
        <v>0</v>
      </c>
      <c r="G96" s="247" t="s">
        <v>6103</v>
      </c>
      <c r="H96" s="248" t="s">
        <v>6102</v>
      </c>
      <c r="I96" s="249">
        <f t="shared" si="0"/>
        <v>48</v>
      </c>
    </row>
    <row r="97" spans="5:9" ht="12.75">
      <c r="E97" s="245"/>
      <c r="F97" s="246" t="b">
        <v>0</v>
      </c>
      <c r="G97" s="12" t="str">
        <f>G96</f>
        <v>construção industrializada</v>
      </c>
      <c r="H97" s="248"/>
      <c r="I97" s="249">
        <f t="shared" si="0"/>
        <v>49</v>
      </c>
    </row>
    <row r="98" spans="5:9" ht="12.75">
      <c r="E98" s="245" t="s">
        <v>5455</v>
      </c>
      <c r="F98" s="246" t="b">
        <v>1</v>
      </c>
      <c r="G98" s="12" t="s">
        <v>5772</v>
      </c>
      <c r="H98" s="248" t="s">
        <v>6102</v>
      </c>
      <c r="I98" s="249">
        <f t="shared" si="0"/>
        <v>50</v>
      </c>
    </row>
    <row r="99" spans="5:9" ht="12.75">
      <c r="E99" s="245"/>
      <c r="F99" s="246" t="b">
        <v>0</v>
      </c>
      <c r="G99" s="12" t="str">
        <f>G98</f>
        <v>sistemas de refrigeração</v>
      </c>
      <c r="H99" s="248"/>
      <c r="I99" s="249">
        <f t="shared" si="0"/>
        <v>51</v>
      </c>
    </row>
    <row r="100" spans="5:9" ht="12.75">
      <c r="E100" s="245" t="s">
        <v>5455</v>
      </c>
      <c r="F100" s="246" t="b">
        <v>0</v>
      </c>
      <c r="G100" s="12" t="s">
        <v>5774</v>
      </c>
      <c r="H100" s="248" t="s">
        <v>6102</v>
      </c>
      <c r="I100" s="249">
        <f t="shared" si="0"/>
        <v>52</v>
      </c>
    </row>
    <row r="101" spans="5:9" ht="12.75">
      <c r="E101" s="245"/>
      <c r="F101" s="246" t="b">
        <v>0</v>
      </c>
      <c r="G101" s="12" t="str">
        <f>G100</f>
        <v>sistemas de aquecimento</v>
      </c>
      <c r="H101" s="248"/>
      <c r="I101" s="249">
        <f t="shared" si="0"/>
        <v>53</v>
      </c>
    </row>
    <row r="102" spans="5:9" ht="12.75">
      <c r="E102" s="245" t="s">
        <v>5455</v>
      </c>
      <c r="F102" s="246" t="b">
        <v>1</v>
      </c>
      <c r="G102" s="12" t="s">
        <v>5776</v>
      </c>
      <c r="H102" s="248" t="s">
        <v>6102</v>
      </c>
      <c r="I102" s="249">
        <f t="shared" si="0"/>
        <v>54</v>
      </c>
    </row>
    <row r="103" spans="5:9" ht="12.75">
      <c r="E103" s="245"/>
      <c r="F103" s="246" t="b">
        <v>0</v>
      </c>
      <c r="G103" s="12" t="str">
        <f>G102</f>
        <v>instalações de gases</v>
      </c>
      <c r="H103" s="248"/>
      <c r="I103" s="249">
        <f t="shared" si="0"/>
        <v>55</v>
      </c>
    </row>
    <row r="104" spans="5:9" ht="12.75">
      <c r="E104" s="245" t="s">
        <v>5463</v>
      </c>
      <c r="F104" s="246" t="b">
        <v>1</v>
      </c>
      <c r="G104" s="247" t="s">
        <v>6104</v>
      </c>
      <c r="H104" s="248" t="s">
        <v>6102</v>
      </c>
      <c r="I104" s="249">
        <f t="shared" si="0"/>
        <v>56</v>
      </c>
    </row>
    <row r="105" spans="5:9" ht="12.75">
      <c r="E105" s="245"/>
      <c r="F105" s="246" t="b">
        <v>0</v>
      </c>
      <c r="G105" s="12" t="str">
        <f>G104</f>
        <v>mobiliário e temporários</v>
      </c>
      <c r="H105" s="248"/>
      <c r="I105" s="249">
        <f t="shared" si="0"/>
        <v>57</v>
      </c>
    </row>
    <row r="106" spans="5:9" ht="12.75">
      <c r="E106" s="245" t="s">
        <v>6105</v>
      </c>
      <c r="F106" s="246" t="b">
        <v>1</v>
      </c>
      <c r="G106" s="12" t="s">
        <v>5779</v>
      </c>
      <c r="H106" s="248" t="s">
        <v>6102</v>
      </c>
      <c r="I106" s="249">
        <f t="shared" si="0"/>
        <v>58</v>
      </c>
    </row>
    <row r="107" spans="5:9" ht="12.75">
      <c r="E107" s="245"/>
      <c r="F107" s="246" t="b">
        <v>0</v>
      </c>
      <c r="G107" s="12" t="str">
        <f>G106</f>
        <v>automação</v>
      </c>
      <c r="H107" s="248"/>
      <c r="I107" s="249">
        <f t="shared" si="0"/>
        <v>59</v>
      </c>
    </row>
    <row r="108" spans="5:9" ht="12.75">
      <c r="E108" s="245" t="s">
        <v>6105</v>
      </c>
      <c r="F108" s="246" t="b">
        <v>1</v>
      </c>
      <c r="G108" s="12" t="s">
        <v>6106</v>
      </c>
      <c r="H108" s="248" t="s">
        <v>6102</v>
      </c>
      <c r="I108" s="249">
        <f t="shared" si="0"/>
        <v>60</v>
      </c>
    </row>
    <row r="109" spans="5:9" ht="12.75">
      <c r="E109" s="245"/>
      <c r="F109" s="246" t="b">
        <v>0</v>
      </c>
      <c r="G109" s="12" t="str">
        <f>G108</f>
        <v>descargas atmosféricas</v>
      </c>
      <c r="H109" s="248"/>
      <c r="I109" s="249">
        <f t="shared" si="0"/>
        <v>61</v>
      </c>
    </row>
    <row r="110" spans="5:9" ht="12.75">
      <c r="E110" s="245" t="s">
        <v>6105</v>
      </c>
      <c r="F110" s="246" t="b">
        <v>1</v>
      </c>
      <c r="G110" s="12" t="s">
        <v>5781</v>
      </c>
      <c r="H110" s="248" t="s">
        <v>6102</v>
      </c>
      <c r="I110" s="249">
        <f t="shared" si="0"/>
        <v>62</v>
      </c>
    </row>
    <row r="111" spans="5:9" ht="12.75">
      <c r="E111" s="245"/>
      <c r="F111" s="246" t="b">
        <v>0</v>
      </c>
      <c r="G111" s="12" t="str">
        <f>G110</f>
        <v>proteção a incêndio</v>
      </c>
      <c r="H111" s="248"/>
      <c r="I111" s="249">
        <f t="shared" si="0"/>
        <v>63</v>
      </c>
    </row>
    <row r="112" spans="5:9" ht="12.75">
      <c r="E112" s="245" t="s">
        <v>6105</v>
      </c>
      <c r="F112" s="246" t="b">
        <v>1</v>
      </c>
      <c r="G112" s="12" t="s">
        <v>5782</v>
      </c>
      <c r="H112" s="248" t="s">
        <v>6102</v>
      </c>
      <c r="I112" s="249">
        <f t="shared" si="0"/>
        <v>64</v>
      </c>
    </row>
    <row r="113" spans="7:9" ht="12.75">
      <c r="G113" s="12" t="str">
        <f>G112</f>
        <v>segurança patrimonial</v>
      </c>
      <c r="I113" s="249">
        <f t="shared" si="0"/>
        <v>65</v>
      </c>
    </row>
    <row r="115" spans="7:9" ht="12.75">
      <c r="I115" s="249"/>
    </row>
  </sheetData>
  <mergeCells count="1">
    <mergeCell ref="K45:M45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2"/>
  <sheetViews>
    <sheetView workbookViewId="0"/>
  </sheetViews>
  <sheetFormatPr defaultColWidth="12.5703125" defaultRowHeight="15.75" customHeight="1"/>
  <sheetData>
    <row r="2" spans="1:1">
      <c r="A2" s="7" t="s">
        <v>6107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A10"/>
  <sheetViews>
    <sheetView workbookViewId="0"/>
  </sheetViews>
  <sheetFormatPr defaultColWidth="12.5703125" defaultRowHeight="15.75" customHeight="1"/>
  <sheetData>
    <row r="1" spans="1:1">
      <c r="A1" s="7" t="s">
        <v>6108</v>
      </c>
    </row>
    <row r="3" spans="1:1">
      <c r="A3" s="7" t="s">
        <v>6109</v>
      </c>
    </row>
    <row r="4" spans="1:1">
      <c r="A4" s="7" t="s">
        <v>6110</v>
      </c>
    </row>
    <row r="5" spans="1:1">
      <c r="A5" s="7" t="s">
        <v>6111</v>
      </c>
    </row>
    <row r="6" spans="1:1">
      <c r="A6" s="7" t="s">
        <v>6112</v>
      </c>
    </row>
    <row r="7" spans="1:1">
      <c r="A7" s="7" t="s">
        <v>6113</v>
      </c>
    </row>
    <row r="8" spans="1:1">
      <c r="A8" s="7" t="s">
        <v>6114</v>
      </c>
    </row>
    <row r="9" spans="1:1">
      <c r="A9" s="7" t="s">
        <v>6115</v>
      </c>
    </row>
    <row r="10" spans="1:1">
      <c r="A10" s="7" t="s">
        <v>6116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C407"/>
  <sheetViews>
    <sheetView workbookViewId="0"/>
  </sheetViews>
  <sheetFormatPr defaultColWidth="12.5703125" defaultRowHeight="15.75" customHeight="1"/>
  <cols>
    <col min="1" max="1" width="70.28515625" customWidth="1"/>
  </cols>
  <sheetData>
    <row r="1" spans="1:3">
      <c r="A1" s="250" t="s">
        <v>12</v>
      </c>
      <c r="B1" s="251" t="s">
        <v>10</v>
      </c>
      <c r="C1" s="252" t="s">
        <v>6117</v>
      </c>
    </row>
    <row r="2" spans="1:3">
      <c r="A2" s="250" t="s">
        <v>16</v>
      </c>
      <c r="B2" s="251" t="s">
        <v>14</v>
      </c>
      <c r="C2" s="252" t="s">
        <v>6118</v>
      </c>
    </row>
    <row r="3" spans="1:3">
      <c r="A3" s="250" t="s">
        <v>20</v>
      </c>
      <c r="B3" s="251" t="s">
        <v>18</v>
      </c>
      <c r="C3" s="252" t="s">
        <v>6119</v>
      </c>
    </row>
    <row r="4" spans="1:3">
      <c r="A4" s="250" t="s">
        <v>24</v>
      </c>
      <c r="B4" s="251" t="s">
        <v>22</v>
      </c>
      <c r="C4" s="252" t="s">
        <v>6120</v>
      </c>
    </row>
    <row r="5" spans="1:3">
      <c r="A5" s="250" t="s">
        <v>32</v>
      </c>
      <c r="B5" s="251" t="s">
        <v>30</v>
      </c>
      <c r="C5" s="252" t="s">
        <v>6121</v>
      </c>
    </row>
    <row r="6" spans="1:3">
      <c r="A6" s="250" t="s">
        <v>52</v>
      </c>
      <c r="B6" s="251" t="s">
        <v>50</v>
      </c>
      <c r="C6" s="252" t="s">
        <v>6122</v>
      </c>
    </row>
    <row r="7" spans="1:3">
      <c r="A7" s="250" t="s">
        <v>56</v>
      </c>
      <c r="B7" s="251" t="s">
        <v>54</v>
      </c>
      <c r="C7" s="252" t="s">
        <v>6123</v>
      </c>
    </row>
    <row r="8" spans="1:3">
      <c r="A8" s="250" t="s">
        <v>88</v>
      </c>
      <c r="B8" s="251" t="s">
        <v>86</v>
      </c>
      <c r="C8" s="252" t="s">
        <v>6124</v>
      </c>
    </row>
    <row r="9" spans="1:3">
      <c r="A9" s="250" t="s">
        <v>92</v>
      </c>
      <c r="B9" s="251" t="s">
        <v>90</v>
      </c>
      <c r="C9" s="252" t="s">
        <v>6125</v>
      </c>
    </row>
    <row r="10" spans="1:3">
      <c r="A10" s="250" t="s">
        <v>96</v>
      </c>
      <c r="B10" s="251" t="s">
        <v>94</v>
      </c>
      <c r="C10" s="252" t="s">
        <v>6126</v>
      </c>
    </row>
    <row r="11" spans="1:3">
      <c r="A11" s="250" t="s">
        <v>104</v>
      </c>
      <c r="B11" s="251" t="s">
        <v>102</v>
      </c>
      <c r="C11" s="252" t="s">
        <v>6127</v>
      </c>
    </row>
    <row r="12" spans="1:3">
      <c r="A12" s="250" t="s">
        <v>112</v>
      </c>
      <c r="B12" s="251" t="s">
        <v>110</v>
      </c>
      <c r="C12" s="252" t="s">
        <v>6128</v>
      </c>
    </row>
    <row r="13" spans="1:3">
      <c r="A13" s="250" t="s">
        <v>140</v>
      </c>
      <c r="B13" s="251" t="s">
        <v>138</v>
      </c>
      <c r="C13" s="252" t="s">
        <v>6129</v>
      </c>
    </row>
    <row r="14" spans="1:3">
      <c r="A14" s="250" t="s">
        <v>144</v>
      </c>
      <c r="B14" s="251" t="s">
        <v>142</v>
      </c>
      <c r="C14" s="252" t="s">
        <v>6130</v>
      </c>
    </row>
    <row r="15" spans="1:3">
      <c r="A15" s="250" t="s">
        <v>148</v>
      </c>
      <c r="B15" s="251" t="s">
        <v>146</v>
      </c>
      <c r="C15" s="252" t="s">
        <v>6131</v>
      </c>
    </row>
    <row r="16" spans="1:3">
      <c r="A16" s="250" t="s">
        <v>156</v>
      </c>
      <c r="B16" s="251" t="s">
        <v>154</v>
      </c>
      <c r="C16" s="252" t="s">
        <v>6132</v>
      </c>
    </row>
    <row r="17" spans="1:3">
      <c r="A17" s="250" t="s">
        <v>160</v>
      </c>
      <c r="B17" s="251" t="s">
        <v>158</v>
      </c>
      <c r="C17" s="252" t="s">
        <v>6133</v>
      </c>
    </row>
    <row r="18" spans="1:3">
      <c r="A18" s="250" t="s">
        <v>164</v>
      </c>
      <c r="B18" s="251" t="s">
        <v>162</v>
      </c>
      <c r="C18" s="252" t="s">
        <v>6134</v>
      </c>
    </row>
    <row r="19" spans="1:3">
      <c r="A19" s="250" t="s">
        <v>168</v>
      </c>
      <c r="B19" s="251" t="s">
        <v>166</v>
      </c>
      <c r="C19" s="252" t="s">
        <v>6135</v>
      </c>
    </row>
    <row r="20" spans="1:3">
      <c r="A20" s="250" t="s">
        <v>172</v>
      </c>
      <c r="B20" s="251" t="s">
        <v>170</v>
      </c>
      <c r="C20" s="252" t="s">
        <v>6136</v>
      </c>
    </row>
    <row r="21" spans="1:3">
      <c r="A21" s="250" t="s">
        <v>200</v>
      </c>
      <c r="B21" s="251" t="s">
        <v>198</v>
      </c>
      <c r="C21" s="252" t="s">
        <v>6137</v>
      </c>
    </row>
    <row r="22" spans="1:3">
      <c r="A22" s="250" t="s">
        <v>212</v>
      </c>
      <c r="B22" s="251" t="s">
        <v>210</v>
      </c>
      <c r="C22" s="252" t="s">
        <v>6138</v>
      </c>
    </row>
    <row r="23" spans="1:3">
      <c r="A23" s="253" t="s">
        <v>216</v>
      </c>
      <c r="B23" s="251" t="s">
        <v>214</v>
      </c>
      <c r="C23" s="252" t="s">
        <v>6139</v>
      </c>
    </row>
    <row r="24" spans="1:3">
      <c r="A24" s="253" t="s">
        <v>220</v>
      </c>
      <c r="B24" s="251" t="s">
        <v>218</v>
      </c>
      <c r="C24" s="252" t="s">
        <v>6140</v>
      </c>
    </row>
    <row r="25" spans="1:3">
      <c r="A25" s="253" t="s">
        <v>228</v>
      </c>
      <c r="B25" s="251" t="s">
        <v>226</v>
      </c>
      <c r="C25" s="252" t="s">
        <v>6141</v>
      </c>
    </row>
    <row r="26" spans="1:3">
      <c r="A26" s="250" t="s">
        <v>232</v>
      </c>
      <c r="B26" s="251" t="s">
        <v>230</v>
      </c>
      <c r="C26" s="252" t="s">
        <v>6142</v>
      </c>
    </row>
    <row r="27" spans="1:3">
      <c r="A27" s="253" t="s">
        <v>236</v>
      </c>
      <c r="B27" s="251" t="s">
        <v>234</v>
      </c>
      <c r="C27" s="252" t="s">
        <v>6143</v>
      </c>
    </row>
    <row r="28" spans="1:3">
      <c r="A28" s="253" t="s">
        <v>240</v>
      </c>
      <c r="B28" s="251" t="s">
        <v>238</v>
      </c>
      <c r="C28" s="252" t="s">
        <v>6144</v>
      </c>
    </row>
    <row r="29" spans="1:3">
      <c r="A29" s="253" t="s">
        <v>244</v>
      </c>
      <c r="B29" s="251" t="s">
        <v>242</v>
      </c>
      <c r="C29" s="252" t="s">
        <v>6145</v>
      </c>
    </row>
    <row r="30" spans="1:3">
      <c r="A30" s="253" t="s">
        <v>248</v>
      </c>
      <c r="B30" s="251" t="s">
        <v>246</v>
      </c>
      <c r="C30" s="252" t="s">
        <v>6146</v>
      </c>
    </row>
    <row r="31" spans="1:3">
      <c r="A31" s="253" t="s">
        <v>252</v>
      </c>
      <c r="B31" s="251" t="s">
        <v>250</v>
      </c>
      <c r="C31" s="252" t="s">
        <v>6147</v>
      </c>
    </row>
    <row r="32" spans="1:3">
      <c r="A32" s="253" t="s">
        <v>256</v>
      </c>
      <c r="B32" s="251" t="s">
        <v>254</v>
      </c>
      <c r="C32" s="252" t="s">
        <v>6148</v>
      </c>
    </row>
    <row r="33" spans="1:3">
      <c r="A33" s="253" t="s">
        <v>260</v>
      </c>
      <c r="B33" s="251" t="s">
        <v>258</v>
      </c>
      <c r="C33" s="252" t="s">
        <v>6149</v>
      </c>
    </row>
    <row r="34" spans="1:3">
      <c r="A34" s="253" t="s">
        <v>264</v>
      </c>
      <c r="B34" s="251" t="s">
        <v>262</v>
      </c>
      <c r="C34" s="252" t="s">
        <v>6150</v>
      </c>
    </row>
    <row r="35" spans="1:3">
      <c r="A35" s="253" t="s">
        <v>276</v>
      </c>
      <c r="B35" s="251" t="s">
        <v>274</v>
      </c>
      <c r="C35" s="252" t="s">
        <v>6151</v>
      </c>
    </row>
    <row r="36" spans="1:3">
      <c r="A36" s="253" t="s">
        <v>280</v>
      </c>
      <c r="B36" s="251" t="s">
        <v>278</v>
      </c>
      <c r="C36" s="252" t="s">
        <v>6152</v>
      </c>
    </row>
    <row r="37" spans="1:3">
      <c r="A37" s="253" t="s">
        <v>288</v>
      </c>
      <c r="B37" s="251" t="s">
        <v>286</v>
      </c>
      <c r="C37" s="252" t="s">
        <v>6153</v>
      </c>
    </row>
    <row r="38" spans="1:3">
      <c r="A38" s="253" t="s">
        <v>292</v>
      </c>
      <c r="B38" s="251" t="s">
        <v>290</v>
      </c>
      <c r="C38" s="252" t="s">
        <v>6154</v>
      </c>
    </row>
    <row r="39" spans="1:3">
      <c r="A39" s="253" t="s">
        <v>296</v>
      </c>
      <c r="B39" s="251" t="s">
        <v>294</v>
      </c>
      <c r="C39" s="252" t="s">
        <v>6155</v>
      </c>
    </row>
    <row r="40" spans="1:3">
      <c r="A40" s="253" t="s">
        <v>300</v>
      </c>
    </row>
    <row r="41" spans="1:3">
      <c r="A41" s="253" t="s">
        <v>308</v>
      </c>
    </row>
    <row r="42" spans="1:3">
      <c r="A42" s="253" t="s">
        <v>320</v>
      </c>
    </row>
    <row r="43" spans="1:3">
      <c r="A43" s="253" t="s">
        <v>324</v>
      </c>
    </row>
    <row r="44" spans="1:3">
      <c r="A44" s="253" t="s">
        <v>328</v>
      </c>
    </row>
    <row r="45" spans="1:3">
      <c r="A45" s="253" t="s">
        <v>332</v>
      </c>
    </row>
    <row r="46" spans="1:3">
      <c r="A46" s="253" t="s">
        <v>336</v>
      </c>
    </row>
    <row r="47" spans="1:3">
      <c r="A47" s="253" t="s">
        <v>344</v>
      </c>
    </row>
    <row r="48" spans="1:3">
      <c r="A48" s="253" t="s">
        <v>348</v>
      </c>
    </row>
    <row r="49" spans="1:1">
      <c r="A49" s="253" t="s">
        <v>352</v>
      </c>
    </row>
    <row r="50" spans="1:1">
      <c r="A50" s="253" t="s">
        <v>360</v>
      </c>
    </row>
    <row r="51" spans="1:1">
      <c r="A51" s="8" t="s">
        <v>364</v>
      </c>
    </row>
    <row r="52" spans="1:1">
      <c r="A52" s="8" t="s">
        <v>376</v>
      </c>
    </row>
    <row r="53" spans="1:1">
      <c r="A53" s="8" t="s">
        <v>380</v>
      </c>
    </row>
    <row r="54" spans="1:1">
      <c r="A54" s="8" t="s">
        <v>384</v>
      </c>
    </row>
    <row r="55" spans="1:1">
      <c r="A55" s="8" t="s">
        <v>388</v>
      </c>
    </row>
    <row r="56" spans="1:1">
      <c r="A56" s="8" t="s">
        <v>396</v>
      </c>
    </row>
    <row r="57" spans="1:1">
      <c r="A57" s="8" t="s">
        <v>400</v>
      </c>
    </row>
    <row r="58" spans="1:1">
      <c r="A58" s="8" t="s">
        <v>404</v>
      </c>
    </row>
    <row r="59" spans="1:1">
      <c r="A59" s="8" t="s">
        <v>408</v>
      </c>
    </row>
    <row r="60" spans="1:1">
      <c r="A60" s="8" t="s">
        <v>412</v>
      </c>
    </row>
    <row r="61" spans="1:1">
      <c r="A61" s="8" t="s">
        <v>416</v>
      </c>
    </row>
    <row r="62" spans="1:1">
      <c r="A62" s="8" t="s">
        <v>420</v>
      </c>
    </row>
    <row r="63" spans="1:1">
      <c r="A63" s="8" t="s">
        <v>424</v>
      </c>
    </row>
    <row r="64" spans="1:1">
      <c r="A64" s="8" t="s">
        <v>428</v>
      </c>
    </row>
    <row r="65" spans="1:1">
      <c r="A65" s="8" t="s">
        <v>432</v>
      </c>
    </row>
    <row r="66" spans="1:1">
      <c r="A66" s="8" t="s">
        <v>436</v>
      </c>
    </row>
    <row r="67" spans="1:1">
      <c r="A67" s="8" t="s">
        <v>440</v>
      </c>
    </row>
    <row r="68" spans="1:1">
      <c r="A68" s="8" t="s">
        <v>444</v>
      </c>
    </row>
    <row r="69" spans="1:1">
      <c r="A69" s="8" t="s">
        <v>452</v>
      </c>
    </row>
    <row r="70" spans="1:1">
      <c r="A70" s="8" t="s">
        <v>464</v>
      </c>
    </row>
    <row r="71" spans="1:1">
      <c r="A71" s="8" t="s">
        <v>480</v>
      </c>
    </row>
    <row r="72" spans="1:1">
      <c r="A72" s="8" t="s">
        <v>484</v>
      </c>
    </row>
    <row r="73" spans="1:1">
      <c r="A73" s="8" t="s">
        <v>488</v>
      </c>
    </row>
    <row r="74" spans="1:1">
      <c r="A74" s="8" t="s">
        <v>504</v>
      </c>
    </row>
    <row r="75" spans="1:1">
      <c r="A75" s="8" t="s">
        <v>508</v>
      </c>
    </row>
    <row r="76" spans="1:1">
      <c r="A76" s="8" t="s">
        <v>512</v>
      </c>
    </row>
    <row r="77" spans="1:1">
      <c r="A77" s="8" t="s">
        <v>516</v>
      </c>
    </row>
    <row r="78" spans="1:1">
      <c r="A78" s="8" t="s">
        <v>520</v>
      </c>
    </row>
    <row r="79" spans="1:1">
      <c r="A79" s="8" t="s">
        <v>524</v>
      </c>
    </row>
    <row r="80" spans="1:1">
      <c r="A80" s="8" t="s">
        <v>528</v>
      </c>
    </row>
    <row r="81" spans="1:1">
      <c r="A81" s="8" t="s">
        <v>532</v>
      </c>
    </row>
    <row r="82" spans="1:1">
      <c r="A82" s="8" t="s">
        <v>544</v>
      </c>
    </row>
    <row r="83" spans="1:1">
      <c r="A83" s="8" t="s">
        <v>548</v>
      </c>
    </row>
    <row r="84" spans="1:1">
      <c r="A84" s="8" t="s">
        <v>552</v>
      </c>
    </row>
    <row r="85" spans="1:1">
      <c r="A85" s="8" t="s">
        <v>556</v>
      </c>
    </row>
    <row r="86" spans="1:1">
      <c r="A86" s="8" t="s">
        <v>564</v>
      </c>
    </row>
    <row r="87" spans="1:1">
      <c r="A87" s="8" t="s">
        <v>604</v>
      </c>
    </row>
    <row r="88" spans="1:1">
      <c r="A88" s="8" t="s">
        <v>608</v>
      </c>
    </row>
    <row r="89" spans="1:1">
      <c r="A89" s="8" t="s">
        <v>620</v>
      </c>
    </row>
    <row r="90" spans="1:1">
      <c r="A90" s="8" t="s">
        <v>624</v>
      </c>
    </row>
    <row r="91" spans="1:1">
      <c r="A91" s="8" t="s">
        <v>628</v>
      </c>
    </row>
    <row r="92" spans="1:1">
      <c r="A92" s="8" t="s">
        <v>632</v>
      </c>
    </row>
    <row r="93" spans="1:1">
      <c r="A93" s="8" t="s">
        <v>708</v>
      </c>
    </row>
    <row r="94" spans="1:1">
      <c r="A94" s="8" t="s">
        <v>712</v>
      </c>
    </row>
    <row r="95" spans="1:1">
      <c r="A95" s="8" t="s">
        <v>716</v>
      </c>
    </row>
    <row r="96" spans="1:1">
      <c r="A96" s="8" t="s">
        <v>720</v>
      </c>
    </row>
    <row r="97" spans="1:1">
      <c r="A97" s="8" t="s">
        <v>728</v>
      </c>
    </row>
    <row r="98" spans="1:1">
      <c r="A98" s="8" t="s">
        <v>740</v>
      </c>
    </row>
    <row r="99" spans="1:1">
      <c r="A99" s="8" t="s">
        <v>744</v>
      </c>
    </row>
    <row r="100" spans="1:1">
      <c r="A100" s="8" t="s">
        <v>748</v>
      </c>
    </row>
    <row r="101" spans="1:1">
      <c r="A101" s="8" t="s">
        <v>756</v>
      </c>
    </row>
    <row r="102" spans="1:1">
      <c r="A102" s="8" t="s">
        <v>760</v>
      </c>
    </row>
    <row r="103" spans="1:1">
      <c r="A103" s="8" t="s">
        <v>764</v>
      </c>
    </row>
    <row r="104" spans="1:1">
      <c r="A104" s="8" t="s">
        <v>784</v>
      </c>
    </row>
    <row r="105" spans="1:1">
      <c r="A105" s="8" t="s">
        <v>796</v>
      </c>
    </row>
    <row r="106" spans="1:1">
      <c r="A106" s="8" t="s">
        <v>800</v>
      </c>
    </row>
    <row r="107" spans="1:1">
      <c r="A107" s="8" t="s">
        <v>804</v>
      </c>
    </row>
    <row r="108" spans="1:1">
      <c r="A108" s="8" t="s">
        <v>808</v>
      </c>
    </row>
    <row r="109" spans="1:1">
      <c r="A109" s="8" t="s">
        <v>812</v>
      </c>
    </row>
    <row r="110" spans="1:1">
      <c r="A110" s="8" t="s">
        <v>824</v>
      </c>
    </row>
    <row r="111" spans="1:1">
      <c r="A111" s="8" t="s">
        <v>828</v>
      </c>
    </row>
    <row r="112" spans="1:1">
      <c r="A112" s="8" t="s">
        <v>836</v>
      </c>
    </row>
    <row r="113" spans="1:1">
      <c r="A113" s="8" t="s">
        <v>876</v>
      </c>
    </row>
    <row r="114" spans="1:1">
      <c r="A114" s="8" t="s">
        <v>880</v>
      </c>
    </row>
    <row r="115" spans="1:1">
      <c r="A115" s="8" t="s">
        <v>884</v>
      </c>
    </row>
    <row r="116" spans="1:1">
      <c r="A116" s="8" t="s">
        <v>888</v>
      </c>
    </row>
    <row r="117" spans="1:1">
      <c r="A117" s="8" t="s">
        <v>892</v>
      </c>
    </row>
    <row r="118" spans="1:1">
      <c r="A118" s="8" t="s">
        <v>900</v>
      </c>
    </row>
    <row r="119" spans="1:1">
      <c r="A119" s="8" t="s">
        <v>904</v>
      </c>
    </row>
    <row r="120" spans="1:1">
      <c r="A120" s="8" t="s">
        <v>908</v>
      </c>
    </row>
    <row r="121" spans="1:1">
      <c r="A121" s="8" t="s">
        <v>912</v>
      </c>
    </row>
    <row r="122" spans="1:1">
      <c r="A122" s="8" t="s">
        <v>920</v>
      </c>
    </row>
    <row r="123" spans="1:1">
      <c r="A123" s="8" t="s">
        <v>924</v>
      </c>
    </row>
    <row r="124" spans="1:1">
      <c r="A124" s="8" t="s">
        <v>928</v>
      </c>
    </row>
    <row r="125" spans="1:1">
      <c r="A125" s="8" t="s">
        <v>932</v>
      </c>
    </row>
    <row r="126" spans="1:1">
      <c r="A126" s="8" t="s">
        <v>964</v>
      </c>
    </row>
    <row r="127" spans="1:1">
      <c r="A127" s="8" t="s">
        <v>992</v>
      </c>
    </row>
    <row r="128" spans="1:1">
      <c r="A128" s="8" t="s">
        <v>1000</v>
      </c>
    </row>
    <row r="129" spans="1:1">
      <c r="A129" s="8" t="s">
        <v>1024</v>
      </c>
    </row>
    <row r="130" spans="1:1">
      <c r="A130" s="8" t="s">
        <v>1028</v>
      </c>
    </row>
    <row r="131" spans="1:1">
      <c r="A131" s="8" t="s">
        <v>1032</v>
      </c>
    </row>
    <row r="132" spans="1:1">
      <c r="A132" s="8" t="s">
        <v>1036</v>
      </c>
    </row>
    <row r="133" spans="1:1">
      <c r="A133" s="8" t="s">
        <v>1040</v>
      </c>
    </row>
    <row r="134" spans="1:1">
      <c r="A134" s="8" t="s">
        <v>1044</v>
      </c>
    </row>
    <row r="135" spans="1:1">
      <c r="A135" s="8" t="s">
        <v>1096</v>
      </c>
    </row>
    <row r="136" spans="1:1">
      <c r="A136" s="8" t="s">
        <v>1100</v>
      </c>
    </row>
    <row r="137" spans="1:1">
      <c r="A137" s="8" t="s">
        <v>1104</v>
      </c>
    </row>
    <row r="138" spans="1:1">
      <c r="A138" s="8" t="s">
        <v>1112</v>
      </c>
    </row>
    <row r="139" spans="1:1">
      <c r="A139" s="8" t="s">
        <v>1128</v>
      </c>
    </row>
    <row r="140" spans="1:1">
      <c r="A140" s="8" t="s">
        <v>1132</v>
      </c>
    </row>
    <row r="141" spans="1:1">
      <c r="A141" s="8" t="s">
        <v>1140</v>
      </c>
    </row>
    <row r="142" spans="1:1">
      <c r="A142" s="8" t="s">
        <v>1144</v>
      </c>
    </row>
    <row r="143" spans="1:1">
      <c r="A143" s="8" t="s">
        <v>1148</v>
      </c>
    </row>
    <row r="144" spans="1:1">
      <c r="A144" s="8" t="s">
        <v>1152</v>
      </c>
    </row>
    <row r="145" spans="1:1">
      <c r="A145" s="8" t="s">
        <v>1156</v>
      </c>
    </row>
    <row r="146" spans="1:1">
      <c r="A146" s="8" t="s">
        <v>1164</v>
      </c>
    </row>
    <row r="147" spans="1:1">
      <c r="A147" s="8" t="s">
        <v>1168</v>
      </c>
    </row>
    <row r="148" spans="1:1">
      <c r="A148" s="8" t="s">
        <v>1172</v>
      </c>
    </row>
    <row r="149" spans="1:1">
      <c r="A149" s="8" t="s">
        <v>1180</v>
      </c>
    </row>
    <row r="150" spans="1:1">
      <c r="A150" s="8" t="s">
        <v>1184</v>
      </c>
    </row>
    <row r="151" spans="1:1">
      <c r="A151" s="7" t="s">
        <v>1188</v>
      </c>
    </row>
    <row r="152" spans="1:1">
      <c r="A152" s="7" t="s">
        <v>1192</v>
      </c>
    </row>
    <row r="153" spans="1:1">
      <c r="A153" s="7" t="s">
        <v>1196</v>
      </c>
    </row>
    <row r="154" spans="1:1">
      <c r="A154" s="7" t="s">
        <v>1200</v>
      </c>
    </row>
    <row r="155" spans="1:1">
      <c r="A155" s="7" t="s">
        <v>1204</v>
      </c>
    </row>
    <row r="156" spans="1:1">
      <c r="A156" s="7" t="s">
        <v>1208</v>
      </c>
    </row>
    <row r="157" spans="1:1">
      <c r="A157" s="7" t="s">
        <v>1212</v>
      </c>
    </row>
    <row r="158" spans="1:1">
      <c r="A158" s="7" t="s">
        <v>1216</v>
      </c>
    </row>
    <row r="159" spans="1:1">
      <c r="A159" s="7" t="s">
        <v>1220</v>
      </c>
    </row>
    <row r="160" spans="1:1">
      <c r="A160" s="7" t="s">
        <v>1224</v>
      </c>
    </row>
    <row r="161" spans="1:1">
      <c r="A161" s="7" t="s">
        <v>1228</v>
      </c>
    </row>
    <row r="162" spans="1:1">
      <c r="A162" s="7" t="s">
        <v>1236</v>
      </c>
    </row>
    <row r="163" spans="1:1">
      <c r="A163" s="7" t="s">
        <v>1268</v>
      </c>
    </row>
    <row r="164" spans="1:1">
      <c r="A164" s="7" t="s">
        <v>1272</v>
      </c>
    </row>
    <row r="165" spans="1:1">
      <c r="A165" s="7" t="s">
        <v>1280</v>
      </c>
    </row>
    <row r="166" spans="1:1">
      <c r="A166" s="7" t="s">
        <v>1284</v>
      </c>
    </row>
    <row r="167" spans="1:1">
      <c r="A167" s="7" t="s">
        <v>1288</v>
      </c>
    </row>
    <row r="168" spans="1:1">
      <c r="A168" s="7" t="s">
        <v>1296</v>
      </c>
    </row>
    <row r="169" spans="1:1">
      <c r="A169" s="7" t="s">
        <v>1300</v>
      </c>
    </row>
    <row r="170" spans="1:1">
      <c r="A170" s="7" t="s">
        <v>1312</v>
      </c>
    </row>
    <row r="171" spans="1:1">
      <c r="A171" s="7" t="s">
        <v>1316</v>
      </c>
    </row>
    <row r="172" spans="1:1">
      <c r="A172" s="7" t="s">
        <v>1320</v>
      </c>
    </row>
    <row r="173" spans="1:1">
      <c r="A173" s="7" t="s">
        <v>1324</v>
      </c>
    </row>
    <row r="174" spans="1:1">
      <c r="A174" s="7" t="s">
        <v>1328</v>
      </c>
    </row>
    <row r="175" spans="1:1">
      <c r="A175" s="7" t="s">
        <v>1332</v>
      </c>
    </row>
    <row r="176" spans="1:1">
      <c r="A176" s="7" t="s">
        <v>1336</v>
      </c>
    </row>
    <row r="177" spans="1:1">
      <c r="A177" s="7" t="s">
        <v>1340</v>
      </c>
    </row>
    <row r="178" spans="1:1">
      <c r="A178" s="7" t="s">
        <v>1348</v>
      </c>
    </row>
    <row r="179" spans="1:1">
      <c r="A179" s="7" t="s">
        <v>1352</v>
      </c>
    </row>
    <row r="180" spans="1:1">
      <c r="A180" s="7" t="s">
        <v>1356</v>
      </c>
    </row>
    <row r="181" spans="1:1">
      <c r="A181" s="7" t="s">
        <v>1360</v>
      </c>
    </row>
    <row r="182" spans="1:1">
      <c r="A182" s="7" t="s">
        <v>1364</v>
      </c>
    </row>
    <row r="183" spans="1:1">
      <c r="A183" s="7" t="s">
        <v>1388</v>
      </c>
    </row>
    <row r="184" spans="1:1">
      <c r="A184" s="7" t="s">
        <v>1392</v>
      </c>
    </row>
    <row r="185" spans="1:1">
      <c r="A185" s="7" t="s">
        <v>1396</v>
      </c>
    </row>
    <row r="186" spans="1:1">
      <c r="A186" s="7" t="s">
        <v>1400</v>
      </c>
    </row>
    <row r="187" spans="1:1">
      <c r="A187" s="7" t="s">
        <v>1404</v>
      </c>
    </row>
    <row r="188" spans="1:1">
      <c r="A188" s="7" t="s">
        <v>1412</v>
      </c>
    </row>
    <row r="189" spans="1:1">
      <c r="A189" s="7" t="s">
        <v>1416</v>
      </c>
    </row>
    <row r="190" spans="1:1">
      <c r="A190" s="7" t="s">
        <v>1420</v>
      </c>
    </row>
    <row r="191" spans="1:1">
      <c r="A191" s="7" t="s">
        <v>1424</v>
      </c>
    </row>
    <row r="192" spans="1:1">
      <c r="A192" s="7" t="s">
        <v>1428</v>
      </c>
    </row>
    <row r="193" spans="1:1">
      <c r="A193" s="7" t="s">
        <v>1444</v>
      </c>
    </row>
    <row r="194" spans="1:1">
      <c r="A194" s="7" t="s">
        <v>1448</v>
      </c>
    </row>
    <row r="195" spans="1:1">
      <c r="A195" s="7" t="s">
        <v>1456</v>
      </c>
    </row>
    <row r="196" spans="1:1">
      <c r="A196" s="7" t="s">
        <v>1460</v>
      </c>
    </row>
    <row r="197" spans="1:1">
      <c r="A197" s="7" t="s">
        <v>1464</v>
      </c>
    </row>
    <row r="198" spans="1:1">
      <c r="A198" s="7" t="s">
        <v>1468</v>
      </c>
    </row>
    <row r="199" spans="1:1">
      <c r="A199" s="7" t="s">
        <v>1480</v>
      </c>
    </row>
    <row r="200" spans="1:1">
      <c r="A200" s="7" t="s">
        <v>1484</v>
      </c>
    </row>
    <row r="201" spans="1:1">
      <c r="A201" s="7" t="s">
        <v>1508</v>
      </c>
    </row>
    <row r="202" spans="1:1">
      <c r="A202" s="7" t="s">
        <v>1512</v>
      </c>
    </row>
    <row r="203" spans="1:1">
      <c r="A203" s="7" t="s">
        <v>1516</v>
      </c>
    </row>
    <row r="204" spans="1:1">
      <c r="A204" s="7" t="s">
        <v>1564</v>
      </c>
    </row>
    <row r="205" spans="1:1">
      <c r="A205" s="7" t="s">
        <v>1568</v>
      </c>
    </row>
    <row r="206" spans="1:1">
      <c r="A206" s="7" t="s">
        <v>1580</v>
      </c>
    </row>
    <row r="207" spans="1:1">
      <c r="A207" s="7" t="s">
        <v>1584</v>
      </c>
    </row>
    <row r="208" spans="1:1">
      <c r="A208" s="7" t="s">
        <v>1596</v>
      </c>
    </row>
    <row r="209" spans="1:1">
      <c r="A209" s="7" t="s">
        <v>1600</v>
      </c>
    </row>
    <row r="210" spans="1:1">
      <c r="A210" s="7" t="s">
        <v>1604</v>
      </c>
    </row>
    <row r="211" spans="1:1">
      <c r="A211" s="7" t="s">
        <v>1608</v>
      </c>
    </row>
    <row r="212" spans="1:1">
      <c r="A212" s="7" t="s">
        <v>1612</v>
      </c>
    </row>
    <row r="213" spans="1:1">
      <c r="A213" s="7" t="s">
        <v>1616</v>
      </c>
    </row>
    <row r="214" spans="1:1">
      <c r="A214" s="7" t="s">
        <v>1620</v>
      </c>
    </row>
    <row r="215" spans="1:1">
      <c r="A215" s="7" t="s">
        <v>1628</v>
      </c>
    </row>
    <row r="216" spans="1:1">
      <c r="A216" s="7" t="s">
        <v>1632</v>
      </c>
    </row>
    <row r="217" spans="1:1">
      <c r="A217" s="7" t="s">
        <v>1640</v>
      </c>
    </row>
    <row r="218" spans="1:1">
      <c r="A218" s="7" t="s">
        <v>1652</v>
      </c>
    </row>
    <row r="219" spans="1:1">
      <c r="A219" s="7" t="s">
        <v>1656</v>
      </c>
    </row>
    <row r="220" spans="1:1">
      <c r="A220" s="7" t="s">
        <v>1660</v>
      </c>
    </row>
    <row r="221" spans="1:1">
      <c r="A221" s="7" t="s">
        <v>1664</v>
      </c>
    </row>
    <row r="222" spans="1:1">
      <c r="A222" s="7" t="s">
        <v>1676</v>
      </c>
    </row>
    <row r="223" spans="1:1">
      <c r="A223" s="7" t="s">
        <v>1688</v>
      </c>
    </row>
    <row r="224" spans="1:1">
      <c r="A224" s="7" t="s">
        <v>1728</v>
      </c>
    </row>
    <row r="225" spans="1:1">
      <c r="A225" s="7" t="s">
        <v>1732</v>
      </c>
    </row>
    <row r="226" spans="1:1">
      <c r="A226" s="7" t="s">
        <v>1736</v>
      </c>
    </row>
    <row r="227" spans="1:1">
      <c r="A227" s="7" t="s">
        <v>1740</v>
      </c>
    </row>
    <row r="228" spans="1:1">
      <c r="A228" s="7" t="s">
        <v>1744</v>
      </c>
    </row>
    <row r="229" spans="1:1">
      <c r="A229" s="7" t="s">
        <v>1748</v>
      </c>
    </row>
    <row r="230" spans="1:1">
      <c r="A230" s="7" t="s">
        <v>1752</v>
      </c>
    </row>
    <row r="231" spans="1:1">
      <c r="A231" s="7" t="s">
        <v>1768</v>
      </c>
    </row>
    <row r="232" spans="1:1">
      <c r="A232" s="7" t="s">
        <v>1780</v>
      </c>
    </row>
    <row r="233" spans="1:1">
      <c r="A233" s="7" t="s">
        <v>1800</v>
      </c>
    </row>
    <row r="234" spans="1:1">
      <c r="A234" s="7" t="s">
        <v>1804</v>
      </c>
    </row>
    <row r="235" spans="1:1">
      <c r="A235" s="7" t="s">
        <v>1812</v>
      </c>
    </row>
    <row r="236" spans="1:1">
      <c r="A236" s="7" t="s">
        <v>1816</v>
      </c>
    </row>
    <row r="237" spans="1:1">
      <c r="A237" s="7" t="s">
        <v>1820</v>
      </c>
    </row>
    <row r="238" spans="1:1">
      <c r="A238" s="7" t="s">
        <v>1824</v>
      </c>
    </row>
    <row r="239" spans="1:1">
      <c r="A239" s="7" t="s">
        <v>1828</v>
      </c>
    </row>
    <row r="240" spans="1:1">
      <c r="A240" s="7" t="s">
        <v>1832</v>
      </c>
    </row>
    <row r="241" spans="1:1">
      <c r="A241" s="7" t="s">
        <v>1844</v>
      </c>
    </row>
    <row r="242" spans="1:1">
      <c r="A242" s="7" t="s">
        <v>1848</v>
      </c>
    </row>
    <row r="243" spans="1:1">
      <c r="A243" s="7" t="s">
        <v>1852</v>
      </c>
    </row>
    <row r="244" spans="1:1">
      <c r="A244" s="7" t="s">
        <v>1856</v>
      </c>
    </row>
    <row r="245" spans="1:1">
      <c r="A245" s="7" t="s">
        <v>1868</v>
      </c>
    </row>
    <row r="246" spans="1:1">
      <c r="A246" s="7" t="s">
        <v>1872</v>
      </c>
    </row>
    <row r="247" spans="1:1">
      <c r="A247" s="7" t="s">
        <v>1876</v>
      </c>
    </row>
    <row r="248" spans="1:1">
      <c r="A248" s="7" t="s">
        <v>1880</v>
      </c>
    </row>
    <row r="249" spans="1:1">
      <c r="A249" s="7" t="s">
        <v>1888</v>
      </c>
    </row>
    <row r="250" spans="1:1">
      <c r="A250" s="7" t="s">
        <v>1906</v>
      </c>
    </row>
    <row r="251" spans="1:1">
      <c r="A251" s="7" t="s">
        <v>1908</v>
      </c>
    </row>
    <row r="252" spans="1:1">
      <c r="A252" s="7" t="s">
        <v>1916</v>
      </c>
    </row>
    <row r="253" spans="1:1">
      <c r="A253" s="7" t="s">
        <v>1920</v>
      </c>
    </row>
    <row r="254" spans="1:1">
      <c r="A254" s="7" t="s">
        <v>1924</v>
      </c>
    </row>
    <row r="255" spans="1:1">
      <c r="A255" s="7" t="s">
        <v>1936</v>
      </c>
    </row>
    <row r="256" spans="1:1">
      <c r="A256" s="7" t="s">
        <v>1940</v>
      </c>
    </row>
    <row r="257" spans="1:1">
      <c r="A257" s="7" t="s">
        <v>1968</v>
      </c>
    </row>
    <row r="258" spans="1:1">
      <c r="A258" s="7" t="s">
        <v>1972</v>
      </c>
    </row>
    <row r="259" spans="1:1">
      <c r="A259" s="7" t="s">
        <v>1976</v>
      </c>
    </row>
    <row r="260" spans="1:1">
      <c r="A260" s="7" t="s">
        <v>1980</v>
      </c>
    </row>
    <row r="261" spans="1:1">
      <c r="A261" s="7" t="s">
        <v>1984</v>
      </c>
    </row>
    <row r="262" spans="1:1">
      <c r="A262" s="7" t="s">
        <v>1988</v>
      </c>
    </row>
    <row r="263" spans="1:1">
      <c r="A263" s="7" t="s">
        <v>1992</v>
      </c>
    </row>
    <row r="264" spans="1:1">
      <c r="A264" s="7" t="s">
        <v>2008</v>
      </c>
    </row>
    <row r="265" spans="1:1">
      <c r="A265" s="7" t="s">
        <v>2016</v>
      </c>
    </row>
    <row r="266" spans="1:1">
      <c r="A266" s="7" t="s">
        <v>2024</v>
      </c>
    </row>
    <row r="267" spans="1:1">
      <c r="A267" s="7" t="s">
        <v>2040</v>
      </c>
    </row>
    <row r="268" spans="1:1">
      <c r="A268" s="7" t="s">
        <v>2044</v>
      </c>
    </row>
    <row r="269" spans="1:1">
      <c r="A269" s="7" t="s">
        <v>2048</v>
      </c>
    </row>
    <row r="270" spans="1:1">
      <c r="A270" s="7" t="s">
        <v>2052</v>
      </c>
    </row>
    <row r="271" spans="1:1">
      <c r="A271" s="7" t="s">
        <v>2060</v>
      </c>
    </row>
    <row r="272" spans="1:1">
      <c r="A272" s="7" t="s">
        <v>2064</v>
      </c>
    </row>
    <row r="273" spans="1:1">
      <c r="A273" s="7" t="s">
        <v>2068</v>
      </c>
    </row>
    <row r="274" spans="1:1">
      <c r="A274" s="7" t="s">
        <v>2072</v>
      </c>
    </row>
    <row r="275" spans="1:1">
      <c r="A275" s="7" t="s">
        <v>2076</v>
      </c>
    </row>
    <row r="276" spans="1:1">
      <c r="A276" s="7" t="s">
        <v>2080</v>
      </c>
    </row>
    <row r="277" spans="1:1">
      <c r="A277" s="7" t="s">
        <v>2084</v>
      </c>
    </row>
    <row r="278" spans="1:1">
      <c r="A278" s="7" t="s">
        <v>2092</v>
      </c>
    </row>
    <row r="279" spans="1:1">
      <c r="A279" s="7" t="s">
        <v>2096</v>
      </c>
    </row>
    <row r="280" spans="1:1">
      <c r="A280" s="7" t="s">
        <v>2104</v>
      </c>
    </row>
    <row r="281" spans="1:1">
      <c r="A281" s="7" t="s">
        <v>2108</v>
      </c>
    </row>
    <row r="282" spans="1:1">
      <c r="A282" s="7" t="s">
        <v>2112</v>
      </c>
    </row>
    <row r="283" spans="1:1">
      <c r="A283" s="7" t="s">
        <v>2116</v>
      </c>
    </row>
    <row r="284" spans="1:1">
      <c r="A284" s="7" t="s">
        <v>2120</v>
      </c>
    </row>
    <row r="285" spans="1:1">
      <c r="A285" s="7" t="s">
        <v>2128</v>
      </c>
    </row>
    <row r="286" spans="1:1">
      <c r="A286" s="7" t="s">
        <v>2132</v>
      </c>
    </row>
    <row r="287" spans="1:1">
      <c r="A287" s="7" t="s">
        <v>2136</v>
      </c>
    </row>
    <row r="288" spans="1:1">
      <c r="A288" s="7" t="s">
        <v>2140</v>
      </c>
    </row>
    <row r="289" spans="1:1">
      <c r="A289" s="7" t="s">
        <v>2144</v>
      </c>
    </row>
    <row r="290" spans="1:1">
      <c r="A290" s="7" t="s">
        <v>2148</v>
      </c>
    </row>
    <row r="291" spans="1:1">
      <c r="A291" s="7" t="s">
        <v>2152</v>
      </c>
    </row>
    <row r="292" spans="1:1">
      <c r="A292" s="7" t="s">
        <v>2164</v>
      </c>
    </row>
    <row r="293" spans="1:1">
      <c r="A293" s="7" t="s">
        <v>2172</v>
      </c>
    </row>
    <row r="294" spans="1:1">
      <c r="A294" s="7" t="s">
        <v>2176</v>
      </c>
    </row>
    <row r="295" spans="1:1">
      <c r="A295" s="7" t="s">
        <v>2180</v>
      </c>
    </row>
    <row r="296" spans="1:1">
      <c r="A296" s="7" t="s">
        <v>2184</v>
      </c>
    </row>
    <row r="297" spans="1:1">
      <c r="A297" s="7" t="s">
        <v>2200</v>
      </c>
    </row>
    <row r="298" spans="1:1">
      <c r="A298" s="7" t="s">
        <v>2204</v>
      </c>
    </row>
    <row r="299" spans="1:1">
      <c r="A299" s="7" t="s">
        <v>2208</v>
      </c>
    </row>
    <row r="300" spans="1:1">
      <c r="A300" s="7" t="s">
        <v>2216</v>
      </c>
    </row>
    <row r="301" spans="1:1">
      <c r="A301" s="7" t="s">
        <v>2220</v>
      </c>
    </row>
    <row r="302" spans="1:1">
      <c r="A302" s="7" t="s">
        <v>2228</v>
      </c>
    </row>
    <row r="303" spans="1:1">
      <c r="A303" s="7" t="s">
        <v>2232</v>
      </c>
    </row>
    <row r="304" spans="1:1">
      <c r="A304" s="7" t="s">
        <v>2236</v>
      </c>
    </row>
    <row r="305" spans="1:1">
      <c r="A305" s="7" t="s">
        <v>2240</v>
      </c>
    </row>
    <row r="306" spans="1:1">
      <c r="A306" s="7" t="s">
        <v>2244</v>
      </c>
    </row>
    <row r="307" spans="1:1">
      <c r="A307" s="7" t="s">
        <v>2248</v>
      </c>
    </row>
    <row r="308" spans="1:1">
      <c r="A308" s="7" t="s">
        <v>2252</v>
      </c>
    </row>
    <row r="309" spans="1:1">
      <c r="A309" s="7" t="s">
        <v>2256</v>
      </c>
    </row>
    <row r="310" spans="1:1">
      <c r="A310" s="7" t="s">
        <v>2264</v>
      </c>
    </row>
    <row r="311" spans="1:1">
      <c r="A311" s="7" t="s">
        <v>2268</v>
      </c>
    </row>
    <row r="312" spans="1:1">
      <c r="A312" s="7" t="s">
        <v>2272</v>
      </c>
    </row>
    <row r="313" spans="1:1">
      <c r="A313" s="7" t="s">
        <v>2276</v>
      </c>
    </row>
    <row r="314" spans="1:1">
      <c r="A314" s="7" t="s">
        <v>2280</v>
      </c>
    </row>
    <row r="315" spans="1:1">
      <c r="A315" s="7" t="s">
        <v>2283</v>
      </c>
    </row>
    <row r="316" spans="1:1">
      <c r="A316" s="7" t="s">
        <v>2287</v>
      </c>
    </row>
    <row r="317" spans="1:1">
      <c r="A317" s="7" t="s">
        <v>2291</v>
      </c>
    </row>
    <row r="318" spans="1:1">
      <c r="A318" s="7" t="s">
        <v>2295</v>
      </c>
    </row>
    <row r="319" spans="1:1">
      <c r="A319" s="7" t="s">
        <v>2299</v>
      </c>
    </row>
    <row r="320" spans="1:1">
      <c r="A320" s="7" t="s">
        <v>2303</v>
      </c>
    </row>
    <row r="321" spans="1:1">
      <c r="A321" s="7" t="s">
        <v>2311</v>
      </c>
    </row>
    <row r="322" spans="1:1">
      <c r="A322" s="7" t="s">
        <v>2315</v>
      </c>
    </row>
    <row r="323" spans="1:1">
      <c r="A323" s="7" t="s">
        <v>2319</v>
      </c>
    </row>
    <row r="324" spans="1:1">
      <c r="A324" s="7" t="s">
        <v>2323</v>
      </c>
    </row>
    <row r="325" spans="1:1">
      <c r="A325" s="7" t="s">
        <v>2327</v>
      </c>
    </row>
    <row r="326" spans="1:1">
      <c r="A326" s="7" t="s">
        <v>2331</v>
      </c>
    </row>
    <row r="327" spans="1:1">
      <c r="A327" s="7" t="s">
        <v>2335</v>
      </c>
    </row>
    <row r="328" spans="1:1">
      <c r="A328" s="7" t="s">
        <v>2339</v>
      </c>
    </row>
    <row r="329" spans="1:1">
      <c r="A329" s="7" t="s">
        <v>2343</v>
      </c>
    </row>
    <row r="330" spans="1:1">
      <c r="A330" s="7" t="s">
        <v>2347</v>
      </c>
    </row>
    <row r="331" spans="1:1">
      <c r="A331" s="7" t="s">
        <v>2351</v>
      </c>
    </row>
    <row r="332" spans="1:1">
      <c r="A332" s="7" t="s">
        <v>2355</v>
      </c>
    </row>
    <row r="333" spans="1:1">
      <c r="A333" s="7" t="s">
        <v>2359</v>
      </c>
    </row>
    <row r="334" spans="1:1">
      <c r="A334" s="7" t="s">
        <v>2363</v>
      </c>
    </row>
    <row r="335" spans="1:1">
      <c r="A335" s="7" t="s">
        <v>2367</v>
      </c>
    </row>
    <row r="336" spans="1:1">
      <c r="A336" s="7" t="s">
        <v>2379</v>
      </c>
    </row>
    <row r="337" spans="1:1">
      <c r="A337" s="7" t="s">
        <v>2383</v>
      </c>
    </row>
    <row r="338" spans="1:1">
      <c r="A338" s="7" t="s">
        <v>2387</v>
      </c>
    </row>
    <row r="339" spans="1:1">
      <c r="A339" s="7" t="s">
        <v>2391</v>
      </c>
    </row>
    <row r="340" spans="1:1">
      <c r="A340" s="7" t="s">
        <v>2395</v>
      </c>
    </row>
    <row r="341" spans="1:1">
      <c r="A341" s="7" t="s">
        <v>2399</v>
      </c>
    </row>
    <row r="342" spans="1:1">
      <c r="A342" s="7" t="s">
        <v>2403</v>
      </c>
    </row>
    <row r="343" spans="1:1">
      <c r="A343" s="7" t="s">
        <v>2411</v>
      </c>
    </row>
    <row r="344" spans="1:1">
      <c r="A344" s="7" t="s">
        <v>2415</v>
      </c>
    </row>
    <row r="345" spans="1:1">
      <c r="A345" s="7" t="s">
        <v>2419</v>
      </c>
    </row>
    <row r="346" spans="1:1">
      <c r="A346" s="7" t="s">
        <v>2423</v>
      </c>
    </row>
    <row r="347" spans="1:1">
      <c r="A347" s="7" t="s">
        <v>2427</v>
      </c>
    </row>
    <row r="348" spans="1:1">
      <c r="A348" s="7" t="s">
        <v>2431</v>
      </c>
    </row>
    <row r="349" spans="1:1">
      <c r="A349" s="7" t="s">
        <v>2435</v>
      </c>
    </row>
    <row r="350" spans="1:1">
      <c r="A350" s="7" t="s">
        <v>2443</v>
      </c>
    </row>
    <row r="351" spans="1:1">
      <c r="A351" s="7" t="s">
        <v>2447</v>
      </c>
    </row>
    <row r="352" spans="1:1">
      <c r="A352" s="7" t="s">
        <v>2451</v>
      </c>
    </row>
    <row r="353" spans="1:1">
      <c r="A353" s="7" t="s">
        <v>2455</v>
      </c>
    </row>
    <row r="354" spans="1:1">
      <c r="A354" s="7" t="s">
        <v>2459</v>
      </c>
    </row>
    <row r="355" spans="1:1">
      <c r="A355" s="7" t="s">
        <v>2463</v>
      </c>
    </row>
    <row r="356" spans="1:1">
      <c r="A356" s="7" t="s">
        <v>2471</v>
      </c>
    </row>
    <row r="357" spans="1:1">
      <c r="A357" s="7" t="s">
        <v>2475</v>
      </c>
    </row>
    <row r="358" spans="1:1">
      <c r="A358" s="7" t="s">
        <v>2479</v>
      </c>
    </row>
    <row r="359" spans="1:1">
      <c r="A359" s="7" t="s">
        <v>2483</v>
      </c>
    </row>
    <row r="360" spans="1:1">
      <c r="A360" s="7" t="s">
        <v>2487</v>
      </c>
    </row>
    <row r="361" spans="1:1">
      <c r="A361" s="7" t="s">
        <v>2491</v>
      </c>
    </row>
    <row r="362" spans="1:1">
      <c r="A362" s="7" t="s">
        <v>2503</v>
      </c>
    </row>
    <row r="363" spans="1:1">
      <c r="A363" s="7" t="s">
        <v>2507</v>
      </c>
    </row>
    <row r="364" spans="1:1">
      <c r="A364" s="7" t="s">
        <v>2523</v>
      </c>
    </row>
    <row r="365" spans="1:1">
      <c r="A365" s="7" t="s">
        <v>2527</v>
      </c>
    </row>
    <row r="366" spans="1:1">
      <c r="A366" s="7" t="s">
        <v>2539</v>
      </c>
    </row>
    <row r="367" spans="1:1">
      <c r="A367" s="7" t="s">
        <v>2551</v>
      </c>
    </row>
    <row r="368" spans="1:1">
      <c r="A368" s="7" t="s">
        <v>2559</v>
      </c>
    </row>
    <row r="369" spans="1:1">
      <c r="A369" s="7" t="s">
        <v>2563</v>
      </c>
    </row>
    <row r="370" spans="1:1">
      <c r="A370" s="7" t="s">
        <v>2567</v>
      </c>
    </row>
    <row r="371" spans="1:1">
      <c r="A371" s="7" t="s">
        <v>2571</v>
      </c>
    </row>
    <row r="372" spans="1:1">
      <c r="A372" s="7" t="s">
        <v>2575</v>
      </c>
    </row>
    <row r="373" spans="1:1">
      <c r="A373" s="7" t="s">
        <v>2579</v>
      </c>
    </row>
    <row r="374" spans="1:1">
      <c r="A374" s="7" t="s">
        <v>2591</v>
      </c>
    </row>
    <row r="375" spans="1:1">
      <c r="A375" s="7" t="s">
        <v>2599</v>
      </c>
    </row>
    <row r="376" spans="1:1">
      <c r="A376" s="7" t="s">
        <v>2603</v>
      </c>
    </row>
    <row r="377" spans="1:1">
      <c r="A377" s="7" t="s">
        <v>2607</v>
      </c>
    </row>
    <row r="378" spans="1:1">
      <c r="A378" s="7" t="s">
        <v>2611</v>
      </c>
    </row>
    <row r="379" spans="1:1">
      <c r="A379" s="7" t="s">
        <v>2615</v>
      </c>
    </row>
    <row r="380" spans="1:1">
      <c r="A380" s="7" t="s">
        <v>2619</v>
      </c>
    </row>
    <row r="381" spans="1:1">
      <c r="A381" s="7" t="s">
        <v>2631</v>
      </c>
    </row>
    <row r="382" spans="1:1">
      <c r="A382" s="7" t="s">
        <v>2639</v>
      </c>
    </row>
    <row r="383" spans="1:1">
      <c r="A383" s="7" t="s">
        <v>2643</v>
      </c>
    </row>
    <row r="384" spans="1:1">
      <c r="A384" s="7" t="s">
        <v>2647</v>
      </c>
    </row>
    <row r="385" spans="1:1">
      <c r="A385" s="7" t="s">
        <v>2651</v>
      </c>
    </row>
    <row r="386" spans="1:1">
      <c r="A386" s="7" t="s">
        <v>2655</v>
      </c>
    </row>
    <row r="387" spans="1:1">
      <c r="A387" s="7" t="s">
        <v>2659</v>
      </c>
    </row>
    <row r="388" spans="1:1">
      <c r="A388" s="7" t="s">
        <v>2671</v>
      </c>
    </row>
    <row r="389" spans="1:1">
      <c r="A389" s="7" t="s">
        <v>2715</v>
      </c>
    </row>
    <row r="390" spans="1:1">
      <c r="A390" s="7" t="s">
        <v>2719</v>
      </c>
    </row>
    <row r="391" spans="1:1">
      <c r="A391" s="7" t="s">
        <v>2723</v>
      </c>
    </row>
    <row r="392" spans="1:1">
      <c r="A392" s="7" t="s">
        <v>2727</v>
      </c>
    </row>
    <row r="393" spans="1:1">
      <c r="A393" s="7" t="s">
        <v>2735</v>
      </c>
    </row>
    <row r="394" spans="1:1">
      <c r="A394" s="7" t="s">
        <v>2743</v>
      </c>
    </row>
    <row r="395" spans="1:1">
      <c r="A395" s="7" t="s">
        <v>2749</v>
      </c>
    </row>
    <row r="396" spans="1:1">
      <c r="A396" s="7" t="s">
        <v>2761</v>
      </c>
    </row>
    <row r="397" spans="1:1">
      <c r="A397" s="7" t="s">
        <v>2765</v>
      </c>
    </row>
    <row r="398" spans="1:1">
      <c r="A398" s="7" t="s">
        <v>2785</v>
      </c>
    </row>
    <row r="399" spans="1:1">
      <c r="A399" s="7" t="s">
        <v>2789</v>
      </c>
    </row>
    <row r="400" spans="1:1">
      <c r="A400" s="7" t="s">
        <v>2793</v>
      </c>
    </row>
    <row r="401" spans="1:1">
      <c r="A401" s="7" t="s">
        <v>2797</v>
      </c>
    </row>
    <row r="402" spans="1:1">
      <c r="A402" s="7" t="s">
        <v>2801</v>
      </c>
    </row>
    <row r="403" spans="1:1">
      <c r="A403" s="7" t="s">
        <v>2805</v>
      </c>
    </row>
    <row r="404" spans="1:1">
      <c r="A404" s="7" t="s">
        <v>2809</v>
      </c>
    </row>
    <row r="405" spans="1:1">
      <c r="A405" s="7" t="s">
        <v>2813</v>
      </c>
    </row>
    <row r="406" spans="1:1">
      <c r="A406" s="7" t="s">
        <v>2817</v>
      </c>
    </row>
    <row r="407" spans="1:1">
      <c r="A407" s="7" t="s">
        <v>2821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D301"/>
  <sheetViews>
    <sheetView workbookViewId="0"/>
  </sheetViews>
  <sheetFormatPr defaultColWidth="12.5703125" defaultRowHeight="15.75" customHeight="1"/>
  <cols>
    <col min="1" max="1" width="17.85546875" customWidth="1"/>
    <col min="2" max="2" width="18.140625" customWidth="1"/>
    <col min="3" max="3" width="51.42578125" customWidth="1"/>
    <col min="4" max="4" width="22.85546875" customWidth="1"/>
    <col min="5" max="5" width="76.28515625" customWidth="1"/>
    <col min="6" max="7" width="17.42578125" customWidth="1"/>
  </cols>
  <sheetData>
    <row r="1" spans="1:30" ht="12.75">
      <c r="A1" s="1" t="s">
        <v>0</v>
      </c>
      <c r="B1" s="2" t="s">
        <v>0</v>
      </c>
      <c r="C1" s="2" t="s">
        <v>1</v>
      </c>
      <c r="D1" s="176" t="s">
        <v>4182</v>
      </c>
      <c r="E1" s="19" t="s">
        <v>2</v>
      </c>
    </row>
    <row r="2" spans="1:30" ht="12.75">
      <c r="A2" s="3" t="s">
        <v>2866</v>
      </c>
      <c r="B2" s="3" t="s">
        <v>2867</v>
      </c>
      <c r="C2" s="3" t="s">
        <v>2868</v>
      </c>
      <c r="D2" s="4">
        <v>2</v>
      </c>
      <c r="E2" s="8" t="s">
        <v>2869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</row>
    <row r="3" spans="1:30" ht="12.75">
      <c r="A3" s="3" t="s">
        <v>2870</v>
      </c>
      <c r="B3" s="3" t="s">
        <v>2871</v>
      </c>
      <c r="C3" s="3" t="s">
        <v>2872</v>
      </c>
      <c r="D3" s="4">
        <v>3</v>
      </c>
      <c r="E3" s="8" t="s">
        <v>2873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spans="1:30" ht="12.75">
      <c r="A4" s="7" t="s">
        <v>2874</v>
      </c>
      <c r="B4" s="7" t="s">
        <v>2875</v>
      </c>
      <c r="C4" s="7" t="s">
        <v>2876</v>
      </c>
      <c r="D4" s="4">
        <v>4</v>
      </c>
      <c r="E4" s="5" t="s">
        <v>2877</v>
      </c>
    </row>
    <row r="5" spans="1:30" ht="12.75">
      <c r="A5" s="7" t="s">
        <v>2878</v>
      </c>
      <c r="B5" s="7" t="s">
        <v>2879</v>
      </c>
      <c r="C5" s="7" t="s">
        <v>2880</v>
      </c>
      <c r="D5" s="4">
        <v>4</v>
      </c>
      <c r="E5" s="5" t="s">
        <v>2881</v>
      </c>
    </row>
    <row r="6" spans="1:30" ht="12.75">
      <c r="A6" s="7" t="s">
        <v>2882</v>
      </c>
      <c r="B6" s="7" t="s">
        <v>2883</v>
      </c>
      <c r="C6" s="7" t="s">
        <v>2884</v>
      </c>
      <c r="D6" s="4">
        <v>4</v>
      </c>
      <c r="E6" s="5" t="s">
        <v>2885</v>
      </c>
    </row>
    <row r="7" spans="1:30" ht="18" customHeight="1">
      <c r="A7" s="3" t="s">
        <v>2886</v>
      </c>
      <c r="B7" s="3" t="s">
        <v>2887</v>
      </c>
      <c r="C7" s="3" t="s">
        <v>2888</v>
      </c>
      <c r="D7" s="4">
        <v>3</v>
      </c>
      <c r="E7" s="8" t="s">
        <v>2889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 ht="12.75">
      <c r="A8" s="7" t="s">
        <v>2890</v>
      </c>
      <c r="B8" s="7" t="s">
        <v>2891</v>
      </c>
      <c r="C8" s="7" t="s">
        <v>2892</v>
      </c>
      <c r="D8" s="4">
        <v>4</v>
      </c>
      <c r="E8" s="5" t="s">
        <v>2893</v>
      </c>
    </row>
    <row r="9" spans="1:30" ht="12.75">
      <c r="A9" s="7" t="s">
        <v>2894</v>
      </c>
      <c r="B9" s="7" t="s">
        <v>2895</v>
      </c>
      <c r="C9" s="7" t="s">
        <v>2896</v>
      </c>
      <c r="D9" s="4">
        <v>4</v>
      </c>
      <c r="E9" s="5" t="s">
        <v>2897</v>
      </c>
    </row>
    <row r="10" spans="1:30" ht="12.75">
      <c r="A10" s="7" t="s">
        <v>2898</v>
      </c>
      <c r="B10" s="7" t="s">
        <v>2899</v>
      </c>
      <c r="C10" s="7" t="s">
        <v>2900</v>
      </c>
      <c r="D10" s="4">
        <v>4</v>
      </c>
      <c r="E10" s="5" t="s">
        <v>2901</v>
      </c>
    </row>
    <row r="11" spans="1:30" ht="12.75">
      <c r="A11" s="7" t="s">
        <v>2902</v>
      </c>
      <c r="B11" s="7" t="s">
        <v>2903</v>
      </c>
      <c r="C11" s="7" t="s">
        <v>2904</v>
      </c>
      <c r="D11" s="4">
        <v>4</v>
      </c>
      <c r="E11" s="5" t="s">
        <v>2905</v>
      </c>
    </row>
    <row r="12" spans="1:30" ht="18" customHeight="1">
      <c r="A12" s="3" t="s">
        <v>2906</v>
      </c>
      <c r="B12" s="3" t="s">
        <v>2907</v>
      </c>
      <c r="C12" s="3" t="s">
        <v>2908</v>
      </c>
      <c r="D12" s="4">
        <v>3</v>
      </c>
      <c r="E12" s="8" t="s">
        <v>2909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 ht="12.75">
      <c r="A13" s="7" t="s">
        <v>2910</v>
      </c>
      <c r="B13" s="7" t="s">
        <v>2911</v>
      </c>
      <c r="C13" s="7" t="s">
        <v>2912</v>
      </c>
      <c r="D13" s="4">
        <v>4</v>
      </c>
      <c r="E13" s="5" t="s">
        <v>2913</v>
      </c>
    </row>
    <row r="14" spans="1:30" ht="12.75">
      <c r="A14" s="7" t="s">
        <v>2914</v>
      </c>
      <c r="B14" s="7" t="s">
        <v>2915</v>
      </c>
      <c r="C14" s="7" t="s">
        <v>2916</v>
      </c>
      <c r="D14" s="4">
        <v>4</v>
      </c>
      <c r="E14" s="5" t="s">
        <v>2917</v>
      </c>
    </row>
    <row r="15" spans="1:30" ht="12.75">
      <c r="A15" s="7" t="s">
        <v>2918</v>
      </c>
      <c r="B15" s="7" t="s">
        <v>2919</v>
      </c>
      <c r="C15" s="7" t="s">
        <v>2920</v>
      </c>
      <c r="D15" s="4">
        <v>4</v>
      </c>
      <c r="E15" s="5" t="s">
        <v>2921</v>
      </c>
    </row>
    <row r="16" spans="1:30" ht="12.75">
      <c r="A16" s="7" t="s">
        <v>2922</v>
      </c>
      <c r="B16" s="7" t="s">
        <v>2923</v>
      </c>
      <c r="C16" s="7" t="s">
        <v>2924</v>
      </c>
      <c r="D16" s="4">
        <v>4</v>
      </c>
      <c r="E16" s="5" t="s">
        <v>2925</v>
      </c>
    </row>
    <row r="17" spans="1:30" ht="12.75">
      <c r="A17" s="7" t="s">
        <v>2926</v>
      </c>
      <c r="B17" s="7" t="s">
        <v>2927</v>
      </c>
      <c r="C17" s="7" t="s">
        <v>2928</v>
      </c>
      <c r="D17" s="4">
        <v>4</v>
      </c>
      <c r="E17" s="5" t="s">
        <v>2929</v>
      </c>
    </row>
    <row r="18" spans="1:30" ht="18" customHeight="1">
      <c r="A18" s="3" t="s">
        <v>2930</v>
      </c>
      <c r="B18" s="3" t="s">
        <v>2931</v>
      </c>
      <c r="C18" s="3" t="s">
        <v>2932</v>
      </c>
      <c r="D18" s="4">
        <v>3</v>
      </c>
      <c r="E18" s="8" t="s">
        <v>2933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 ht="12.75">
      <c r="A19" s="7" t="s">
        <v>2934</v>
      </c>
      <c r="B19" s="7" t="s">
        <v>2935</v>
      </c>
      <c r="C19" s="7" t="s">
        <v>2936</v>
      </c>
      <c r="D19" s="4">
        <v>4</v>
      </c>
      <c r="E19" s="5" t="s">
        <v>2937</v>
      </c>
    </row>
    <row r="20" spans="1:30" ht="12.75">
      <c r="A20" s="7" t="s">
        <v>2938</v>
      </c>
      <c r="B20" s="7" t="s">
        <v>2939</v>
      </c>
      <c r="C20" s="7" t="s">
        <v>2940</v>
      </c>
      <c r="D20" s="4">
        <v>4</v>
      </c>
      <c r="E20" s="5" t="s">
        <v>2941</v>
      </c>
    </row>
    <row r="21" spans="1:30" ht="12.75">
      <c r="A21" s="7" t="s">
        <v>2942</v>
      </c>
      <c r="B21" s="7" t="s">
        <v>2943</v>
      </c>
      <c r="C21" s="7" t="s">
        <v>2944</v>
      </c>
      <c r="D21" s="4">
        <v>4</v>
      </c>
      <c r="E21" s="5" t="s">
        <v>2945</v>
      </c>
    </row>
    <row r="22" spans="1:30" ht="12.75">
      <c r="A22" s="7" t="s">
        <v>2946</v>
      </c>
      <c r="B22" s="7" t="s">
        <v>2947</v>
      </c>
      <c r="C22" s="7" t="s">
        <v>2948</v>
      </c>
      <c r="D22" s="4">
        <v>4</v>
      </c>
      <c r="E22" s="5" t="s">
        <v>2949</v>
      </c>
    </row>
    <row r="23" spans="1:30" ht="12.75">
      <c r="A23" s="7" t="s">
        <v>2950</v>
      </c>
      <c r="B23" s="7" t="s">
        <v>2951</v>
      </c>
      <c r="C23" s="7" t="s">
        <v>2952</v>
      </c>
      <c r="D23" s="4">
        <v>4</v>
      </c>
      <c r="E23" s="5" t="s">
        <v>2953</v>
      </c>
    </row>
    <row r="24" spans="1:30" ht="12.75">
      <c r="A24" s="7" t="s">
        <v>2954</v>
      </c>
      <c r="B24" s="7" t="s">
        <v>2955</v>
      </c>
      <c r="C24" s="7" t="s">
        <v>2956</v>
      </c>
      <c r="D24" s="4">
        <v>4</v>
      </c>
      <c r="E24" s="5" t="s">
        <v>2957</v>
      </c>
    </row>
    <row r="25" spans="1:30" ht="12.75">
      <c r="A25" s="7" t="s">
        <v>2958</v>
      </c>
      <c r="B25" s="7" t="s">
        <v>2959</v>
      </c>
      <c r="C25" s="7" t="s">
        <v>2960</v>
      </c>
      <c r="D25" s="4">
        <v>4</v>
      </c>
      <c r="E25" s="5" t="s">
        <v>2961</v>
      </c>
    </row>
    <row r="26" spans="1:30" ht="18" customHeight="1">
      <c r="A26" s="3" t="s">
        <v>2962</v>
      </c>
      <c r="B26" s="3" t="s">
        <v>2963</v>
      </c>
      <c r="C26" s="3" t="s">
        <v>2964</v>
      </c>
      <c r="D26" s="4">
        <v>3</v>
      </c>
      <c r="E26" s="8" t="s">
        <v>2965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 ht="12.75">
      <c r="A27" s="7" t="s">
        <v>2966</v>
      </c>
      <c r="B27" s="7" t="s">
        <v>2967</v>
      </c>
      <c r="C27" s="7" t="s">
        <v>2968</v>
      </c>
      <c r="D27" s="4">
        <v>4</v>
      </c>
      <c r="E27" s="5" t="s">
        <v>2969</v>
      </c>
    </row>
    <row r="28" spans="1:30" ht="12.75">
      <c r="A28" s="7" t="s">
        <v>2962</v>
      </c>
      <c r="B28" s="7" t="s">
        <v>2963</v>
      </c>
      <c r="C28" s="7" t="s">
        <v>2970</v>
      </c>
      <c r="D28" s="4">
        <v>3</v>
      </c>
      <c r="E28" s="5" t="s">
        <v>2971</v>
      </c>
    </row>
    <row r="29" spans="1:30" ht="12.75">
      <c r="A29" s="7" t="s">
        <v>2972</v>
      </c>
      <c r="B29" s="7" t="s">
        <v>2973</v>
      </c>
      <c r="C29" s="7" t="s">
        <v>2974</v>
      </c>
      <c r="D29" s="4">
        <v>4</v>
      </c>
      <c r="E29" s="5" t="s">
        <v>2975</v>
      </c>
    </row>
    <row r="30" spans="1:30" ht="12.75">
      <c r="A30" s="7" t="s">
        <v>2976</v>
      </c>
      <c r="B30" s="7" t="s">
        <v>2977</v>
      </c>
      <c r="C30" s="7" t="s">
        <v>2978</v>
      </c>
      <c r="D30" s="4">
        <v>4</v>
      </c>
      <c r="E30" s="5" t="s">
        <v>2979</v>
      </c>
    </row>
    <row r="31" spans="1:30" ht="12.75">
      <c r="A31" s="7" t="s">
        <v>2980</v>
      </c>
      <c r="B31" s="7" t="s">
        <v>2981</v>
      </c>
      <c r="C31" s="7" t="s">
        <v>2982</v>
      </c>
      <c r="D31" s="4">
        <v>4</v>
      </c>
      <c r="E31" s="5" t="s">
        <v>2983</v>
      </c>
    </row>
    <row r="32" spans="1:30" ht="12.75">
      <c r="A32" s="7" t="s">
        <v>2984</v>
      </c>
      <c r="B32" s="7" t="s">
        <v>2985</v>
      </c>
      <c r="C32" s="7" t="s">
        <v>2986</v>
      </c>
      <c r="D32" s="4">
        <v>4</v>
      </c>
      <c r="E32" s="5" t="s">
        <v>2987</v>
      </c>
    </row>
    <row r="33" spans="1:30" ht="12.75">
      <c r="A33" s="7" t="s">
        <v>2988</v>
      </c>
      <c r="B33" s="7" t="s">
        <v>2989</v>
      </c>
      <c r="C33" s="7" t="s">
        <v>2990</v>
      </c>
      <c r="D33" s="4">
        <v>4</v>
      </c>
      <c r="E33" s="5" t="s">
        <v>2991</v>
      </c>
    </row>
    <row r="34" spans="1:30" ht="12.75">
      <c r="A34" s="7" t="s">
        <v>2992</v>
      </c>
      <c r="B34" s="7" t="s">
        <v>2993</v>
      </c>
      <c r="C34" s="7" t="s">
        <v>2994</v>
      </c>
      <c r="D34" s="4">
        <v>4</v>
      </c>
      <c r="E34" s="5" t="s">
        <v>2995</v>
      </c>
    </row>
    <row r="35" spans="1:30" ht="12.75">
      <c r="A35" s="7" t="s">
        <v>2996</v>
      </c>
      <c r="B35" s="7" t="s">
        <v>2997</v>
      </c>
      <c r="C35" s="7" t="s">
        <v>2998</v>
      </c>
      <c r="D35" s="4">
        <v>4</v>
      </c>
      <c r="E35" s="5" t="s">
        <v>2999</v>
      </c>
    </row>
    <row r="36" spans="1:30" ht="12.75">
      <c r="A36" s="7" t="s">
        <v>3000</v>
      </c>
      <c r="B36" s="7" t="s">
        <v>3001</v>
      </c>
      <c r="C36" s="7" t="s">
        <v>3002</v>
      </c>
      <c r="D36" s="4">
        <v>4</v>
      </c>
      <c r="E36" s="5" t="s">
        <v>3003</v>
      </c>
    </row>
    <row r="37" spans="1:30" ht="12.75">
      <c r="A37" s="7" t="s">
        <v>3004</v>
      </c>
      <c r="B37" s="7" t="s">
        <v>3005</v>
      </c>
      <c r="C37" s="7" t="s">
        <v>3006</v>
      </c>
      <c r="D37" s="4">
        <v>4</v>
      </c>
      <c r="E37" s="5" t="s">
        <v>3007</v>
      </c>
    </row>
    <row r="38" spans="1:30" ht="18" customHeight="1">
      <c r="A38" s="3" t="s">
        <v>3008</v>
      </c>
      <c r="B38" s="3" t="s">
        <v>3009</v>
      </c>
      <c r="C38" s="3" t="s">
        <v>3010</v>
      </c>
      <c r="D38" s="4">
        <v>3</v>
      </c>
      <c r="E38" s="8" t="s">
        <v>3011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 ht="12.75">
      <c r="A39" s="7" t="s">
        <v>3012</v>
      </c>
      <c r="B39" s="7" t="s">
        <v>3013</v>
      </c>
      <c r="C39" s="7" t="s">
        <v>3014</v>
      </c>
      <c r="D39" s="4">
        <v>4</v>
      </c>
      <c r="E39" s="5" t="s">
        <v>3015</v>
      </c>
    </row>
    <row r="40" spans="1:30" ht="12.75">
      <c r="A40" s="7" t="s">
        <v>3016</v>
      </c>
      <c r="B40" s="7" t="s">
        <v>3017</v>
      </c>
      <c r="C40" s="7" t="s">
        <v>3018</v>
      </c>
      <c r="D40" s="4">
        <v>4</v>
      </c>
      <c r="E40" s="5" t="s">
        <v>3019</v>
      </c>
    </row>
    <row r="41" spans="1:30" ht="12.75">
      <c r="A41" s="7" t="s">
        <v>3020</v>
      </c>
      <c r="B41" s="7" t="s">
        <v>3021</v>
      </c>
      <c r="C41" s="7" t="s">
        <v>3022</v>
      </c>
      <c r="D41" s="4">
        <v>4</v>
      </c>
      <c r="E41" s="5" t="s">
        <v>3023</v>
      </c>
    </row>
    <row r="42" spans="1:30" ht="12.75">
      <c r="A42" s="7" t="s">
        <v>3024</v>
      </c>
      <c r="B42" s="7" t="s">
        <v>3025</v>
      </c>
      <c r="C42" s="7" t="s">
        <v>3026</v>
      </c>
      <c r="D42" s="4">
        <v>4</v>
      </c>
      <c r="E42" s="5" t="s">
        <v>3027</v>
      </c>
    </row>
    <row r="43" spans="1:30" ht="12.75">
      <c r="A43" s="7" t="s">
        <v>3028</v>
      </c>
      <c r="B43" s="7" t="s">
        <v>3029</v>
      </c>
      <c r="C43" s="7" t="s">
        <v>3030</v>
      </c>
      <c r="D43" s="4">
        <v>4</v>
      </c>
      <c r="E43" s="5" t="s">
        <v>3031</v>
      </c>
    </row>
    <row r="44" spans="1:30" ht="12.75">
      <c r="A44" s="7" t="s">
        <v>3032</v>
      </c>
      <c r="B44" s="7" t="s">
        <v>3033</v>
      </c>
      <c r="C44" s="7" t="s">
        <v>3034</v>
      </c>
      <c r="D44" s="4">
        <v>4</v>
      </c>
      <c r="E44" s="5" t="s">
        <v>3035</v>
      </c>
    </row>
    <row r="45" spans="1:30" ht="12.75">
      <c r="A45" s="7" t="s">
        <v>3036</v>
      </c>
      <c r="B45" s="7" t="s">
        <v>3037</v>
      </c>
      <c r="C45" s="7" t="s">
        <v>3038</v>
      </c>
      <c r="D45" s="4">
        <v>4</v>
      </c>
      <c r="E45" s="5" t="s">
        <v>3039</v>
      </c>
    </row>
    <row r="46" spans="1:30" ht="12.75">
      <c r="A46" s="7" t="s">
        <v>3040</v>
      </c>
      <c r="B46" s="7" t="s">
        <v>3041</v>
      </c>
      <c r="C46" s="7" t="s">
        <v>3042</v>
      </c>
      <c r="D46" s="4">
        <v>4</v>
      </c>
      <c r="E46" s="5" t="s">
        <v>3043</v>
      </c>
    </row>
    <row r="47" spans="1:30" ht="12.75">
      <c r="A47" s="7" t="s">
        <v>3044</v>
      </c>
      <c r="B47" s="7" t="s">
        <v>3045</v>
      </c>
      <c r="C47" s="7" t="s">
        <v>3046</v>
      </c>
      <c r="D47" s="4">
        <v>4</v>
      </c>
      <c r="E47" s="5" t="s">
        <v>3047</v>
      </c>
    </row>
    <row r="48" spans="1:30" ht="12.75">
      <c r="A48" s="7" t="s">
        <v>3048</v>
      </c>
      <c r="B48" s="7" t="s">
        <v>3049</v>
      </c>
      <c r="C48" s="7" t="s">
        <v>3050</v>
      </c>
      <c r="D48" s="4">
        <v>4</v>
      </c>
      <c r="E48" s="5" t="s">
        <v>3051</v>
      </c>
    </row>
    <row r="49" spans="1:30" ht="12.75">
      <c r="A49" s="7" t="s">
        <v>3052</v>
      </c>
      <c r="B49" s="7" t="s">
        <v>3053</v>
      </c>
      <c r="C49" s="7" t="s">
        <v>3054</v>
      </c>
      <c r="D49" s="4">
        <v>4</v>
      </c>
      <c r="E49" s="5" t="s">
        <v>3055</v>
      </c>
    </row>
    <row r="50" spans="1:30" ht="12.75">
      <c r="A50" s="7" t="s">
        <v>3056</v>
      </c>
      <c r="B50" s="7" t="s">
        <v>3057</v>
      </c>
      <c r="C50" s="7" t="s">
        <v>3058</v>
      </c>
      <c r="D50" s="4">
        <v>4</v>
      </c>
      <c r="E50" s="5" t="s">
        <v>3059</v>
      </c>
    </row>
    <row r="51" spans="1:30" ht="12.75">
      <c r="A51" s="7" t="s">
        <v>3060</v>
      </c>
      <c r="B51" s="7" t="s">
        <v>3061</v>
      </c>
      <c r="C51" s="7" t="s">
        <v>3062</v>
      </c>
      <c r="D51" s="4">
        <v>4</v>
      </c>
      <c r="E51" s="5" t="s">
        <v>3063</v>
      </c>
    </row>
    <row r="52" spans="1:30" ht="12.75">
      <c r="A52" s="7" t="s">
        <v>3064</v>
      </c>
      <c r="B52" s="7" t="s">
        <v>3065</v>
      </c>
      <c r="C52" s="7" t="s">
        <v>3066</v>
      </c>
      <c r="D52" s="4">
        <v>4</v>
      </c>
      <c r="E52" s="5" t="s">
        <v>3067</v>
      </c>
    </row>
    <row r="53" spans="1:30" ht="12.75">
      <c r="A53" s="7" t="s">
        <v>3068</v>
      </c>
      <c r="B53" s="7" t="s">
        <v>3069</v>
      </c>
      <c r="C53" s="7" t="s">
        <v>3070</v>
      </c>
      <c r="D53" s="4">
        <v>4</v>
      </c>
      <c r="E53" s="5" t="s">
        <v>3071</v>
      </c>
    </row>
    <row r="54" spans="1:30" ht="12.75">
      <c r="A54" s="7" t="s">
        <v>3072</v>
      </c>
      <c r="B54" s="7" t="s">
        <v>3073</v>
      </c>
      <c r="C54" s="7" t="s">
        <v>3074</v>
      </c>
      <c r="D54" s="4">
        <v>4</v>
      </c>
      <c r="E54" s="5" t="s">
        <v>3075</v>
      </c>
    </row>
    <row r="55" spans="1:30" ht="12.75">
      <c r="A55" s="7" t="s">
        <v>3076</v>
      </c>
      <c r="B55" s="7" t="s">
        <v>3077</v>
      </c>
      <c r="C55" s="7" t="s">
        <v>3078</v>
      </c>
      <c r="D55" s="4">
        <v>4</v>
      </c>
      <c r="E55" s="5" t="s">
        <v>3079</v>
      </c>
    </row>
    <row r="56" spans="1:30" ht="18" customHeight="1">
      <c r="A56" s="3" t="s">
        <v>3080</v>
      </c>
      <c r="B56" s="3" t="s">
        <v>3081</v>
      </c>
      <c r="C56" s="3" t="s">
        <v>3082</v>
      </c>
      <c r="D56" s="4">
        <v>3</v>
      </c>
      <c r="E56" s="8" t="s">
        <v>3083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 ht="12.75">
      <c r="A57" s="7" t="s">
        <v>3084</v>
      </c>
      <c r="B57" s="7" t="s">
        <v>3085</v>
      </c>
      <c r="C57" s="7" t="s">
        <v>3086</v>
      </c>
      <c r="D57" s="4">
        <v>4</v>
      </c>
      <c r="E57" s="5" t="s">
        <v>3087</v>
      </c>
    </row>
    <row r="58" spans="1:30" ht="12.75">
      <c r="A58" s="7" t="s">
        <v>3088</v>
      </c>
      <c r="B58" s="7" t="s">
        <v>3089</v>
      </c>
      <c r="C58" s="7" t="s">
        <v>3090</v>
      </c>
      <c r="D58" s="4">
        <v>4</v>
      </c>
      <c r="E58" s="5" t="s">
        <v>3091</v>
      </c>
    </row>
    <row r="59" spans="1:30" ht="12.75">
      <c r="A59" s="7" t="s">
        <v>3092</v>
      </c>
      <c r="B59" s="7" t="s">
        <v>3093</v>
      </c>
      <c r="C59" s="7" t="s">
        <v>3094</v>
      </c>
      <c r="D59" s="4">
        <v>4</v>
      </c>
      <c r="E59" s="5" t="s">
        <v>3095</v>
      </c>
    </row>
    <row r="60" spans="1:30" ht="12.75">
      <c r="A60" s="7" t="s">
        <v>3096</v>
      </c>
      <c r="B60" s="7" t="s">
        <v>3097</v>
      </c>
      <c r="C60" s="7" t="s">
        <v>3098</v>
      </c>
      <c r="D60" s="4">
        <v>4</v>
      </c>
      <c r="E60" s="5" t="s">
        <v>3099</v>
      </c>
    </row>
    <row r="61" spans="1:30" ht="12.75">
      <c r="A61" s="7" t="s">
        <v>3100</v>
      </c>
      <c r="B61" s="7" t="s">
        <v>3101</v>
      </c>
      <c r="C61" s="7" t="s">
        <v>3102</v>
      </c>
      <c r="D61" s="4">
        <v>4</v>
      </c>
      <c r="E61" s="5" t="s">
        <v>3103</v>
      </c>
    </row>
    <row r="62" spans="1:30" ht="18" customHeight="1">
      <c r="A62" s="3" t="s">
        <v>3104</v>
      </c>
      <c r="B62" s="3" t="s">
        <v>3105</v>
      </c>
      <c r="C62" s="3" t="s">
        <v>3106</v>
      </c>
      <c r="D62" s="4">
        <v>3</v>
      </c>
      <c r="E62" s="8" t="s">
        <v>3107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 ht="12.75">
      <c r="A63" s="7" t="s">
        <v>3108</v>
      </c>
      <c r="B63" s="7" t="s">
        <v>3109</v>
      </c>
      <c r="C63" s="7" t="s">
        <v>3110</v>
      </c>
      <c r="D63" s="4">
        <v>4</v>
      </c>
      <c r="E63" s="5" t="s">
        <v>3111</v>
      </c>
    </row>
    <row r="64" spans="1:30" ht="12.75">
      <c r="A64" s="7" t="s">
        <v>3112</v>
      </c>
      <c r="B64" s="7" t="s">
        <v>3113</v>
      </c>
      <c r="C64" s="7" t="s">
        <v>3114</v>
      </c>
      <c r="D64" s="4">
        <v>4</v>
      </c>
      <c r="E64" s="5" t="s">
        <v>3115</v>
      </c>
    </row>
    <row r="65" spans="1:30" ht="12.75">
      <c r="A65" s="7" t="s">
        <v>3116</v>
      </c>
      <c r="B65" s="7" t="s">
        <v>3117</v>
      </c>
      <c r="C65" s="7" t="s">
        <v>3118</v>
      </c>
      <c r="D65" s="4">
        <v>4</v>
      </c>
      <c r="E65" s="5" t="s">
        <v>3119</v>
      </c>
    </row>
    <row r="66" spans="1:30" ht="12.75">
      <c r="A66" s="7" t="s">
        <v>3120</v>
      </c>
      <c r="B66" s="7" t="s">
        <v>3121</v>
      </c>
      <c r="C66" s="7" t="s">
        <v>3122</v>
      </c>
      <c r="D66" s="4">
        <v>4</v>
      </c>
      <c r="E66" s="5" t="s">
        <v>3123</v>
      </c>
    </row>
    <row r="67" spans="1:30" ht="18" customHeight="1">
      <c r="A67" s="3" t="s">
        <v>3124</v>
      </c>
      <c r="B67" s="3" t="s">
        <v>3125</v>
      </c>
      <c r="C67" s="3" t="s">
        <v>3126</v>
      </c>
      <c r="D67" s="4">
        <v>3</v>
      </c>
      <c r="E67" s="8" t="s">
        <v>3127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 ht="12.75">
      <c r="A68" s="7" t="s">
        <v>3128</v>
      </c>
      <c r="B68" s="7" t="s">
        <v>3129</v>
      </c>
      <c r="C68" s="7" t="s">
        <v>3130</v>
      </c>
      <c r="D68" s="4">
        <v>4</v>
      </c>
      <c r="E68" s="5" t="s">
        <v>3131</v>
      </c>
    </row>
    <row r="69" spans="1:30" ht="12.75">
      <c r="A69" s="7" t="s">
        <v>3132</v>
      </c>
      <c r="B69" s="7" t="s">
        <v>3133</v>
      </c>
      <c r="C69" s="7" t="s">
        <v>3134</v>
      </c>
      <c r="D69" s="4">
        <v>5</v>
      </c>
      <c r="E69" s="5" t="s">
        <v>3135</v>
      </c>
    </row>
    <row r="70" spans="1:30" ht="12.75">
      <c r="A70" s="7" t="s">
        <v>3136</v>
      </c>
      <c r="B70" s="7" t="s">
        <v>3137</v>
      </c>
      <c r="C70" s="7" t="s">
        <v>3138</v>
      </c>
      <c r="D70" s="4">
        <v>5</v>
      </c>
      <c r="E70" s="5" t="s">
        <v>3139</v>
      </c>
    </row>
    <row r="71" spans="1:30" ht="12.75">
      <c r="A71" s="7" t="s">
        <v>3140</v>
      </c>
      <c r="B71" s="7" t="s">
        <v>3141</v>
      </c>
      <c r="C71" s="7" t="s">
        <v>3142</v>
      </c>
      <c r="D71" s="4">
        <v>5</v>
      </c>
      <c r="E71" s="5" t="s">
        <v>3143</v>
      </c>
    </row>
    <row r="72" spans="1:30" ht="12.75">
      <c r="A72" s="7" t="s">
        <v>3144</v>
      </c>
      <c r="B72" s="7" t="s">
        <v>3145</v>
      </c>
      <c r="C72" s="7" t="s">
        <v>3146</v>
      </c>
      <c r="D72" s="4">
        <v>4</v>
      </c>
      <c r="E72" s="5" t="s">
        <v>3147</v>
      </c>
    </row>
    <row r="73" spans="1:30" ht="12.75">
      <c r="A73" s="7" t="s">
        <v>3148</v>
      </c>
      <c r="B73" s="7" t="s">
        <v>3149</v>
      </c>
      <c r="C73" s="7" t="s">
        <v>3150</v>
      </c>
      <c r="D73" s="4">
        <v>4</v>
      </c>
      <c r="E73" s="5" t="s">
        <v>3151</v>
      </c>
    </row>
    <row r="74" spans="1:30" ht="18" customHeight="1">
      <c r="A74" s="3" t="s">
        <v>3152</v>
      </c>
      <c r="B74" s="3" t="s">
        <v>3153</v>
      </c>
      <c r="C74" s="3" t="s">
        <v>3154</v>
      </c>
      <c r="D74" s="4">
        <v>3</v>
      </c>
      <c r="E74" s="8" t="s">
        <v>3155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 ht="12.75">
      <c r="A75" s="7" t="s">
        <v>3156</v>
      </c>
      <c r="B75" s="7" t="s">
        <v>3157</v>
      </c>
      <c r="C75" s="7" t="s">
        <v>3158</v>
      </c>
      <c r="D75" s="4">
        <v>4</v>
      </c>
      <c r="E75" s="5" t="s">
        <v>3159</v>
      </c>
    </row>
    <row r="76" spans="1:30" ht="12.75">
      <c r="A76" s="7" t="s">
        <v>3160</v>
      </c>
      <c r="B76" s="7" t="s">
        <v>3161</v>
      </c>
      <c r="C76" s="7" t="s">
        <v>3162</v>
      </c>
      <c r="D76" s="4">
        <v>4</v>
      </c>
      <c r="E76" s="5" t="s">
        <v>3163</v>
      </c>
    </row>
    <row r="77" spans="1:30" ht="12.75">
      <c r="A77" s="7" t="s">
        <v>3164</v>
      </c>
      <c r="B77" s="7" t="s">
        <v>3165</v>
      </c>
      <c r="C77" s="7" t="s">
        <v>3166</v>
      </c>
      <c r="D77" s="4">
        <v>4</v>
      </c>
      <c r="E77" s="5" t="s">
        <v>3167</v>
      </c>
    </row>
    <row r="78" spans="1:30" ht="12.75">
      <c r="A78" s="7" t="s">
        <v>3168</v>
      </c>
      <c r="B78" s="7" t="s">
        <v>3169</v>
      </c>
      <c r="C78" s="7" t="s">
        <v>3170</v>
      </c>
      <c r="D78" s="4">
        <v>4</v>
      </c>
      <c r="E78" s="5" t="s">
        <v>3171</v>
      </c>
    </row>
    <row r="79" spans="1:30" ht="12.75">
      <c r="A79" s="7" t="s">
        <v>3172</v>
      </c>
      <c r="B79" s="7" t="s">
        <v>3173</v>
      </c>
      <c r="C79" s="7" t="s">
        <v>3174</v>
      </c>
      <c r="D79" s="4">
        <v>4</v>
      </c>
      <c r="E79" s="5" t="s">
        <v>3175</v>
      </c>
    </row>
    <row r="80" spans="1:30" ht="12.75">
      <c r="A80" s="7" t="s">
        <v>3176</v>
      </c>
      <c r="B80" s="7" t="s">
        <v>3177</v>
      </c>
      <c r="C80" s="7" t="s">
        <v>3178</v>
      </c>
      <c r="D80" s="4">
        <v>4</v>
      </c>
      <c r="E80" s="5" t="s">
        <v>3179</v>
      </c>
    </row>
    <row r="81" spans="1:30" ht="12.75">
      <c r="A81" s="7" t="s">
        <v>3180</v>
      </c>
      <c r="B81" s="7" t="s">
        <v>3181</v>
      </c>
      <c r="C81" s="7" t="s">
        <v>3182</v>
      </c>
      <c r="D81" s="4">
        <v>4</v>
      </c>
      <c r="E81" s="5" t="s">
        <v>3183</v>
      </c>
    </row>
    <row r="82" spans="1:30" ht="12.75">
      <c r="A82" s="7" t="s">
        <v>3184</v>
      </c>
      <c r="B82" s="7" t="s">
        <v>3185</v>
      </c>
      <c r="C82" s="7" t="s">
        <v>3186</v>
      </c>
      <c r="D82" s="4">
        <v>5</v>
      </c>
      <c r="E82" s="5" t="s">
        <v>3187</v>
      </c>
    </row>
    <row r="83" spans="1:30" ht="12.75">
      <c r="A83" s="7" t="s">
        <v>3188</v>
      </c>
      <c r="B83" s="7" t="s">
        <v>3189</v>
      </c>
      <c r="C83" s="7" t="s">
        <v>3190</v>
      </c>
      <c r="D83" s="4">
        <v>5</v>
      </c>
      <c r="E83" s="5" t="s">
        <v>3191</v>
      </c>
    </row>
    <row r="84" spans="1:30" ht="12.75">
      <c r="A84" s="7" t="s">
        <v>3192</v>
      </c>
      <c r="B84" s="7" t="s">
        <v>3193</v>
      </c>
      <c r="C84" s="7" t="s">
        <v>3194</v>
      </c>
      <c r="D84" s="4">
        <v>4</v>
      </c>
      <c r="E84" s="5" t="s">
        <v>3195</v>
      </c>
    </row>
    <row r="85" spans="1:30" ht="12.75">
      <c r="A85" s="7" t="s">
        <v>3196</v>
      </c>
      <c r="B85" s="7" t="s">
        <v>3197</v>
      </c>
      <c r="C85" s="7" t="s">
        <v>3198</v>
      </c>
      <c r="D85" s="4">
        <v>4</v>
      </c>
      <c r="E85" s="5" t="s">
        <v>3199</v>
      </c>
    </row>
    <row r="86" spans="1:30" ht="18" customHeight="1">
      <c r="A86" s="3" t="s">
        <v>3200</v>
      </c>
      <c r="B86" s="3" t="s">
        <v>3201</v>
      </c>
      <c r="C86" s="3" t="s">
        <v>3202</v>
      </c>
      <c r="D86" s="4">
        <v>2</v>
      </c>
      <c r="E86" s="8" t="s">
        <v>3203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 ht="18" customHeight="1">
      <c r="A87" s="3" t="s">
        <v>3204</v>
      </c>
      <c r="B87" s="3" t="s">
        <v>3205</v>
      </c>
      <c r="C87" s="3" t="s">
        <v>3206</v>
      </c>
      <c r="D87" s="4">
        <v>3</v>
      </c>
      <c r="E87" s="8" t="s">
        <v>3207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 ht="12.75">
      <c r="A88" s="7" t="s">
        <v>3208</v>
      </c>
      <c r="B88" s="7" t="s">
        <v>3209</v>
      </c>
      <c r="C88" s="7" t="s">
        <v>3210</v>
      </c>
      <c r="D88" s="4">
        <v>4</v>
      </c>
      <c r="E88" s="5" t="s">
        <v>3211</v>
      </c>
    </row>
    <row r="89" spans="1:30" ht="12.75">
      <c r="A89" s="7" t="s">
        <v>3212</v>
      </c>
      <c r="B89" s="7" t="s">
        <v>3213</v>
      </c>
      <c r="C89" s="7" t="s">
        <v>3214</v>
      </c>
      <c r="D89" s="4">
        <v>4</v>
      </c>
      <c r="E89" s="5" t="s">
        <v>3215</v>
      </c>
    </row>
    <row r="90" spans="1:30" ht="12.75">
      <c r="A90" s="7" t="s">
        <v>3216</v>
      </c>
      <c r="B90" s="7" t="s">
        <v>3217</v>
      </c>
      <c r="C90" s="7" t="s">
        <v>3218</v>
      </c>
      <c r="D90" s="4">
        <v>4</v>
      </c>
      <c r="E90" s="5" t="s">
        <v>3219</v>
      </c>
    </row>
    <row r="91" spans="1:30" ht="12.75">
      <c r="A91" s="7" t="s">
        <v>3220</v>
      </c>
      <c r="B91" s="7" t="s">
        <v>3221</v>
      </c>
      <c r="C91" s="7" t="s">
        <v>3222</v>
      </c>
      <c r="D91" s="4">
        <v>4</v>
      </c>
      <c r="E91" s="5" t="s">
        <v>3223</v>
      </c>
    </row>
    <row r="92" spans="1:30" ht="12.75">
      <c r="A92" s="7" t="s">
        <v>3224</v>
      </c>
      <c r="B92" s="7" t="s">
        <v>3225</v>
      </c>
      <c r="C92" s="7" t="s">
        <v>3226</v>
      </c>
      <c r="D92" s="4">
        <v>4</v>
      </c>
      <c r="E92" s="5" t="s">
        <v>3227</v>
      </c>
    </row>
    <row r="93" spans="1:30" ht="12.75">
      <c r="A93" s="7" t="s">
        <v>3228</v>
      </c>
      <c r="B93" s="7" t="s">
        <v>3229</v>
      </c>
      <c r="C93" s="7" t="s">
        <v>3230</v>
      </c>
      <c r="D93" s="4">
        <v>4</v>
      </c>
      <c r="E93" s="5" t="s">
        <v>3231</v>
      </c>
    </row>
    <row r="94" spans="1:30" ht="18" customHeight="1">
      <c r="A94" s="3" t="s">
        <v>3232</v>
      </c>
      <c r="B94" s="3" t="s">
        <v>3233</v>
      </c>
      <c r="C94" s="3" t="s">
        <v>3234</v>
      </c>
      <c r="D94" s="4">
        <v>3</v>
      </c>
      <c r="E94" s="8" t="s">
        <v>3235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 ht="12.75">
      <c r="A95" s="7" t="s">
        <v>3236</v>
      </c>
      <c r="B95" s="7" t="s">
        <v>3237</v>
      </c>
      <c r="C95" s="7" t="s">
        <v>3238</v>
      </c>
      <c r="D95" s="4">
        <v>4</v>
      </c>
      <c r="E95" s="5" t="s">
        <v>3239</v>
      </c>
    </row>
    <row r="96" spans="1:30" ht="12.75">
      <c r="A96" s="7" t="s">
        <v>3240</v>
      </c>
      <c r="B96" s="7" t="s">
        <v>3241</v>
      </c>
      <c r="C96" s="7" t="s">
        <v>3242</v>
      </c>
      <c r="D96" s="4">
        <v>4</v>
      </c>
      <c r="E96" s="5" t="s">
        <v>3243</v>
      </c>
    </row>
    <row r="97" spans="1:30" ht="12.75">
      <c r="A97" s="7" t="s">
        <v>3244</v>
      </c>
      <c r="B97" s="7" t="s">
        <v>3245</v>
      </c>
      <c r="C97" s="7" t="s">
        <v>3246</v>
      </c>
      <c r="D97" s="4">
        <v>4</v>
      </c>
      <c r="E97" s="5" t="s">
        <v>3247</v>
      </c>
    </row>
    <row r="98" spans="1:30" ht="12.75">
      <c r="A98" s="7" t="s">
        <v>3248</v>
      </c>
      <c r="B98" s="7" t="s">
        <v>3249</v>
      </c>
      <c r="C98" s="7" t="s">
        <v>3250</v>
      </c>
      <c r="D98" s="4">
        <v>4</v>
      </c>
      <c r="E98" s="5" t="s">
        <v>3251</v>
      </c>
    </row>
    <row r="99" spans="1:30" ht="12.75">
      <c r="A99" s="7" t="s">
        <v>3252</v>
      </c>
      <c r="B99" s="7" t="s">
        <v>3253</v>
      </c>
      <c r="C99" s="7" t="s">
        <v>3254</v>
      </c>
      <c r="D99" s="4">
        <v>4</v>
      </c>
      <c r="E99" s="5" t="s">
        <v>3255</v>
      </c>
    </row>
    <row r="100" spans="1:30" ht="12.75">
      <c r="A100" s="7" t="s">
        <v>3256</v>
      </c>
      <c r="B100" s="7" t="s">
        <v>3257</v>
      </c>
      <c r="C100" s="7" t="s">
        <v>3258</v>
      </c>
      <c r="D100" s="4">
        <v>4</v>
      </c>
      <c r="E100" s="5" t="s">
        <v>3259</v>
      </c>
    </row>
    <row r="101" spans="1:30" ht="12.75">
      <c r="A101" s="7" t="s">
        <v>3260</v>
      </c>
      <c r="B101" s="7" t="s">
        <v>3261</v>
      </c>
      <c r="C101" s="7" t="s">
        <v>3262</v>
      </c>
      <c r="D101" s="4">
        <v>4</v>
      </c>
      <c r="E101" s="5" t="s">
        <v>3263</v>
      </c>
    </row>
    <row r="102" spans="1:30" ht="12.75">
      <c r="A102" s="7" t="s">
        <v>3264</v>
      </c>
      <c r="B102" s="7" t="s">
        <v>3265</v>
      </c>
      <c r="C102" s="7" t="s">
        <v>3266</v>
      </c>
      <c r="D102" s="4">
        <v>4</v>
      </c>
      <c r="E102" s="5" t="s">
        <v>3267</v>
      </c>
    </row>
    <row r="103" spans="1:30" ht="12.75">
      <c r="A103" s="7" t="s">
        <v>3268</v>
      </c>
      <c r="B103" s="7" t="s">
        <v>3269</v>
      </c>
      <c r="C103" s="7" t="s">
        <v>3270</v>
      </c>
      <c r="D103" s="4">
        <v>4</v>
      </c>
      <c r="E103" s="5" t="s">
        <v>3271</v>
      </c>
    </row>
    <row r="104" spans="1:30" ht="12.75">
      <c r="A104" s="7" t="s">
        <v>3272</v>
      </c>
      <c r="B104" s="7" t="s">
        <v>3273</v>
      </c>
      <c r="C104" s="7" t="s">
        <v>3274</v>
      </c>
      <c r="D104" s="4">
        <v>4</v>
      </c>
      <c r="E104" s="5" t="s">
        <v>3275</v>
      </c>
    </row>
    <row r="105" spans="1:30" ht="18" customHeight="1">
      <c r="A105" s="3" t="s">
        <v>3276</v>
      </c>
      <c r="B105" s="3" t="s">
        <v>3277</v>
      </c>
      <c r="C105" s="3" t="s">
        <v>3278</v>
      </c>
      <c r="D105" s="4">
        <v>3</v>
      </c>
      <c r="E105" s="8" t="s">
        <v>3279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 ht="12.75">
      <c r="A106" s="7" t="s">
        <v>3280</v>
      </c>
      <c r="B106" s="7" t="s">
        <v>3281</v>
      </c>
      <c r="C106" s="7" t="s">
        <v>3282</v>
      </c>
      <c r="D106" s="4">
        <v>4</v>
      </c>
      <c r="E106" s="5" t="s">
        <v>3283</v>
      </c>
    </row>
    <row r="107" spans="1:30" ht="12.75">
      <c r="A107" s="7" t="s">
        <v>3284</v>
      </c>
      <c r="B107" s="7" t="s">
        <v>3285</v>
      </c>
      <c r="C107" s="7" t="s">
        <v>3286</v>
      </c>
      <c r="D107" s="4">
        <v>4</v>
      </c>
      <c r="E107" s="5" t="s">
        <v>3287</v>
      </c>
    </row>
    <row r="108" spans="1:30" ht="12.75">
      <c r="A108" s="7" t="s">
        <v>3288</v>
      </c>
      <c r="B108" s="7" t="s">
        <v>3289</v>
      </c>
      <c r="C108" s="7" t="s">
        <v>3290</v>
      </c>
      <c r="D108" s="4">
        <v>4</v>
      </c>
      <c r="E108" s="5" t="s">
        <v>3291</v>
      </c>
    </row>
    <row r="109" spans="1:30" ht="12.75">
      <c r="A109" s="7" t="s">
        <v>3292</v>
      </c>
      <c r="B109" s="7" t="s">
        <v>3293</v>
      </c>
      <c r="C109" s="7" t="s">
        <v>3294</v>
      </c>
      <c r="D109" s="4">
        <v>4</v>
      </c>
      <c r="E109" s="5" t="s">
        <v>3295</v>
      </c>
    </row>
    <row r="110" spans="1:30" ht="12.75">
      <c r="A110" s="7" t="s">
        <v>3296</v>
      </c>
      <c r="B110" s="7" t="s">
        <v>3297</v>
      </c>
      <c r="C110" s="7" t="s">
        <v>3298</v>
      </c>
      <c r="D110" s="4">
        <v>4</v>
      </c>
      <c r="E110" s="5" t="s">
        <v>3299</v>
      </c>
    </row>
    <row r="111" spans="1:30" ht="12.75">
      <c r="A111" s="7" t="s">
        <v>3300</v>
      </c>
      <c r="B111" s="7" t="s">
        <v>3301</v>
      </c>
      <c r="C111" s="7" t="s">
        <v>3302</v>
      </c>
      <c r="D111" s="4">
        <v>4</v>
      </c>
      <c r="E111" s="5" t="s">
        <v>3303</v>
      </c>
    </row>
    <row r="112" spans="1:30" ht="18" customHeight="1">
      <c r="A112" s="3" t="s">
        <v>3304</v>
      </c>
      <c r="B112" s="3" t="s">
        <v>3305</v>
      </c>
      <c r="C112" s="3" t="s">
        <v>3306</v>
      </c>
      <c r="D112" s="4">
        <v>2</v>
      </c>
      <c r="E112" s="8" t="s">
        <v>3307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</row>
    <row r="113" spans="1:30" ht="18" customHeight="1">
      <c r="A113" s="3" t="s">
        <v>3308</v>
      </c>
      <c r="B113" s="3" t="s">
        <v>3309</v>
      </c>
      <c r="C113" s="3" t="s">
        <v>3310</v>
      </c>
      <c r="D113" s="4">
        <v>3</v>
      </c>
      <c r="E113" s="8" t="s">
        <v>3311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</row>
    <row r="114" spans="1:30" ht="12.75">
      <c r="A114" s="7" t="s">
        <v>3312</v>
      </c>
      <c r="B114" s="7" t="s">
        <v>3313</v>
      </c>
      <c r="C114" s="7" t="s">
        <v>3314</v>
      </c>
      <c r="D114" s="4">
        <v>4</v>
      </c>
      <c r="E114" s="5" t="s">
        <v>3315</v>
      </c>
    </row>
    <row r="115" spans="1:30" ht="12.75">
      <c r="A115" s="7" t="s">
        <v>3316</v>
      </c>
      <c r="B115" s="7" t="s">
        <v>3317</v>
      </c>
      <c r="C115" s="7" t="s">
        <v>3318</v>
      </c>
      <c r="D115" s="4">
        <v>4</v>
      </c>
      <c r="E115" s="5" t="s">
        <v>3319</v>
      </c>
    </row>
    <row r="116" spans="1:30" ht="12.75">
      <c r="A116" s="7" t="s">
        <v>3320</v>
      </c>
      <c r="B116" s="7" t="s">
        <v>3321</v>
      </c>
      <c r="C116" s="7" t="s">
        <v>3322</v>
      </c>
      <c r="D116" s="4">
        <v>4</v>
      </c>
      <c r="E116" s="5" t="s">
        <v>3323</v>
      </c>
    </row>
    <row r="117" spans="1:30" ht="12.75">
      <c r="A117" s="7" t="s">
        <v>3324</v>
      </c>
      <c r="B117" s="7" t="s">
        <v>3325</v>
      </c>
      <c r="C117" s="7" t="s">
        <v>3326</v>
      </c>
      <c r="D117" s="4">
        <v>4</v>
      </c>
      <c r="E117" s="5" t="s">
        <v>3327</v>
      </c>
    </row>
    <row r="118" spans="1:30" ht="12.75">
      <c r="A118" s="7" t="s">
        <v>3328</v>
      </c>
      <c r="B118" s="7" t="s">
        <v>3329</v>
      </c>
      <c r="C118" s="7" t="s">
        <v>3330</v>
      </c>
      <c r="D118" s="4">
        <v>4</v>
      </c>
      <c r="E118" s="5" t="s">
        <v>3331</v>
      </c>
    </row>
    <row r="119" spans="1:30" ht="12.75">
      <c r="A119" s="7" t="s">
        <v>3332</v>
      </c>
      <c r="B119" s="7" t="s">
        <v>3333</v>
      </c>
      <c r="C119" s="7" t="s">
        <v>3334</v>
      </c>
      <c r="D119" s="4">
        <v>4</v>
      </c>
      <c r="E119" s="5" t="s">
        <v>3335</v>
      </c>
    </row>
    <row r="120" spans="1:30" ht="12.75">
      <c r="A120" s="7" t="s">
        <v>3336</v>
      </c>
      <c r="B120" s="7" t="s">
        <v>3337</v>
      </c>
      <c r="C120" s="7" t="s">
        <v>3338</v>
      </c>
      <c r="D120" s="4">
        <v>4</v>
      </c>
      <c r="E120" s="5" t="s">
        <v>3339</v>
      </c>
    </row>
    <row r="121" spans="1:30" ht="12.75">
      <c r="A121" s="7" t="s">
        <v>3340</v>
      </c>
      <c r="B121" s="7" t="s">
        <v>3341</v>
      </c>
      <c r="C121" s="7" t="s">
        <v>3342</v>
      </c>
      <c r="D121" s="4">
        <v>4</v>
      </c>
      <c r="E121" s="5" t="s">
        <v>3343</v>
      </c>
    </row>
    <row r="122" spans="1:30" ht="12.75">
      <c r="A122" s="7" t="s">
        <v>3344</v>
      </c>
      <c r="B122" s="7" t="s">
        <v>3345</v>
      </c>
      <c r="C122" s="7" t="s">
        <v>3346</v>
      </c>
      <c r="D122" s="4">
        <v>4</v>
      </c>
      <c r="E122" s="5" t="s">
        <v>3347</v>
      </c>
    </row>
    <row r="123" spans="1:30" ht="12.75">
      <c r="A123" s="7" t="s">
        <v>3348</v>
      </c>
      <c r="B123" s="7" t="s">
        <v>3349</v>
      </c>
      <c r="C123" s="7" t="s">
        <v>3350</v>
      </c>
      <c r="D123" s="4">
        <v>4</v>
      </c>
      <c r="E123" s="5" t="s">
        <v>3351</v>
      </c>
    </row>
    <row r="124" spans="1:30" ht="12.75">
      <c r="A124" s="7" t="s">
        <v>3352</v>
      </c>
      <c r="B124" s="7" t="s">
        <v>3353</v>
      </c>
      <c r="C124" s="7" t="s">
        <v>3354</v>
      </c>
      <c r="D124" s="4">
        <v>4</v>
      </c>
      <c r="E124" s="5" t="s">
        <v>3355</v>
      </c>
    </row>
    <row r="125" spans="1:30" ht="12.75">
      <c r="A125" s="7" t="s">
        <v>3356</v>
      </c>
      <c r="B125" s="7" t="s">
        <v>3357</v>
      </c>
      <c r="C125" s="7" t="s">
        <v>3358</v>
      </c>
      <c r="D125" s="4">
        <v>4</v>
      </c>
      <c r="E125" s="5" t="s">
        <v>3359</v>
      </c>
    </row>
    <row r="126" spans="1:30" ht="18" customHeight="1">
      <c r="A126" s="3" t="s">
        <v>3360</v>
      </c>
      <c r="B126" s="3" t="s">
        <v>3361</v>
      </c>
      <c r="C126" s="3" t="s">
        <v>3362</v>
      </c>
      <c r="D126" s="4">
        <v>3</v>
      </c>
      <c r="E126" s="8" t="s">
        <v>3363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</row>
    <row r="127" spans="1:30" ht="12.75">
      <c r="A127" s="7" t="s">
        <v>3364</v>
      </c>
      <c r="B127" s="7" t="s">
        <v>3365</v>
      </c>
      <c r="C127" s="7" t="s">
        <v>3366</v>
      </c>
      <c r="D127" s="4">
        <v>4</v>
      </c>
      <c r="E127" s="5" t="s">
        <v>3367</v>
      </c>
    </row>
    <row r="128" spans="1:30" ht="12.75">
      <c r="A128" s="7" t="s">
        <v>3368</v>
      </c>
      <c r="B128" s="7" t="s">
        <v>3369</v>
      </c>
      <c r="C128" s="7" t="s">
        <v>3370</v>
      </c>
      <c r="D128" s="4">
        <v>4</v>
      </c>
      <c r="E128" s="5" t="s">
        <v>3371</v>
      </c>
    </row>
    <row r="129" spans="1:30" ht="12.75">
      <c r="A129" s="7" t="s">
        <v>3372</v>
      </c>
      <c r="B129" s="7" t="s">
        <v>3373</v>
      </c>
      <c r="C129" s="7" t="s">
        <v>3374</v>
      </c>
      <c r="D129" s="4">
        <v>4</v>
      </c>
      <c r="E129" s="5" t="s">
        <v>3375</v>
      </c>
    </row>
    <row r="130" spans="1:30" ht="12.75">
      <c r="A130" s="7" t="s">
        <v>3376</v>
      </c>
      <c r="B130" s="7" t="s">
        <v>3377</v>
      </c>
      <c r="C130" s="7" t="s">
        <v>3378</v>
      </c>
      <c r="D130" s="4">
        <v>4</v>
      </c>
      <c r="E130" s="5" t="s">
        <v>3379</v>
      </c>
    </row>
    <row r="131" spans="1:30" ht="12.75">
      <c r="A131" s="7" t="s">
        <v>3380</v>
      </c>
      <c r="B131" s="7" t="s">
        <v>3381</v>
      </c>
      <c r="C131" s="7" t="s">
        <v>3382</v>
      </c>
      <c r="D131" s="4">
        <v>4</v>
      </c>
      <c r="E131" s="5" t="s">
        <v>3383</v>
      </c>
    </row>
    <row r="132" spans="1:30" ht="12.75">
      <c r="A132" s="7" t="s">
        <v>3384</v>
      </c>
      <c r="B132" s="7" t="s">
        <v>3385</v>
      </c>
      <c r="C132" s="7" t="s">
        <v>3386</v>
      </c>
      <c r="D132" s="4">
        <v>4</v>
      </c>
      <c r="E132" s="5" t="s">
        <v>3387</v>
      </c>
    </row>
    <row r="133" spans="1:30" ht="12.75">
      <c r="A133" s="7" t="s">
        <v>3388</v>
      </c>
      <c r="B133" s="7" t="s">
        <v>3389</v>
      </c>
      <c r="C133" s="7" t="s">
        <v>3390</v>
      </c>
      <c r="D133" s="4">
        <v>4</v>
      </c>
      <c r="E133" s="5" t="s">
        <v>3391</v>
      </c>
    </row>
    <row r="134" spans="1:30" ht="12.75">
      <c r="A134" s="7" t="s">
        <v>3392</v>
      </c>
      <c r="B134" s="7" t="s">
        <v>3393</v>
      </c>
      <c r="C134" s="7" t="s">
        <v>3394</v>
      </c>
      <c r="D134" s="4">
        <v>4</v>
      </c>
      <c r="E134" s="5" t="s">
        <v>3395</v>
      </c>
    </row>
    <row r="135" spans="1:30" ht="12.75">
      <c r="A135" s="7" t="s">
        <v>3396</v>
      </c>
      <c r="B135" s="7" t="s">
        <v>3397</v>
      </c>
      <c r="C135" s="7" t="s">
        <v>3398</v>
      </c>
      <c r="D135" s="4">
        <v>4</v>
      </c>
      <c r="E135" s="5" t="s">
        <v>3399</v>
      </c>
    </row>
    <row r="136" spans="1:30" ht="12.75">
      <c r="A136" s="7" t="s">
        <v>3400</v>
      </c>
      <c r="B136" s="7" t="s">
        <v>3401</v>
      </c>
      <c r="C136" s="7" t="s">
        <v>3402</v>
      </c>
      <c r="D136" s="4">
        <v>4</v>
      </c>
      <c r="E136" s="5" t="s">
        <v>3403</v>
      </c>
    </row>
    <row r="137" spans="1:30" ht="12.75">
      <c r="A137" s="7" t="s">
        <v>3404</v>
      </c>
      <c r="B137" s="7" t="s">
        <v>3405</v>
      </c>
      <c r="C137" s="7" t="s">
        <v>3406</v>
      </c>
      <c r="D137" s="4">
        <v>4</v>
      </c>
      <c r="E137" s="5" t="s">
        <v>3407</v>
      </c>
    </row>
    <row r="138" spans="1:30" ht="12.75">
      <c r="A138" s="7" t="s">
        <v>3408</v>
      </c>
      <c r="B138" s="7" t="s">
        <v>3409</v>
      </c>
      <c r="C138" s="7" t="s">
        <v>3410</v>
      </c>
      <c r="D138" s="4">
        <v>4</v>
      </c>
      <c r="E138" s="5" t="s">
        <v>3411</v>
      </c>
    </row>
    <row r="139" spans="1:30" ht="12.75">
      <c r="A139" s="7" t="s">
        <v>3412</v>
      </c>
      <c r="B139" s="7" t="s">
        <v>3413</v>
      </c>
      <c r="C139" s="7" t="s">
        <v>3414</v>
      </c>
      <c r="D139" s="4">
        <v>4</v>
      </c>
      <c r="E139" s="5" t="s">
        <v>3415</v>
      </c>
    </row>
    <row r="140" spans="1:30" ht="12.75">
      <c r="A140" s="7" t="s">
        <v>3416</v>
      </c>
      <c r="B140" s="7" t="s">
        <v>3417</v>
      </c>
      <c r="C140" s="7" t="s">
        <v>3418</v>
      </c>
      <c r="D140" s="4">
        <v>4</v>
      </c>
      <c r="E140" s="5" t="s">
        <v>3419</v>
      </c>
    </row>
    <row r="141" spans="1:30" ht="18" customHeight="1">
      <c r="A141" s="3" t="s">
        <v>3420</v>
      </c>
      <c r="B141" s="3" t="s">
        <v>3421</v>
      </c>
      <c r="C141" s="3" t="s">
        <v>3422</v>
      </c>
      <c r="D141" s="4">
        <v>3</v>
      </c>
      <c r="E141" s="8" t="s">
        <v>3423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 spans="1:30" ht="12.75">
      <c r="A142" s="7" t="s">
        <v>3424</v>
      </c>
      <c r="B142" s="7" t="s">
        <v>3425</v>
      </c>
      <c r="C142" s="7" t="s">
        <v>3426</v>
      </c>
      <c r="D142" s="4">
        <v>4</v>
      </c>
      <c r="E142" s="5" t="s">
        <v>3427</v>
      </c>
    </row>
    <row r="143" spans="1:30" ht="12.75">
      <c r="A143" s="7" t="s">
        <v>3428</v>
      </c>
      <c r="B143" s="7" t="s">
        <v>3429</v>
      </c>
      <c r="C143" s="7" t="s">
        <v>3430</v>
      </c>
      <c r="D143" s="4">
        <v>4</v>
      </c>
      <c r="E143" s="5" t="s">
        <v>3431</v>
      </c>
    </row>
    <row r="144" spans="1:30" ht="12.75">
      <c r="A144" s="7" t="s">
        <v>3432</v>
      </c>
      <c r="B144" s="7" t="s">
        <v>3433</v>
      </c>
      <c r="C144" s="7" t="s">
        <v>3434</v>
      </c>
      <c r="D144" s="4">
        <v>4</v>
      </c>
      <c r="E144" s="5" t="s">
        <v>3435</v>
      </c>
    </row>
    <row r="145" spans="1:30" ht="12.75">
      <c r="A145" s="7" t="s">
        <v>3436</v>
      </c>
      <c r="B145" s="7" t="s">
        <v>3437</v>
      </c>
      <c r="C145" s="7" t="s">
        <v>3438</v>
      </c>
      <c r="D145" s="4">
        <v>4</v>
      </c>
      <c r="E145" s="5" t="s">
        <v>3439</v>
      </c>
    </row>
    <row r="146" spans="1:30" ht="12.75">
      <c r="A146" s="7" t="s">
        <v>3440</v>
      </c>
      <c r="B146" s="7" t="s">
        <v>3441</v>
      </c>
      <c r="C146" s="7" t="s">
        <v>3442</v>
      </c>
      <c r="D146" s="4">
        <v>4</v>
      </c>
      <c r="E146" s="5" t="s">
        <v>3443</v>
      </c>
    </row>
    <row r="147" spans="1:30" ht="12.75">
      <c r="A147" s="7" t="s">
        <v>3444</v>
      </c>
      <c r="B147" s="7" t="s">
        <v>3445</v>
      </c>
      <c r="C147" s="7" t="s">
        <v>3446</v>
      </c>
      <c r="D147" s="4">
        <v>4</v>
      </c>
      <c r="E147" s="5" t="s">
        <v>3447</v>
      </c>
    </row>
    <row r="148" spans="1:30" ht="18" customHeight="1">
      <c r="A148" s="3" t="s">
        <v>3448</v>
      </c>
      <c r="B148" s="3" t="s">
        <v>3449</v>
      </c>
      <c r="C148" s="3" t="s">
        <v>3450</v>
      </c>
      <c r="D148" s="4">
        <v>3</v>
      </c>
      <c r="E148" s="8" t="s">
        <v>3451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 spans="1:30" ht="12.75">
      <c r="A149" s="7" t="s">
        <v>3452</v>
      </c>
      <c r="B149" s="7" t="s">
        <v>3453</v>
      </c>
      <c r="C149" s="7" t="s">
        <v>3454</v>
      </c>
      <c r="D149" s="4">
        <v>4</v>
      </c>
      <c r="E149" s="5" t="s">
        <v>3455</v>
      </c>
    </row>
    <row r="150" spans="1:30" ht="12.75">
      <c r="A150" s="7" t="s">
        <v>3456</v>
      </c>
      <c r="B150" s="7" t="s">
        <v>3457</v>
      </c>
      <c r="C150" s="7" t="s">
        <v>3458</v>
      </c>
      <c r="D150" s="4">
        <v>4</v>
      </c>
      <c r="E150" s="5" t="s">
        <v>3459</v>
      </c>
    </row>
    <row r="151" spans="1:30" ht="12.75">
      <c r="A151" s="7" t="s">
        <v>3460</v>
      </c>
      <c r="B151" s="7" t="s">
        <v>3461</v>
      </c>
      <c r="C151" s="7" t="s">
        <v>3462</v>
      </c>
      <c r="D151" s="4">
        <v>4</v>
      </c>
      <c r="E151" s="5" t="s">
        <v>3463</v>
      </c>
    </row>
    <row r="152" spans="1:30" ht="12.75">
      <c r="A152" s="7" t="s">
        <v>3464</v>
      </c>
      <c r="B152" s="7" t="s">
        <v>3465</v>
      </c>
      <c r="C152" s="7" t="s">
        <v>3466</v>
      </c>
      <c r="D152" s="4">
        <v>4</v>
      </c>
      <c r="E152" s="5" t="s">
        <v>3467</v>
      </c>
    </row>
    <row r="153" spans="1:30" ht="12.75">
      <c r="A153" s="7" t="s">
        <v>3468</v>
      </c>
      <c r="B153" s="7" t="s">
        <v>3469</v>
      </c>
      <c r="C153" s="7" t="s">
        <v>3470</v>
      </c>
      <c r="D153" s="4">
        <v>4</v>
      </c>
      <c r="E153" s="5" t="s">
        <v>3471</v>
      </c>
    </row>
    <row r="154" spans="1:30" ht="12.75">
      <c r="A154" s="7" t="s">
        <v>3472</v>
      </c>
      <c r="B154" s="7" t="s">
        <v>3473</v>
      </c>
      <c r="C154" s="7" t="s">
        <v>3474</v>
      </c>
      <c r="D154" s="4">
        <v>4</v>
      </c>
      <c r="E154" s="5" t="s">
        <v>3475</v>
      </c>
    </row>
    <row r="155" spans="1:30" ht="12.75">
      <c r="A155" s="7" t="s">
        <v>3476</v>
      </c>
      <c r="B155" s="7" t="s">
        <v>3477</v>
      </c>
      <c r="C155" s="7" t="s">
        <v>3478</v>
      </c>
      <c r="D155" s="4">
        <v>4</v>
      </c>
      <c r="E155" s="5" t="s">
        <v>3479</v>
      </c>
    </row>
    <row r="156" spans="1:30" ht="12.75">
      <c r="A156" s="7" t="s">
        <v>3480</v>
      </c>
      <c r="B156" s="7" t="s">
        <v>3481</v>
      </c>
      <c r="C156" s="7" t="s">
        <v>3482</v>
      </c>
      <c r="D156" s="4">
        <v>4</v>
      </c>
      <c r="E156" s="5" t="s">
        <v>3483</v>
      </c>
    </row>
    <row r="157" spans="1:30" ht="12.75">
      <c r="A157" s="7" t="s">
        <v>3484</v>
      </c>
      <c r="B157" s="7" t="s">
        <v>3485</v>
      </c>
      <c r="C157" s="7" t="s">
        <v>3486</v>
      </c>
      <c r="D157" s="4">
        <v>4</v>
      </c>
      <c r="E157" s="5" t="s">
        <v>3487</v>
      </c>
    </row>
    <row r="158" spans="1:30" ht="12.75">
      <c r="A158" s="7" t="s">
        <v>3488</v>
      </c>
      <c r="B158" s="7" t="s">
        <v>3489</v>
      </c>
      <c r="C158" s="7" t="s">
        <v>3490</v>
      </c>
      <c r="D158" s="4">
        <v>4</v>
      </c>
      <c r="E158" s="5" t="s">
        <v>3491</v>
      </c>
    </row>
    <row r="159" spans="1:30" ht="12.75">
      <c r="A159" s="7" t="s">
        <v>3492</v>
      </c>
      <c r="B159" s="7" t="s">
        <v>3493</v>
      </c>
      <c r="C159" s="7" t="s">
        <v>3494</v>
      </c>
      <c r="D159" s="4">
        <v>4</v>
      </c>
      <c r="E159" s="5" t="s">
        <v>3495</v>
      </c>
    </row>
    <row r="160" spans="1:30" ht="12.75">
      <c r="A160" s="7" t="s">
        <v>3496</v>
      </c>
      <c r="B160" s="7" t="s">
        <v>3497</v>
      </c>
      <c r="C160" s="7" t="s">
        <v>3498</v>
      </c>
      <c r="D160" s="4">
        <v>4</v>
      </c>
      <c r="E160" s="5" t="s">
        <v>3499</v>
      </c>
    </row>
    <row r="161" spans="1:30" ht="18" customHeight="1">
      <c r="A161" s="3" t="s">
        <v>3500</v>
      </c>
      <c r="B161" s="3" t="s">
        <v>3501</v>
      </c>
      <c r="C161" s="3" t="s">
        <v>3502</v>
      </c>
      <c r="D161" s="4">
        <v>3</v>
      </c>
      <c r="E161" s="8" t="s">
        <v>3503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</row>
    <row r="162" spans="1:30" ht="12.75">
      <c r="A162" s="7" t="s">
        <v>3504</v>
      </c>
      <c r="B162" s="7" t="s">
        <v>3505</v>
      </c>
      <c r="C162" s="7" t="s">
        <v>3506</v>
      </c>
      <c r="D162" s="4">
        <v>4</v>
      </c>
      <c r="E162" s="5" t="s">
        <v>3507</v>
      </c>
    </row>
    <row r="163" spans="1:30" ht="12.75">
      <c r="A163" s="7" t="s">
        <v>3508</v>
      </c>
      <c r="B163" s="7" t="s">
        <v>3509</v>
      </c>
      <c r="C163" s="7" t="s">
        <v>3510</v>
      </c>
      <c r="D163" s="4">
        <v>4</v>
      </c>
      <c r="E163" s="5" t="s">
        <v>3511</v>
      </c>
    </row>
    <row r="164" spans="1:30" ht="12.75">
      <c r="A164" s="7" t="s">
        <v>3512</v>
      </c>
      <c r="B164" s="7" t="s">
        <v>3513</v>
      </c>
      <c r="C164" s="7" t="s">
        <v>3514</v>
      </c>
      <c r="D164" s="4">
        <v>4</v>
      </c>
      <c r="E164" s="5" t="s">
        <v>3515</v>
      </c>
    </row>
    <row r="165" spans="1:30" ht="12.75">
      <c r="A165" s="7" t="s">
        <v>3516</v>
      </c>
      <c r="B165" s="7" t="s">
        <v>3517</v>
      </c>
      <c r="C165" s="7" t="s">
        <v>3518</v>
      </c>
      <c r="D165" s="4">
        <v>4</v>
      </c>
      <c r="E165" s="5" t="s">
        <v>3519</v>
      </c>
    </row>
    <row r="166" spans="1:30" ht="12.75">
      <c r="A166" s="7" t="s">
        <v>3520</v>
      </c>
      <c r="B166" s="7" t="s">
        <v>3521</v>
      </c>
      <c r="C166" s="7" t="s">
        <v>3522</v>
      </c>
      <c r="D166" s="4">
        <v>4</v>
      </c>
      <c r="E166" s="5" t="s">
        <v>3523</v>
      </c>
    </row>
    <row r="167" spans="1:30" ht="12.75">
      <c r="A167" s="7" t="s">
        <v>3524</v>
      </c>
      <c r="B167" s="7" t="s">
        <v>3525</v>
      </c>
      <c r="C167" s="7" t="s">
        <v>3526</v>
      </c>
      <c r="D167" s="4">
        <v>4</v>
      </c>
      <c r="E167" s="5" t="s">
        <v>3527</v>
      </c>
    </row>
    <row r="168" spans="1:30" ht="12.75">
      <c r="A168" s="7" t="s">
        <v>3528</v>
      </c>
      <c r="B168" s="7" t="s">
        <v>3529</v>
      </c>
      <c r="C168" s="7" t="s">
        <v>3530</v>
      </c>
      <c r="D168" s="4">
        <v>4</v>
      </c>
      <c r="E168" s="5" t="s">
        <v>3531</v>
      </c>
    </row>
    <row r="169" spans="1:30" ht="12.75">
      <c r="A169" s="7" t="s">
        <v>3532</v>
      </c>
      <c r="B169" s="7" t="s">
        <v>3533</v>
      </c>
      <c r="C169" s="7" t="s">
        <v>3534</v>
      </c>
      <c r="D169" s="4">
        <v>4</v>
      </c>
      <c r="E169" s="5" t="s">
        <v>3535</v>
      </c>
    </row>
    <row r="170" spans="1:30" ht="18" customHeight="1">
      <c r="A170" s="3" t="s">
        <v>3536</v>
      </c>
      <c r="B170" s="3" t="s">
        <v>3537</v>
      </c>
      <c r="C170" s="3" t="s">
        <v>3538</v>
      </c>
      <c r="D170" s="4">
        <v>3</v>
      </c>
      <c r="E170" s="8" t="s">
        <v>3539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</row>
    <row r="171" spans="1:30" ht="12.75">
      <c r="A171" s="7" t="s">
        <v>3540</v>
      </c>
      <c r="B171" s="7" t="s">
        <v>3541</v>
      </c>
      <c r="C171" s="7" t="s">
        <v>3542</v>
      </c>
      <c r="D171" s="4">
        <v>4</v>
      </c>
      <c r="E171" s="5" t="s">
        <v>3543</v>
      </c>
    </row>
    <row r="172" spans="1:30" ht="12.75">
      <c r="A172" s="7" t="s">
        <v>3544</v>
      </c>
      <c r="B172" s="7" t="s">
        <v>3545</v>
      </c>
      <c r="C172" s="7" t="s">
        <v>3546</v>
      </c>
      <c r="D172" s="4">
        <v>4</v>
      </c>
      <c r="E172" s="5" t="s">
        <v>3547</v>
      </c>
    </row>
    <row r="173" spans="1:30" ht="12.75">
      <c r="A173" s="7" t="s">
        <v>3548</v>
      </c>
      <c r="B173" s="7" t="s">
        <v>3549</v>
      </c>
      <c r="C173" s="7" t="s">
        <v>3550</v>
      </c>
      <c r="D173" s="4">
        <v>4</v>
      </c>
      <c r="E173" s="5" t="s">
        <v>3551</v>
      </c>
    </row>
    <row r="174" spans="1:30" ht="12.75">
      <c r="A174" s="7" t="s">
        <v>3552</v>
      </c>
      <c r="B174" s="7" t="s">
        <v>3553</v>
      </c>
      <c r="C174" s="7" t="s">
        <v>3554</v>
      </c>
      <c r="D174" s="4">
        <v>4</v>
      </c>
      <c r="E174" s="5" t="s">
        <v>3555</v>
      </c>
    </row>
    <row r="175" spans="1:30" ht="12.75">
      <c r="A175" s="7" t="s">
        <v>3556</v>
      </c>
      <c r="B175" s="7" t="s">
        <v>3557</v>
      </c>
      <c r="C175" s="7" t="s">
        <v>3558</v>
      </c>
      <c r="D175" s="4">
        <v>4</v>
      </c>
      <c r="E175" s="5" t="s">
        <v>3559</v>
      </c>
    </row>
    <row r="176" spans="1:30" ht="12.75">
      <c r="A176" s="7" t="s">
        <v>3560</v>
      </c>
      <c r="B176" s="7" t="s">
        <v>3561</v>
      </c>
      <c r="C176" s="7" t="s">
        <v>3562</v>
      </c>
      <c r="D176" s="4">
        <v>4</v>
      </c>
      <c r="E176" s="5" t="s">
        <v>3563</v>
      </c>
    </row>
    <row r="177" spans="1:30" ht="12.75">
      <c r="A177" s="7" t="s">
        <v>3564</v>
      </c>
      <c r="B177" s="7" t="s">
        <v>3565</v>
      </c>
      <c r="C177" s="7" t="s">
        <v>3566</v>
      </c>
      <c r="D177" s="4">
        <v>4</v>
      </c>
      <c r="E177" s="5" t="s">
        <v>3567</v>
      </c>
    </row>
    <row r="178" spans="1:30" ht="12.75">
      <c r="A178" s="7" t="s">
        <v>3568</v>
      </c>
      <c r="B178" s="7" t="s">
        <v>3569</v>
      </c>
      <c r="C178" s="7" t="s">
        <v>3570</v>
      </c>
      <c r="D178" s="4">
        <v>4</v>
      </c>
      <c r="E178" s="5" t="s">
        <v>3571</v>
      </c>
    </row>
    <row r="179" spans="1:30" ht="18" customHeight="1">
      <c r="A179" s="3" t="s">
        <v>3572</v>
      </c>
      <c r="B179" s="3" t="s">
        <v>3573</v>
      </c>
      <c r="C179" s="3" t="s">
        <v>3574</v>
      </c>
      <c r="D179" s="4">
        <v>3</v>
      </c>
      <c r="E179" s="8" t="s">
        <v>3575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</row>
    <row r="180" spans="1:30" ht="12.75">
      <c r="A180" s="7" t="s">
        <v>3576</v>
      </c>
      <c r="B180" s="7" t="s">
        <v>3577</v>
      </c>
      <c r="C180" s="7" t="s">
        <v>3578</v>
      </c>
      <c r="D180" s="4">
        <v>4</v>
      </c>
      <c r="E180" s="5" t="s">
        <v>3579</v>
      </c>
    </row>
    <row r="181" spans="1:30" ht="12.75">
      <c r="A181" s="7" t="s">
        <v>3580</v>
      </c>
      <c r="B181" s="7" t="s">
        <v>3581</v>
      </c>
      <c r="C181" s="7" t="s">
        <v>3582</v>
      </c>
      <c r="D181" s="4">
        <v>4</v>
      </c>
      <c r="E181" s="5" t="s">
        <v>3583</v>
      </c>
    </row>
    <row r="182" spans="1:30" ht="12.75">
      <c r="A182" s="7" t="s">
        <v>3584</v>
      </c>
      <c r="B182" s="7" t="s">
        <v>3585</v>
      </c>
      <c r="C182" s="7" t="s">
        <v>3586</v>
      </c>
      <c r="D182" s="4">
        <v>4</v>
      </c>
      <c r="E182" s="5" t="s">
        <v>3587</v>
      </c>
    </row>
    <row r="183" spans="1:30" ht="12.75">
      <c r="A183" s="7" t="s">
        <v>3588</v>
      </c>
      <c r="B183" s="7" t="s">
        <v>3589</v>
      </c>
      <c r="C183" s="7" t="s">
        <v>3590</v>
      </c>
      <c r="D183" s="4">
        <v>4</v>
      </c>
      <c r="E183" s="5" t="s">
        <v>3591</v>
      </c>
    </row>
    <row r="184" spans="1:30" ht="12.75">
      <c r="A184" s="7" t="s">
        <v>3592</v>
      </c>
      <c r="B184" s="7" t="s">
        <v>3593</v>
      </c>
      <c r="C184" s="7" t="s">
        <v>3594</v>
      </c>
      <c r="D184" s="4">
        <v>4</v>
      </c>
      <c r="E184" s="5" t="s">
        <v>3595</v>
      </c>
    </row>
    <row r="185" spans="1:30" ht="12.75">
      <c r="A185" s="7" t="s">
        <v>3596</v>
      </c>
      <c r="B185" s="7" t="s">
        <v>3597</v>
      </c>
      <c r="C185" s="7" t="s">
        <v>3598</v>
      </c>
      <c r="D185" s="4">
        <v>4</v>
      </c>
      <c r="E185" s="5" t="s">
        <v>3599</v>
      </c>
    </row>
    <row r="186" spans="1:30" ht="12.75">
      <c r="A186" s="7" t="s">
        <v>3600</v>
      </c>
      <c r="B186" s="7" t="s">
        <v>3601</v>
      </c>
      <c r="C186" s="7" t="s">
        <v>3602</v>
      </c>
      <c r="D186" s="4">
        <v>4</v>
      </c>
      <c r="E186" s="5" t="s">
        <v>3603</v>
      </c>
    </row>
    <row r="187" spans="1:30" ht="12.75">
      <c r="A187" s="7" t="s">
        <v>3604</v>
      </c>
      <c r="B187" s="7" t="s">
        <v>3605</v>
      </c>
      <c r="C187" s="7" t="s">
        <v>3606</v>
      </c>
      <c r="D187" s="4">
        <v>4</v>
      </c>
      <c r="E187" s="5" t="s">
        <v>3607</v>
      </c>
    </row>
    <row r="188" spans="1:30" ht="12.75">
      <c r="A188" s="7" t="s">
        <v>3608</v>
      </c>
      <c r="B188" s="7" t="s">
        <v>3609</v>
      </c>
      <c r="C188" s="7" t="s">
        <v>3610</v>
      </c>
      <c r="D188" s="4">
        <v>4</v>
      </c>
      <c r="E188" s="5" t="s">
        <v>3611</v>
      </c>
    </row>
    <row r="189" spans="1:30" ht="12.75">
      <c r="A189" s="7" t="s">
        <v>3612</v>
      </c>
      <c r="B189" s="7" t="s">
        <v>3613</v>
      </c>
      <c r="C189" s="7" t="s">
        <v>3614</v>
      </c>
      <c r="D189" s="4">
        <v>4</v>
      </c>
      <c r="E189" s="5" t="s">
        <v>3615</v>
      </c>
    </row>
    <row r="190" spans="1:30" ht="18" customHeight="1">
      <c r="A190" s="3" t="s">
        <v>3616</v>
      </c>
      <c r="B190" s="3" t="s">
        <v>3617</v>
      </c>
      <c r="C190" s="3" t="s">
        <v>3618</v>
      </c>
      <c r="D190" s="4">
        <v>3</v>
      </c>
      <c r="E190" s="8" t="s">
        <v>3619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</row>
    <row r="191" spans="1:30" ht="12.75">
      <c r="A191" s="7" t="s">
        <v>3620</v>
      </c>
      <c r="B191" s="7" t="s">
        <v>3621</v>
      </c>
      <c r="C191" s="7" t="s">
        <v>3622</v>
      </c>
      <c r="D191" s="4">
        <v>4</v>
      </c>
      <c r="E191" s="5" t="s">
        <v>3623</v>
      </c>
    </row>
    <row r="192" spans="1:30" ht="12.75">
      <c r="A192" s="7" t="s">
        <v>3624</v>
      </c>
      <c r="B192" s="7" t="s">
        <v>3625</v>
      </c>
      <c r="C192" s="7" t="s">
        <v>3626</v>
      </c>
      <c r="D192" s="4">
        <v>4</v>
      </c>
      <c r="E192" s="5" t="s">
        <v>3627</v>
      </c>
    </row>
    <row r="193" spans="1:5" ht="12.75">
      <c r="A193" s="7" t="s">
        <v>3628</v>
      </c>
      <c r="B193" s="7" t="s">
        <v>3629</v>
      </c>
      <c r="C193" s="7" t="s">
        <v>3630</v>
      </c>
      <c r="D193" s="4">
        <v>4</v>
      </c>
      <c r="E193" s="5" t="s">
        <v>3631</v>
      </c>
    </row>
    <row r="194" spans="1:5" ht="12.75">
      <c r="A194" s="7" t="s">
        <v>3632</v>
      </c>
      <c r="B194" s="7" t="s">
        <v>3633</v>
      </c>
      <c r="C194" s="7" t="s">
        <v>3634</v>
      </c>
      <c r="D194" s="4">
        <v>4</v>
      </c>
      <c r="E194" s="5" t="s">
        <v>3635</v>
      </c>
    </row>
    <row r="195" spans="1:5" ht="12.75">
      <c r="A195" s="7" t="s">
        <v>3636</v>
      </c>
      <c r="B195" s="7" t="s">
        <v>3637</v>
      </c>
      <c r="C195" s="7" t="s">
        <v>3638</v>
      </c>
      <c r="D195" s="4">
        <v>4</v>
      </c>
      <c r="E195" s="5" t="s">
        <v>3639</v>
      </c>
    </row>
    <row r="196" spans="1:5" ht="12.75">
      <c r="A196" s="7" t="s">
        <v>3640</v>
      </c>
      <c r="B196" s="7" t="s">
        <v>3641</v>
      </c>
      <c r="C196" s="7" t="s">
        <v>3642</v>
      </c>
      <c r="D196" s="4">
        <v>4</v>
      </c>
      <c r="E196" s="5" t="s">
        <v>3643</v>
      </c>
    </row>
    <row r="197" spans="1:5" ht="12.75">
      <c r="A197" s="7" t="s">
        <v>3644</v>
      </c>
      <c r="B197" s="7" t="s">
        <v>3645</v>
      </c>
      <c r="C197" s="7" t="s">
        <v>3646</v>
      </c>
      <c r="D197" s="4">
        <v>4</v>
      </c>
      <c r="E197" s="5" t="s">
        <v>3647</v>
      </c>
    </row>
    <row r="198" spans="1:5" ht="12.75">
      <c r="A198" s="7" t="s">
        <v>3648</v>
      </c>
      <c r="B198" s="7" t="s">
        <v>3649</v>
      </c>
      <c r="C198" s="7" t="s">
        <v>3650</v>
      </c>
      <c r="D198" s="4">
        <v>4</v>
      </c>
      <c r="E198" s="5" t="s">
        <v>3651</v>
      </c>
    </row>
    <row r="199" spans="1:5" ht="12.75">
      <c r="A199" s="7" t="s">
        <v>3652</v>
      </c>
      <c r="B199" s="7" t="s">
        <v>3653</v>
      </c>
      <c r="C199" s="7" t="s">
        <v>3654</v>
      </c>
      <c r="D199" s="4">
        <v>4</v>
      </c>
      <c r="E199" s="5" t="s">
        <v>3655</v>
      </c>
    </row>
    <row r="200" spans="1:5" ht="12.75">
      <c r="A200" s="7" t="s">
        <v>3656</v>
      </c>
      <c r="B200" s="7" t="s">
        <v>3657</v>
      </c>
      <c r="C200" s="7" t="s">
        <v>3658</v>
      </c>
      <c r="D200" s="4">
        <v>4</v>
      </c>
      <c r="E200" s="5" t="s">
        <v>3659</v>
      </c>
    </row>
    <row r="201" spans="1:5" ht="12.75">
      <c r="A201" s="7" t="s">
        <v>3660</v>
      </c>
      <c r="B201" s="7" t="s">
        <v>3661</v>
      </c>
      <c r="C201" s="7" t="s">
        <v>3662</v>
      </c>
      <c r="D201" s="4">
        <v>4</v>
      </c>
      <c r="E201" s="5" t="s">
        <v>3663</v>
      </c>
    </row>
    <row r="202" spans="1:5" ht="12.75">
      <c r="A202" s="7" t="s">
        <v>3664</v>
      </c>
      <c r="B202" s="7" t="s">
        <v>3665</v>
      </c>
      <c r="C202" s="7" t="s">
        <v>3666</v>
      </c>
      <c r="D202" s="4">
        <v>4</v>
      </c>
      <c r="E202" s="5" t="s">
        <v>3667</v>
      </c>
    </row>
    <row r="203" spans="1:5" ht="12.75">
      <c r="A203" s="7" t="s">
        <v>3668</v>
      </c>
      <c r="B203" s="7" t="s">
        <v>3669</v>
      </c>
      <c r="C203" s="7" t="s">
        <v>3670</v>
      </c>
      <c r="D203" s="4">
        <v>4</v>
      </c>
      <c r="E203" s="5" t="s">
        <v>3671</v>
      </c>
    </row>
    <row r="204" spans="1:5" ht="12.75">
      <c r="A204" s="7" t="s">
        <v>3672</v>
      </c>
      <c r="B204" s="7" t="s">
        <v>3673</v>
      </c>
      <c r="C204" s="7" t="s">
        <v>3674</v>
      </c>
      <c r="D204" s="4">
        <v>4</v>
      </c>
      <c r="E204" s="5" t="s">
        <v>3675</v>
      </c>
    </row>
    <row r="205" spans="1:5" ht="12.75">
      <c r="A205" s="7" t="s">
        <v>3676</v>
      </c>
      <c r="B205" s="7" t="s">
        <v>3677</v>
      </c>
      <c r="C205" s="7" t="s">
        <v>3678</v>
      </c>
      <c r="D205" s="4">
        <v>4</v>
      </c>
      <c r="E205" s="5" t="s">
        <v>3679</v>
      </c>
    </row>
    <row r="206" spans="1:5" ht="12.75">
      <c r="A206" s="7" t="s">
        <v>3680</v>
      </c>
      <c r="B206" s="7" t="s">
        <v>3681</v>
      </c>
      <c r="C206" s="7" t="s">
        <v>3682</v>
      </c>
      <c r="D206" s="4">
        <v>5</v>
      </c>
      <c r="E206" s="5" t="s">
        <v>3683</v>
      </c>
    </row>
    <row r="207" spans="1:5" ht="12.75">
      <c r="A207" s="7" t="s">
        <v>3684</v>
      </c>
      <c r="B207" s="7" t="s">
        <v>3685</v>
      </c>
      <c r="C207" s="7" t="s">
        <v>3686</v>
      </c>
      <c r="D207" s="4">
        <v>5</v>
      </c>
      <c r="E207" s="5" t="s">
        <v>3687</v>
      </c>
    </row>
    <row r="208" spans="1:5" ht="12.75">
      <c r="A208" s="7" t="s">
        <v>3688</v>
      </c>
      <c r="B208" s="7" t="s">
        <v>3689</v>
      </c>
      <c r="C208" s="7" t="s">
        <v>3690</v>
      </c>
      <c r="D208" s="4">
        <v>4</v>
      </c>
      <c r="E208" s="5" t="s">
        <v>3691</v>
      </c>
    </row>
    <row r="209" spans="1:30" ht="18" customHeight="1">
      <c r="A209" s="3" t="s">
        <v>3692</v>
      </c>
      <c r="B209" s="3" t="s">
        <v>3693</v>
      </c>
      <c r="C209" s="3" t="s">
        <v>3694</v>
      </c>
      <c r="D209" s="4">
        <v>3</v>
      </c>
      <c r="E209" s="8" t="s">
        <v>3695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</row>
    <row r="210" spans="1:30" ht="12.75">
      <c r="A210" s="7" t="s">
        <v>3696</v>
      </c>
      <c r="B210" s="7" t="s">
        <v>3697</v>
      </c>
      <c r="C210" s="7" t="s">
        <v>3698</v>
      </c>
      <c r="D210" s="4">
        <v>4</v>
      </c>
      <c r="E210" s="5" t="s">
        <v>3699</v>
      </c>
    </row>
    <row r="211" spans="1:30" ht="12.75">
      <c r="A211" s="7" t="s">
        <v>3700</v>
      </c>
      <c r="B211" s="7" t="s">
        <v>3701</v>
      </c>
      <c r="C211" s="7" t="s">
        <v>3702</v>
      </c>
      <c r="D211" s="4">
        <v>4</v>
      </c>
      <c r="E211" s="5" t="s">
        <v>3703</v>
      </c>
    </row>
    <row r="212" spans="1:30" ht="12.75">
      <c r="A212" s="7" t="s">
        <v>3704</v>
      </c>
      <c r="B212" s="7" t="s">
        <v>3705</v>
      </c>
      <c r="C212" s="7" t="s">
        <v>3706</v>
      </c>
      <c r="D212" s="4">
        <v>4</v>
      </c>
      <c r="E212" s="5" t="s">
        <v>3707</v>
      </c>
    </row>
    <row r="213" spans="1:30" ht="12.75">
      <c r="A213" s="7" t="s">
        <v>3708</v>
      </c>
      <c r="B213" s="7" t="s">
        <v>3709</v>
      </c>
      <c r="C213" s="7" t="s">
        <v>3710</v>
      </c>
      <c r="D213" s="4">
        <v>4</v>
      </c>
      <c r="E213" s="5" t="s">
        <v>3711</v>
      </c>
    </row>
    <row r="214" spans="1:30" ht="12.75">
      <c r="A214" s="7" t="s">
        <v>3712</v>
      </c>
      <c r="B214" s="7" t="s">
        <v>3713</v>
      </c>
      <c r="C214" s="7" t="s">
        <v>3714</v>
      </c>
      <c r="D214" s="4">
        <v>4</v>
      </c>
      <c r="E214" s="5" t="s">
        <v>3715</v>
      </c>
    </row>
    <row r="215" spans="1:30" ht="12.75">
      <c r="A215" s="7" t="s">
        <v>3716</v>
      </c>
      <c r="B215" s="7" t="s">
        <v>3717</v>
      </c>
      <c r="C215" s="7" t="s">
        <v>3718</v>
      </c>
      <c r="D215" s="4">
        <v>4</v>
      </c>
      <c r="E215" s="5" t="s">
        <v>3719</v>
      </c>
    </row>
    <row r="216" spans="1:30" ht="12.75">
      <c r="A216" s="7" t="s">
        <v>3720</v>
      </c>
      <c r="B216" s="7" t="s">
        <v>3721</v>
      </c>
      <c r="C216" s="7" t="s">
        <v>3722</v>
      </c>
      <c r="D216" s="4">
        <v>4</v>
      </c>
      <c r="E216" s="5" t="s">
        <v>3723</v>
      </c>
    </row>
    <row r="217" spans="1:30" ht="12.75">
      <c r="A217" s="7" t="s">
        <v>3724</v>
      </c>
      <c r="B217" s="7" t="s">
        <v>3725</v>
      </c>
      <c r="C217" s="7" t="s">
        <v>3726</v>
      </c>
      <c r="D217" s="4">
        <v>5</v>
      </c>
      <c r="E217" s="5" t="s">
        <v>3727</v>
      </c>
    </row>
    <row r="218" spans="1:30" ht="12.75">
      <c r="A218" s="7" t="s">
        <v>3728</v>
      </c>
      <c r="B218" s="7" t="s">
        <v>3729</v>
      </c>
      <c r="C218" s="7" t="s">
        <v>3730</v>
      </c>
      <c r="D218" s="4">
        <v>5</v>
      </c>
      <c r="E218" s="5" t="s">
        <v>3731</v>
      </c>
    </row>
    <row r="219" spans="1:30" ht="12.75">
      <c r="A219" s="7" t="s">
        <v>3732</v>
      </c>
      <c r="B219" s="7" t="s">
        <v>3733</v>
      </c>
      <c r="C219" s="7" t="s">
        <v>3734</v>
      </c>
      <c r="D219" s="4">
        <v>5</v>
      </c>
      <c r="E219" s="5" t="s">
        <v>3735</v>
      </c>
    </row>
    <row r="220" spans="1:30" ht="12.75">
      <c r="A220" s="7" t="s">
        <v>3736</v>
      </c>
      <c r="B220" s="7" t="s">
        <v>3737</v>
      </c>
      <c r="C220" s="7" t="s">
        <v>3738</v>
      </c>
      <c r="D220" s="4">
        <v>5</v>
      </c>
      <c r="E220" s="5" t="s">
        <v>3739</v>
      </c>
    </row>
    <row r="221" spans="1:30" ht="12.75">
      <c r="A221" s="7" t="s">
        <v>3740</v>
      </c>
      <c r="B221" s="7" t="s">
        <v>3741</v>
      </c>
      <c r="C221" s="7" t="s">
        <v>3742</v>
      </c>
      <c r="D221" s="4">
        <v>4</v>
      </c>
      <c r="E221" s="5" t="s">
        <v>3743</v>
      </c>
    </row>
    <row r="222" spans="1:30" ht="12.75">
      <c r="A222" s="7" t="s">
        <v>3744</v>
      </c>
      <c r="B222" s="7" t="s">
        <v>3745</v>
      </c>
      <c r="C222" s="7" t="s">
        <v>3746</v>
      </c>
      <c r="D222" s="4">
        <v>4</v>
      </c>
      <c r="E222" s="5" t="s">
        <v>3747</v>
      </c>
    </row>
    <row r="223" spans="1:30" ht="12.75">
      <c r="A223" s="7" t="s">
        <v>3748</v>
      </c>
      <c r="B223" s="7" t="s">
        <v>3749</v>
      </c>
      <c r="C223" s="7" t="s">
        <v>3750</v>
      </c>
      <c r="D223" s="4">
        <v>4</v>
      </c>
      <c r="E223" s="5" t="s">
        <v>3751</v>
      </c>
    </row>
    <row r="224" spans="1:30" ht="12.75">
      <c r="A224" s="7" t="s">
        <v>3752</v>
      </c>
      <c r="B224" s="7" t="s">
        <v>3753</v>
      </c>
      <c r="C224" s="7" t="s">
        <v>3754</v>
      </c>
      <c r="D224" s="4">
        <v>4</v>
      </c>
      <c r="E224" s="5" t="s">
        <v>3755</v>
      </c>
    </row>
    <row r="225" spans="1:30" ht="12.75">
      <c r="A225" s="7" t="s">
        <v>3756</v>
      </c>
      <c r="B225" s="7" t="s">
        <v>3757</v>
      </c>
      <c r="C225" s="7" t="s">
        <v>3758</v>
      </c>
      <c r="D225" s="4">
        <v>4</v>
      </c>
      <c r="E225" s="5" t="s">
        <v>3759</v>
      </c>
    </row>
    <row r="226" spans="1:30" ht="12.75">
      <c r="A226" s="7" t="s">
        <v>3760</v>
      </c>
      <c r="B226" s="7" t="s">
        <v>3761</v>
      </c>
      <c r="C226" s="7" t="s">
        <v>3762</v>
      </c>
      <c r="D226" s="4">
        <v>4</v>
      </c>
      <c r="E226" s="5" t="s">
        <v>3763</v>
      </c>
    </row>
    <row r="227" spans="1:30" ht="12.75">
      <c r="A227" s="7" t="s">
        <v>3764</v>
      </c>
      <c r="B227" s="7" t="s">
        <v>3765</v>
      </c>
      <c r="C227" s="7" t="s">
        <v>3766</v>
      </c>
      <c r="D227" s="4">
        <v>5</v>
      </c>
      <c r="E227" s="5" t="s">
        <v>3767</v>
      </c>
    </row>
    <row r="228" spans="1:30" ht="12.75">
      <c r="A228" s="7" t="s">
        <v>3768</v>
      </c>
      <c r="B228" s="7" t="s">
        <v>3769</v>
      </c>
      <c r="C228" s="7" t="s">
        <v>3770</v>
      </c>
      <c r="D228" s="4">
        <v>4</v>
      </c>
      <c r="E228" s="5" t="s">
        <v>3771</v>
      </c>
    </row>
    <row r="229" spans="1:30" ht="12.75">
      <c r="A229" s="7" t="s">
        <v>3772</v>
      </c>
      <c r="B229" s="7" t="s">
        <v>3773</v>
      </c>
      <c r="C229" s="7" t="s">
        <v>3774</v>
      </c>
      <c r="D229" s="4">
        <v>5</v>
      </c>
      <c r="E229" s="5" t="s">
        <v>3775</v>
      </c>
    </row>
    <row r="230" spans="1:30" ht="12.75">
      <c r="A230" s="7" t="s">
        <v>3776</v>
      </c>
      <c r="B230" s="7" t="s">
        <v>3777</v>
      </c>
      <c r="C230" s="7" t="s">
        <v>3778</v>
      </c>
      <c r="D230" s="4">
        <v>4</v>
      </c>
      <c r="E230" s="5" t="s">
        <v>3779</v>
      </c>
    </row>
    <row r="231" spans="1:30" ht="12.75">
      <c r="A231" s="7" t="s">
        <v>3780</v>
      </c>
      <c r="B231" s="7" t="s">
        <v>3781</v>
      </c>
      <c r="C231" s="7" t="s">
        <v>3782</v>
      </c>
      <c r="D231" s="4">
        <v>4</v>
      </c>
      <c r="E231" s="5" t="s">
        <v>3783</v>
      </c>
    </row>
    <row r="232" spans="1:30" ht="12.75">
      <c r="A232" s="7" t="s">
        <v>3784</v>
      </c>
      <c r="B232" s="7" t="s">
        <v>3785</v>
      </c>
      <c r="C232" s="7" t="s">
        <v>3786</v>
      </c>
      <c r="D232" s="4">
        <v>4</v>
      </c>
      <c r="E232" s="5" t="s">
        <v>3787</v>
      </c>
    </row>
    <row r="233" spans="1:30" ht="12.75">
      <c r="A233" s="7" t="s">
        <v>3788</v>
      </c>
      <c r="B233" s="7" t="s">
        <v>3789</v>
      </c>
      <c r="C233" s="7" t="s">
        <v>3790</v>
      </c>
      <c r="D233" s="4">
        <v>4</v>
      </c>
      <c r="E233" s="5" t="s">
        <v>3791</v>
      </c>
    </row>
    <row r="234" spans="1:30" ht="12.75">
      <c r="A234" s="7" t="s">
        <v>3792</v>
      </c>
      <c r="B234" s="7" t="s">
        <v>3793</v>
      </c>
      <c r="C234" s="7" t="s">
        <v>3794</v>
      </c>
      <c r="D234" s="4">
        <v>5</v>
      </c>
      <c r="E234" s="5" t="s">
        <v>3795</v>
      </c>
    </row>
    <row r="235" spans="1:30" ht="12.75">
      <c r="A235" s="7" t="s">
        <v>3796</v>
      </c>
      <c r="B235" s="7" t="s">
        <v>3797</v>
      </c>
      <c r="C235" s="7" t="s">
        <v>3798</v>
      </c>
      <c r="D235" s="4">
        <v>5</v>
      </c>
      <c r="E235" s="5" t="s">
        <v>3799</v>
      </c>
    </row>
    <row r="236" spans="1:30" ht="18" customHeight="1">
      <c r="A236" s="3" t="s">
        <v>3800</v>
      </c>
      <c r="B236" s="3" t="s">
        <v>3801</v>
      </c>
      <c r="C236" s="3" t="s">
        <v>3802</v>
      </c>
      <c r="D236" s="4">
        <v>3</v>
      </c>
      <c r="E236" s="8" t="s">
        <v>3803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</row>
    <row r="237" spans="1:30" ht="12.75">
      <c r="A237" s="7" t="s">
        <v>3804</v>
      </c>
      <c r="B237" s="7" t="s">
        <v>3805</v>
      </c>
      <c r="C237" s="7" t="s">
        <v>3806</v>
      </c>
      <c r="D237" s="4">
        <v>4</v>
      </c>
      <c r="E237" s="5" t="s">
        <v>3807</v>
      </c>
    </row>
    <row r="238" spans="1:30" ht="12.75">
      <c r="A238" s="7" t="s">
        <v>3808</v>
      </c>
      <c r="B238" s="7" t="s">
        <v>3809</v>
      </c>
      <c r="C238" s="7" t="s">
        <v>3810</v>
      </c>
      <c r="D238" s="4">
        <v>4</v>
      </c>
      <c r="E238" s="5" t="s">
        <v>3811</v>
      </c>
    </row>
    <row r="239" spans="1:30" ht="12.75">
      <c r="A239" s="7" t="s">
        <v>3812</v>
      </c>
      <c r="B239" s="7" t="s">
        <v>3813</v>
      </c>
      <c r="C239" s="7" t="s">
        <v>3814</v>
      </c>
      <c r="D239" s="4">
        <v>4</v>
      </c>
      <c r="E239" s="5" t="s">
        <v>3815</v>
      </c>
    </row>
    <row r="240" spans="1:30" ht="12.75">
      <c r="A240" s="7" t="s">
        <v>3816</v>
      </c>
      <c r="B240" s="7" t="s">
        <v>3817</v>
      </c>
      <c r="C240" s="7" t="s">
        <v>3818</v>
      </c>
      <c r="D240" s="4">
        <v>4</v>
      </c>
      <c r="E240" s="5" t="s">
        <v>3819</v>
      </c>
    </row>
    <row r="241" spans="1:30" ht="12.75">
      <c r="A241" s="7" t="s">
        <v>3820</v>
      </c>
      <c r="B241" s="7" t="s">
        <v>3821</v>
      </c>
      <c r="C241" s="7" t="s">
        <v>3822</v>
      </c>
      <c r="D241" s="4">
        <v>4</v>
      </c>
      <c r="E241" s="5" t="s">
        <v>3823</v>
      </c>
    </row>
    <row r="242" spans="1:30" ht="12.75">
      <c r="A242" s="7" t="s">
        <v>3824</v>
      </c>
      <c r="B242" s="7" t="s">
        <v>3825</v>
      </c>
      <c r="C242" s="7" t="s">
        <v>3826</v>
      </c>
      <c r="D242" s="4">
        <v>4</v>
      </c>
      <c r="E242" s="5" t="s">
        <v>3827</v>
      </c>
    </row>
    <row r="243" spans="1:30" ht="12.75">
      <c r="A243" s="7" t="s">
        <v>3828</v>
      </c>
      <c r="B243" s="7" t="s">
        <v>3829</v>
      </c>
      <c r="C243" s="7" t="s">
        <v>3830</v>
      </c>
      <c r="D243" s="4">
        <v>4</v>
      </c>
      <c r="E243" s="5" t="s">
        <v>3831</v>
      </c>
    </row>
    <row r="244" spans="1:30" ht="12.75">
      <c r="A244" s="7" t="s">
        <v>3832</v>
      </c>
      <c r="B244" s="7" t="s">
        <v>3833</v>
      </c>
      <c r="C244" s="7" t="s">
        <v>3834</v>
      </c>
      <c r="D244" s="4">
        <v>4</v>
      </c>
      <c r="E244" s="5" t="s">
        <v>3835</v>
      </c>
    </row>
    <row r="245" spans="1:30" ht="12.75">
      <c r="A245" s="7" t="s">
        <v>3836</v>
      </c>
      <c r="B245" s="7" t="s">
        <v>3837</v>
      </c>
      <c r="C245" s="7" t="s">
        <v>3838</v>
      </c>
      <c r="D245" s="4">
        <v>4</v>
      </c>
      <c r="E245" s="5" t="s">
        <v>3839</v>
      </c>
    </row>
    <row r="246" spans="1:30" ht="12.75">
      <c r="A246" s="7" t="s">
        <v>3840</v>
      </c>
      <c r="B246" s="7" t="s">
        <v>3841</v>
      </c>
      <c r="C246" s="7" t="s">
        <v>3842</v>
      </c>
      <c r="D246" s="4">
        <v>4</v>
      </c>
      <c r="E246" s="5" t="s">
        <v>3843</v>
      </c>
    </row>
    <row r="247" spans="1:30" ht="12.75">
      <c r="A247" s="7" t="s">
        <v>3844</v>
      </c>
      <c r="B247" s="7" t="s">
        <v>3845</v>
      </c>
      <c r="C247" s="7" t="s">
        <v>3846</v>
      </c>
      <c r="D247" s="4">
        <v>4</v>
      </c>
      <c r="E247" s="5" t="s">
        <v>3847</v>
      </c>
    </row>
    <row r="248" spans="1:30" ht="12.75">
      <c r="A248" s="7" t="s">
        <v>3848</v>
      </c>
      <c r="B248" s="7" t="s">
        <v>3849</v>
      </c>
      <c r="C248" s="7" t="s">
        <v>3850</v>
      </c>
      <c r="D248" s="4">
        <v>4</v>
      </c>
      <c r="E248" s="5" t="s">
        <v>3851</v>
      </c>
    </row>
    <row r="249" spans="1:30" ht="12.75">
      <c r="A249" s="7" t="s">
        <v>3852</v>
      </c>
      <c r="B249" s="7" t="s">
        <v>3853</v>
      </c>
      <c r="C249" s="7" t="s">
        <v>3854</v>
      </c>
      <c r="D249" s="4">
        <v>4</v>
      </c>
      <c r="E249" s="5" t="s">
        <v>3855</v>
      </c>
    </row>
    <row r="250" spans="1:30" ht="12.75">
      <c r="A250" s="7" t="s">
        <v>3856</v>
      </c>
      <c r="B250" s="7" t="s">
        <v>3857</v>
      </c>
      <c r="C250" s="7" t="s">
        <v>3858</v>
      </c>
      <c r="D250" s="4">
        <v>4</v>
      </c>
      <c r="E250" s="5" t="s">
        <v>3859</v>
      </c>
    </row>
    <row r="251" spans="1:30" ht="12.75">
      <c r="A251" s="7" t="s">
        <v>3860</v>
      </c>
      <c r="B251" s="7" t="s">
        <v>3861</v>
      </c>
      <c r="C251" s="7" t="s">
        <v>3862</v>
      </c>
      <c r="D251" s="4">
        <v>4</v>
      </c>
      <c r="E251" s="5" t="s">
        <v>3863</v>
      </c>
    </row>
    <row r="252" spans="1:30" ht="12.75">
      <c r="A252" s="7" t="s">
        <v>3864</v>
      </c>
      <c r="B252" s="7" t="s">
        <v>3865</v>
      </c>
      <c r="C252" s="7" t="s">
        <v>3866</v>
      </c>
      <c r="D252" s="4">
        <v>4</v>
      </c>
      <c r="E252" s="5" t="s">
        <v>3867</v>
      </c>
    </row>
    <row r="253" spans="1:30" ht="18" customHeight="1">
      <c r="A253" s="3" t="s">
        <v>3868</v>
      </c>
      <c r="B253" s="3" t="s">
        <v>3869</v>
      </c>
      <c r="C253" s="3" t="s">
        <v>3870</v>
      </c>
      <c r="D253" s="4">
        <v>3</v>
      </c>
      <c r="E253" s="8" t="s">
        <v>3871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</row>
    <row r="254" spans="1:30" ht="12.75">
      <c r="A254" s="7" t="s">
        <v>3872</v>
      </c>
      <c r="B254" s="7" t="s">
        <v>3873</v>
      </c>
      <c r="C254" s="7" t="s">
        <v>3874</v>
      </c>
      <c r="D254" s="4">
        <v>4</v>
      </c>
      <c r="E254" s="5" t="s">
        <v>3875</v>
      </c>
    </row>
    <row r="255" spans="1:30" ht="12.75">
      <c r="A255" s="7" t="s">
        <v>3876</v>
      </c>
      <c r="B255" s="7" t="s">
        <v>3877</v>
      </c>
      <c r="C255" s="7" t="s">
        <v>3878</v>
      </c>
      <c r="D255" s="4">
        <v>4</v>
      </c>
      <c r="E255" s="5" t="s">
        <v>3879</v>
      </c>
    </row>
    <row r="256" spans="1:30" ht="12.75">
      <c r="A256" s="7" t="s">
        <v>3880</v>
      </c>
      <c r="B256" s="7" t="s">
        <v>3881</v>
      </c>
      <c r="C256" s="7" t="s">
        <v>3882</v>
      </c>
      <c r="D256" s="4">
        <v>4</v>
      </c>
      <c r="E256" s="5" t="s">
        <v>3883</v>
      </c>
    </row>
    <row r="257" spans="1:30" ht="12.75">
      <c r="A257" s="7" t="s">
        <v>3884</v>
      </c>
      <c r="B257" s="7" t="s">
        <v>3885</v>
      </c>
      <c r="C257" s="7" t="s">
        <v>3886</v>
      </c>
      <c r="D257" s="4">
        <v>4</v>
      </c>
      <c r="E257" s="5" t="s">
        <v>3887</v>
      </c>
    </row>
    <row r="258" spans="1:30" ht="12.75">
      <c r="A258" s="7" t="s">
        <v>3888</v>
      </c>
      <c r="B258" s="7" t="s">
        <v>3889</v>
      </c>
      <c r="C258" s="7" t="s">
        <v>3890</v>
      </c>
      <c r="D258" s="4">
        <v>4</v>
      </c>
      <c r="E258" s="5" t="s">
        <v>3891</v>
      </c>
    </row>
    <row r="259" spans="1:30" ht="12.75">
      <c r="A259" s="7" t="s">
        <v>3892</v>
      </c>
      <c r="B259" s="7" t="s">
        <v>3893</v>
      </c>
      <c r="C259" s="7" t="s">
        <v>3894</v>
      </c>
      <c r="D259" s="4">
        <v>4</v>
      </c>
      <c r="E259" s="5" t="s">
        <v>3895</v>
      </c>
    </row>
    <row r="260" spans="1:30" ht="12.75">
      <c r="A260" s="7" t="s">
        <v>3896</v>
      </c>
      <c r="B260" s="7" t="s">
        <v>3897</v>
      </c>
      <c r="C260" s="7" t="s">
        <v>3898</v>
      </c>
      <c r="D260" s="4">
        <v>4</v>
      </c>
      <c r="E260" s="5" t="s">
        <v>3899</v>
      </c>
    </row>
    <row r="261" spans="1:30" ht="12.75">
      <c r="A261" s="7" t="s">
        <v>3900</v>
      </c>
      <c r="B261" s="7" t="s">
        <v>3901</v>
      </c>
      <c r="C261" s="7" t="s">
        <v>3902</v>
      </c>
      <c r="D261" s="4">
        <v>4</v>
      </c>
      <c r="E261" s="5" t="s">
        <v>3903</v>
      </c>
    </row>
    <row r="262" spans="1:30" ht="12.75">
      <c r="A262" s="7" t="s">
        <v>3904</v>
      </c>
      <c r="B262" s="7" t="s">
        <v>3905</v>
      </c>
      <c r="C262" s="7" t="s">
        <v>3906</v>
      </c>
      <c r="D262" s="4">
        <v>4</v>
      </c>
      <c r="E262" s="5" t="s">
        <v>3907</v>
      </c>
    </row>
    <row r="263" spans="1:30" ht="12.75">
      <c r="A263" s="7" t="s">
        <v>3908</v>
      </c>
      <c r="B263" s="7" t="s">
        <v>3909</v>
      </c>
      <c r="C263" s="7" t="s">
        <v>3910</v>
      </c>
      <c r="D263" s="4">
        <v>4</v>
      </c>
      <c r="E263" s="5" t="s">
        <v>3911</v>
      </c>
    </row>
    <row r="264" spans="1:30" ht="12.75">
      <c r="A264" s="7" t="s">
        <v>3912</v>
      </c>
      <c r="B264" s="7" t="s">
        <v>3913</v>
      </c>
      <c r="C264" s="7" t="s">
        <v>3914</v>
      </c>
      <c r="D264" s="4">
        <v>4</v>
      </c>
      <c r="E264" s="5" t="s">
        <v>3915</v>
      </c>
    </row>
    <row r="265" spans="1:30" ht="12.75">
      <c r="A265" s="7" t="s">
        <v>3916</v>
      </c>
      <c r="B265" s="7" t="s">
        <v>3917</v>
      </c>
      <c r="C265" s="7" t="s">
        <v>3918</v>
      </c>
      <c r="D265" s="4">
        <v>4</v>
      </c>
      <c r="E265" s="5" t="s">
        <v>3919</v>
      </c>
    </row>
    <row r="266" spans="1:30" ht="18" customHeight="1">
      <c r="A266" s="3" t="s">
        <v>3920</v>
      </c>
      <c r="B266" s="3" t="s">
        <v>3921</v>
      </c>
      <c r="C266" s="3" t="s">
        <v>3922</v>
      </c>
      <c r="D266" s="4">
        <v>3</v>
      </c>
      <c r="E266" s="8" t="s">
        <v>3923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</row>
    <row r="267" spans="1:30" ht="12.75">
      <c r="A267" s="7" t="s">
        <v>3924</v>
      </c>
      <c r="B267" s="7" t="s">
        <v>3925</v>
      </c>
      <c r="C267" s="7" t="s">
        <v>3926</v>
      </c>
      <c r="D267" s="4">
        <v>4</v>
      </c>
      <c r="E267" s="5" t="s">
        <v>3927</v>
      </c>
    </row>
    <row r="268" spans="1:30" ht="12.75">
      <c r="A268" s="7" t="s">
        <v>3928</v>
      </c>
      <c r="B268" s="7" t="s">
        <v>3929</v>
      </c>
      <c r="C268" s="7" t="s">
        <v>3930</v>
      </c>
      <c r="D268" s="4">
        <v>4</v>
      </c>
      <c r="E268" s="5" t="s">
        <v>3931</v>
      </c>
    </row>
    <row r="269" spans="1:30" ht="12.75">
      <c r="A269" s="7" t="s">
        <v>3932</v>
      </c>
      <c r="B269" s="7" t="s">
        <v>3933</v>
      </c>
      <c r="C269" s="7" t="s">
        <v>3934</v>
      </c>
      <c r="D269" s="4">
        <v>4</v>
      </c>
      <c r="E269" s="5" t="s">
        <v>3935</v>
      </c>
    </row>
    <row r="270" spans="1:30" ht="18" customHeight="1">
      <c r="A270" s="3" t="s">
        <v>3936</v>
      </c>
      <c r="B270" s="3" t="s">
        <v>3937</v>
      </c>
      <c r="C270" s="3" t="s">
        <v>3938</v>
      </c>
      <c r="D270" s="4">
        <v>3</v>
      </c>
      <c r="E270" s="8" t="s">
        <v>3939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</row>
    <row r="271" spans="1:30" ht="12.75">
      <c r="A271" s="7" t="s">
        <v>3940</v>
      </c>
      <c r="B271" s="7" t="s">
        <v>3941</v>
      </c>
      <c r="C271" s="7" t="s">
        <v>3942</v>
      </c>
      <c r="D271" s="4">
        <v>4</v>
      </c>
      <c r="E271" s="5" t="s">
        <v>3943</v>
      </c>
    </row>
    <row r="272" spans="1:30" ht="12.75">
      <c r="A272" s="7" t="s">
        <v>3944</v>
      </c>
      <c r="B272" s="7" t="s">
        <v>3945</v>
      </c>
      <c r="C272" s="7" t="s">
        <v>3946</v>
      </c>
      <c r="D272" s="4">
        <v>4</v>
      </c>
      <c r="E272" s="5" t="s">
        <v>3947</v>
      </c>
    </row>
    <row r="273" spans="1:30" ht="12.75">
      <c r="A273" s="7" t="s">
        <v>3948</v>
      </c>
      <c r="B273" s="7" t="s">
        <v>3949</v>
      </c>
      <c r="C273" s="7" t="s">
        <v>3950</v>
      </c>
      <c r="D273" s="4">
        <v>4</v>
      </c>
      <c r="E273" s="5" t="s">
        <v>3951</v>
      </c>
    </row>
    <row r="274" spans="1:30" ht="18" customHeight="1">
      <c r="A274" s="3" t="s">
        <v>3952</v>
      </c>
      <c r="B274" s="3" t="s">
        <v>3953</v>
      </c>
      <c r="C274" s="3" t="s">
        <v>3954</v>
      </c>
      <c r="D274" s="4">
        <v>2</v>
      </c>
      <c r="E274" s="8" t="s">
        <v>3955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</row>
    <row r="275" spans="1:30" ht="18" customHeight="1">
      <c r="A275" s="3" t="s">
        <v>3956</v>
      </c>
      <c r="B275" s="3" t="s">
        <v>3957</v>
      </c>
      <c r="C275" s="3" t="s">
        <v>3958</v>
      </c>
      <c r="D275" s="4">
        <v>3</v>
      </c>
      <c r="E275" s="8" t="s">
        <v>3959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</row>
    <row r="276" spans="1:30" ht="12.75">
      <c r="A276" s="7" t="s">
        <v>3960</v>
      </c>
      <c r="B276" s="7" t="s">
        <v>3961</v>
      </c>
      <c r="C276" s="7" t="s">
        <v>3962</v>
      </c>
      <c r="D276" s="4">
        <v>4</v>
      </c>
      <c r="E276" s="5" t="s">
        <v>3963</v>
      </c>
    </row>
    <row r="277" spans="1:30" ht="12.75">
      <c r="A277" s="7" t="s">
        <v>3964</v>
      </c>
      <c r="B277" s="7" t="s">
        <v>3965</v>
      </c>
      <c r="C277" s="7" t="s">
        <v>3966</v>
      </c>
      <c r="D277" s="4">
        <v>4</v>
      </c>
      <c r="E277" s="5" t="s">
        <v>3967</v>
      </c>
    </row>
    <row r="278" spans="1:30" ht="12.75">
      <c r="A278" s="7" t="s">
        <v>3968</v>
      </c>
      <c r="B278" s="7" t="s">
        <v>3969</v>
      </c>
      <c r="C278" s="7" t="s">
        <v>3970</v>
      </c>
      <c r="D278" s="4">
        <v>4</v>
      </c>
      <c r="E278" s="5" t="s">
        <v>3971</v>
      </c>
    </row>
    <row r="279" spans="1:30" ht="18" customHeight="1">
      <c r="A279" s="3" t="s">
        <v>3972</v>
      </c>
      <c r="B279" s="3" t="s">
        <v>3973</v>
      </c>
      <c r="C279" s="3" t="s">
        <v>3974</v>
      </c>
      <c r="D279" s="4">
        <v>3</v>
      </c>
      <c r="E279" s="8" t="s">
        <v>3975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</row>
    <row r="280" spans="1:30" ht="12.75">
      <c r="A280" s="7" t="s">
        <v>3976</v>
      </c>
      <c r="B280" s="7" t="s">
        <v>3977</v>
      </c>
      <c r="C280" s="7" t="s">
        <v>3978</v>
      </c>
      <c r="D280" s="4">
        <v>4</v>
      </c>
      <c r="E280" s="5" t="s">
        <v>3979</v>
      </c>
    </row>
    <row r="281" spans="1:30" ht="12.75">
      <c r="A281" s="7" t="s">
        <v>3980</v>
      </c>
      <c r="B281" s="7" t="s">
        <v>3981</v>
      </c>
      <c r="C281" s="7" t="s">
        <v>3982</v>
      </c>
      <c r="D281" s="4">
        <v>4</v>
      </c>
      <c r="E281" s="5" t="s">
        <v>3983</v>
      </c>
    </row>
    <row r="282" spans="1:30" ht="12.75">
      <c r="A282" s="7" t="s">
        <v>3984</v>
      </c>
      <c r="B282" s="7" t="s">
        <v>3985</v>
      </c>
      <c r="C282" s="7" t="s">
        <v>3986</v>
      </c>
      <c r="D282" s="4">
        <v>4</v>
      </c>
      <c r="E282" s="5" t="s">
        <v>3987</v>
      </c>
    </row>
    <row r="283" spans="1:30" ht="18" customHeight="1">
      <c r="A283" s="3" t="s">
        <v>3988</v>
      </c>
      <c r="B283" s="3" t="s">
        <v>3989</v>
      </c>
      <c r="C283" s="3" t="s">
        <v>3990</v>
      </c>
      <c r="D283" s="4">
        <v>2</v>
      </c>
      <c r="E283" s="8" t="s">
        <v>3991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</row>
    <row r="284" spans="1:30" ht="18" customHeight="1">
      <c r="A284" s="3" t="s">
        <v>3992</v>
      </c>
      <c r="B284" s="3" t="s">
        <v>3993</v>
      </c>
      <c r="C284" s="3" t="s">
        <v>3994</v>
      </c>
      <c r="D284" s="4">
        <v>3</v>
      </c>
      <c r="E284" s="8" t="s">
        <v>3995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</row>
    <row r="285" spans="1:30" ht="12.75">
      <c r="A285" s="7" t="s">
        <v>3996</v>
      </c>
      <c r="B285" s="7" t="s">
        <v>3997</v>
      </c>
      <c r="C285" s="7" t="s">
        <v>3998</v>
      </c>
      <c r="D285" s="4">
        <v>4</v>
      </c>
      <c r="E285" s="5" t="s">
        <v>3999</v>
      </c>
    </row>
    <row r="286" spans="1:30" ht="12.75">
      <c r="A286" s="7" t="s">
        <v>4000</v>
      </c>
      <c r="B286" s="7" t="s">
        <v>4001</v>
      </c>
      <c r="C286" s="7" t="s">
        <v>4002</v>
      </c>
      <c r="D286" s="4">
        <v>4</v>
      </c>
      <c r="E286" s="5" t="s">
        <v>4003</v>
      </c>
    </row>
    <row r="287" spans="1:30" ht="18" customHeight="1">
      <c r="A287" s="3" t="s">
        <v>4004</v>
      </c>
      <c r="B287" s="3" t="s">
        <v>4005</v>
      </c>
      <c r="C287" s="3" t="s">
        <v>4006</v>
      </c>
      <c r="D287" s="4">
        <v>3</v>
      </c>
      <c r="E287" s="8" t="s">
        <v>4007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</row>
    <row r="288" spans="1:30" ht="12.75">
      <c r="A288" s="7" t="s">
        <v>4008</v>
      </c>
      <c r="B288" s="7" t="s">
        <v>4009</v>
      </c>
      <c r="C288" s="7" t="s">
        <v>4010</v>
      </c>
      <c r="D288" s="4">
        <v>4</v>
      </c>
      <c r="E288" s="5" t="s">
        <v>4011</v>
      </c>
    </row>
    <row r="289" spans="1:30" ht="12.75">
      <c r="A289" s="7" t="s">
        <v>4012</v>
      </c>
      <c r="B289" s="7" t="s">
        <v>4013</v>
      </c>
      <c r="C289" s="7" t="s">
        <v>4014</v>
      </c>
      <c r="D289" s="4">
        <v>4</v>
      </c>
      <c r="E289" s="5" t="s">
        <v>4015</v>
      </c>
    </row>
    <row r="290" spans="1:30" ht="18" customHeight="1">
      <c r="A290" s="3" t="s">
        <v>4016</v>
      </c>
      <c r="B290" s="3" t="s">
        <v>4017</v>
      </c>
      <c r="C290" s="3" t="s">
        <v>4018</v>
      </c>
      <c r="D290" s="4">
        <v>2</v>
      </c>
      <c r="E290" s="8" t="s">
        <v>4019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</row>
    <row r="291" spans="1:30" ht="12.75">
      <c r="A291" s="3" t="s">
        <v>4020</v>
      </c>
      <c r="B291" s="3" t="s">
        <v>4021</v>
      </c>
      <c r="C291" s="3" t="s">
        <v>4022</v>
      </c>
      <c r="D291" s="4">
        <v>3</v>
      </c>
      <c r="E291" s="8" t="s">
        <v>4023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</row>
    <row r="292" spans="1:30" ht="12.75">
      <c r="A292" s="7" t="s">
        <v>4024</v>
      </c>
      <c r="B292" s="7" t="s">
        <v>4025</v>
      </c>
      <c r="C292" s="7" t="s">
        <v>4026</v>
      </c>
      <c r="D292" s="4">
        <v>4</v>
      </c>
      <c r="E292" s="5" t="s">
        <v>4027</v>
      </c>
    </row>
    <row r="293" spans="1:30" ht="12.75">
      <c r="A293" s="7" t="s">
        <v>4028</v>
      </c>
      <c r="B293" s="7" t="s">
        <v>4029</v>
      </c>
      <c r="C293" s="7" t="s">
        <v>4030</v>
      </c>
      <c r="D293" s="4">
        <v>4</v>
      </c>
      <c r="E293" s="5" t="s">
        <v>4031</v>
      </c>
    </row>
    <row r="294" spans="1:30" ht="12.75">
      <c r="A294" s="7" t="s">
        <v>4032</v>
      </c>
      <c r="B294" s="7" t="s">
        <v>4033</v>
      </c>
      <c r="C294" s="7" t="s">
        <v>4034</v>
      </c>
      <c r="D294" s="4">
        <v>4</v>
      </c>
      <c r="E294" s="5" t="s">
        <v>4035</v>
      </c>
    </row>
    <row r="295" spans="1:30" ht="12.75">
      <c r="A295" s="3" t="s">
        <v>4036</v>
      </c>
      <c r="B295" s="3" t="s">
        <v>4037</v>
      </c>
      <c r="C295" s="3" t="s">
        <v>4038</v>
      </c>
      <c r="D295" s="4">
        <v>3</v>
      </c>
      <c r="E295" s="8" t="s">
        <v>4039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</row>
    <row r="296" spans="1:30" ht="12.75">
      <c r="A296" s="7" t="s">
        <v>4040</v>
      </c>
      <c r="B296" s="7" t="s">
        <v>4041</v>
      </c>
      <c r="C296" s="7" t="s">
        <v>4042</v>
      </c>
      <c r="D296" s="4">
        <v>4</v>
      </c>
      <c r="E296" s="5" t="s">
        <v>4043</v>
      </c>
    </row>
    <row r="297" spans="1:30" ht="12.75">
      <c r="A297" s="7" t="s">
        <v>4044</v>
      </c>
      <c r="B297" s="7" t="s">
        <v>4045</v>
      </c>
      <c r="C297" s="7" t="s">
        <v>4046</v>
      </c>
      <c r="D297" s="4">
        <v>4</v>
      </c>
      <c r="E297" s="5" t="s">
        <v>4047</v>
      </c>
    </row>
    <row r="298" spans="1:30" ht="12.75">
      <c r="A298" s="3" t="s">
        <v>4048</v>
      </c>
      <c r="B298" s="3" t="s">
        <v>4049</v>
      </c>
      <c r="C298" s="3" t="s">
        <v>4050</v>
      </c>
      <c r="D298" s="4">
        <v>3</v>
      </c>
      <c r="E298" s="8" t="s">
        <v>4051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</row>
    <row r="299" spans="1:30" ht="12.75">
      <c r="A299" s="7" t="s">
        <v>4052</v>
      </c>
      <c r="B299" s="7" t="s">
        <v>4053</v>
      </c>
      <c r="C299" s="7" t="s">
        <v>4054</v>
      </c>
      <c r="D299" s="4">
        <v>4</v>
      </c>
      <c r="E299" s="5" t="s">
        <v>4055</v>
      </c>
    </row>
    <row r="300" spans="1:30" ht="12.75">
      <c r="A300" s="7" t="s">
        <v>4056</v>
      </c>
      <c r="B300" s="7" t="s">
        <v>4057</v>
      </c>
      <c r="C300" s="7" t="s">
        <v>4058</v>
      </c>
      <c r="D300" s="4">
        <v>4</v>
      </c>
      <c r="E300" s="5" t="s">
        <v>4059</v>
      </c>
    </row>
    <row r="301" spans="1:30" ht="12.75">
      <c r="A301" s="7"/>
      <c r="B301" s="7"/>
      <c r="C301" s="7"/>
      <c r="D301" s="6"/>
      <c r="E301" s="5"/>
    </row>
  </sheetData>
  <autoFilter ref="A1:AD300" xr:uid="{00000000-0009-0000-0000-000020000000}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H118"/>
  <sheetViews>
    <sheetView workbookViewId="0"/>
  </sheetViews>
  <sheetFormatPr defaultColWidth="12.5703125" defaultRowHeight="15.75" customHeight="1"/>
  <sheetData>
    <row r="1" spans="1:8">
      <c r="A1" s="254" t="s">
        <v>6156</v>
      </c>
    </row>
    <row r="2" spans="1:8">
      <c r="A2" s="255"/>
    </row>
    <row r="3" spans="1:8">
      <c r="A3" s="256" t="s">
        <v>6157</v>
      </c>
      <c r="B3" s="256" t="s">
        <v>6158</v>
      </c>
      <c r="C3" s="256" t="s">
        <v>4934</v>
      </c>
      <c r="D3" s="256" t="s">
        <v>4951</v>
      </c>
      <c r="E3" s="256" t="s">
        <v>6159</v>
      </c>
      <c r="F3" s="256" t="s">
        <v>6160</v>
      </c>
      <c r="G3" s="256" t="s">
        <v>6161</v>
      </c>
      <c r="H3" s="257" t="s">
        <v>6162</v>
      </c>
    </row>
    <row r="4" spans="1:8">
      <c r="A4" s="251">
        <v>1</v>
      </c>
      <c r="B4" s="251" t="s">
        <v>6163</v>
      </c>
      <c r="C4" s="251" t="s">
        <v>5367</v>
      </c>
      <c r="D4" s="251" t="s">
        <v>6164</v>
      </c>
      <c r="E4" s="251" t="s">
        <v>5570</v>
      </c>
      <c r="F4" s="251" t="s">
        <v>6165</v>
      </c>
      <c r="G4" s="251" t="s">
        <v>6166</v>
      </c>
      <c r="H4" s="252" t="s">
        <v>6167</v>
      </c>
    </row>
    <row r="5" spans="1:8">
      <c r="A5" s="251">
        <v>2</v>
      </c>
      <c r="B5" s="251" t="s">
        <v>6168</v>
      </c>
      <c r="C5" s="251" t="s">
        <v>5418</v>
      </c>
      <c r="D5" s="251" t="s">
        <v>6169</v>
      </c>
      <c r="E5" s="251" t="s">
        <v>5570</v>
      </c>
      <c r="F5" s="251" t="s">
        <v>6165</v>
      </c>
      <c r="G5" s="251" t="s">
        <v>6166</v>
      </c>
      <c r="H5" s="252" t="s">
        <v>6167</v>
      </c>
    </row>
    <row r="6" spans="1:8">
      <c r="A6" s="251">
        <v>3</v>
      </c>
      <c r="B6" s="251" t="s">
        <v>6170</v>
      </c>
      <c r="C6" s="251" t="s">
        <v>5420</v>
      </c>
      <c r="D6" s="251" t="s">
        <v>6171</v>
      </c>
      <c r="E6" s="251" t="s">
        <v>5570</v>
      </c>
      <c r="F6" s="251" t="s">
        <v>6165</v>
      </c>
      <c r="G6" s="251" t="s">
        <v>6166</v>
      </c>
      <c r="H6" s="252" t="s">
        <v>6167</v>
      </c>
    </row>
    <row r="7" spans="1:8">
      <c r="A7" s="251">
        <v>4</v>
      </c>
      <c r="B7" s="251" t="s">
        <v>6172</v>
      </c>
      <c r="C7" s="251" t="s">
        <v>5422</v>
      </c>
      <c r="D7" s="251" t="s">
        <v>6173</v>
      </c>
      <c r="E7" s="251" t="s">
        <v>5570</v>
      </c>
      <c r="F7" s="251" t="s">
        <v>6165</v>
      </c>
      <c r="G7" s="251" t="s">
        <v>6174</v>
      </c>
      <c r="H7" s="252" t="s">
        <v>6167</v>
      </c>
    </row>
    <row r="8" spans="1:8">
      <c r="A8" s="251">
        <v>5</v>
      </c>
      <c r="B8" s="251" t="s">
        <v>6175</v>
      </c>
      <c r="C8" s="251" t="s">
        <v>5424</v>
      </c>
      <c r="D8" s="251" t="s">
        <v>6176</v>
      </c>
      <c r="E8" s="251" t="s">
        <v>5570</v>
      </c>
      <c r="F8" s="251" t="s">
        <v>6165</v>
      </c>
      <c r="G8" s="251" t="s">
        <v>6177</v>
      </c>
      <c r="H8" s="252" t="s">
        <v>6167</v>
      </c>
    </row>
    <row r="9" spans="1:8">
      <c r="A9" s="251">
        <v>6</v>
      </c>
      <c r="B9" s="251" t="s">
        <v>6178</v>
      </c>
      <c r="C9" s="251" t="s">
        <v>5427</v>
      </c>
      <c r="D9" s="251" t="s">
        <v>6179</v>
      </c>
      <c r="E9" s="251" t="s">
        <v>5570</v>
      </c>
      <c r="F9" s="251" t="s">
        <v>6165</v>
      </c>
      <c r="G9" s="251" t="s">
        <v>6174</v>
      </c>
      <c r="H9" s="252" t="s">
        <v>6167</v>
      </c>
    </row>
    <row r="10" spans="1:8">
      <c r="A10" s="251">
        <v>7</v>
      </c>
      <c r="B10" s="251" t="s">
        <v>6180</v>
      </c>
      <c r="C10" s="251" t="s">
        <v>5429</v>
      </c>
      <c r="D10" s="251" t="s">
        <v>6181</v>
      </c>
      <c r="E10" s="251" t="s">
        <v>5570</v>
      </c>
      <c r="F10" s="251" t="s">
        <v>6165</v>
      </c>
      <c r="G10" s="251" t="s">
        <v>6174</v>
      </c>
      <c r="H10" s="252" t="s">
        <v>6167</v>
      </c>
    </row>
    <row r="11" spans="1:8">
      <c r="A11" s="251">
        <v>8</v>
      </c>
      <c r="B11" s="251" t="s">
        <v>6182</v>
      </c>
      <c r="C11" s="251" t="s">
        <v>5432</v>
      </c>
      <c r="D11" s="251" t="s">
        <v>6183</v>
      </c>
      <c r="E11" s="251" t="s">
        <v>5570</v>
      </c>
      <c r="F11" s="251" t="s">
        <v>6165</v>
      </c>
      <c r="G11" s="251" t="s">
        <v>6174</v>
      </c>
      <c r="H11" s="252" t="s">
        <v>6167</v>
      </c>
    </row>
    <row r="12" spans="1:8">
      <c r="A12" s="251">
        <v>9</v>
      </c>
      <c r="B12" s="251" t="s">
        <v>6184</v>
      </c>
      <c r="C12" s="251" t="s">
        <v>5438</v>
      </c>
      <c r="D12" s="251" t="s">
        <v>6185</v>
      </c>
      <c r="E12" s="251" t="s">
        <v>5570</v>
      </c>
      <c r="F12" s="251" t="s">
        <v>6165</v>
      </c>
      <c r="G12" s="251" t="s">
        <v>6186</v>
      </c>
      <c r="H12" s="252" t="s">
        <v>6167</v>
      </c>
    </row>
    <row r="13" spans="1:8">
      <c r="A13" s="251">
        <v>10</v>
      </c>
      <c r="B13" s="251" t="s">
        <v>5443</v>
      </c>
      <c r="C13" s="251" t="s">
        <v>5444</v>
      </c>
      <c r="D13" s="251" t="s">
        <v>6187</v>
      </c>
      <c r="E13" s="251" t="s">
        <v>5460</v>
      </c>
      <c r="F13" s="251" t="s">
        <v>6165</v>
      </c>
      <c r="G13" s="251" t="s">
        <v>6188</v>
      </c>
      <c r="H13" s="252" t="s">
        <v>6167</v>
      </c>
    </row>
    <row r="14" spans="1:8">
      <c r="A14" s="251">
        <v>11</v>
      </c>
      <c r="B14" s="251" t="s">
        <v>6189</v>
      </c>
      <c r="C14" s="251" t="s">
        <v>5449</v>
      </c>
      <c r="D14" s="251" t="s">
        <v>6190</v>
      </c>
      <c r="E14" s="251" t="s">
        <v>5460</v>
      </c>
      <c r="F14" s="251" t="s">
        <v>6165</v>
      </c>
      <c r="G14" s="251" t="s">
        <v>6186</v>
      </c>
      <c r="H14" s="252" t="s">
        <v>6167</v>
      </c>
    </row>
    <row r="15" spans="1:8">
      <c r="A15" s="251">
        <v>12</v>
      </c>
      <c r="B15" s="251" t="s">
        <v>6191</v>
      </c>
      <c r="C15" s="251" t="s">
        <v>5453</v>
      </c>
      <c r="D15" s="251" t="s">
        <v>6192</v>
      </c>
      <c r="E15" s="251" t="s">
        <v>5570</v>
      </c>
      <c r="F15" s="251" t="s">
        <v>6165</v>
      </c>
      <c r="G15" s="251" t="s">
        <v>6166</v>
      </c>
      <c r="H15" s="252" t="s">
        <v>6167</v>
      </c>
    </row>
    <row r="16" spans="1:8">
      <c r="A16" s="254"/>
    </row>
    <row r="17" spans="1:8">
      <c r="A17" s="254" t="s">
        <v>6193</v>
      </c>
    </row>
    <row r="19" spans="1:8">
      <c r="A19" s="254" t="s">
        <v>6194</v>
      </c>
    </row>
    <row r="20" spans="1:8">
      <c r="A20" s="255"/>
    </row>
    <row r="21" spans="1:8">
      <c r="A21" s="256" t="s">
        <v>6157</v>
      </c>
      <c r="B21" s="256" t="s">
        <v>6158</v>
      </c>
      <c r="C21" s="256" t="s">
        <v>4934</v>
      </c>
      <c r="D21" s="256" t="s">
        <v>4951</v>
      </c>
      <c r="E21" s="256" t="s">
        <v>6159</v>
      </c>
      <c r="F21" s="256" t="s">
        <v>6160</v>
      </c>
      <c r="G21" s="256" t="s">
        <v>6161</v>
      </c>
      <c r="H21" s="257" t="s">
        <v>6162</v>
      </c>
    </row>
    <row r="22" spans="1:8">
      <c r="A22" s="251">
        <v>1</v>
      </c>
      <c r="B22" s="251" t="s">
        <v>4125</v>
      </c>
      <c r="C22" s="251" t="s">
        <v>4126</v>
      </c>
      <c r="D22" s="251" t="s">
        <v>6195</v>
      </c>
      <c r="E22" s="251" t="s">
        <v>4126</v>
      </c>
      <c r="F22" s="251" t="s">
        <v>6165</v>
      </c>
      <c r="G22" s="251" t="s">
        <v>6166</v>
      </c>
      <c r="H22" s="252" t="s">
        <v>6167</v>
      </c>
    </row>
    <row r="23" spans="1:8">
      <c r="A23" s="251">
        <v>2</v>
      </c>
      <c r="B23" s="251" t="s">
        <v>6196</v>
      </c>
      <c r="C23" s="251" t="s">
        <v>5459</v>
      </c>
      <c r="D23" s="251" t="s">
        <v>6197</v>
      </c>
      <c r="E23" s="251" t="s">
        <v>4126</v>
      </c>
      <c r="F23" s="251" t="s">
        <v>6165</v>
      </c>
      <c r="G23" s="251" t="s">
        <v>6174</v>
      </c>
      <c r="H23" s="252" t="s">
        <v>6167</v>
      </c>
    </row>
    <row r="24" spans="1:8">
      <c r="A24" s="251">
        <v>3</v>
      </c>
      <c r="B24" s="251" t="s">
        <v>6198</v>
      </c>
      <c r="C24" s="251" t="s">
        <v>5459</v>
      </c>
      <c r="D24" s="251" t="s">
        <v>6199</v>
      </c>
      <c r="E24" s="251" t="s">
        <v>4126</v>
      </c>
      <c r="F24" s="251" t="s">
        <v>6165</v>
      </c>
      <c r="G24" s="251" t="s">
        <v>6174</v>
      </c>
      <c r="H24" s="252" t="s">
        <v>6167</v>
      </c>
    </row>
    <row r="25" spans="1:8">
      <c r="A25" s="251">
        <v>4</v>
      </c>
      <c r="B25" s="251" t="s">
        <v>6200</v>
      </c>
      <c r="C25" s="251" t="s">
        <v>4126</v>
      </c>
      <c r="D25" s="251" t="s">
        <v>6201</v>
      </c>
      <c r="E25" s="251" t="s">
        <v>4126</v>
      </c>
      <c r="F25" s="251" t="s">
        <v>6165</v>
      </c>
      <c r="G25" s="251" t="s">
        <v>6166</v>
      </c>
      <c r="H25" s="252" t="s">
        <v>6167</v>
      </c>
    </row>
    <row r="26" spans="1:8">
      <c r="A26" s="251">
        <v>5</v>
      </c>
      <c r="B26" s="251" t="s">
        <v>6202</v>
      </c>
      <c r="C26" s="251" t="s">
        <v>5467</v>
      </c>
      <c r="D26" s="251" t="s">
        <v>6203</v>
      </c>
      <c r="E26" s="251" t="s">
        <v>4126</v>
      </c>
      <c r="F26" s="251" t="s">
        <v>6165</v>
      </c>
      <c r="G26" s="251" t="s">
        <v>6166</v>
      </c>
      <c r="H26" s="252" t="s">
        <v>6167</v>
      </c>
    </row>
    <row r="27" spans="1:8">
      <c r="A27" s="251">
        <v>6</v>
      </c>
      <c r="B27" s="251" t="s">
        <v>6204</v>
      </c>
      <c r="C27" s="251" t="s">
        <v>4120</v>
      </c>
      <c r="D27" s="251" t="s">
        <v>6205</v>
      </c>
      <c r="E27" s="251" t="s">
        <v>4120</v>
      </c>
      <c r="F27" s="251" t="s">
        <v>6165</v>
      </c>
      <c r="G27" s="251" t="s">
        <v>6166</v>
      </c>
      <c r="H27" s="252" t="s">
        <v>6167</v>
      </c>
    </row>
    <row r="28" spans="1:8">
      <c r="A28" s="251">
        <v>7</v>
      </c>
      <c r="B28" s="251" t="s">
        <v>6206</v>
      </c>
      <c r="C28" s="251" t="s">
        <v>4114</v>
      </c>
      <c r="D28" s="251" t="s">
        <v>6207</v>
      </c>
      <c r="E28" s="251" t="s">
        <v>4120</v>
      </c>
      <c r="F28" s="251" t="s">
        <v>6165</v>
      </c>
      <c r="G28" s="251" t="s">
        <v>6166</v>
      </c>
      <c r="H28" s="252" t="s">
        <v>6167</v>
      </c>
    </row>
    <row r="29" spans="1:8">
      <c r="A29" s="251">
        <v>8</v>
      </c>
      <c r="B29" s="251" t="s">
        <v>6208</v>
      </c>
      <c r="C29" s="251" t="s">
        <v>6209</v>
      </c>
      <c r="D29" s="251" t="s">
        <v>6210</v>
      </c>
      <c r="E29" s="251" t="s">
        <v>4126</v>
      </c>
      <c r="F29" s="251" t="s">
        <v>6165</v>
      </c>
      <c r="G29" s="251" t="s">
        <v>6166</v>
      </c>
      <c r="H29" s="252" t="s">
        <v>6167</v>
      </c>
    </row>
    <row r="30" spans="1:8">
      <c r="A30" s="251">
        <v>9</v>
      </c>
      <c r="B30" s="251" t="s">
        <v>6211</v>
      </c>
      <c r="C30" s="251" t="s">
        <v>5472</v>
      </c>
      <c r="D30" s="251" t="s">
        <v>6212</v>
      </c>
      <c r="E30" s="251" t="s">
        <v>4120</v>
      </c>
      <c r="F30" s="251" t="s">
        <v>6165</v>
      </c>
      <c r="G30" s="251" t="s">
        <v>6166</v>
      </c>
      <c r="H30" s="252" t="s">
        <v>6167</v>
      </c>
    </row>
    <row r="31" spans="1:8">
      <c r="A31" s="251">
        <v>10</v>
      </c>
      <c r="B31" s="251" t="s">
        <v>835</v>
      </c>
      <c r="C31" s="251" t="s">
        <v>4117</v>
      </c>
      <c r="D31" s="251" t="s">
        <v>6213</v>
      </c>
      <c r="E31" s="251" t="s">
        <v>4120</v>
      </c>
      <c r="F31" s="251" t="s">
        <v>6165</v>
      </c>
      <c r="G31" s="251" t="s">
        <v>6166</v>
      </c>
      <c r="H31" s="252" t="s">
        <v>6167</v>
      </c>
    </row>
    <row r="32" spans="1:8">
      <c r="A32" s="251">
        <v>11</v>
      </c>
      <c r="B32" s="251" t="s">
        <v>6214</v>
      </c>
      <c r="C32" s="251" t="s">
        <v>5475</v>
      </c>
      <c r="D32" s="251" t="s">
        <v>6215</v>
      </c>
      <c r="E32" s="251" t="s">
        <v>4120</v>
      </c>
      <c r="F32" s="251" t="s">
        <v>6165</v>
      </c>
      <c r="G32" s="251" t="s">
        <v>6166</v>
      </c>
      <c r="H32" s="252" t="s">
        <v>6167</v>
      </c>
    </row>
    <row r="33" spans="1:8">
      <c r="A33" s="254"/>
    </row>
    <row r="34" spans="1:8">
      <c r="A34" s="254" t="s">
        <v>6216</v>
      </c>
    </row>
    <row r="37" spans="1:8">
      <c r="A37" s="256" t="s">
        <v>6157</v>
      </c>
      <c r="B37" s="256" t="s">
        <v>6158</v>
      </c>
      <c r="C37" s="256" t="s">
        <v>4934</v>
      </c>
      <c r="D37" s="256" t="s">
        <v>4951</v>
      </c>
      <c r="E37" s="256" t="s">
        <v>6159</v>
      </c>
      <c r="F37" s="256" t="s">
        <v>6160</v>
      </c>
      <c r="G37" s="256" t="s">
        <v>6161</v>
      </c>
      <c r="H37" s="257" t="s">
        <v>6162</v>
      </c>
    </row>
    <row r="38" spans="1:8">
      <c r="A38" s="251">
        <v>13</v>
      </c>
      <c r="B38" s="251" t="s">
        <v>6217</v>
      </c>
      <c r="C38" s="251" t="s">
        <v>5477</v>
      </c>
      <c r="D38" s="251" t="s">
        <v>6218</v>
      </c>
      <c r="E38" s="251" t="s">
        <v>4120</v>
      </c>
      <c r="F38" s="251" t="s">
        <v>6165</v>
      </c>
      <c r="G38" s="251" t="s">
        <v>6166</v>
      </c>
      <c r="H38" s="252" t="s">
        <v>6167</v>
      </c>
    </row>
    <row r="39" spans="1:8">
      <c r="A39" s="251">
        <v>14</v>
      </c>
      <c r="B39" s="251" t="s">
        <v>6219</v>
      </c>
      <c r="C39" s="251" t="s">
        <v>5479</v>
      </c>
      <c r="D39" s="251" t="s">
        <v>6220</v>
      </c>
      <c r="E39" s="251" t="s">
        <v>4096</v>
      </c>
      <c r="F39" s="251" t="s">
        <v>6165</v>
      </c>
      <c r="G39" s="251" t="s">
        <v>6166</v>
      </c>
      <c r="H39" s="252" t="s">
        <v>6167</v>
      </c>
    </row>
    <row r="40" spans="1:8">
      <c r="A40" s="251">
        <v>15</v>
      </c>
      <c r="B40" s="251" t="s">
        <v>6221</v>
      </c>
      <c r="C40" s="251" t="s">
        <v>5481</v>
      </c>
      <c r="D40" s="251" t="s">
        <v>6222</v>
      </c>
      <c r="E40" s="251" t="s">
        <v>4096</v>
      </c>
      <c r="F40" s="251" t="s">
        <v>6165</v>
      </c>
      <c r="G40" s="251" t="s">
        <v>6166</v>
      </c>
      <c r="H40" s="252" t="s">
        <v>6167</v>
      </c>
    </row>
    <row r="41" spans="1:8">
      <c r="A41" s="251">
        <v>16</v>
      </c>
      <c r="B41" s="251" t="s">
        <v>6223</v>
      </c>
      <c r="C41" s="251" t="s">
        <v>5483</v>
      </c>
      <c r="D41" s="251" t="s">
        <v>6224</v>
      </c>
      <c r="E41" s="251" t="s">
        <v>4096</v>
      </c>
      <c r="F41" s="251" t="s">
        <v>6165</v>
      </c>
      <c r="G41" s="251" t="s">
        <v>6166</v>
      </c>
      <c r="H41" s="252" t="s">
        <v>6167</v>
      </c>
    </row>
    <row r="42" spans="1:8">
      <c r="A42" s="251">
        <v>17</v>
      </c>
      <c r="B42" s="251" t="s">
        <v>6225</v>
      </c>
      <c r="C42" s="251" t="s">
        <v>5485</v>
      </c>
      <c r="D42" s="251" t="s">
        <v>6226</v>
      </c>
      <c r="E42" s="251" t="s">
        <v>4093</v>
      </c>
      <c r="F42" s="251" t="s">
        <v>6165</v>
      </c>
      <c r="G42" s="251" t="s">
        <v>6166</v>
      </c>
      <c r="H42" s="252" t="s">
        <v>6167</v>
      </c>
    </row>
    <row r="43" spans="1:8">
      <c r="A43" s="251">
        <v>18</v>
      </c>
      <c r="B43" s="251" t="s">
        <v>6227</v>
      </c>
      <c r="C43" s="251" t="s">
        <v>5487</v>
      </c>
      <c r="D43" s="251" t="s">
        <v>6228</v>
      </c>
      <c r="E43" s="251" t="s">
        <v>4093</v>
      </c>
      <c r="F43" s="251" t="s">
        <v>6165</v>
      </c>
      <c r="G43" s="251" t="s">
        <v>6166</v>
      </c>
      <c r="H43" s="252" t="s">
        <v>6167</v>
      </c>
    </row>
    <row r="44" spans="1:8">
      <c r="A44" s="251">
        <v>19</v>
      </c>
      <c r="B44" s="251" t="s">
        <v>6229</v>
      </c>
      <c r="C44" s="251" t="s">
        <v>5489</v>
      </c>
      <c r="D44" s="251" t="s">
        <v>6230</v>
      </c>
      <c r="E44" s="251" t="s">
        <v>6231</v>
      </c>
      <c r="F44" s="251" t="s">
        <v>6165</v>
      </c>
      <c r="G44" s="251" t="s">
        <v>6166</v>
      </c>
      <c r="H44" s="252" t="s">
        <v>6167</v>
      </c>
    </row>
    <row r="45" spans="1:8">
      <c r="A45" s="251">
        <v>20</v>
      </c>
      <c r="B45" s="251" t="s">
        <v>6232</v>
      </c>
      <c r="C45" s="251" t="s">
        <v>4096</v>
      </c>
      <c r="D45" s="251" t="s">
        <v>6233</v>
      </c>
      <c r="E45" s="251" t="s">
        <v>4096</v>
      </c>
      <c r="F45" s="251" t="s">
        <v>6165</v>
      </c>
      <c r="G45" s="251" t="s">
        <v>6166</v>
      </c>
      <c r="H45" s="252" t="s">
        <v>6167</v>
      </c>
    </row>
    <row r="46" spans="1:8">
      <c r="A46" s="251">
        <v>21</v>
      </c>
      <c r="B46" s="251" t="s">
        <v>6234</v>
      </c>
      <c r="C46" s="251" t="s">
        <v>4093</v>
      </c>
      <c r="D46" s="251" t="s">
        <v>6235</v>
      </c>
      <c r="E46" s="251" t="s">
        <v>4093</v>
      </c>
      <c r="F46" s="251" t="s">
        <v>6165</v>
      </c>
      <c r="G46" s="251" t="s">
        <v>6166</v>
      </c>
      <c r="H46" s="252" t="s">
        <v>6167</v>
      </c>
    </row>
    <row r="47" spans="1:8">
      <c r="A47" s="251">
        <v>22</v>
      </c>
      <c r="B47" s="251" t="s">
        <v>6236</v>
      </c>
      <c r="C47" s="251" t="s">
        <v>5493</v>
      </c>
      <c r="D47" s="251" t="s">
        <v>6237</v>
      </c>
      <c r="E47" s="251" t="s">
        <v>4093</v>
      </c>
      <c r="F47" s="251" t="s">
        <v>6165</v>
      </c>
      <c r="G47" s="251" t="s">
        <v>6166</v>
      </c>
      <c r="H47" s="252" t="s">
        <v>6167</v>
      </c>
    </row>
    <row r="48" spans="1:8">
      <c r="A48" s="251">
        <v>23</v>
      </c>
      <c r="B48" s="251" t="s">
        <v>6238</v>
      </c>
      <c r="C48" s="251" t="s">
        <v>5495</v>
      </c>
      <c r="D48" s="251" t="s">
        <v>6239</v>
      </c>
      <c r="E48" s="251" t="s">
        <v>4093</v>
      </c>
      <c r="F48" s="251" t="s">
        <v>6165</v>
      </c>
      <c r="G48" s="251" t="s">
        <v>6166</v>
      </c>
      <c r="H48" s="252" t="s">
        <v>6167</v>
      </c>
    </row>
    <row r="49" spans="1:8">
      <c r="A49" s="251">
        <v>24</v>
      </c>
      <c r="B49" s="251" t="s">
        <v>5496</v>
      </c>
      <c r="C49" s="251" t="s">
        <v>5497</v>
      </c>
      <c r="D49" s="251" t="s">
        <v>6240</v>
      </c>
      <c r="E49" s="251" t="s">
        <v>6231</v>
      </c>
      <c r="F49" s="251" t="s">
        <v>6165</v>
      </c>
      <c r="G49" s="251" t="s">
        <v>6166</v>
      </c>
      <c r="H49" s="252" t="s">
        <v>6167</v>
      </c>
    </row>
    <row r="50" spans="1:8">
      <c r="A50" s="251">
        <v>25</v>
      </c>
      <c r="B50" s="251" t="s">
        <v>6241</v>
      </c>
      <c r="C50" s="251" t="s">
        <v>5499</v>
      </c>
      <c r="D50" s="251" t="s">
        <v>6242</v>
      </c>
      <c r="E50" s="251" t="s">
        <v>4096</v>
      </c>
      <c r="F50" s="251" t="s">
        <v>6165</v>
      </c>
      <c r="G50" s="251" t="s">
        <v>6166</v>
      </c>
      <c r="H50" s="252" t="s">
        <v>6167</v>
      </c>
    </row>
    <row r="51" spans="1:8">
      <c r="A51" s="251">
        <v>26</v>
      </c>
      <c r="B51" s="251" t="s">
        <v>6243</v>
      </c>
      <c r="C51" s="251" t="s">
        <v>5501</v>
      </c>
      <c r="D51" s="251" t="s">
        <v>6244</v>
      </c>
      <c r="E51" s="251" t="s">
        <v>6245</v>
      </c>
      <c r="F51" s="251" t="s">
        <v>6165</v>
      </c>
      <c r="G51" s="251" t="s">
        <v>6166</v>
      </c>
      <c r="H51" s="252" t="s">
        <v>6167</v>
      </c>
    </row>
    <row r="52" spans="1:8">
      <c r="A52" s="251">
        <v>27</v>
      </c>
      <c r="B52" s="251" t="s">
        <v>6246</v>
      </c>
      <c r="C52" s="251" t="s">
        <v>5503</v>
      </c>
      <c r="D52" s="251" t="s">
        <v>6247</v>
      </c>
      <c r="E52" s="251" t="s">
        <v>5528</v>
      </c>
      <c r="F52" s="251" t="s">
        <v>6165</v>
      </c>
      <c r="G52" s="251" t="s">
        <v>6166</v>
      </c>
      <c r="H52" s="252" t="s">
        <v>6167</v>
      </c>
    </row>
    <row r="53" spans="1:8">
      <c r="A53" s="251">
        <v>28</v>
      </c>
      <c r="B53" s="251" t="s">
        <v>6248</v>
      </c>
      <c r="C53" s="251" t="s">
        <v>5505</v>
      </c>
      <c r="D53" s="251" t="s">
        <v>6249</v>
      </c>
      <c r="E53" s="251" t="s">
        <v>4096</v>
      </c>
      <c r="F53" s="251" t="s">
        <v>6165</v>
      </c>
      <c r="G53" s="251" t="s">
        <v>6166</v>
      </c>
      <c r="H53" s="252" t="s">
        <v>6167</v>
      </c>
    </row>
    <row r="54" spans="1:8">
      <c r="A54" s="251">
        <v>29</v>
      </c>
      <c r="B54" s="251" t="s">
        <v>6250</v>
      </c>
      <c r="C54" s="251" t="s">
        <v>5507</v>
      </c>
      <c r="D54" s="251" t="s">
        <v>6251</v>
      </c>
      <c r="E54" s="251" t="s">
        <v>4096</v>
      </c>
      <c r="F54" s="251" t="s">
        <v>6165</v>
      </c>
      <c r="G54" s="251" t="s">
        <v>6166</v>
      </c>
      <c r="H54" s="252" t="s">
        <v>6167</v>
      </c>
    </row>
    <row r="55" spans="1:8">
      <c r="A55" s="251">
        <v>30</v>
      </c>
      <c r="B55" s="251" t="s">
        <v>479</v>
      </c>
      <c r="C55" s="251" t="s">
        <v>5509</v>
      </c>
      <c r="D55" s="251" t="s">
        <v>6252</v>
      </c>
      <c r="E55" s="251" t="s">
        <v>5454</v>
      </c>
      <c r="F55" s="251" t="s">
        <v>6165</v>
      </c>
      <c r="G55" s="251" t="s">
        <v>6166</v>
      </c>
      <c r="H55" s="252" t="s">
        <v>6167</v>
      </c>
    </row>
    <row r="56" spans="1:8">
      <c r="A56" s="254"/>
    </row>
    <row r="57" spans="1:8">
      <c r="A57" s="254" t="s">
        <v>6253</v>
      </c>
    </row>
    <row r="59" spans="1:8">
      <c r="A59" s="254" t="s">
        <v>6254</v>
      </c>
    </row>
    <row r="60" spans="1:8">
      <c r="A60" s="255"/>
    </row>
    <row r="61" spans="1:8">
      <c r="A61" s="256" t="s">
        <v>6157</v>
      </c>
      <c r="B61" s="256" t="s">
        <v>6158</v>
      </c>
      <c r="C61" s="256" t="s">
        <v>4934</v>
      </c>
      <c r="D61" s="256" t="s">
        <v>4951</v>
      </c>
      <c r="E61" s="256" t="s">
        <v>6159</v>
      </c>
      <c r="F61" s="256" t="s">
        <v>6160</v>
      </c>
      <c r="G61" s="256" t="s">
        <v>6161</v>
      </c>
      <c r="H61" s="257" t="s">
        <v>6162</v>
      </c>
    </row>
    <row r="62" spans="1:8">
      <c r="A62" s="251">
        <v>31</v>
      </c>
      <c r="B62" s="251" t="s">
        <v>6255</v>
      </c>
      <c r="C62" s="251" t="s">
        <v>4135</v>
      </c>
      <c r="D62" s="251" t="s">
        <v>6256</v>
      </c>
      <c r="E62" s="251" t="s">
        <v>4120</v>
      </c>
      <c r="F62" s="251" t="s">
        <v>6165</v>
      </c>
      <c r="G62" s="251" t="s">
        <v>6166</v>
      </c>
      <c r="H62" s="252" t="s">
        <v>6167</v>
      </c>
    </row>
    <row r="63" spans="1:8">
      <c r="A63" s="251">
        <v>32</v>
      </c>
      <c r="B63" s="251" t="s">
        <v>6257</v>
      </c>
      <c r="C63" s="251" t="s">
        <v>5512</v>
      </c>
      <c r="D63" s="251" t="s">
        <v>6258</v>
      </c>
      <c r="E63" s="251" t="s">
        <v>5460</v>
      </c>
      <c r="F63" s="251" t="s">
        <v>6165</v>
      </c>
      <c r="G63" s="251" t="s">
        <v>6166</v>
      </c>
      <c r="H63" s="252" t="s">
        <v>6167</v>
      </c>
    </row>
    <row r="64" spans="1:8">
      <c r="A64" s="251">
        <v>33</v>
      </c>
      <c r="B64" s="251" t="s">
        <v>6259</v>
      </c>
      <c r="C64" s="251" t="s">
        <v>5514</v>
      </c>
      <c r="D64" s="251" t="s">
        <v>6260</v>
      </c>
      <c r="E64" s="251" t="s">
        <v>6231</v>
      </c>
      <c r="F64" s="251" t="s">
        <v>6165</v>
      </c>
      <c r="G64" s="251" t="s">
        <v>6166</v>
      </c>
      <c r="H64" s="252" t="s">
        <v>6167</v>
      </c>
    </row>
    <row r="65" spans="1:8">
      <c r="A65" s="251">
        <v>34</v>
      </c>
      <c r="B65" s="251" t="s">
        <v>6261</v>
      </c>
      <c r="C65" s="251" t="s">
        <v>5460</v>
      </c>
      <c r="D65" s="251" t="s">
        <v>6262</v>
      </c>
      <c r="E65" s="251" t="s">
        <v>5460</v>
      </c>
      <c r="F65" s="251" t="s">
        <v>6165</v>
      </c>
      <c r="G65" s="251" t="s">
        <v>6166</v>
      </c>
      <c r="H65" s="252" t="s">
        <v>6167</v>
      </c>
    </row>
    <row r="66" spans="1:8">
      <c r="A66" s="251">
        <v>35</v>
      </c>
      <c r="B66" s="251" t="s">
        <v>6263</v>
      </c>
      <c r="C66" s="251" t="s">
        <v>5517</v>
      </c>
      <c r="D66" s="251" t="s">
        <v>6264</v>
      </c>
      <c r="E66" s="251" t="s">
        <v>5460</v>
      </c>
      <c r="F66" s="251" t="s">
        <v>6165</v>
      </c>
      <c r="G66" s="251" t="s">
        <v>6166</v>
      </c>
      <c r="H66" s="252" t="s">
        <v>6167</v>
      </c>
    </row>
    <row r="67" spans="1:8">
      <c r="A67" s="251">
        <v>36</v>
      </c>
      <c r="B67" s="251" t="s">
        <v>6265</v>
      </c>
      <c r="C67" s="251" t="s">
        <v>5519</v>
      </c>
      <c r="D67" s="251" t="s">
        <v>6266</v>
      </c>
      <c r="E67" s="251" t="s">
        <v>4120</v>
      </c>
      <c r="F67" s="251" t="s">
        <v>6165</v>
      </c>
      <c r="G67" s="251" t="s">
        <v>6166</v>
      </c>
      <c r="H67" s="252" t="s">
        <v>6167</v>
      </c>
    </row>
    <row r="68" spans="1:8">
      <c r="A68" s="251">
        <v>37</v>
      </c>
      <c r="B68" s="251" t="s">
        <v>6267</v>
      </c>
      <c r="C68" s="251" t="s">
        <v>4120</v>
      </c>
      <c r="D68" s="251" t="s">
        <v>6268</v>
      </c>
      <c r="E68" s="251" t="s">
        <v>4120</v>
      </c>
      <c r="F68" s="251" t="s">
        <v>6165</v>
      </c>
      <c r="G68" s="251" t="s">
        <v>6166</v>
      </c>
      <c r="H68" s="252" t="s">
        <v>6167</v>
      </c>
    </row>
    <row r="69" spans="1:8">
      <c r="A69" s="251">
        <v>38</v>
      </c>
      <c r="B69" s="251" t="s">
        <v>6269</v>
      </c>
      <c r="C69" s="251" t="s">
        <v>5424</v>
      </c>
      <c r="D69" s="251" t="s">
        <v>6270</v>
      </c>
      <c r="E69" s="251" t="s">
        <v>5424</v>
      </c>
      <c r="F69" s="251" t="s">
        <v>6165</v>
      </c>
      <c r="G69" s="251" t="s">
        <v>6166</v>
      </c>
      <c r="H69" s="252" t="s">
        <v>6167</v>
      </c>
    </row>
    <row r="70" spans="1:8">
      <c r="A70" s="251">
        <v>39</v>
      </c>
      <c r="B70" s="251" t="s">
        <v>6271</v>
      </c>
      <c r="C70" s="251" t="s">
        <v>5416</v>
      </c>
      <c r="D70" s="251" t="s">
        <v>6272</v>
      </c>
      <c r="E70" s="251" t="s">
        <v>6245</v>
      </c>
      <c r="F70" s="251" t="s">
        <v>6165</v>
      </c>
      <c r="G70" s="251" t="s">
        <v>6166</v>
      </c>
      <c r="H70" s="252" t="s">
        <v>6167</v>
      </c>
    </row>
    <row r="71" spans="1:8">
      <c r="A71" s="254"/>
    </row>
    <row r="72" spans="1:8">
      <c r="A72" s="254" t="s">
        <v>6273</v>
      </c>
    </row>
    <row r="74" spans="1:8">
      <c r="A74" s="254" t="s">
        <v>6274</v>
      </c>
    </row>
    <row r="75" spans="1:8">
      <c r="A75" s="255"/>
    </row>
    <row r="76" spans="1:8">
      <c r="A76" s="256" t="s">
        <v>6157</v>
      </c>
      <c r="B76" s="256" t="s">
        <v>6158</v>
      </c>
      <c r="C76" s="256" t="s">
        <v>4934</v>
      </c>
      <c r="D76" s="256" t="s">
        <v>4951</v>
      </c>
      <c r="E76" s="256" t="s">
        <v>6159</v>
      </c>
      <c r="F76" s="256" t="s">
        <v>6160</v>
      </c>
      <c r="G76" s="256" t="s">
        <v>6161</v>
      </c>
      <c r="H76" s="257" t="s">
        <v>6162</v>
      </c>
    </row>
    <row r="77" spans="1:8">
      <c r="A77" s="251">
        <v>40</v>
      </c>
      <c r="B77" s="251" t="s">
        <v>6275</v>
      </c>
      <c r="C77" s="251" t="s">
        <v>5524</v>
      </c>
      <c r="D77" s="251" t="s">
        <v>6276</v>
      </c>
      <c r="E77" s="251" t="s">
        <v>6245</v>
      </c>
      <c r="F77" s="251" t="s">
        <v>6165</v>
      </c>
      <c r="G77" s="251" t="s">
        <v>6166</v>
      </c>
      <c r="H77" s="252" t="s">
        <v>6167</v>
      </c>
    </row>
    <row r="78" spans="1:8">
      <c r="A78" s="251">
        <v>41</v>
      </c>
      <c r="B78" s="251" t="s">
        <v>6277</v>
      </c>
      <c r="C78" s="251" t="s">
        <v>5526</v>
      </c>
      <c r="D78" s="251" t="s">
        <v>6278</v>
      </c>
      <c r="E78" s="251" t="s">
        <v>6245</v>
      </c>
      <c r="F78" s="251" t="s">
        <v>6165</v>
      </c>
      <c r="G78" s="251" t="s">
        <v>6166</v>
      </c>
      <c r="H78" s="252" t="s">
        <v>6167</v>
      </c>
    </row>
    <row r="79" spans="1:8">
      <c r="A79" s="251">
        <v>42</v>
      </c>
      <c r="B79" s="251" t="s">
        <v>6279</v>
      </c>
      <c r="C79" s="251" t="s">
        <v>5528</v>
      </c>
      <c r="D79" s="251" t="s">
        <v>6280</v>
      </c>
      <c r="E79" s="251" t="s">
        <v>5528</v>
      </c>
      <c r="F79" s="251" t="s">
        <v>6165</v>
      </c>
      <c r="G79" s="251" t="s">
        <v>6166</v>
      </c>
      <c r="H79" s="252" t="s">
        <v>6167</v>
      </c>
    </row>
    <row r="80" spans="1:8">
      <c r="A80" s="251">
        <v>43</v>
      </c>
      <c r="B80" s="251" t="s">
        <v>6281</v>
      </c>
      <c r="C80" s="251" t="s">
        <v>5530</v>
      </c>
      <c r="D80" s="251" t="s">
        <v>6282</v>
      </c>
      <c r="E80" s="251" t="s">
        <v>6245</v>
      </c>
      <c r="F80" s="251" t="s">
        <v>6165</v>
      </c>
      <c r="G80" s="251" t="s">
        <v>6166</v>
      </c>
      <c r="H80" s="252" t="s">
        <v>6167</v>
      </c>
    </row>
    <row r="81" spans="1:8">
      <c r="A81" s="251">
        <v>44</v>
      </c>
      <c r="B81" s="251" t="s">
        <v>6283</v>
      </c>
      <c r="C81" s="251" t="s">
        <v>5532</v>
      </c>
      <c r="D81" s="251" t="s">
        <v>6284</v>
      </c>
      <c r="E81" s="251" t="s">
        <v>6245</v>
      </c>
      <c r="F81" s="251" t="s">
        <v>6165</v>
      </c>
      <c r="G81" s="251" t="s">
        <v>6166</v>
      </c>
      <c r="H81" s="252" t="s">
        <v>6167</v>
      </c>
    </row>
    <row r="82" spans="1:8">
      <c r="A82" s="251">
        <v>45</v>
      </c>
      <c r="B82" s="251" t="s">
        <v>6285</v>
      </c>
      <c r="C82" s="251" t="s">
        <v>5534</v>
      </c>
      <c r="D82" s="251" t="s">
        <v>6286</v>
      </c>
      <c r="E82" s="251" t="s">
        <v>6231</v>
      </c>
      <c r="F82" s="251" t="s">
        <v>6165</v>
      </c>
      <c r="G82" s="251" t="s">
        <v>6166</v>
      </c>
      <c r="H82" s="252" t="s">
        <v>6167</v>
      </c>
    </row>
    <row r="83" spans="1:8">
      <c r="A83" s="251">
        <v>46</v>
      </c>
      <c r="B83" s="251" t="s">
        <v>6287</v>
      </c>
      <c r="C83" s="251" t="s">
        <v>5536</v>
      </c>
      <c r="D83" s="251" t="s">
        <v>6288</v>
      </c>
      <c r="E83" s="251" t="s">
        <v>5528</v>
      </c>
      <c r="F83" s="251" t="s">
        <v>6165</v>
      </c>
      <c r="G83" s="251" t="s">
        <v>6166</v>
      </c>
      <c r="H83" s="252" t="s">
        <v>6167</v>
      </c>
    </row>
    <row r="84" spans="1:8">
      <c r="A84" s="251">
        <v>47</v>
      </c>
      <c r="B84" s="251" t="s">
        <v>6289</v>
      </c>
      <c r="C84" s="251" t="s">
        <v>5538</v>
      </c>
      <c r="D84" s="251" t="s">
        <v>6290</v>
      </c>
      <c r="E84" s="251" t="s">
        <v>6231</v>
      </c>
      <c r="F84" s="251" t="s">
        <v>6165</v>
      </c>
      <c r="G84" s="251" t="s">
        <v>6166</v>
      </c>
      <c r="H84" s="252" t="s">
        <v>6167</v>
      </c>
    </row>
    <row r="85" spans="1:8">
      <c r="A85" s="251">
        <v>48</v>
      </c>
      <c r="B85" s="251" t="s">
        <v>6291</v>
      </c>
      <c r="C85" s="251" t="s">
        <v>5540</v>
      </c>
      <c r="D85" s="251" t="s">
        <v>6292</v>
      </c>
      <c r="E85" s="251" t="s">
        <v>6231</v>
      </c>
      <c r="F85" s="251" t="s">
        <v>6165</v>
      </c>
      <c r="G85" s="251" t="s">
        <v>6166</v>
      </c>
      <c r="H85" s="252" t="s">
        <v>6167</v>
      </c>
    </row>
    <row r="86" spans="1:8">
      <c r="A86" s="251">
        <v>49</v>
      </c>
      <c r="B86" s="251" t="s">
        <v>6293</v>
      </c>
      <c r="C86" s="251" t="s">
        <v>5542</v>
      </c>
      <c r="D86" s="251" t="s">
        <v>6294</v>
      </c>
      <c r="E86" s="251" t="s">
        <v>5528</v>
      </c>
      <c r="F86" s="251" t="s">
        <v>6165</v>
      </c>
      <c r="G86" s="251" t="s">
        <v>6166</v>
      </c>
      <c r="H86" s="252" t="s">
        <v>6167</v>
      </c>
    </row>
    <row r="87" spans="1:8">
      <c r="A87" s="251">
        <v>50</v>
      </c>
      <c r="B87" s="251" t="s">
        <v>6295</v>
      </c>
      <c r="C87" s="251" t="s">
        <v>4108</v>
      </c>
      <c r="D87" s="251" t="s">
        <v>6296</v>
      </c>
      <c r="E87" s="251" t="s">
        <v>5689</v>
      </c>
      <c r="F87" s="251" t="s">
        <v>6165</v>
      </c>
      <c r="G87" s="251" t="s">
        <v>6166</v>
      </c>
      <c r="H87" s="252" t="s">
        <v>6167</v>
      </c>
    </row>
    <row r="88" spans="1:8">
      <c r="A88" s="251">
        <v>51</v>
      </c>
      <c r="B88" s="251" t="s">
        <v>6297</v>
      </c>
      <c r="C88" s="251" t="s">
        <v>5545</v>
      </c>
      <c r="D88" s="251" t="s">
        <v>6298</v>
      </c>
      <c r="E88" s="251" t="s">
        <v>5689</v>
      </c>
      <c r="F88" s="251" t="s">
        <v>6165</v>
      </c>
      <c r="G88" s="251" t="s">
        <v>6166</v>
      </c>
      <c r="H88" s="252" t="s">
        <v>6167</v>
      </c>
    </row>
    <row r="89" spans="1:8">
      <c r="A89" s="251">
        <v>52</v>
      </c>
      <c r="B89" s="251" t="s">
        <v>6299</v>
      </c>
      <c r="C89" s="251" t="s">
        <v>5547</v>
      </c>
      <c r="D89" s="251" t="s">
        <v>6300</v>
      </c>
      <c r="E89" s="251" t="s">
        <v>6301</v>
      </c>
      <c r="F89" s="251" t="s">
        <v>6165</v>
      </c>
      <c r="G89" s="251" t="s">
        <v>6166</v>
      </c>
      <c r="H89" s="252" t="s">
        <v>6167</v>
      </c>
    </row>
    <row r="90" spans="1:8">
      <c r="A90" s="251">
        <v>53</v>
      </c>
      <c r="B90" s="251" t="s">
        <v>6302</v>
      </c>
      <c r="C90" s="251" t="s">
        <v>5549</v>
      </c>
      <c r="D90" s="251" t="s">
        <v>6303</v>
      </c>
      <c r="E90" s="251" t="s">
        <v>5424</v>
      </c>
      <c r="F90" s="251" t="s">
        <v>6165</v>
      </c>
      <c r="G90" s="251" t="s">
        <v>6166</v>
      </c>
      <c r="H90" s="252" t="s">
        <v>6167</v>
      </c>
    </row>
    <row r="91" spans="1:8">
      <c r="A91" s="251">
        <v>54</v>
      </c>
      <c r="B91" s="251" t="s">
        <v>6304</v>
      </c>
      <c r="C91" s="251" t="s">
        <v>5551</v>
      </c>
      <c r="D91" s="251" t="s">
        <v>6305</v>
      </c>
      <c r="E91" s="251" t="s">
        <v>6301</v>
      </c>
      <c r="F91" s="251" t="s">
        <v>6165</v>
      </c>
      <c r="G91" s="251" t="s">
        <v>6166</v>
      </c>
      <c r="H91" s="252" t="s">
        <v>6167</v>
      </c>
    </row>
    <row r="92" spans="1:8">
      <c r="A92" s="251">
        <v>55</v>
      </c>
      <c r="B92" s="251" t="s">
        <v>6306</v>
      </c>
      <c r="C92" s="251" t="s">
        <v>5553</v>
      </c>
      <c r="D92" s="251" t="s">
        <v>6307</v>
      </c>
      <c r="E92" s="251" t="s">
        <v>6301</v>
      </c>
      <c r="F92" s="251" t="s">
        <v>6165</v>
      </c>
      <c r="G92" s="251" t="s">
        <v>6166</v>
      </c>
      <c r="H92" s="252" t="s">
        <v>6167</v>
      </c>
    </row>
    <row r="93" spans="1:8">
      <c r="A93" s="251">
        <v>56</v>
      </c>
      <c r="B93" s="251" t="s">
        <v>6308</v>
      </c>
      <c r="C93" s="251" t="s">
        <v>5555</v>
      </c>
      <c r="D93" s="251" t="s">
        <v>6309</v>
      </c>
      <c r="E93" s="251" t="s">
        <v>6301</v>
      </c>
      <c r="F93" s="251" t="s">
        <v>6165</v>
      </c>
      <c r="G93" s="251" t="s">
        <v>6166</v>
      </c>
      <c r="H93" s="252" t="s">
        <v>6167</v>
      </c>
    </row>
    <row r="94" spans="1:8">
      <c r="A94" s="251">
        <v>57</v>
      </c>
      <c r="B94" s="251" t="s">
        <v>6310</v>
      </c>
      <c r="C94" s="251" t="s">
        <v>5557</v>
      </c>
      <c r="D94" s="251" t="s">
        <v>6311</v>
      </c>
      <c r="E94" s="251" t="s">
        <v>6231</v>
      </c>
      <c r="F94" s="251" t="s">
        <v>6165</v>
      </c>
      <c r="G94" s="251" t="s">
        <v>6166</v>
      </c>
      <c r="H94" s="252" t="s">
        <v>6167</v>
      </c>
    </row>
    <row r="95" spans="1:8">
      <c r="A95" s="251">
        <v>58</v>
      </c>
      <c r="B95" s="251" t="s">
        <v>6312</v>
      </c>
      <c r="C95" s="251" t="s">
        <v>4117</v>
      </c>
      <c r="D95" s="251" t="s">
        <v>6313</v>
      </c>
      <c r="E95" s="251" t="s">
        <v>5528</v>
      </c>
      <c r="F95" s="251" t="s">
        <v>6165</v>
      </c>
      <c r="G95" s="251" t="s">
        <v>6166</v>
      </c>
      <c r="H95" s="252" t="s">
        <v>6167</v>
      </c>
    </row>
    <row r="96" spans="1:8">
      <c r="A96" s="254"/>
    </row>
    <row r="97" spans="1:8">
      <c r="A97" s="254" t="s">
        <v>6314</v>
      </c>
    </row>
    <row r="99" spans="1:8">
      <c r="A99" s="256" t="s">
        <v>6157</v>
      </c>
      <c r="B99" s="256" t="s">
        <v>6158</v>
      </c>
      <c r="C99" s="256" t="s">
        <v>4934</v>
      </c>
      <c r="D99" s="256" t="s">
        <v>4951</v>
      </c>
      <c r="E99" s="256" t="s">
        <v>6159</v>
      </c>
      <c r="F99" s="256" t="s">
        <v>6160</v>
      </c>
      <c r="G99" s="256" t="s">
        <v>6161</v>
      </c>
      <c r="H99" s="257" t="s">
        <v>6162</v>
      </c>
    </row>
    <row r="100" spans="1:8">
      <c r="A100" s="251">
        <v>40</v>
      </c>
      <c r="B100" s="251" t="s">
        <v>6315</v>
      </c>
      <c r="C100" s="251" t="s">
        <v>5560</v>
      </c>
      <c r="D100" s="251" t="s">
        <v>6316</v>
      </c>
      <c r="E100" s="251" t="s">
        <v>6317</v>
      </c>
      <c r="F100" s="251" t="s">
        <v>6318</v>
      </c>
      <c r="G100" s="251" t="s">
        <v>6319</v>
      </c>
      <c r="H100" s="252" t="s">
        <v>6320</v>
      </c>
    </row>
    <row r="101" spans="1:8">
      <c r="A101" s="251">
        <v>41</v>
      </c>
      <c r="B101" s="251" t="s">
        <v>6321</v>
      </c>
      <c r="C101" s="251" t="s">
        <v>6322</v>
      </c>
      <c r="D101" s="251" t="s">
        <v>6323</v>
      </c>
      <c r="E101" s="251" t="s">
        <v>6324</v>
      </c>
      <c r="F101" s="251" t="s">
        <v>6318</v>
      </c>
      <c r="G101" s="251" t="s">
        <v>6166</v>
      </c>
      <c r="H101" s="252" t="s">
        <v>6325</v>
      </c>
    </row>
    <row r="102" spans="1:8">
      <c r="A102" s="251">
        <v>42</v>
      </c>
      <c r="B102" s="251" t="s">
        <v>6326</v>
      </c>
      <c r="C102" s="251" t="s">
        <v>5562</v>
      </c>
      <c r="D102" s="251" t="s">
        <v>6327</v>
      </c>
      <c r="E102" s="251" t="s">
        <v>6324</v>
      </c>
      <c r="F102" s="251" t="s">
        <v>6318</v>
      </c>
      <c r="G102" s="251" t="s">
        <v>6166</v>
      </c>
      <c r="H102" s="252" t="s">
        <v>6328</v>
      </c>
    </row>
    <row r="103" spans="1:8">
      <c r="A103" s="251">
        <v>43</v>
      </c>
      <c r="B103" s="251" t="s">
        <v>6329</v>
      </c>
      <c r="C103" s="251" t="s">
        <v>5564</v>
      </c>
      <c r="D103" s="251" t="s">
        <v>6330</v>
      </c>
      <c r="E103" s="251" t="s">
        <v>6324</v>
      </c>
      <c r="F103" s="251" t="s">
        <v>6318</v>
      </c>
      <c r="G103" s="251" t="s">
        <v>6166</v>
      </c>
      <c r="H103" s="252" t="s">
        <v>6331</v>
      </c>
    </row>
    <row r="104" spans="1:8">
      <c r="A104" s="251">
        <v>44</v>
      </c>
      <c r="B104" s="251" t="s">
        <v>6332</v>
      </c>
      <c r="C104" s="251" t="s">
        <v>5566</v>
      </c>
      <c r="D104" s="251" t="s">
        <v>6333</v>
      </c>
      <c r="E104" s="251" t="s">
        <v>6324</v>
      </c>
      <c r="F104" s="251" t="s">
        <v>6318</v>
      </c>
      <c r="G104" s="251" t="s">
        <v>6166</v>
      </c>
      <c r="H104" s="252" t="s">
        <v>6334</v>
      </c>
    </row>
    <row r="105" spans="1:8">
      <c r="A105" s="251">
        <v>45</v>
      </c>
      <c r="B105" s="251" t="s">
        <v>6335</v>
      </c>
      <c r="C105" s="251" t="s">
        <v>5568</v>
      </c>
      <c r="D105" s="251" t="s">
        <v>6336</v>
      </c>
      <c r="E105" s="251" t="s">
        <v>6324</v>
      </c>
      <c r="F105" s="251" t="s">
        <v>6318</v>
      </c>
      <c r="G105" s="251" t="s">
        <v>6166</v>
      </c>
      <c r="H105" s="252" t="s">
        <v>6337</v>
      </c>
    </row>
    <row r="106" spans="1:8">
      <c r="A106" s="251">
        <v>46</v>
      </c>
      <c r="B106" s="251" t="s">
        <v>6338</v>
      </c>
      <c r="C106" s="251" t="s">
        <v>5570</v>
      </c>
      <c r="D106" s="251" t="s">
        <v>6339</v>
      </c>
      <c r="E106" s="251" t="s">
        <v>6317</v>
      </c>
      <c r="F106" s="251" t="s">
        <v>6318</v>
      </c>
      <c r="G106" s="251" t="s">
        <v>6166</v>
      </c>
      <c r="H106" s="252" t="s">
        <v>6320</v>
      </c>
    </row>
    <row r="107" spans="1:8">
      <c r="A107" s="251">
        <v>47</v>
      </c>
      <c r="B107" s="251" t="s">
        <v>6271</v>
      </c>
      <c r="C107" s="251" t="s">
        <v>5416</v>
      </c>
      <c r="D107" s="251" t="s">
        <v>6340</v>
      </c>
      <c r="E107" s="251" t="s">
        <v>6245</v>
      </c>
      <c r="F107" s="251" t="s">
        <v>6318</v>
      </c>
      <c r="G107" s="251" t="s">
        <v>6166</v>
      </c>
      <c r="H107" s="252" t="s">
        <v>6341</v>
      </c>
    </row>
    <row r="108" spans="1:8">
      <c r="A108" s="251">
        <v>48</v>
      </c>
      <c r="B108" s="251" t="s">
        <v>6342</v>
      </c>
      <c r="C108" s="251" t="s">
        <v>6343</v>
      </c>
      <c r="D108" s="251" t="s">
        <v>6344</v>
      </c>
      <c r="E108" s="251" t="s">
        <v>6245</v>
      </c>
      <c r="F108" s="251" t="s">
        <v>6318</v>
      </c>
      <c r="G108" s="251" t="s">
        <v>6166</v>
      </c>
      <c r="H108" s="252" t="s">
        <v>6328</v>
      </c>
    </row>
    <row r="109" spans="1:8">
      <c r="A109" s="251">
        <v>49</v>
      </c>
      <c r="B109" s="251" t="s">
        <v>6345</v>
      </c>
      <c r="C109" s="251" t="s">
        <v>6346</v>
      </c>
      <c r="D109" s="251" t="s">
        <v>6347</v>
      </c>
      <c r="E109" s="251" t="s">
        <v>6245</v>
      </c>
      <c r="F109" s="251" t="s">
        <v>6318</v>
      </c>
      <c r="G109" s="251" t="s">
        <v>6166</v>
      </c>
      <c r="H109" s="252" t="s">
        <v>6348</v>
      </c>
    </row>
    <row r="110" spans="1:8">
      <c r="A110" s="251">
        <v>50</v>
      </c>
      <c r="B110" s="251" t="s">
        <v>6349</v>
      </c>
      <c r="C110" s="251" t="s">
        <v>6350</v>
      </c>
      <c r="D110" s="251" t="s">
        <v>6351</v>
      </c>
      <c r="E110" s="251" t="s">
        <v>6245</v>
      </c>
      <c r="F110" s="251" t="s">
        <v>6318</v>
      </c>
      <c r="G110" s="251" t="s">
        <v>6166</v>
      </c>
      <c r="H110" s="252" t="s">
        <v>6334</v>
      </c>
    </row>
    <row r="111" spans="1:8">
      <c r="A111" s="251">
        <v>51</v>
      </c>
      <c r="B111" s="251" t="s">
        <v>6352</v>
      </c>
      <c r="C111" s="251" t="s">
        <v>6353</v>
      </c>
      <c r="D111" s="251" t="s">
        <v>6354</v>
      </c>
      <c r="E111" s="251" t="s">
        <v>6245</v>
      </c>
      <c r="F111" s="251" t="s">
        <v>6318</v>
      </c>
      <c r="G111" s="251" t="s">
        <v>6166</v>
      </c>
      <c r="H111" s="252" t="s">
        <v>6337</v>
      </c>
    </row>
    <row r="112" spans="1:8">
      <c r="A112" s="251">
        <v>52</v>
      </c>
      <c r="B112" s="251" t="s">
        <v>6355</v>
      </c>
      <c r="C112" s="251" t="s">
        <v>5573</v>
      </c>
      <c r="D112" s="251" t="s">
        <v>6356</v>
      </c>
      <c r="E112" s="251" t="s">
        <v>6317</v>
      </c>
      <c r="F112" s="251" t="s">
        <v>6318</v>
      </c>
      <c r="G112" s="251" t="s">
        <v>6166</v>
      </c>
      <c r="H112" s="252" t="s">
        <v>6320</v>
      </c>
    </row>
    <row r="113" spans="1:8">
      <c r="A113" s="251">
        <v>53</v>
      </c>
      <c r="B113" s="251" t="s">
        <v>6357</v>
      </c>
      <c r="C113" s="251" t="s">
        <v>5575</v>
      </c>
      <c r="D113" s="251" t="s">
        <v>6358</v>
      </c>
      <c r="E113" s="251" t="s">
        <v>6317</v>
      </c>
      <c r="F113" s="251" t="s">
        <v>6318</v>
      </c>
      <c r="G113" s="251" t="s">
        <v>6166</v>
      </c>
      <c r="H113" s="252" t="s">
        <v>6341</v>
      </c>
    </row>
    <row r="114" spans="1:8">
      <c r="A114" s="251">
        <v>54</v>
      </c>
      <c r="B114" s="251" t="s">
        <v>6359</v>
      </c>
      <c r="C114" s="251" t="s">
        <v>5577</v>
      </c>
      <c r="D114" s="251" t="s">
        <v>6360</v>
      </c>
      <c r="E114" s="251" t="s">
        <v>6317</v>
      </c>
      <c r="F114" s="251" t="s">
        <v>6318</v>
      </c>
      <c r="G114" s="251" t="s">
        <v>6166</v>
      </c>
      <c r="H114" s="252" t="s">
        <v>6341</v>
      </c>
    </row>
    <row r="115" spans="1:8">
      <c r="A115" s="251">
        <v>55</v>
      </c>
      <c r="B115" s="251" t="s">
        <v>6361</v>
      </c>
      <c r="C115" s="251" t="s">
        <v>5579</v>
      </c>
      <c r="D115" s="251" t="s">
        <v>6362</v>
      </c>
      <c r="E115" s="251" t="s">
        <v>6317</v>
      </c>
      <c r="F115" s="251" t="s">
        <v>6318</v>
      </c>
      <c r="G115" s="251" t="s">
        <v>6166</v>
      </c>
      <c r="H115" s="252" t="s">
        <v>6363</v>
      </c>
    </row>
    <row r="116" spans="1:8">
      <c r="A116" s="251">
        <v>56</v>
      </c>
      <c r="B116" s="251" t="s">
        <v>6364</v>
      </c>
      <c r="C116" s="251" t="s">
        <v>5467</v>
      </c>
      <c r="D116" s="251" t="s">
        <v>6365</v>
      </c>
      <c r="E116" s="251" t="s">
        <v>6317</v>
      </c>
      <c r="F116" s="251" t="s">
        <v>6318</v>
      </c>
      <c r="G116" s="251" t="s">
        <v>6166</v>
      </c>
      <c r="H116" s="252" t="s">
        <v>6320</v>
      </c>
    </row>
    <row r="117" spans="1:8">
      <c r="A117" s="251">
        <v>57</v>
      </c>
      <c r="B117" s="251" t="s">
        <v>6366</v>
      </c>
      <c r="C117" s="251" t="s">
        <v>5582</v>
      </c>
      <c r="D117" s="251" t="s">
        <v>6367</v>
      </c>
      <c r="E117" s="251" t="s">
        <v>5460</v>
      </c>
      <c r="F117" s="251" t="s">
        <v>6318</v>
      </c>
      <c r="G117" s="251" t="s">
        <v>6319</v>
      </c>
      <c r="H117" s="252" t="s">
        <v>6368</v>
      </c>
    </row>
    <row r="118" spans="1:8">
      <c r="A118" s="25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1</vt:i4>
      </vt:variant>
    </vt:vector>
  </HeadingPairs>
  <TitlesOfParts>
    <vt:vector size="35" baseType="lpstr">
      <vt:lpstr>NBR_COD</vt:lpstr>
      <vt:lpstr>Produtos</vt:lpstr>
      <vt:lpstr>Matriz GUT (antigo)</vt:lpstr>
      <vt:lpstr>Página17</vt:lpstr>
      <vt:lpstr>(NH) Norma BIM - 3E-22</vt:lpstr>
      <vt:lpstr>exemplo_base</vt:lpstr>
      <vt:lpstr>Mapa de Cores</vt:lpstr>
      <vt:lpstr>PLAN4D-Padrao</vt:lpstr>
      <vt:lpstr>Disciplinas Detalhadas (rever u</vt:lpstr>
      <vt:lpstr>Softwares e Parâmetros</vt:lpstr>
      <vt:lpstr>Norma BIM - 3E-22</vt:lpstr>
      <vt:lpstr>Página31</vt:lpstr>
      <vt:lpstr>CÓDIGOS ENCONTRADOS</vt:lpstr>
      <vt:lpstr>Página28</vt:lpstr>
      <vt:lpstr>(BKP) Norma BIM - 3E-22</vt:lpstr>
      <vt:lpstr>Cores</vt:lpstr>
      <vt:lpstr>Página6</vt:lpstr>
      <vt:lpstr>Fluxos</vt:lpstr>
      <vt:lpstr>Página7</vt:lpstr>
      <vt:lpstr>Página11</vt:lpstr>
      <vt:lpstr>Matriz Disciplina x Disciplina</vt:lpstr>
      <vt:lpstr>Página22</vt:lpstr>
      <vt:lpstr>(BKP) Legal, Market, Maleabilit</vt:lpstr>
      <vt:lpstr>Planejamento Padrao</vt:lpstr>
      <vt:lpstr>Zonas</vt:lpstr>
      <vt:lpstr>Actions</vt:lpstr>
      <vt:lpstr>Página25</vt:lpstr>
      <vt:lpstr>Página26</vt:lpstr>
      <vt:lpstr>Pesos</vt:lpstr>
      <vt:lpstr>Roadmap</vt:lpstr>
      <vt:lpstr>tradicional-tech</vt:lpstr>
      <vt:lpstr>Página12</vt:lpstr>
      <vt:lpstr>3R-22</vt:lpstr>
      <vt:lpstr>Página10</vt:lpstr>
      <vt:lpstr>FoundCodes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Luiz Fernando</cp:lastModifiedBy>
  <dcterms:created xsi:type="dcterms:W3CDTF">2025-09-19T17:21:44Z</dcterms:created>
  <dcterms:modified xsi:type="dcterms:W3CDTF">2025-09-19T17:21:59Z</dcterms:modified>
</cp:coreProperties>
</file>