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a80d37ed61a017/Desktop/Target-Innovations/01-Active-Projects/Josh - USA - Payroll/Docs/Payroll/01-Payroll Escrow Utilized/"/>
    </mc:Choice>
  </mc:AlternateContent>
  <xr:revisionPtr revIDLastSave="67" documentId="8_{E55438FC-08FB-4C09-9C6A-F32C9C95EC9B}" xr6:coauthVersionLast="47" xr6:coauthVersionMax="47" xr10:uidLastSave="{65C19AF1-3178-4E15-B810-9D9036D86DDD}"/>
  <bookViews>
    <workbookView xWindow="-98" yWindow="-98" windowWidth="21795" windowHeight="12975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Sheet1!$A$1:$W$39</definedName>
    <definedName name="_xlnm.Print_Area" localSheetId="1">Sheet2!$A$1:$E$7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6" i="1"/>
  <c r="H27" i="1"/>
  <c r="H28" i="1"/>
  <c r="C7" i="1"/>
  <c r="Y11" i="1"/>
  <c r="H24" i="1"/>
  <c r="Y19" i="1"/>
  <c r="Y15" i="1"/>
  <c r="Y9" i="1"/>
  <c r="Y10" i="1"/>
  <c r="I28" i="1" l="1"/>
  <c r="J28" i="1" s="1"/>
  <c r="K28" i="1" s="1"/>
  <c r="I27" i="1"/>
  <c r="I25" i="1"/>
  <c r="I26" i="1"/>
  <c r="J26" i="1" s="1"/>
  <c r="K26" i="1" s="1"/>
  <c r="I24" i="1"/>
  <c r="J24" i="1" l="1"/>
  <c r="K24" i="1" s="1"/>
  <c r="J27" i="1"/>
  <c r="K27" i="1" s="1"/>
  <c r="J25" i="1"/>
  <c r="K25" i="1" s="1"/>
  <c r="S7" i="1"/>
  <c r="W7" i="1"/>
  <c r="V7" i="1"/>
  <c r="U7" i="1"/>
  <c r="T7" i="1"/>
  <c r="R7" i="1"/>
  <c r="Q7" i="1"/>
  <c r="P7" i="1"/>
  <c r="O7" i="1"/>
  <c r="N7" i="1"/>
  <c r="M7" i="1"/>
  <c r="L7" i="1"/>
  <c r="K7" i="1"/>
  <c r="J7" i="1"/>
  <c r="I7" i="1"/>
  <c r="H7" i="1"/>
  <c r="G7" i="1"/>
  <c r="F7" i="1"/>
  <c r="D7" i="1"/>
  <c r="E15" i="1"/>
  <c r="E27" i="1" s="1"/>
  <c r="F27" i="1" s="1"/>
  <c r="G27" i="1" s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1" i="1" l="1"/>
  <c r="E26" i="1" s="1"/>
  <c r="F26" i="1" s="1"/>
  <c r="G26" i="1" s="1"/>
  <c r="E10" i="1" l="1"/>
  <c r="E25" i="1" s="1"/>
  <c r="F25" i="1" s="1"/>
  <c r="G25" i="1" s="1"/>
  <c r="D32" i="1" l="1"/>
  <c r="B32" i="1"/>
  <c r="W6" i="1" l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9" i="1"/>
  <c r="E24" i="1" s="1"/>
  <c r="F24" i="1" s="1"/>
  <c r="G24" i="1" s="1"/>
  <c r="E6" i="2" l="1"/>
  <c r="E2" i="2"/>
  <c r="D3" i="2" s="1"/>
  <c r="C32" i="1" l="1"/>
  <c r="E32" i="1"/>
  <c r="E19" i="1"/>
  <c r="E28" i="1" s="1"/>
  <c r="F28" i="1" s="1"/>
  <c r="G28" i="1" s="1"/>
  <c r="F32" i="1" l="1"/>
  <c r="C4" i="2"/>
  <c r="D4" i="2" s="1"/>
  <c r="C7" i="2" l="1"/>
  <c r="D7" i="2" s="1"/>
  <c r="C5" i="2"/>
  <c r="D5" i="2" s="1"/>
  <c r="W20" i="1"/>
  <c r="O20" i="1"/>
  <c r="M20" i="1"/>
  <c r="K20" i="1"/>
  <c r="I20" i="1"/>
  <c r="G20" i="1"/>
  <c r="D20" i="1"/>
  <c r="C31" i="1" l="1"/>
  <c r="B31" i="1"/>
  <c r="S20" i="1"/>
  <c r="Q20" i="1"/>
  <c r="U20" i="1"/>
  <c r="B33" i="1" l="1"/>
  <c r="B38" i="1" s="1"/>
  <c r="C38" i="1" s="1"/>
  <c r="D31" i="1"/>
  <c r="D33" i="1" s="1"/>
  <c r="B39" i="1" s="1"/>
  <c r="C39" i="1" s="1"/>
  <c r="C33" i="1"/>
  <c r="B35" i="1"/>
  <c r="C35" i="1" s="1"/>
  <c r="F31" i="1"/>
  <c r="F33" i="1" s="1"/>
  <c r="G33" i="1" s="1"/>
  <c r="E31" i="1"/>
  <c r="E33" i="1" l="1"/>
  <c r="B36" i="1"/>
  <c r="C36" i="1" s="1"/>
</calcChain>
</file>

<file path=xl/sharedStrings.xml><?xml version="1.0" encoding="utf-8"?>
<sst xmlns="http://schemas.openxmlformats.org/spreadsheetml/2006/main" count="89" uniqueCount="55">
  <si>
    <t>Bett, Joshua</t>
  </si>
  <si>
    <t>Ackerman, Rhyan</t>
  </si>
  <si>
    <t>Sarcyk, Neil</t>
  </si>
  <si>
    <t>Pilz, Michael</t>
  </si>
  <si>
    <t>FWT</t>
  </si>
  <si>
    <t>SS W/H</t>
  </si>
  <si>
    <t>MC W/H</t>
  </si>
  <si>
    <t>OH SIT</t>
  </si>
  <si>
    <t>CLE LIT</t>
  </si>
  <si>
    <t>ER SS</t>
  </si>
  <si>
    <t>ER MC</t>
  </si>
  <si>
    <t>FUTA</t>
  </si>
  <si>
    <t>OH SUTA</t>
  </si>
  <si>
    <t>Employee W/H</t>
  </si>
  <si>
    <t>Employer Paid</t>
  </si>
  <si>
    <t>Total</t>
  </si>
  <si>
    <t>Funds Used</t>
  </si>
  <si>
    <t>Payroll YTD Net</t>
  </si>
  <si>
    <t>Net Pay</t>
  </si>
  <si>
    <t>Total Tax</t>
  </si>
  <si>
    <t>Difference</t>
  </si>
  <si>
    <t>Total Used</t>
  </si>
  <si>
    <t>Taxes</t>
  </si>
  <si>
    <t>Net Used</t>
  </si>
  <si>
    <t>Total Paid or W/H</t>
  </si>
  <si>
    <t>Total in Escrow</t>
  </si>
  <si>
    <t>Escrow</t>
  </si>
  <si>
    <t>Payroll Escrow Utilized</t>
  </si>
  <si>
    <t>Company:</t>
  </si>
  <si>
    <t>Payroll Period:</t>
  </si>
  <si>
    <t>Est Liability</t>
  </si>
  <si>
    <t>Weekly Payroll Tax Escrow Estimator</t>
  </si>
  <si>
    <t>BP%</t>
  </si>
  <si>
    <t>Weekly</t>
  </si>
  <si>
    <t>Juszczyk, Tyler</t>
  </si>
  <si>
    <t>Gross Pay</t>
  </si>
  <si>
    <t>ER Tax</t>
  </si>
  <si>
    <t>Payroll SVS Credit/Debit</t>
  </si>
  <si>
    <t>Tax Credit/Debit</t>
  </si>
  <si>
    <t>Taken From Gross Pay</t>
  </si>
  <si>
    <t>Added to Payroll Taxes</t>
  </si>
  <si>
    <t>64 Fox Glove Group</t>
  </si>
  <si>
    <t>Sarcyk, Wayne (Bi-Weekly)</t>
  </si>
  <si>
    <t>Sarcyk, Wayne</t>
  </si>
  <si>
    <t>White, Mark</t>
  </si>
  <si>
    <t>% 64 FG</t>
  </si>
  <si>
    <t>Utilized</t>
  </si>
  <si>
    <t>Per Period</t>
  </si>
  <si>
    <t>New Tax</t>
  </si>
  <si>
    <t>Adjust</t>
  </si>
  <si>
    <t>X-Fer Amt</t>
  </si>
  <si>
    <t>Weekly Payroll (Week Behind)</t>
  </si>
  <si>
    <t>Bi-Weekly Payroll (Paid Week Behind)</t>
  </si>
  <si>
    <t>Monthly Payroll, Paid 1 Month Behind</t>
  </si>
  <si>
    <t>64FG10021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</si>
</sst>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0.000%"/>
    <numFmt numFmtId="166" formatCode="[$-409]m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5" xfId="0" applyBorder="1"/>
    <xf numFmtId="0" fontId="2" fillId="0" borderId="0" xfId="0" applyFont="1"/>
    <xf numFmtId="14" fontId="0" fillId="0" borderId="7" xfId="0" applyNumberFormat="1" applyBorder="1"/>
    <xf numFmtId="14" fontId="0" fillId="0" borderId="9" xfId="0" applyNumberFormat="1" applyBorder="1"/>
    <xf numFmtId="0" fontId="0" fillId="0" borderId="3" xfId="0" applyBorder="1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/>
    </xf>
    <xf numFmtId="164" fontId="0" fillId="0" borderId="1" xfId="1" applyFont="1" applyBorder="1"/>
    <xf numFmtId="164" fontId="0" fillId="0" borderId="0" xfId="1" applyFont="1" applyBorder="1"/>
    <xf numFmtId="164" fontId="0" fillId="0" borderId="10" xfId="1" applyFont="1" applyBorder="1"/>
    <xf numFmtId="164" fontId="0" fillId="0" borderId="12" xfId="1" applyFont="1" applyBorder="1"/>
    <xf numFmtId="164" fontId="0" fillId="0" borderId="5" xfId="1" applyFont="1" applyBorder="1"/>
    <xf numFmtId="164" fontId="0" fillId="0" borderId="6" xfId="1" applyFont="1" applyBorder="1"/>
    <xf numFmtId="164" fontId="0" fillId="0" borderId="7" xfId="1" applyFont="1" applyBorder="1"/>
    <xf numFmtId="164" fontId="0" fillId="0" borderId="9" xfId="1" applyFont="1" applyBorder="1"/>
    <xf numFmtId="164" fontId="0" fillId="0" borderId="8" xfId="1" applyFont="1" applyBorder="1"/>
    <xf numFmtId="164" fontId="0" fillId="0" borderId="13" xfId="1" applyFont="1" applyBorder="1"/>
    <xf numFmtId="164" fontId="2" fillId="0" borderId="0" xfId="1" applyFont="1" applyBorder="1"/>
    <xf numFmtId="164" fontId="0" fillId="0" borderId="14" xfId="1" applyFont="1" applyBorder="1"/>
    <xf numFmtId="164" fontId="2" fillId="0" borderId="1" xfId="0" applyNumberFormat="1" applyFont="1" applyBorder="1"/>
    <xf numFmtId="0" fontId="2" fillId="0" borderId="0" xfId="0" applyFont="1" applyAlignment="1">
      <alignment horizontal="right"/>
    </xf>
    <xf numFmtId="14" fontId="0" fillId="0" borderId="8" xfId="0" applyNumberFormat="1" applyBorder="1"/>
    <xf numFmtId="164" fontId="0" fillId="0" borderId="11" xfId="1" applyFont="1" applyBorder="1"/>
    <xf numFmtId="165" fontId="0" fillId="0" borderId="0" xfId="2" applyNumberFormat="1" applyFont="1"/>
    <xf numFmtId="165" fontId="0" fillId="0" borderId="0" xfId="0" applyNumberFormat="1"/>
    <xf numFmtId="164" fontId="0" fillId="0" borderId="15" xfId="1" applyFont="1" applyBorder="1"/>
    <xf numFmtId="164" fontId="0" fillId="0" borderId="10" xfId="0" applyNumberFormat="1" applyBorder="1"/>
    <xf numFmtId="164" fontId="0" fillId="0" borderId="12" xfId="0" applyNumberFormat="1" applyBorder="1"/>
    <xf numFmtId="0" fontId="3" fillId="0" borderId="0" xfId="0" applyFont="1"/>
    <xf numFmtId="164" fontId="1" fillId="0" borderId="16" xfId="1" applyFont="1" applyBorder="1"/>
    <xf numFmtId="164" fontId="1" fillId="0" borderId="17" xfId="1" applyFont="1" applyBorder="1"/>
    <xf numFmtId="164" fontId="0" fillId="0" borderId="17" xfId="0" applyNumberFormat="1" applyBorder="1"/>
    <xf numFmtId="164" fontId="2" fillId="0" borderId="0" xfId="0" applyNumberFormat="1" applyFont="1"/>
    <xf numFmtId="164" fontId="0" fillId="0" borderId="0" xfId="1" applyFont="1"/>
    <xf numFmtId="164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14" fontId="0" fillId="0" borderId="5" xfId="0" applyNumberFormat="1" applyBorder="1"/>
    <xf numFmtId="14" fontId="0" fillId="0" borderId="6" xfId="0" applyNumberFormat="1" applyBorder="1"/>
    <xf numFmtId="164" fontId="0" fillId="0" borderId="1" xfId="0" applyNumberFormat="1" applyBorder="1"/>
    <xf numFmtId="164" fontId="0" fillId="0" borderId="0" xfId="1" applyFont="1" applyBorder="1" applyAlignment="1">
      <alignment horizontal="center"/>
    </xf>
    <xf numFmtId="164" fontId="4" fillId="0" borderId="0" xfId="0" applyNumberFormat="1" applyFont="1"/>
    <xf numFmtId="164" fontId="5" fillId="0" borderId="0" xfId="1" applyFont="1" applyBorder="1"/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4" fontId="0" fillId="0" borderId="0" xfId="1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9"/>
  <sheetViews>
    <sheetView tabSelected="1" zoomScale="70" zoomScaleNormal="70" workbookViewId="0">
      <pane xSplit="1" topLeftCell="B1" activePane="topRight" state="frozen"/>
      <selection pane="topRight" activeCell="H24" sqref="H24"/>
    </sheetView>
  </sheetViews>
  <sheetFormatPr defaultRowHeight="14.25" x14ac:dyDescent="0.45"/>
  <cols>
    <col min="1" max="1" width="25.1328125" bestFit="1" customWidth="1"/>
    <col min="2" max="2" width="11.265625" bestFit="1" customWidth="1"/>
    <col min="3" max="4" width="11.59765625" bestFit="1" customWidth="1"/>
    <col min="5" max="5" width="11.59765625" customWidth="1"/>
    <col min="6" max="6" width="11.265625" bestFit="1" customWidth="1"/>
    <col min="7" max="9" width="10.59765625" bestFit="1" customWidth="1"/>
    <col min="10" max="15" width="10.73046875" bestFit="1" customWidth="1"/>
    <col min="16" max="17" width="10.59765625" bestFit="1" customWidth="1"/>
    <col min="18" max="23" width="10.73046875" bestFit="1" customWidth="1"/>
    <col min="24" max="24" width="10.59765625" bestFit="1" customWidth="1"/>
    <col min="25" max="26" width="11.59765625" bestFit="1" customWidth="1"/>
  </cols>
  <sheetData>
    <row r="1" spans="1:26" x14ac:dyDescent="0.45">
      <c r="A1" s="52" t="s">
        <v>27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2" spans="1:26" x14ac:dyDescent="0.45">
      <c r="A2" s="23" t="s">
        <v>28</v>
      </c>
      <c r="B2" s="53" t="s">
        <v>41</v>
      </c>
      <c r="C2" s="53"/>
    </row>
    <row r="3" spans="1:26" ht="14.65" thickBot="1" x14ac:dyDescent="0.5">
      <c r="A3" s="23" t="s">
        <v>29</v>
      </c>
      <c r="B3" s="54">
        <v>45413</v>
      </c>
      <c r="C3" s="54"/>
    </row>
    <row r="4" spans="1:26" ht="14.65" thickBot="1" x14ac:dyDescent="0.5">
      <c r="A4" s="31" t="s">
        <v>16</v>
      </c>
      <c r="C4" s="49" t="s">
        <v>18</v>
      </c>
      <c r="D4" s="50"/>
      <c r="E4" s="51"/>
      <c r="F4" s="49" t="s">
        <v>13</v>
      </c>
      <c r="G4" s="50"/>
      <c r="H4" s="50"/>
      <c r="I4" s="50"/>
      <c r="J4" s="50"/>
      <c r="K4" s="50"/>
      <c r="L4" s="50"/>
      <c r="M4" s="50"/>
      <c r="N4" s="50"/>
      <c r="O4" s="51"/>
      <c r="P4" s="49" t="s">
        <v>14</v>
      </c>
      <c r="Q4" s="50"/>
      <c r="R4" s="50"/>
      <c r="S4" s="50"/>
      <c r="T4" s="50"/>
      <c r="U4" s="50"/>
      <c r="V4" s="50"/>
      <c r="W4" s="51"/>
      <c r="X4" s="1"/>
      <c r="Y4" s="1"/>
    </row>
    <row r="5" spans="1:26" x14ac:dyDescent="0.45">
      <c r="B5" t="s">
        <v>45</v>
      </c>
      <c r="C5" s="47" t="s">
        <v>17</v>
      </c>
      <c r="D5" s="48"/>
      <c r="E5" s="7" t="s">
        <v>23</v>
      </c>
      <c r="F5" s="47" t="s">
        <v>4</v>
      </c>
      <c r="G5" s="48"/>
      <c r="H5" s="47" t="s">
        <v>5</v>
      </c>
      <c r="I5" s="48"/>
      <c r="J5" s="47" t="s">
        <v>6</v>
      </c>
      <c r="K5" s="48"/>
      <c r="L5" s="47" t="s">
        <v>7</v>
      </c>
      <c r="M5" s="48"/>
      <c r="N5" s="47" t="s">
        <v>8</v>
      </c>
      <c r="O5" s="48"/>
      <c r="P5" s="47" t="s">
        <v>9</v>
      </c>
      <c r="Q5" s="48"/>
      <c r="R5" s="47" t="s">
        <v>10</v>
      </c>
      <c r="S5" s="48"/>
      <c r="T5" s="47" t="s">
        <v>11</v>
      </c>
      <c r="U5" s="48"/>
      <c r="V5" s="47" t="s">
        <v>12</v>
      </c>
      <c r="W5" s="48"/>
      <c r="X5" s="1"/>
      <c r="Y5" s="1"/>
    </row>
    <row r="6" spans="1:26" ht="14.65" thickBot="1" x14ac:dyDescent="0.5">
      <c r="C6" s="5">
        <v>45401</v>
      </c>
      <c r="D6" s="6">
        <v>45436</v>
      </c>
      <c r="E6" s="24"/>
      <c r="F6" s="5">
        <f>$C6</f>
        <v>45401</v>
      </c>
      <c r="G6" s="6">
        <f>$D6</f>
        <v>45436</v>
      </c>
      <c r="H6" s="5">
        <f>$C6</f>
        <v>45401</v>
      </c>
      <c r="I6" s="6">
        <f>$D6</f>
        <v>45436</v>
      </c>
      <c r="J6" s="5">
        <f>$C6</f>
        <v>45401</v>
      </c>
      <c r="K6" s="6">
        <f>$D6</f>
        <v>45436</v>
      </c>
      <c r="L6" s="5">
        <f>$C6</f>
        <v>45401</v>
      </c>
      <c r="M6" s="6">
        <f>$D6</f>
        <v>45436</v>
      </c>
      <c r="N6" s="5">
        <f>$C6</f>
        <v>45401</v>
      </c>
      <c r="O6" s="6">
        <f>$D6</f>
        <v>45436</v>
      </c>
      <c r="P6" s="5">
        <f>$C6</f>
        <v>45401</v>
      </c>
      <c r="Q6" s="6">
        <f>$D6</f>
        <v>45436</v>
      </c>
      <c r="R6" s="5">
        <f>$C6</f>
        <v>45401</v>
      </c>
      <c r="S6" s="6">
        <f>$D6</f>
        <v>45436</v>
      </c>
      <c r="T6" s="5">
        <f>$C6</f>
        <v>45401</v>
      </c>
      <c r="U6" s="6">
        <f>$D6</f>
        <v>45436</v>
      </c>
      <c r="V6" s="5">
        <f>$C6</f>
        <v>45401</v>
      </c>
      <c r="W6" s="6">
        <f>$D6</f>
        <v>45436</v>
      </c>
      <c r="X6" s="8"/>
      <c r="Y6" s="8"/>
    </row>
    <row r="7" spans="1:26" ht="14.65" thickBot="1" x14ac:dyDescent="0.5">
      <c r="A7" t="s">
        <v>21</v>
      </c>
      <c r="C7" s="12">
        <f>SUM(C9:C11)+SUM(C15)+SUM(C19)</f>
        <v>18261.759999999998</v>
      </c>
      <c r="D7" s="13">
        <f>SUM(D9:D11,D19,D15)</f>
        <v>22365.41</v>
      </c>
      <c r="E7" s="25"/>
      <c r="F7" s="12">
        <f t="shared" ref="F7:W7" si="0">SUM(F9:F11,F19,F15)</f>
        <v>2955.49</v>
      </c>
      <c r="G7" s="13">
        <f t="shared" si="0"/>
        <v>3644.3</v>
      </c>
      <c r="H7" s="12">
        <f t="shared" si="0"/>
        <v>1303.05</v>
      </c>
      <c r="I7" s="13">
        <f t="shared" si="0"/>
        <v>1611.8999999999999</v>
      </c>
      <c r="J7" s="12">
        <f t="shared" si="0"/>
        <v>304.70999999999998</v>
      </c>
      <c r="K7" s="13">
        <f t="shared" si="0"/>
        <v>376.94</v>
      </c>
      <c r="L7" s="12">
        <f t="shared" si="0"/>
        <v>540.99</v>
      </c>
      <c r="M7" s="13">
        <f t="shared" si="0"/>
        <v>668.47</v>
      </c>
      <c r="N7" s="12">
        <f t="shared" si="0"/>
        <v>525.44000000000005</v>
      </c>
      <c r="O7" s="13">
        <f t="shared" si="0"/>
        <v>649.98</v>
      </c>
      <c r="P7" s="12">
        <f t="shared" si="0"/>
        <v>1303.04</v>
      </c>
      <c r="Q7" s="13">
        <f t="shared" si="0"/>
        <v>1611.8799999999999</v>
      </c>
      <c r="R7" s="12">
        <f t="shared" si="0"/>
        <v>304.7</v>
      </c>
      <c r="S7" s="13">
        <f t="shared" si="0"/>
        <v>376.92</v>
      </c>
      <c r="T7" s="12">
        <f t="shared" si="0"/>
        <v>34.159999999999997</v>
      </c>
      <c r="U7" s="13">
        <f t="shared" si="0"/>
        <v>34.159999999999997</v>
      </c>
      <c r="V7" s="12">
        <f t="shared" si="0"/>
        <v>358.78000000000003</v>
      </c>
      <c r="W7" s="13">
        <f t="shared" si="0"/>
        <v>358.78000000000003</v>
      </c>
      <c r="X7" s="3"/>
      <c r="Z7" s="4"/>
    </row>
    <row r="8" spans="1:26" ht="14.65" thickBot="1" x14ac:dyDescent="0.5">
      <c r="C8" s="55" t="s">
        <v>51</v>
      </c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7"/>
      <c r="X8" s="9"/>
      <c r="Y8" s="9"/>
      <c r="Z8" s="4"/>
    </row>
    <row r="9" spans="1:26" x14ac:dyDescent="0.45">
      <c r="A9" t="s">
        <v>34</v>
      </c>
      <c r="B9" s="27">
        <v>0.50000999999999995</v>
      </c>
      <c r="C9" s="14">
        <v>2915.94</v>
      </c>
      <c r="D9" s="15">
        <v>3769.94</v>
      </c>
      <c r="E9" s="11">
        <f t="shared" ref="E9:E11" si="1">D9-C9</f>
        <v>854</v>
      </c>
      <c r="F9" s="14">
        <v>376.4</v>
      </c>
      <c r="G9" s="15">
        <v>485.5</v>
      </c>
      <c r="H9" s="14">
        <v>233.15</v>
      </c>
      <c r="I9" s="15">
        <v>301.35000000000002</v>
      </c>
      <c r="J9" s="14">
        <v>54.53</v>
      </c>
      <c r="K9" s="15">
        <v>70.48</v>
      </c>
      <c r="L9" s="14">
        <v>86.62</v>
      </c>
      <c r="M9" s="15">
        <v>111.92</v>
      </c>
      <c r="N9" s="14">
        <v>94.01</v>
      </c>
      <c r="O9" s="15">
        <v>121.51</v>
      </c>
      <c r="P9" s="14">
        <v>233.15</v>
      </c>
      <c r="Q9" s="15">
        <v>301.35000000000002</v>
      </c>
      <c r="R9" s="14">
        <v>54.53</v>
      </c>
      <c r="S9" s="15">
        <v>70.48</v>
      </c>
      <c r="T9" s="14">
        <v>10.51</v>
      </c>
      <c r="U9" s="15">
        <v>10.51</v>
      </c>
      <c r="V9" s="14">
        <v>110.26</v>
      </c>
      <c r="W9" s="15">
        <v>110.26</v>
      </c>
      <c r="Y9" s="37">
        <f>W9+U9+S9+Q9+O9+M9+K9+I9+G9+D9</f>
        <v>5353.3</v>
      </c>
    </row>
    <row r="10" spans="1:26" hidden="1" x14ac:dyDescent="0.45">
      <c r="A10" t="s">
        <v>3</v>
      </c>
      <c r="B10" s="27">
        <v>0.10052999999999999</v>
      </c>
      <c r="C10" s="14">
        <v>0</v>
      </c>
      <c r="D10" s="15">
        <v>0</v>
      </c>
      <c r="E10" s="11">
        <f t="shared" si="1"/>
        <v>0</v>
      </c>
      <c r="F10" s="14"/>
      <c r="G10" s="15">
        <v>0</v>
      </c>
      <c r="H10" s="14"/>
      <c r="I10" s="15">
        <v>0</v>
      </c>
      <c r="J10" s="14"/>
      <c r="K10" s="15">
        <v>0</v>
      </c>
      <c r="L10" s="14"/>
      <c r="M10" s="15">
        <v>0</v>
      </c>
      <c r="N10" s="14"/>
      <c r="O10" s="15">
        <v>0</v>
      </c>
      <c r="P10" s="14"/>
      <c r="Q10" s="15">
        <v>0</v>
      </c>
      <c r="R10" s="14"/>
      <c r="S10" s="15">
        <v>0</v>
      </c>
      <c r="T10" s="14"/>
      <c r="U10" s="15">
        <v>0</v>
      </c>
      <c r="V10" s="14"/>
      <c r="W10" s="15">
        <v>0</v>
      </c>
      <c r="Y10" s="37">
        <f>W10+U10+S10+Q10+O10+M10+K10+I10+G10+D10</f>
        <v>0</v>
      </c>
    </row>
    <row r="11" spans="1:26" ht="14.65" thickBot="1" x14ac:dyDescent="0.5">
      <c r="A11" t="s">
        <v>44</v>
      </c>
      <c r="B11" s="27">
        <v>1</v>
      </c>
      <c r="C11" s="14">
        <v>2874</v>
      </c>
      <c r="D11" s="15">
        <v>3318</v>
      </c>
      <c r="E11" s="11">
        <f t="shared" si="1"/>
        <v>444</v>
      </c>
      <c r="F11" s="14"/>
      <c r="G11" s="15"/>
      <c r="H11" s="14"/>
      <c r="I11" s="15"/>
      <c r="J11" s="14"/>
      <c r="K11" s="15"/>
      <c r="L11" s="14"/>
      <c r="M11" s="15"/>
      <c r="N11" s="14"/>
      <c r="O11" s="15"/>
      <c r="P11" s="14"/>
      <c r="Q11" s="15"/>
      <c r="R11" s="14"/>
      <c r="S11" s="15"/>
      <c r="T11" s="14"/>
      <c r="U11" s="15"/>
      <c r="V11" s="14"/>
      <c r="W11" s="15"/>
      <c r="Y11" s="37">
        <f>W11+U11+S11+Q11+O11+M11+K11+I11+G11+D11</f>
        <v>3318</v>
      </c>
    </row>
    <row r="12" spans="1:26" ht="14.65" thickBot="1" x14ac:dyDescent="0.5">
      <c r="B12" s="27"/>
      <c r="C12" s="55" t="s">
        <v>52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  <c r="X12" s="9"/>
      <c r="Y12" s="9"/>
    </row>
    <row r="13" spans="1:26" x14ac:dyDescent="0.45">
      <c r="B13" s="27"/>
      <c r="C13" s="47" t="s">
        <v>17</v>
      </c>
      <c r="D13" s="48"/>
      <c r="E13" s="7"/>
      <c r="F13" s="47" t="s">
        <v>4</v>
      </c>
      <c r="G13" s="48"/>
      <c r="H13" s="47" t="s">
        <v>5</v>
      </c>
      <c r="I13" s="48"/>
      <c r="J13" s="47" t="s">
        <v>6</v>
      </c>
      <c r="K13" s="48"/>
      <c r="L13" s="47" t="s">
        <v>7</v>
      </c>
      <c r="M13" s="48"/>
      <c r="N13" s="47" t="s">
        <v>8</v>
      </c>
      <c r="O13" s="48"/>
      <c r="P13" s="47" t="s">
        <v>9</v>
      </c>
      <c r="Q13" s="48"/>
      <c r="R13" s="47" t="s">
        <v>10</v>
      </c>
      <c r="S13" s="48"/>
      <c r="T13" s="47" t="s">
        <v>11</v>
      </c>
      <c r="U13" s="48"/>
      <c r="V13" s="47" t="s">
        <v>12</v>
      </c>
      <c r="W13" s="48"/>
      <c r="X13" s="1"/>
      <c r="Y13" s="1"/>
    </row>
    <row r="14" spans="1:26" ht="14.65" thickBot="1" x14ac:dyDescent="0.5">
      <c r="B14" s="27"/>
      <c r="C14" s="40">
        <v>45401</v>
      </c>
      <c r="D14" s="41">
        <v>45429</v>
      </c>
      <c r="E14" s="8"/>
      <c r="F14" s="5">
        <f>$C14</f>
        <v>45401</v>
      </c>
      <c r="G14" s="6">
        <f>$D14</f>
        <v>45429</v>
      </c>
      <c r="H14" s="5">
        <f>$C14</f>
        <v>45401</v>
      </c>
      <c r="I14" s="6">
        <f>$D14</f>
        <v>45429</v>
      </c>
      <c r="J14" s="5">
        <f>$C14</f>
        <v>45401</v>
      </c>
      <c r="K14" s="6">
        <f>$D14</f>
        <v>45429</v>
      </c>
      <c r="L14" s="5">
        <f>$C14</f>
        <v>45401</v>
      </c>
      <c r="M14" s="6">
        <f>$D14</f>
        <v>45429</v>
      </c>
      <c r="N14" s="5">
        <f>$C14</f>
        <v>45401</v>
      </c>
      <c r="O14" s="6">
        <f>$D14</f>
        <v>45429</v>
      </c>
      <c r="P14" s="5">
        <f>$C14</f>
        <v>45401</v>
      </c>
      <c r="Q14" s="6">
        <f>$D14</f>
        <v>45429</v>
      </c>
      <c r="R14" s="5">
        <f>$C14</f>
        <v>45401</v>
      </c>
      <c r="S14" s="6">
        <f>$D14</f>
        <v>45429</v>
      </c>
      <c r="T14" s="5">
        <f>$C14</f>
        <v>45401</v>
      </c>
      <c r="U14" s="6">
        <f>$D14</f>
        <v>45429</v>
      </c>
      <c r="V14" s="5">
        <f>$C14</f>
        <v>45401</v>
      </c>
      <c r="W14" s="6">
        <f>$D14</f>
        <v>45429</v>
      </c>
      <c r="X14" s="8"/>
      <c r="Y14" s="8"/>
    </row>
    <row r="15" spans="1:26" ht="14.65" thickBot="1" x14ac:dyDescent="0.5">
      <c r="A15" t="s">
        <v>42</v>
      </c>
      <c r="B15" s="26">
        <v>0.5</v>
      </c>
      <c r="C15" s="16">
        <v>11242.7</v>
      </c>
      <c r="D15" s="17">
        <v>13741.07</v>
      </c>
      <c r="E15" s="18">
        <f>D15-C15</f>
        <v>2498.369999999999</v>
      </c>
      <c r="F15" s="16">
        <v>2342.25</v>
      </c>
      <c r="G15" s="18">
        <v>2862.75</v>
      </c>
      <c r="H15" s="16">
        <v>965.74</v>
      </c>
      <c r="I15" s="17">
        <v>1180.3499999999999</v>
      </c>
      <c r="J15" s="16">
        <v>225.82</v>
      </c>
      <c r="K15" s="17">
        <v>276.01</v>
      </c>
      <c r="L15" s="16">
        <v>410.85</v>
      </c>
      <c r="M15" s="17">
        <v>502.15</v>
      </c>
      <c r="N15" s="16">
        <v>389.43</v>
      </c>
      <c r="O15" s="17">
        <v>475.97</v>
      </c>
      <c r="P15" s="29">
        <v>965.73</v>
      </c>
      <c r="Q15" s="30">
        <v>1180.33</v>
      </c>
      <c r="R15" s="29">
        <v>225.81</v>
      </c>
      <c r="S15" s="30">
        <v>275.99</v>
      </c>
      <c r="T15" s="29">
        <v>20.98</v>
      </c>
      <c r="U15" s="30">
        <v>20.98</v>
      </c>
      <c r="V15" s="29">
        <v>220.49</v>
      </c>
      <c r="W15" s="30">
        <v>220.49</v>
      </c>
      <c r="Y15" s="37">
        <f>W15+U15+S15+Q15+O15+M15+K15+I15+G15+D15</f>
        <v>20736.09</v>
      </c>
    </row>
    <row r="16" spans="1:26" ht="14.65" thickBot="1" x14ac:dyDescent="0.5">
      <c r="B16" s="27"/>
      <c r="C16" s="55" t="s">
        <v>53</v>
      </c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9"/>
      <c r="Y16" s="9"/>
    </row>
    <row r="17" spans="1:28" x14ac:dyDescent="0.45">
      <c r="B17" s="27"/>
      <c r="C17" s="47" t="s">
        <v>17</v>
      </c>
      <c r="D17" s="48"/>
      <c r="E17" s="7"/>
      <c r="F17" s="47" t="s">
        <v>4</v>
      </c>
      <c r="G17" s="48"/>
      <c r="H17" s="47" t="s">
        <v>5</v>
      </c>
      <c r="I17" s="48"/>
      <c r="J17" s="47" t="s">
        <v>6</v>
      </c>
      <c r="K17" s="48"/>
      <c r="L17" s="47" t="s">
        <v>7</v>
      </c>
      <c r="M17" s="48"/>
      <c r="N17" s="47" t="s">
        <v>8</v>
      </c>
      <c r="O17" s="48"/>
      <c r="P17" s="47" t="s">
        <v>9</v>
      </c>
      <c r="Q17" s="48"/>
      <c r="R17" s="47" t="s">
        <v>10</v>
      </c>
      <c r="S17" s="48"/>
      <c r="T17" s="47" t="s">
        <v>11</v>
      </c>
      <c r="U17" s="48"/>
      <c r="V17" s="47" t="s">
        <v>12</v>
      </c>
      <c r="W17" s="48"/>
      <c r="X17" s="1"/>
      <c r="Y17" s="1"/>
    </row>
    <row r="18" spans="1:28" ht="14.65" thickBot="1" x14ac:dyDescent="0.5">
      <c r="B18" s="27"/>
      <c r="C18" s="40">
        <v>45383</v>
      </c>
      <c r="D18" s="41">
        <v>45412</v>
      </c>
      <c r="E18" s="8"/>
      <c r="F18" s="5">
        <f>$C18</f>
        <v>45383</v>
      </c>
      <c r="G18" s="6">
        <f>$D18</f>
        <v>45412</v>
      </c>
      <c r="H18" s="5">
        <f>$C18</f>
        <v>45383</v>
      </c>
      <c r="I18" s="6">
        <f>$D18</f>
        <v>45412</v>
      </c>
      <c r="J18" s="5">
        <f>$C18</f>
        <v>45383</v>
      </c>
      <c r="K18" s="6">
        <f>$D18</f>
        <v>45412</v>
      </c>
      <c r="L18" s="5">
        <f>$C18</f>
        <v>45383</v>
      </c>
      <c r="M18" s="6">
        <f>$D18</f>
        <v>45412</v>
      </c>
      <c r="N18" s="5">
        <f>$C18</f>
        <v>45383</v>
      </c>
      <c r="O18" s="6">
        <f>$D18</f>
        <v>45412</v>
      </c>
      <c r="P18" s="5">
        <f>$C18</f>
        <v>45383</v>
      </c>
      <c r="Q18" s="6">
        <f>$D18</f>
        <v>45412</v>
      </c>
      <c r="R18" s="5">
        <f>$C18</f>
        <v>45383</v>
      </c>
      <c r="S18" s="6">
        <f>$D18</f>
        <v>45412</v>
      </c>
      <c r="T18" s="5">
        <f>$C18</f>
        <v>45383</v>
      </c>
      <c r="U18" s="6">
        <f>$D18</f>
        <v>45412</v>
      </c>
      <c r="V18" s="5">
        <f>$C18</f>
        <v>45383</v>
      </c>
      <c r="W18" s="6">
        <f>$D18</f>
        <v>45412</v>
      </c>
      <c r="X18" s="8"/>
      <c r="Y18" s="8"/>
    </row>
    <row r="19" spans="1:28" ht="14.65" thickBot="1" x14ac:dyDescent="0.5">
      <c r="A19" t="s">
        <v>2</v>
      </c>
      <c r="B19" s="26">
        <v>7.4999999999999997E-2</v>
      </c>
      <c r="C19" s="16">
        <v>1229.1199999999999</v>
      </c>
      <c r="D19" s="17">
        <v>1536.4</v>
      </c>
      <c r="E19" s="18">
        <f>D19-C19</f>
        <v>307.2800000000002</v>
      </c>
      <c r="F19" s="16">
        <v>236.84</v>
      </c>
      <c r="G19" s="18">
        <v>296.05</v>
      </c>
      <c r="H19" s="16">
        <v>104.16</v>
      </c>
      <c r="I19" s="17">
        <v>130.19999999999999</v>
      </c>
      <c r="J19" s="16">
        <v>24.36</v>
      </c>
      <c r="K19" s="17">
        <v>30.45</v>
      </c>
      <c r="L19" s="16">
        <v>43.52</v>
      </c>
      <c r="M19" s="17">
        <v>54.4</v>
      </c>
      <c r="N19" s="16">
        <v>42</v>
      </c>
      <c r="O19" s="17">
        <v>52.5</v>
      </c>
      <c r="P19" s="29">
        <v>104.16</v>
      </c>
      <c r="Q19" s="30">
        <v>130.19999999999999</v>
      </c>
      <c r="R19" s="29">
        <v>24.36</v>
      </c>
      <c r="S19" s="30">
        <v>30.45</v>
      </c>
      <c r="T19" s="29">
        <v>2.67</v>
      </c>
      <c r="U19" s="30">
        <v>2.67</v>
      </c>
      <c r="V19" s="29">
        <v>28.03</v>
      </c>
      <c r="W19" s="30">
        <v>28.03</v>
      </c>
      <c r="Y19" s="37">
        <f>W19+U19+S19+Q19+O19+M19+K19+I19+G19+D19</f>
        <v>2291.3500000000004</v>
      </c>
    </row>
    <row r="20" spans="1:28" ht="14.65" thickBot="1" x14ac:dyDescent="0.5">
      <c r="A20" t="s">
        <v>16</v>
      </c>
      <c r="D20" s="10">
        <f>D7-C7</f>
        <v>4103.6500000000015</v>
      </c>
      <c r="E20" s="11"/>
      <c r="F20" s="11"/>
      <c r="G20" s="10">
        <f>G7-F7</f>
        <v>688.8100000000004</v>
      </c>
      <c r="H20" s="11"/>
      <c r="I20" s="10">
        <f>I7-H7</f>
        <v>308.84999999999991</v>
      </c>
      <c r="J20" s="11"/>
      <c r="K20" s="10">
        <f>K7-J7</f>
        <v>72.230000000000018</v>
      </c>
      <c r="L20" s="11"/>
      <c r="M20" s="10">
        <f>M7-L7</f>
        <v>127.48000000000002</v>
      </c>
      <c r="N20" s="11"/>
      <c r="O20" s="10">
        <f>O7-N7</f>
        <v>124.53999999999996</v>
      </c>
      <c r="P20" s="11"/>
      <c r="Q20" s="28">
        <f>Q7-P7</f>
        <v>308.83999999999992</v>
      </c>
      <c r="R20" s="11"/>
      <c r="S20" s="28">
        <f>S7-R7</f>
        <v>72.220000000000027</v>
      </c>
      <c r="T20" s="11"/>
      <c r="U20" s="28">
        <f>U7-T7</f>
        <v>0</v>
      </c>
      <c r="V20" s="11"/>
      <c r="W20" s="28">
        <f>W7-V7</f>
        <v>0</v>
      </c>
    </row>
    <row r="21" spans="1:28" x14ac:dyDescent="0.45"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8" x14ac:dyDescent="0.45">
      <c r="A22" s="31" t="s">
        <v>26</v>
      </c>
      <c r="C22" s="4" t="s">
        <v>54</v>
      </c>
      <c r="D22" s="11"/>
      <c r="E22" s="43" t="s">
        <v>46</v>
      </c>
      <c r="H22" s="43" t="s">
        <v>46</v>
      </c>
      <c r="I22" s="11"/>
      <c r="J22" s="43" t="s">
        <v>47</v>
      </c>
      <c r="K22" s="11" t="s">
        <v>48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0"/>
    </row>
    <row r="23" spans="1:28" ht="14.65" thickBot="1" x14ac:dyDescent="0.5">
      <c r="C23" t="s">
        <v>18</v>
      </c>
      <c r="D23" s="11" t="s">
        <v>22</v>
      </c>
      <c r="E23" s="43" t="s">
        <v>18</v>
      </c>
      <c r="F23" t="s">
        <v>20</v>
      </c>
      <c r="H23" s="43" t="s">
        <v>22</v>
      </c>
      <c r="I23" s="11" t="s">
        <v>20</v>
      </c>
      <c r="J23" s="43" t="s">
        <v>49</v>
      </c>
      <c r="K23" s="11" t="s">
        <v>50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0"/>
    </row>
    <row r="24" spans="1:28" x14ac:dyDescent="0.45">
      <c r="A24" t="s">
        <v>34</v>
      </c>
      <c r="B24" s="27">
        <v>0.5</v>
      </c>
      <c r="C24" s="19">
        <v>1100</v>
      </c>
      <c r="D24" s="19">
        <v>84.4</v>
      </c>
      <c r="E24" s="11">
        <f>(E9+G9+I9+K9+M9+O9-N9-L9-J9-H9-F9)</f>
        <v>1100.0500000000002</v>
      </c>
      <c r="F24" s="11">
        <f>E24-C24</f>
        <v>5.0000000000181899E-2</v>
      </c>
      <c r="G24" s="11" t="str">
        <f>IF(F24=0,"Even",IF(F24&gt;0,"Deficit","Overage"))</f>
        <v>Deficit</v>
      </c>
      <c r="H24" s="58">
        <f>Q9+S9+U9+W9-V9-T9-R9-P9</f>
        <v>84.150000000000063</v>
      </c>
      <c r="I24" s="11">
        <f>H24-D24</f>
        <v>-0.24999999999994316</v>
      </c>
      <c r="J24" s="11">
        <f>ROUNDUP((I24/(5)),1)</f>
        <v>-0.1</v>
      </c>
      <c r="K24" s="11">
        <f>(D24/5)+J24</f>
        <v>16.78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0"/>
    </row>
    <row r="25" spans="1:28" hidden="1" x14ac:dyDescent="0.45">
      <c r="A25" t="s">
        <v>3</v>
      </c>
      <c r="B25" s="27">
        <v>0.1</v>
      </c>
      <c r="C25" s="21">
        <v>0</v>
      </c>
      <c r="D25" s="21">
        <v>0</v>
      </c>
      <c r="E25" s="11">
        <f t="shared" ref="E25:E26" si="2">(E10+G10+I10+K10+M10+O10-N10-L10-J10-H10-F10)</f>
        <v>0</v>
      </c>
      <c r="F25" s="11">
        <f t="shared" ref="F25:F28" si="3">E25-C25</f>
        <v>0</v>
      </c>
      <c r="G25" s="11" t="str">
        <f t="shared" ref="G25:G28" si="4">IF(F25=0,"Even",IF(F25&gt;0,"Deficit","Overage"))</f>
        <v>Even</v>
      </c>
      <c r="H25" s="11">
        <f t="shared" ref="H25:H28" si="5">Q10+S10+U10+W10-V10-T10-R10-P10</f>
        <v>0</v>
      </c>
      <c r="I25" s="11">
        <f t="shared" ref="I25:I28" si="6">H25-D25</f>
        <v>0</v>
      </c>
      <c r="J25" s="11">
        <f>ROUNDUP((I25/(5)),1)</f>
        <v>0</v>
      </c>
      <c r="K25" s="11">
        <f t="shared" ref="K25:K26" si="7">(D25/4)+J25</f>
        <v>0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20"/>
    </row>
    <row r="26" spans="1:28" x14ac:dyDescent="0.45">
      <c r="A26" t="s">
        <v>44</v>
      </c>
      <c r="B26" s="27">
        <v>1</v>
      </c>
      <c r="C26" s="21">
        <v>750</v>
      </c>
      <c r="D26" s="21">
        <v>0</v>
      </c>
      <c r="E26" s="11">
        <f t="shared" si="2"/>
        <v>444</v>
      </c>
      <c r="F26" s="11">
        <f t="shared" si="3"/>
        <v>-306</v>
      </c>
      <c r="G26" s="11" t="str">
        <f t="shared" si="4"/>
        <v>Overage</v>
      </c>
      <c r="H26" s="11">
        <f t="shared" si="5"/>
        <v>0</v>
      </c>
      <c r="I26" s="11">
        <f t="shared" si="6"/>
        <v>0</v>
      </c>
      <c r="J26" s="11">
        <f t="shared" ref="J26" si="8">ROUNDUP((I26/(4)),1)</f>
        <v>0</v>
      </c>
      <c r="K26" s="11">
        <f t="shared" si="7"/>
        <v>0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20"/>
    </row>
    <row r="27" spans="1:28" x14ac:dyDescent="0.45">
      <c r="A27" t="s">
        <v>43</v>
      </c>
      <c r="B27" s="27">
        <v>0.5</v>
      </c>
      <c r="C27" s="21">
        <v>3461.52</v>
      </c>
      <c r="D27" s="21">
        <v>264</v>
      </c>
      <c r="E27" s="11">
        <f>(E15+G15+I15+K15+M15+O15-N15-L15-J15-H15-F15)</f>
        <v>3461.5099999999993</v>
      </c>
      <c r="F27" s="11">
        <f t="shared" si="3"/>
        <v>-1.0000000000673026E-2</v>
      </c>
      <c r="G27" s="11" t="str">
        <f t="shared" si="4"/>
        <v>Overage</v>
      </c>
      <c r="H27" s="11">
        <f t="shared" si="5"/>
        <v>0</v>
      </c>
      <c r="I27" s="11">
        <f t="shared" si="6"/>
        <v>-264</v>
      </c>
      <c r="J27" s="11">
        <f>ROUNDUP((I27/(3)),1)</f>
        <v>-88</v>
      </c>
      <c r="K27" s="11">
        <f>(D27/2)+J27</f>
        <v>44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20"/>
    </row>
    <row r="28" spans="1:28" ht="14.65" thickBot="1" x14ac:dyDescent="0.5">
      <c r="A28" t="s">
        <v>2</v>
      </c>
      <c r="B28" s="26">
        <v>7.6920000000000002E-2</v>
      </c>
      <c r="C28" s="21">
        <v>420</v>
      </c>
      <c r="D28" s="21">
        <v>32.15</v>
      </c>
      <c r="E28" s="11">
        <f>(E19+G19+I19+K19+M19+O19-N19-L19-J19-H19-F19)</f>
        <v>420.00000000000023</v>
      </c>
      <c r="F28" s="11">
        <f t="shared" si="3"/>
        <v>0</v>
      </c>
      <c r="G28" s="11" t="str">
        <f t="shared" si="4"/>
        <v>Even</v>
      </c>
      <c r="H28" s="11" t="e">
        <f t="shared" si="5"/>
        <v>#VALUE!</v>
      </c>
      <c r="I28" s="11" t="e">
        <f t="shared" si="6"/>
        <v>#VALUE!</v>
      </c>
      <c r="J28" s="11" t="e">
        <f>ROUNDUP((I28/(1)),1)</f>
        <v>#VALUE!</v>
      </c>
      <c r="K28" s="11" t="e">
        <f>(D28/1)+J28</f>
        <v>#VALUE!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20"/>
    </row>
    <row r="29" spans="1:28" x14ac:dyDescent="0.45">
      <c r="C29" s="2"/>
      <c r="D29" s="2"/>
      <c r="E29" s="11"/>
      <c r="F29" s="11"/>
      <c r="H29" s="11"/>
      <c r="J29" s="44"/>
      <c r="K29" s="45"/>
      <c r="L29" s="46"/>
      <c r="W29" s="23"/>
      <c r="X29" s="20"/>
      <c r="Y29" s="35"/>
      <c r="Z29" s="35"/>
    </row>
    <row r="30" spans="1:28" ht="14.65" thickBot="1" x14ac:dyDescent="0.5">
      <c r="B30" s="1" t="s">
        <v>35</v>
      </c>
      <c r="C30" s="1" t="s">
        <v>18</v>
      </c>
      <c r="D30" s="1" t="s">
        <v>36</v>
      </c>
      <c r="E30" s="1" t="s">
        <v>19</v>
      </c>
      <c r="F30" t="s">
        <v>15</v>
      </c>
      <c r="H30" s="11"/>
      <c r="Y30" s="23"/>
      <c r="AB30" s="4"/>
    </row>
    <row r="31" spans="1:28" x14ac:dyDescent="0.45">
      <c r="A31" t="s">
        <v>24</v>
      </c>
      <c r="B31" s="32">
        <f>SUM(D20,G20,I20,K20,M20,O20)</f>
        <v>5425.56</v>
      </c>
      <c r="C31" s="32">
        <f>D20</f>
        <v>4103.6500000000015</v>
      </c>
      <c r="D31" s="32">
        <f>SUM(Q20,S20,U20,W20)</f>
        <v>381.05999999999995</v>
      </c>
      <c r="E31" s="32">
        <f>G20+I20+K20+M20+O20+Q20+S20+U20+W20</f>
        <v>1702.9700000000003</v>
      </c>
      <c r="F31" s="32">
        <f>SUM(D20:W20)</f>
        <v>5806.6200000000008</v>
      </c>
      <c r="H31" s="11"/>
      <c r="AB31" s="4"/>
    </row>
    <row r="32" spans="1:28" ht="14.65" thickBot="1" x14ac:dyDescent="0.5">
      <c r="A32" t="s">
        <v>25</v>
      </c>
      <c r="B32" s="33">
        <f>SUM(C24:C28)</f>
        <v>5731.52</v>
      </c>
      <c r="C32" s="33">
        <f>SUM(C24:C28)</f>
        <v>5731.52</v>
      </c>
      <c r="D32" s="33">
        <f>SUM(D24:D28)</f>
        <v>380.54999999999995</v>
      </c>
      <c r="E32" s="34">
        <f>SUM(D24:D28)</f>
        <v>380.54999999999995</v>
      </c>
      <c r="F32" s="34">
        <f>SUM(C32,E32)</f>
        <v>6112.0700000000006</v>
      </c>
      <c r="H32" s="11"/>
    </row>
    <row r="33" spans="1:7" ht="14.65" thickBot="1" x14ac:dyDescent="0.5">
      <c r="A33" t="s">
        <v>20</v>
      </c>
      <c r="B33" s="42">
        <f>B32-B31</f>
        <v>305.96000000000004</v>
      </c>
      <c r="C33" s="22">
        <f>C32-C31</f>
        <v>1627.869999999999</v>
      </c>
      <c r="D33" s="42">
        <f>D32-D31</f>
        <v>-0.50999999999999091</v>
      </c>
      <c r="E33" s="22">
        <f>E32-E31</f>
        <v>-1322.4200000000003</v>
      </c>
      <c r="F33" s="22">
        <f>F32-F31</f>
        <v>305.44999999999982</v>
      </c>
      <c r="G33" s="31" t="str">
        <f>IF(F33&gt;0,"Total Credit on Next Payroll","Total Debit on Next Payroll")</f>
        <v>Total Credit on Next Payroll</v>
      </c>
    </row>
    <row r="35" spans="1:7" x14ac:dyDescent="0.45">
      <c r="A35" t="s">
        <v>39</v>
      </c>
      <c r="B35" s="37">
        <f>C31-B31</f>
        <v>-1321.9099999999989</v>
      </c>
      <c r="C35" t="str">
        <f>IF(B35&gt;=0,"Credit on Payroll","Debit on Payroll")</f>
        <v>Debit on Payroll</v>
      </c>
    </row>
    <row r="36" spans="1:7" x14ac:dyDescent="0.45">
      <c r="A36" t="s">
        <v>40</v>
      </c>
      <c r="B36" s="37">
        <f>E31-D31</f>
        <v>1321.9100000000003</v>
      </c>
      <c r="C36" t="str">
        <f>IF(B36&gt;=0,"Credit on Payroll","Debit on Payroll")</f>
        <v>Credit on Payroll</v>
      </c>
    </row>
    <row r="37" spans="1:7" x14ac:dyDescent="0.45">
      <c r="B37" s="37"/>
    </row>
    <row r="38" spans="1:7" x14ac:dyDescent="0.45">
      <c r="A38" t="s">
        <v>37</v>
      </c>
      <c r="B38" s="37">
        <f>B33</f>
        <v>305.96000000000004</v>
      </c>
      <c r="C38" t="str">
        <f>IF(B38&gt;=0,"Credit on Payroll","Debit on Payroll")</f>
        <v>Credit on Payroll</v>
      </c>
    </row>
    <row r="39" spans="1:7" x14ac:dyDescent="0.45">
      <c r="A39" t="s">
        <v>38</v>
      </c>
      <c r="B39" s="37">
        <f>D33</f>
        <v>-0.50999999999999091</v>
      </c>
      <c r="C39" t="str">
        <f>IF(B39&gt;=0,"Credit on Payroll","Debit on Payroll")</f>
        <v>Debit on Payroll</v>
      </c>
    </row>
  </sheetData>
  <mergeCells count="39">
    <mergeCell ref="V5:W5"/>
    <mergeCell ref="C5:D5"/>
    <mergeCell ref="C8:W8"/>
    <mergeCell ref="C16:W16"/>
    <mergeCell ref="F5:G5"/>
    <mergeCell ref="H5:I5"/>
    <mergeCell ref="J5:K5"/>
    <mergeCell ref="L5:M5"/>
    <mergeCell ref="N5:O5"/>
    <mergeCell ref="P5:Q5"/>
    <mergeCell ref="R5:S5"/>
    <mergeCell ref="T5:U5"/>
    <mergeCell ref="C12:W12"/>
    <mergeCell ref="C13:D13"/>
    <mergeCell ref="F13:G13"/>
    <mergeCell ref="H13:I13"/>
    <mergeCell ref="P17:Q17"/>
    <mergeCell ref="R17:S17"/>
    <mergeCell ref="T17:U17"/>
    <mergeCell ref="V17:W17"/>
    <mergeCell ref="C17:D17"/>
    <mergeCell ref="F17:G17"/>
    <mergeCell ref="H17:I17"/>
    <mergeCell ref="J17:K17"/>
    <mergeCell ref="L17:M17"/>
    <mergeCell ref="N17:O17"/>
    <mergeCell ref="F4:O4"/>
    <mergeCell ref="C4:E4"/>
    <mergeCell ref="P4:W4"/>
    <mergeCell ref="A1:W1"/>
    <mergeCell ref="B2:C2"/>
    <mergeCell ref="B3:C3"/>
    <mergeCell ref="T13:U13"/>
    <mergeCell ref="V13:W13"/>
    <mergeCell ref="J13:K13"/>
    <mergeCell ref="L13:M13"/>
    <mergeCell ref="N13:O13"/>
    <mergeCell ref="P13:Q13"/>
    <mergeCell ref="R13:S13"/>
  </mergeCells>
  <pageMargins left="0.2" right="0.2" top="0.25" bottom="0.25" header="0.3" footer="0.3"/>
  <pageSetup paperSize="5" scale="65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B3" sqref="B3"/>
    </sheetView>
  </sheetViews>
  <sheetFormatPr defaultRowHeight="14.25" x14ac:dyDescent="0.45"/>
  <cols>
    <col min="1" max="1" width="20.1328125" bestFit="1" customWidth="1"/>
    <col min="3" max="4" width="11" bestFit="1" customWidth="1"/>
    <col min="5" max="5" width="4.59765625" style="38" bestFit="1" customWidth="1"/>
  </cols>
  <sheetData>
    <row r="1" spans="1:5" x14ac:dyDescent="0.45">
      <c r="A1" s="52" t="s">
        <v>31</v>
      </c>
      <c r="B1" s="52"/>
      <c r="C1" s="52"/>
      <c r="D1" s="52"/>
      <c r="E1" s="52"/>
    </row>
    <row r="2" spans="1:5" x14ac:dyDescent="0.45">
      <c r="B2" t="s">
        <v>32</v>
      </c>
      <c r="C2" t="s">
        <v>30</v>
      </c>
      <c r="D2" t="s">
        <v>33</v>
      </c>
      <c r="E2" s="38">
        <f>(Sheet1!D6-Sheet1!C6)/7</f>
        <v>5</v>
      </c>
    </row>
    <row r="3" spans="1:5" x14ac:dyDescent="0.45">
      <c r="A3" t="s">
        <v>1</v>
      </c>
      <c r="B3" s="26">
        <v>0.33333333333333298</v>
      </c>
      <c r="D3" s="36">
        <f>C3/$E$2</f>
        <v>0</v>
      </c>
      <c r="E3" s="39"/>
    </row>
    <row r="4" spans="1:5" x14ac:dyDescent="0.45">
      <c r="A4" t="s">
        <v>0</v>
      </c>
      <c r="B4" s="27">
        <v>0.3125</v>
      </c>
      <c r="C4" s="37" t="e">
        <f>ROUNDUP(SUM((Sheet1!#REF!-Sheet1!#REF!),(Sheet1!#REF!-Sheet1!#REF!),(Sheet1!#REF!-Sheet1!#REF!),(Sheet1!#REF!-Sheet1!#REF!),(Sheet1!#REF!-Sheet1!#REF!),(Sheet1!#REF!-Sheet1!#REF!),(Sheet1!#REF!-Sheet1!#REF!),(Sheet1!#REF!-Sheet1!#REF!),(Sheet1!#REF!-Sheet1!#REF!)),0)</f>
        <v>#REF!</v>
      </c>
      <c r="D4" s="36" t="e">
        <f>ROUNDUP(C4/$E$2,0)</f>
        <v>#REF!</v>
      </c>
      <c r="E4" s="39"/>
    </row>
    <row r="5" spans="1:5" x14ac:dyDescent="0.45">
      <c r="A5" t="s">
        <v>3</v>
      </c>
      <c r="B5" s="27">
        <v>0.1</v>
      </c>
      <c r="C5" s="37" t="e">
        <f>ROUNDUP(SUM((Sheet1!#REF!-Sheet1!#REF!),(Sheet1!#REF!-Sheet1!#REF!),(Sheet1!#REF!-Sheet1!#REF!),(Sheet1!#REF!-Sheet1!#REF!),(Sheet1!#REF!-Sheet1!#REF!),(Sheet1!#REF!-Sheet1!#REF!),(Sheet1!#REF!-Sheet1!#REF!),(Sheet1!#REF!-Sheet1!#REF!),(Sheet1!#REF!-Sheet1!#REF!)),0)</f>
        <v>#REF!</v>
      </c>
      <c r="D5" s="36" t="e">
        <f>ROUNDUP(C5/$E$2,0)</f>
        <v>#REF!</v>
      </c>
      <c r="E5" s="39"/>
    </row>
    <row r="6" spans="1:5" x14ac:dyDescent="0.45">
      <c r="B6" s="27"/>
      <c r="C6" s="37"/>
      <c r="D6" s="36"/>
      <c r="E6" s="39">
        <f>(Sheet1!D18-Sheet1!C18)/7</f>
        <v>4.1428571428571432</v>
      </c>
    </row>
    <row r="7" spans="1:5" x14ac:dyDescent="0.45">
      <c r="A7" t="s">
        <v>2</v>
      </c>
      <c r="B7" s="26">
        <v>7.6920000000000002E-2</v>
      </c>
      <c r="C7" s="37">
        <f>ROUNDUP(SUM((Sheet1!G19-Sheet1!F19),(Sheet1!I19-Sheet1!H19),(Sheet1!K19-Sheet1!J19),(Sheet1!M19-Sheet1!L19),(Sheet1!O19-Sheet1!N19),(Sheet1!Q19-Sheet1!P19),(Sheet1!S19-Sheet1!R19),(Sheet1!U19-Sheet1!T19),(Sheet1!W19-Sheet1!V19)),0)</f>
        <v>145</v>
      </c>
      <c r="D7" s="36">
        <f>ROUNDUP(C7/E6,0)</f>
        <v>35</v>
      </c>
      <c r="E7" s="39"/>
    </row>
    <row r="8" spans="1:5" x14ac:dyDescent="0.45">
      <c r="C8" s="37"/>
    </row>
    <row r="9" spans="1:5" x14ac:dyDescent="0.45">
      <c r="C9" s="37"/>
    </row>
    <row r="10" spans="1:5" x14ac:dyDescent="0.45">
      <c r="C10" s="37"/>
    </row>
  </sheetData>
  <mergeCells count="1">
    <mergeCell ref="A1:E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Union Apartments</dc:creator>
  <cp:lastModifiedBy>Luiz Break</cp:lastModifiedBy>
  <cp:lastPrinted>2024-05-06T15:20:31Z</cp:lastPrinted>
  <dcterms:created xsi:type="dcterms:W3CDTF">2022-03-03T15:06:10Z</dcterms:created>
  <dcterms:modified xsi:type="dcterms:W3CDTF">2024-08-12T20:40:11Z</dcterms:modified>
</cp:coreProperties>
</file>