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edff044ccf92a97/Work Items/SMAC/Payroll Reports/"/>
    </mc:Choice>
  </mc:AlternateContent>
  <xr:revisionPtr revIDLastSave="65" documentId="8_{120148DA-EC51-4D13-A7A2-A91F573EA3A5}" xr6:coauthVersionLast="47" xr6:coauthVersionMax="47" xr10:uidLastSave="{AA493C29-F2DE-4B59-913C-E083724B669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Print_Area" localSheetId="0">Sheet1!$A$1:$W$41</definedName>
    <definedName name="_xlnm.Print_Area" localSheetId="1">Sheet2!$A$1:$D$7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1" l="1"/>
  <c r="I29" i="1" s="1"/>
  <c r="J29" i="1" s="1"/>
  <c r="K29" i="1" l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9" i="1"/>
  <c r="E29" i="1" s="1"/>
  <c r="F29" i="1" s="1"/>
  <c r="G29" i="1" s="1"/>
  <c r="D7" i="1"/>
  <c r="C7" i="1"/>
  <c r="H28" i="1"/>
  <c r="I28" i="1" s="1"/>
  <c r="Y19" i="1"/>
  <c r="Y15" i="1"/>
  <c r="Y14" i="1"/>
  <c r="Y10" i="1"/>
  <c r="H30" i="1"/>
  <c r="I30" i="1" s="1"/>
  <c r="J30" i="1" s="1"/>
  <c r="K30" i="1" s="1"/>
  <c r="H27" i="1"/>
  <c r="I27" i="1" s="1"/>
  <c r="J27" i="1" s="1"/>
  <c r="K27" i="1" s="1"/>
  <c r="H26" i="1"/>
  <c r="I26" i="1" s="1"/>
  <c r="J26" i="1" s="1"/>
  <c r="K26" i="1" s="1"/>
  <c r="J28" i="1" l="1"/>
  <c r="K28" i="1" s="1"/>
  <c r="B27" i="1"/>
  <c r="B28" i="1"/>
  <c r="B26" i="1"/>
  <c r="E15" i="1"/>
  <c r="E27" i="1" s="1"/>
  <c r="F27" i="1" s="1"/>
  <c r="G27" i="1" s="1"/>
  <c r="D34" i="1" l="1"/>
  <c r="B34" i="1"/>
  <c r="E14" i="1" l="1"/>
  <c r="E30" i="1" s="1"/>
  <c r="F30" i="1" s="1"/>
  <c r="G30" i="1" s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10" i="1"/>
  <c r="E28" i="1" s="1"/>
  <c r="F28" i="1" s="1"/>
  <c r="G28" i="1" s="1"/>
  <c r="E21" i="1" l="1"/>
  <c r="E20" i="1"/>
  <c r="C34" i="1"/>
  <c r="E34" i="1"/>
  <c r="E19" i="1"/>
  <c r="E26" i="1" s="1"/>
  <c r="F26" i="1" s="1"/>
  <c r="G26" i="1" s="1"/>
  <c r="F34" i="1" l="1"/>
  <c r="C3" i="2"/>
  <c r="D3" i="2" s="1"/>
  <c r="S22" i="1" l="1"/>
  <c r="C4" i="2"/>
  <c r="D4" i="2" s="1"/>
  <c r="C5" i="2"/>
  <c r="D5" i="2" s="1"/>
  <c r="W22" i="1"/>
  <c r="O22" i="1"/>
  <c r="M22" i="1"/>
  <c r="K22" i="1"/>
  <c r="I22" i="1"/>
  <c r="G22" i="1"/>
  <c r="D22" i="1"/>
  <c r="C33" i="1" l="1"/>
  <c r="B33" i="1"/>
  <c r="B35" i="1" s="1"/>
  <c r="B40" i="1" s="1"/>
  <c r="C40" i="1" s="1"/>
  <c r="Q22" i="1"/>
  <c r="U22" i="1"/>
  <c r="D33" i="1" l="1"/>
  <c r="D35" i="1" s="1"/>
  <c r="B41" i="1" s="1"/>
  <c r="C41" i="1" s="1"/>
  <c r="C35" i="1"/>
  <c r="B37" i="1"/>
  <c r="C37" i="1" s="1"/>
  <c r="E33" i="1"/>
  <c r="F33" i="1"/>
  <c r="E35" i="1" l="1"/>
  <c r="B38" i="1"/>
  <c r="C38" i="1" s="1"/>
  <c r="F35" i="1"/>
  <c r="G35" i="1" s="1"/>
</calcChain>
</file>

<file path=xl/sharedStrings.xml><?xml version="1.0" encoding="utf-8"?>
<sst xmlns="http://schemas.openxmlformats.org/spreadsheetml/2006/main" count="93" uniqueCount="56">
  <si>
    <t>Bett, Joshua</t>
  </si>
  <si>
    <t>Sarcyk, Neil</t>
  </si>
  <si>
    <t>Pilz, Michael</t>
  </si>
  <si>
    <t>FWT</t>
  </si>
  <si>
    <t>SS W/H</t>
  </si>
  <si>
    <t>MC W/H</t>
  </si>
  <si>
    <t>OH SIT</t>
  </si>
  <si>
    <t>CLE LIT</t>
  </si>
  <si>
    <t>ER SS</t>
  </si>
  <si>
    <t>ER MC</t>
  </si>
  <si>
    <t>FUTA</t>
  </si>
  <si>
    <t>OH SUTA</t>
  </si>
  <si>
    <t>Employee W/H</t>
  </si>
  <si>
    <t>Employer Paid</t>
  </si>
  <si>
    <t>Total</t>
  </si>
  <si>
    <t>Funds Used</t>
  </si>
  <si>
    <t>Payroll YTD Net</t>
  </si>
  <si>
    <t>Net Pay</t>
  </si>
  <si>
    <t>Total Tax</t>
  </si>
  <si>
    <t>Difference</t>
  </si>
  <si>
    <t>Total Used</t>
  </si>
  <si>
    <t>Taxes</t>
  </si>
  <si>
    <t>Net Used</t>
  </si>
  <si>
    <t>Total Paid or W/H</t>
  </si>
  <si>
    <t>Total in Escrow</t>
  </si>
  <si>
    <t>Escrow</t>
  </si>
  <si>
    <t>Payroll Escrow Utilized</t>
  </si>
  <si>
    <t>Company:</t>
  </si>
  <si>
    <t>Payroll Period:</t>
  </si>
  <si>
    <t>Est Liability</t>
  </si>
  <si>
    <t>Weekly Payroll Tax Escrow Estimator</t>
  </si>
  <si>
    <t>UV%</t>
  </si>
  <si>
    <t>Reese, Aaron</t>
  </si>
  <si>
    <t>SMAC</t>
  </si>
  <si>
    <t>Haggerty, Joe</t>
  </si>
  <si>
    <t>TBD</t>
  </si>
  <si>
    <t>75 Baldwin Park</t>
  </si>
  <si>
    <t>Sarcyk, Wayne</t>
  </si>
  <si>
    <t>Monthly Payroll - Paid Month Behind</t>
  </si>
  <si>
    <t>Weekly Payroll - Paid Week Of</t>
  </si>
  <si>
    <t>Juszczyk, Tyler</t>
  </si>
  <si>
    <t>Hutkay, Jody</t>
  </si>
  <si>
    <t>Gross Pay</t>
  </si>
  <si>
    <t>ER Tax</t>
  </si>
  <si>
    <t>Taken From Gross Pay</t>
  </si>
  <si>
    <t>Added to Payroll Taxes</t>
  </si>
  <si>
    <t>Payroll SVS Credit/Debit</t>
  </si>
  <si>
    <t>Tax Credit/Debit</t>
  </si>
  <si>
    <t>% 75 BP</t>
  </si>
  <si>
    <t>Utilized</t>
  </si>
  <si>
    <t>Per Period</t>
  </si>
  <si>
    <t>New Tax</t>
  </si>
  <si>
    <t>Adjust</t>
  </si>
  <si>
    <t>X-Fer Amt</t>
  </si>
  <si>
    <t>Bi-Weekly Payroll - Paid 1 Week Behind</t>
  </si>
  <si>
    <t>75BP10025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</si>
</sst>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00%"/>
    <numFmt numFmtId="165" formatCode="[$-409]mmmm\-yy;@"/>
    <numFmt numFmtId="166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2" fillId="0" borderId="0" xfId="0" applyFont="1"/>
    <xf numFmtId="14" fontId="0" fillId="0" borderId="7" xfId="0" applyNumberFormat="1" applyBorder="1"/>
    <xf numFmtId="14" fontId="0" fillId="0" borderId="9" xfId="0" applyNumberFormat="1" applyBorder="1"/>
    <xf numFmtId="0" fontId="0" fillId="0" borderId="3" xfId="0" applyBorder="1" applyAlignment="1">
      <alignment horizontal="center"/>
    </xf>
    <xf numFmtId="14" fontId="0" fillId="0" borderId="0" xfId="0" applyNumberFormat="1"/>
    <xf numFmtId="0" fontId="2" fillId="0" borderId="0" xfId="0" applyFont="1" applyAlignment="1">
      <alignment horizontal="center"/>
    </xf>
    <xf numFmtId="44" fontId="0" fillId="0" borderId="0" xfId="1" applyFont="1" applyBorder="1"/>
    <xf numFmtId="44" fontId="0" fillId="0" borderId="10" xfId="1" applyFont="1" applyBorder="1"/>
    <xf numFmtId="44" fontId="0" fillId="0" borderId="12" xfId="1" applyFont="1" applyBorder="1"/>
    <xf numFmtId="44" fontId="0" fillId="0" borderId="5" xfId="1" applyFont="1" applyBorder="1"/>
    <xf numFmtId="44" fontId="0" fillId="0" borderId="6" xfId="1" applyFont="1" applyBorder="1"/>
    <xf numFmtId="44" fontId="0" fillId="0" borderId="0" xfId="1" applyFont="1" applyFill="1" applyBorder="1"/>
    <xf numFmtId="44" fontId="0" fillId="0" borderId="7" xfId="1" applyFont="1" applyBorder="1"/>
    <xf numFmtId="44" fontId="0" fillId="0" borderId="9" xfId="1" applyFont="1" applyBorder="1"/>
    <xf numFmtId="44" fontId="0" fillId="0" borderId="8" xfId="1" applyFont="1" applyBorder="1"/>
    <xf numFmtId="44" fontId="0" fillId="0" borderId="13" xfId="1" applyFont="1" applyBorder="1"/>
    <xf numFmtId="44" fontId="2" fillId="0" borderId="0" xfId="1" applyFont="1" applyBorder="1"/>
    <xf numFmtId="44" fontId="0" fillId="0" borderId="14" xfId="1" applyFont="1" applyBorder="1"/>
    <xf numFmtId="44" fontId="2" fillId="0" borderId="1" xfId="0" applyNumberFormat="1" applyFont="1" applyBorder="1"/>
    <xf numFmtId="0" fontId="2" fillId="0" borderId="0" xfId="0" applyFont="1" applyAlignment="1">
      <alignment horizontal="right"/>
    </xf>
    <xf numFmtId="14" fontId="0" fillId="0" borderId="8" xfId="0" applyNumberFormat="1" applyBorder="1"/>
    <xf numFmtId="44" fontId="0" fillId="0" borderId="11" xfId="1" applyFont="1" applyBorder="1"/>
    <xf numFmtId="164" fontId="0" fillId="0" borderId="0" xfId="2" applyNumberFormat="1" applyFont="1"/>
    <xf numFmtId="164" fontId="0" fillId="0" borderId="0" xfId="0" applyNumberFormat="1"/>
    <xf numFmtId="44" fontId="0" fillId="0" borderId="5" xfId="0" applyNumberFormat="1" applyBorder="1"/>
    <xf numFmtId="44" fontId="0" fillId="0" borderId="6" xfId="0" applyNumberFormat="1" applyBorder="1"/>
    <xf numFmtId="44" fontId="0" fillId="0" borderId="15" xfId="1" applyFont="1" applyBorder="1"/>
    <xf numFmtId="0" fontId="3" fillId="0" borderId="0" xfId="0" applyFont="1"/>
    <xf numFmtId="44" fontId="1" fillId="0" borderId="16" xfId="1" applyFont="1" applyBorder="1"/>
    <xf numFmtId="44" fontId="1" fillId="0" borderId="17" xfId="1" applyFont="1" applyBorder="1"/>
    <xf numFmtId="44" fontId="0" fillId="0" borderId="17" xfId="0" applyNumberFormat="1" applyBorder="1"/>
    <xf numFmtId="44" fontId="2" fillId="0" borderId="0" xfId="0" applyNumberFormat="1" applyFont="1"/>
    <xf numFmtId="44" fontId="0" fillId="0" borderId="0" xfId="1" applyFont="1"/>
    <xf numFmtId="44" fontId="0" fillId="0" borderId="9" xfId="0" applyNumberFormat="1" applyBorder="1"/>
    <xf numFmtId="14" fontId="0" fillId="0" borderId="5" xfId="0" applyNumberFormat="1" applyBorder="1"/>
    <xf numFmtId="14" fontId="0" fillId="0" borderId="6" xfId="0" applyNumberFormat="1" applyBorder="1"/>
    <xf numFmtId="44" fontId="0" fillId="0" borderId="2" xfId="1" applyFont="1" applyBorder="1"/>
    <xf numFmtId="44" fontId="0" fillId="0" borderId="4" xfId="1" applyFont="1" applyBorder="1"/>
    <xf numFmtId="44" fontId="0" fillId="0" borderId="3" xfId="1" applyFont="1" applyBorder="1"/>
    <xf numFmtId="44" fontId="0" fillId="0" borderId="7" xfId="0" applyNumberFormat="1" applyBorder="1"/>
    <xf numFmtId="44" fontId="0" fillId="0" borderId="2" xfId="0" applyNumberFormat="1" applyBorder="1"/>
    <xf numFmtId="44" fontId="0" fillId="0" borderId="4" xfId="0" applyNumberFormat="1" applyBorder="1"/>
    <xf numFmtId="44" fontId="0" fillId="0" borderId="0" xfId="0" applyNumberFormat="1"/>
    <xf numFmtId="44" fontId="0" fillId="0" borderId="1" xfId="0" applyNumberFormat="1" applyBorder="1"/>
    <xf numFmtId="166" fontId="0" fillId="0" borderId="0" xfId="1" applyNumberFormat="1" applyFont="1" applyBorder="1"/>
    <xf numFmtId="44" fontId="0" fillId="0" borderId="0" xfId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41"/>
  <sheetViews>
    <sheetView tabSelected="1" workbookViewId="0">
      <pane xSplit="1" topLeftCell="B1" activePane="topRight" state="frozen"/>
      <selection pane="topRight" activeCell="C25" sqref="C25"/>
    </sheetView>
  </sheetViews>
  <sheetFormatPr defaultRowHeight="15" x14ac:dyDescent="0.25"/>
  <cols>
    <col min="1" max="1" width="23.140625" bestFit="1" customWidth="1"/>
    <col min="2" max="2" width="11.28515625" bestFit="1" customWidth="1"/>
    <col min="3" max="4" width="11.5703125" bestFit="1" customWidth="1"/>
    <col min="5" max="5" width="11.5703125" customWidth="1"/>
    <col min="6" max="6" width="11.28515625" bestFit="1" customWidth="1"/>
    <col min="7" max="7" width="11.28515625" customWidth="1"/>
    <col min="8" max="10" width="10.5703125" bestFit="1" customWidth="1"/>
    <col min="11" max="11" width="10.7109375" bestFit="1" customWidth="1"/>
    <col min="12" max="12" width="10.5703125" bestFit="1" customWidth="1"/>
    <col min="13" max="13" width="10.7109375" bestFit="1" customWidth="1"/>
    <col min="14" max="14" width="12.5703125" bestFit="1" customWidth="1"/>
    <col min="15" max="15" width="10.7109375" bestFit="1" customWidth="1"/>
    <col min="16" max="16" width="10.5703125" bestFit="1" customWidth="1"/>
    <col min="17" max="23" width="10.7109375" bestFit="1" customWidth="1"/>
    <col min="24" max="24" width="10.5703125" bestFit="1" customWidth="1"/>
    <col min="25" max="26" width="11.5703125" bestFit="1" customWidth="1"/>
  </cols>
  <sheetData>
    <row r="1" spans="1:26" x14ac:dyDescent="0.25">
      <c r="A1" s="62" t="s">
        <v>26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</row>
    <row r="2" spans="1:26" x14ac:dyDescent="0.25">
      <c r="A2" s="27" t="s">
        <v>27</v>
      </c>
      <c r="B2" s="63" t="s">
        <v>36</v>
      </c>
      <c r="C2" s="63"/>
    </row>
    <row r="3" spans="1:26" ht="15.75" thickBot="1" x14ac:dyDescent="0.3">
      <c r="A3" s="27" t="s">
        <v>28</v>
      </c>
      <c r="B3" s="64">
        <v>45413</v>
      </c>
      <c r="C3" s="64"/>
    </row>
    <row r="4" spans="1:26" ht="15.75" thickBot="1" x14ac:dyDescent="0.3">
      <c r="A4" s="35" t="s">
        <v>15</v>
      </c>
      <c r="C4" s="59" t="s">
        <v>17</v>
      </c>
      <c r="D4" s="60"/>
      <c r="E4" s="61"/>
      <c r="F4" s="59" t="s">
        <v>12</v>
      </c>
      <c r="G4" s="60"/>
      <c r="H4" s="60"/>
      <c r="I4" s="60"/>
      <c r="J4" s="60"/>
      <c r="K4" s="60"/>
      <c r="L4" s="60"/>
      <c r="M4" s="60"/>
      <c r="N4" s="60"/>
      <c r="O4" s="61"/>
      <c r="P4" s="59" t="s">
        <v>13</v>
      </c>
      <c r="Q4" s="60"/>
      <c r="R4" s="60"/>
      <c r="S4" s="60"/>
      <c r="T4" s="60"/>
      <c r="U4" s="60"/>
      <c r="V4" s="60"/>
      <c r="W4" s="61"/>
      <c r="X4" s="1"/>
      <c r="Y4" s="1"/>
    </row>
    <row r="5" spans="1:26" x14ac:dyDescent="0.25">
      <c r="B5" t="s">
        <v>48</v>
      </c>
      <c r="C5" s="54" t="s">
        <v>16</v>
      </c>
      <c r="D5" s="55"/>
      <c r="E5" s="11" t="s">
        <v>22</v>
      </c>
      <c r="F5" s="54" t="s">
        <v>3</v>
      </c>
      <c r="G5" s="55"/>
      <c r="H5" s="54" t="s">
        <v>4</v>
      </c>
      <c r="I5" s="55"/>
      <c r="J5" s="54" t="s">
        <v>5</v>
      </c>
      <c r="K5" s="55"/>
      <c r="L5" s="54" t="s">
        <v>6</v>
      </c>
      <c r="M5" s="55"/>
      <c r="N5" s="54" t="s">
        <v>7</v>
      </c>
      <c r="O5" s="55"/>
      <c r="P5" s="54" t="s">
        <v>8</v>
      </c>
      <c r="Q5" s="55"/>
      <c r="R5" s="54" t="s">
        <v>9</v>
      </c>
      <c r="S5" s="55"/>
      <c r="T5" s="54" t="s">
        <v>10</v>
      </c>
      <c r="U5" s="55"/>
      <c r="V5" s="54" t="s">
        <v>11</v>
      </c>
      <c r="W5" s="55"/>
      <c r="X5" s="1"/>
      <c r="Y5" s="1"/>
    </row>
    <row r="6" spans="1:26" ht="15.75" thickBot="1" x14ac:dyDescent="0.3">
      <c r="C6" s="9">
        <v>45408</v>
      </c>
      <c r="D6" s="10">
        <v>45436</v>
      </c>
      <c r="E6" s="28"/>
      <c r="F6" s="9">
        <f>$C6</f>
        <v>45408</v>
      </c>
      <c r="G6" s="10">
        <f>$D6</f>
        <v>45436</v>
      </c>
      <c r="H6" s="9">
        <f>$C6</f>
        <v>45408</v>
      </c>
      <c r="I6" s="10">
        <f>$D6</f>
        <v>45436</v>
      </c>
      <c r="J6" s="9">
        <f>$C6</f>
        <v>45408</v>
      </c>
      <c r="K6" s="10">
        <f>$D6</f>
        <v>45436</v>
      </c>
      <c r="L6" s="9">
        <f>$C6</f>
        <v>45408</v>
      </c>
      <c r="M6" s="10">
        <f>$D6</f>
        <v>45436</v>
      </c>
      <c r="N6" s="9">
        <f>$C6</f>
        <v>45408</v>
      </c>
      <c r="O6" s="10">
        <f>$D6</f>
        <v>45436</v>
      </c>
      <c r="P6" s="9">
        <f>$C6</f>
        <v>45408</v>
      </c>
      <c r="Q6" s="10">
        <f>$D6</f>
        <v>45436</v>
      </c>
      <c r="R6" s="9">
        <f>$C6</f>
        <v>45408</v>
      </c>
      <c r="S6" s="10">
        <f>$D6</f>
        <v>45436</v>
      </c>
      <c r="T6" s="9">
        <f>$C6</f>
        <v>45408</v>
      </c>
      <c r="U6" s="10">
        <f>$D6</f>
        <v>45436</v>
      </c>
      <c r="V6" s="9">
        <f>$C6</f>
        <v>45408</v>
      </c>
      <c r="W6" s="10">
        <f>$D6</f>
        <v>45436</v>
      </c>
      <c r="X6" s="12"/>
      <c r="Y6" s="12"/>
    </row>
    <row r="7" spans="1:26" ht="15.75" thickBot="1" x14ac:dyDescent="0.3">
      <c r="A7" t="s">
        <v>20</v>
      </c>
      <c r="C7" s="15">
        <f>SUM(C14:C15,C19:C21,C9:C10)</f>
        <v>21219.230000000003</v>
      </c>
      <c r="D7" s="16">
        <f>SUM(D14:D15,D19:D21,D9:D10)</f>
        <v>26586.75</v>
      </c>
      <c r="E7" s="29"/>
      <c r="F7" s="15">
        <f t="shared" ref="F7:W7" si="0">SUM(F14:F15,F19:F21,F9:F10)</f>
        <v>3708.46</v>
      </c>
      <c r="G7" s="16">
        <f t="shared" si="0"/>
        <v>4615.5200000000004</v>
      </c>
      <c r="H7" s="15">
        <f t="shared" si="0"/>
        <v>1769.4</v>
      </c>
      <c r="I7" s="16">
        <f t="shared" si="0"/>
        <v>2214.66</v>
      </c>
      <c r="J7" s="15">
        <f t="shared" si="0"/>
        <v>413.84000000000003</v>
      </c>
      <c r="K7" s="16">
        <f t="shared" si="0"/>
        <v>517.98</v>
      </c>
      <c r="L7" s="15">
        <f t="shared" si="0"/>
        <v>714.02</v>
      </c>
      <c r="M7" s="16">
        <f t="shared" si="0"/>
        <v>883.02</v>
      </c>
      <c r="N7" s="15">
        <f t="shared" si="0"/>
        <v>713.47</v>
      </c>
      <c r="O7" s="16">
        <f t="shared" si="0"/>
        <v>893.01</v>
      </c>
      <c r="P7" s="15">
        <f t="shared" si="0"/>
        <v>1769.46</v>
      </c>
      <c r="Q7" s="16">
        <f t="shared" si="0"/>
        <v>2214.7399999999998</v>
      </c>
      <c r="R7" s="15">
        <f t="shared" si="0"/>
        <v>413.85</v>
      </c>
      <c r="S7" s="16">
        <f t="shared" si="0"/>
        <v>517.99</v>
      </c>
      <c r="T7" s="15">
        <f t="shared" si="0"/>
        <v>55.179999999999993</v>
      </c>
      <c r="U7" s="16">
        <f t="shared" si="0"/>
        <v>55.179999999999993</v>
      </c>
      <c r="V7" s="15">
        <f t="shared" si="0"/>
        <v>579.28</v>
      </c>
      <c r="W7" s="16">
        <f t="shared" si="0"/>
        <v>579.28</v>
      </c>
      <c r="X7" s="4"/>
      <c r="Z7" s="8"/>
    </row>
    <row r="8" spans="1:26" ht="15.75" thickBot="1" x14ac:dyDescent="0.3">
      <c r="C8" s="56" t="s">
        <v>39</v>
      </c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8"/>
      <c r="Z8" s="8"/>
    </row>
    <row r="9" spans="1:26" hidden="1" x14ac:dyDescent="0.25">
      <c r="A9" t="s">
        <v>2</v>
      </c>
      <c r="C9" s="17"/>
      <c r="D9" s="18">
        <v>0</v>
      </c>
      <c r="E9" s="14">
        <f>D9-C9</f>
        <v>0</v>
      </c>
      <c r="F9" s="17"/>
      <c r="G9" s="19">
        <v>0</v>
      </c>
      <c r="H9" s="17"/>
      <c r="I9" s="18">
        <v>0</v>
      </c>
      <c r="J9" s="17"/>
      <c r="K9" s="18">
        <v>0</v>
      </c>
      <c r="L9" s="17"/>
      <c r="M9" s="18">
        <v>0</v>
      </c>
      <c r="N9" s="17"/>
      <c r="O9" s="18">
        <v>0</v>
      </c>
      <c r="P9" s="32"/>
      <c r="Q9" s="33">
        <v>0</v>
      </c>
      <c r="R9" s="32"/>
      <c r="S9" s="33">
        <v>0</v>
      </c>
      <c r="T9" s="4"/>
      <c r="U9" s="5">
        <v>0</v>
      </c>
      <c r="V9" s="4"/>
      <c r="W9" s="5">
        <v>0</v>
      </c>
      <c r="Z9" s="8"/>
    </row>
    <row r="10" spans="1:26" ht="15.75" thickBot="1" x14ac:dyDescent="0.3">
      <c r="A10" t="s">
        <v>40</v>
      </c>
      <c r="B10" s="31">
        <v>0.49998999999999999</v>
      </c>
      <c r="C10" s="17">
        <v>8747.35</v>
      </c>
      <c r="D10" s="18">
        <v>11309.2</v>
      </c>
      <c r="E10" s="14">
        <f>D10-C10</f>
        <v>2561.8500000000004</v>
      </c>
      <c r="F10" s="17">
        <v>1129.3699999999999</v>
      </c>
      <c r="G10" s="19">
        <v>1456.72</v>
      </c>
      <c r="H10" s="17">
        <v>699.45</v>
      </c>
      <c r="I10" s="18">
        <v>904.05</v>
      </c>
      <c r="J10" s="17">
        <v>163.58000000000001</v>
      </c>
      <c r="K10" s="18">
        <v>211.43</v>
      </c>
      <c r="L10" s="17">
        <v>259.56</v>
      </c>
      <c r="M10" s="18">
        <v>335.36</v>
      </c>
      <c r="N10" s="17">
        <v>282.04000000000002</v>
      </c>
      <c r="O10" s="18">
        <v>364.54</v>
      </c>
      <c r="P10" s="32">
        <v>699.45</v>
      </c>
      <c r="Q10" s="33">
        <v>904.05</v>
      </c>
      <c r="R10" s="32">
        <v>163.59</v>
      </c>
      <c r="S10" s="33">
        <v>211.44</v>
      </c>
      <c r="T10" s="6">
        <v>31.49</v>
      </c>
      <c r="U10" s="21">
        <v>31.49</v>
      </c>
      <c r="V10" s="6">
        <v>330.73</v>
      </c>
      <c r="W10" s="21">
        <v>330.73</v>
      </c>
      <c r="Y10" s="50">
        <f>W10+U10+S10+Q10+O10+M10+K10+I10+G10+D10</f>
        <v>16059.010000000002</v>
      </c>
      <c r="Z10" s="8"/>
    </row>
    <row r="11" spans="1:26" ht="15.75" thickBot="1" x14ac:dyDescent="0.3">
      <c r="C11" s="56" t="s">
        <v>54</v>
      </c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8"/>
      <c r="X11" s="13"/>
      <c r="Y11" s="13"/>
      <c r="Z11" s="8"/>
    </row>
    <row r="12" spans="1:26" x14ac:dyDescent="0.25">
      <c r="C12" s="54" t="s">
        <v>16</v>
      </c>
      <c r="D12" s="55"/>
      <c r="E12" s="11" t="s">
        <v>22</v>
      </c>
      <c r="F12" s="54" t="s">
        <v>3</v>
      </c>
      <c r="G12" s="55"/>
      <c r="H12" s="54" t="s">
        <v>4</v>
      </c>
      <c r="I12" s="55"/>
      <c r="J12" s="54" t="s">
        <v>5</v>
      </c>
      <c r="K12" s="55"/>
      <c r="L12" s="54" t="s">
        <v>6</v>
      </c>
      <c r="M12" s="55"/>
      <c r="N12" s="54" t="s">
        <v>7</v>
      </c>
      <c r="O12" s="55"/>
      <c r="P12" s="54" t="s">
        <v>8</v>
      </c>
      <c r="Q12" s="55"/>
      <c r="R12" s="54" t="s">
        <v>9</v>
      </c>
      <c r="S12" s="55"/>
      <c r="T12" s="54" t="s">
        <v>10</v>
      </c>
      <c r="U12" s="55"/>
      <c r="V12" s="54" t="s">
        <v>11</v>
      </c>
      <c r="W12" s="55"/>
      <c r="X12" s="13"/>
      <c r="Y12" s="13"/>
      <c r="Z12" s="8"/>
    </row>
    <row r="13" spans="1:26" ht="15.75" thickBot="1" x14ac:dyDescent="0.3">
      <c r="C13" s="9">
        <v>45401</v>
      </c>
      <c r="D13" s="10">
        <v>45436</v>
      </c>
      <c r="E13" s="28"/>
      <c r="F13" s="9">
        <f>$C13</f>
        <v>45401</v>
      </c>
      <c r="G13" s="10">
        <f>$D13</f>
        <v>45436</v>
      </c>
      <c r="H13" s="9">
        <f>$C13</f>
        <v>45401</v>
      </c>
      <c r="I13" s="10">
        <f>$D13</f>
        <v>45436</v>
      </c>
      <c r="J13" s="9">
        <f>$C13</f>
        <v>45401</v>
      </c>
      <c r="K13" s="10">
        <f>$D13</f>
        <v>45436</v>
      </c>
      <c r="L13" s="9">
        <f>$C13</f>
        <v>45401</v>
      </c>
      <c r="M13" s="10">
        <f>$D13</f>
        <v>45436</v>
      </c>
      <c r="N13" s="9">
        <f>$C13</f>
        <v>45401</v>
      </c>
      <c r="O13" s="10">
        <f>$D13</f>
        <v>45436</v>
      </c>
      <c r="P13" s="9">
        <f>$C13</f>
        <v>45401</v>
      </c>
      <c r="Q13" s="10">
        <f>$D13</f>
        <v>45436</v>
      </c>
      <c r="R13" s="9">
        <f>$C13</f>
        <v>45401</v>
      </c>
      <c r="S13" s="10">
        <f>$D13</f>
        <v>45436</v>
      </c>
      <c r="T13" s="9">
        <f>$C13</f>
        <v>45401</v>
      </c>
      <c r="U13" s="10">
        <f>$D13</f>
        <v>45436</v>
      </c>
      <c r="V13" s="9">
        <f>$C13</f>
        <v>45401</v>
      </c>
      <c r="W13" s="10">
        <f>$D13</f>
        <v>45436</v>
      </c>
      <c r="X13" s="13"/>
      <c r="Y13" s="13"/>
      <c r="Z13" s="8"/>
    </row>
    <row r="14" spans="1:26" hidden="1" x14ac:dyDescent="0.25">
      <c r="A14" t="s">
        <v>41</v>
      </c>
      <c r="B14" s="31">
        <v>1</v>
      </c>
      <c r="C14" s="17"/>
      <c r="D14" s="18"/>
      <c r="E14" s="14">
        <f>D14-C14</f>
        <v>0</v>
      </c>
      <c r="F14" s="17"/>
      <c r="G14" s="19"/>
      <c r="H14" s="17"/>
      <c r="I14" s="18"/>
      <c r="J14" s="17"/>
      <c r="K14" s="18"/>
      <c r="L14" s="17"/>
      <c r="M14" s="18"/>
      <c r="N14" s="17">
        <v>0</v>
      </c>
      <c r="O14" s="18"/>
      <c r="P14" s="32"/>
      <c r="Q14" s="33"/>
      <c r="R14" s="32"/>
      <c r="S14" s="33"/>
      <c r="T14" s="4"/>
      <c r="U14" s="5"/>
      <c r="V14" s="4"/>
      <c r="W14" s="5"/>
      <c r="Y14" s="50">
        <f t="shared" ref="Y14:Y15" si="1">W14+U14+S14+Q14+O14+M14+K14+I14+G14+D14</f>
        <v>0</v>
      </c>
    </row>
    <row r="15" spans="1:26" ht="15.75" thickBot="1" x14ac:dyDescent="0.3">
      <c r="A15" t="s">
        <v>37</v>
      </c>
      <c r="B15" s="31">
        <v>0.5</v>
      </c>
      <c r="C15" s="17">
        <v>11242.76</v>
      </c>
      <c r="D15" s="18">
        <v>13741.15</v>
      </c>
      <c r="E15" s="14">
        <f>D15-C15</f>
        <v>2498.3899999999994</v>
      </c>
      <c r="F15" s="17">
        <v>2342.25</v>
      </c>
      <c r="G15" s="19">
        <v>2862.75</v>
      </c>
      <c r="H15" s="17">
        <v>965.79</v>
      </c>
      <c r="I15" s="18">
        <v>1180.4100000000001</v>
      </c>
      <c r="J15" s="17">
        <v>225.9</v>
      </c>
      <c r="K15" s="18">
        <v>276.10000000000002</v>
      </c>
      <c r="L15" s="17">
        <v>410.94</v>
      </c>
      <c r="M15" s="18">
        <v>502.26</v>
      </c>
      <c r="N15" s="17">
        <v>389.43</v>
      </c>
      <c r="O15" s="18">
        <v>475.97</v>
      </c>
      <c r="P15" s="32">
        <v>965.85</v>
      </c>
      <c r="Q15" s="33">
        <v>1180.49</v>
      </c>
      <c r="R15" s="32">
        <v>225.9</v>
      </c>
      <c r="S15" s="33">
        <v>276.10000000000002</v>
      </c>
      <c r="T15" s="6">
        <v>21.02</v>
      </c>
      <c r="U15" s="21">
        <v>21.02</v>
      </c>
      <c r="V15" s="6">
        <v>220.52</v>
      </c>
      <c r="W15" s="21">
        <v>220.52</v>
      </c>
      <c r="Y15" s="50">
        <f t="shared" si="1"/>
        <v>20736.77</v>
      </c>
    </row>
    <row r="16" spans="1:26" ht="15.75" thickBot="1" x14ac:dyDescent="0.3">
      <c r="B16" s="31"/>
      <c r="C16" s="56" t="s">
        <v>38</v>
      </c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8"/>
      <c r="X16" s="13"/>
      <c r="Y16" s="13"/>
    </row>
    <row r="17" spans="1:28" x14ac:dyDescent="0.25">
      <c r="B17" s="31"/>
      <c r="C17" s="54" t="s">
        <v>16</v>
      </c>
      <c r="D17" s="55"/>
      <c r="E17" s="11"/>
      <c r="F17" s="54" t="s">
        <v>3</v>
      </c>
      <c r="G17" s="55"/>
      <c r="H17" s="54" t="s">
        <v>4</v>
      </c>
      <c r="I17" s="55"/>
      <c r="J17" s="54" t="s">
        <v>5</v>
      </c>
      <c r="K17" s="55"/>
      <c r="L17" s="54" t="s">
        <v>6</v>
      </c>
      <c r="M17" s="55"/>
      <c r="N17" s="54" t="s">
        <v>7</v>
      </c>
      <c r="O17" s="55"/>
      <c r="P17" s="54" t="s">
        <v>8</v>
      </c>
      <c r="Q17" s="55"/>
      <c r="R17" s="54" t="s">
        <v>9</v>
      </c>
      <c r="S17" s="55"/>
      <c r="T17" s="54" t="s">
        <v>10</v>
      </c>
      <c r="U17" s="55"/>
      <c r="V17" s="54" t="s">
        <v>11</v>
      </c>
      <c r="W17" s="55"/>
      <c r="X17" s="1"/>
      <c r="Y17" s="1"/>
    </row>
    <row r="18" spans="1:28" ht="15.75" thickBot="1" x14ac:dyDescent="0.3">
      <c r="B18" s="31"/>
      <c r="C18" s="42">
        <v>45383</v>
      </c>
      <c r="D18" s="43">
        <v>45412</v>
      </c>
      <c r="E18" s="12"/>
      <c r="F18" s="9">
        <f>$C18</f>
        <v>45383</v>
      </c>
      <c r="G18" s="10">
        <f>$D18</f>
        <v>45412</v>
      </c>
      <c r="H18" s="9">
        <f>$C18</f>
        <v>45383</v>
      </c>
      <c r="I18" s="10">
        <f>$D18</f>
        <v>45412</v>
      </c>
      <c r="J18" s="9">
        <f>$C18</f>
        <v>45383</v>
      </c>
      <c r="K18" s="10">
        <f>$D18</f>
        <v>45412</v>
      </c>
      <c r="L18" s="9">
        <f>$C18</f>
        <v>45383</v>
      </c>
      <c r="M18" s="10">
        <f>$D18</f>
        <v>45412</v>
      </c>
      <c r="N18" s="9">
        <f>$C18</f>
        <v>45383</v>
      </c>
      <c r="O18" s="10">
        <f>$D18</f>
        <v>45412</v>
      </c>
      <c r="P18" s="9">
        <f>$C18</f>
        <v>45383</v>
      </c>
      <c r="Q18" s="10">
        <f>$D18</f>
        <v>45412</v>
      </c>
      <c r="R18" s="9">
        <f>$C18</f>
        <v>45383</v>
      </c>
      <c r="S18" s="10">
        <f>$D18</f>
        <v>45412</v>
      </c>
      <c r="T18" s="9">
        <f>$C18</f>
        <v>45383</v>
      </c>
      <c r="U18" s="10">
        <f>$D18</f>
        <v>45412</v>
      </c>
      <c r="V18" s="9">
        <f>$C18</f>
        <v>45383</v>
      </c>
      <c r="W18" s="10">
        <f>$D18</f>
        <v>45412</v>
      </c>
      <c r="X18" s="12"/>
      <c r="Y18" s="12"/>
    </row>
    <row r="19" spans="1:28" x14ac:dyDescent="0.25">
      <c r="A19" t="s">
        <v>1</v>
      </c>
      <c r="B19" s="30">
        <v>7.4999999999999997E-2</v>
      </c>
      <c r="C19" s="44">
        <v>1229.1199999999999</v>
      </c>
      <c r="D19" s="46">
        <v>1536.4</v>
      </c>
      <c r="E19" s="23">
        <f>D19-C19</f>
        <v>307.2800000000002</v>
      </c>
      <c r="F19" s="46">
        <v>236.84</v>
      </c>
      <c r="G19" s="45">
        <v>296.05</v>
      </c>
      <c r="H19" s="44">
        <v>104.16</v>
      </c>
      <c r="I19" s="45">
        <v>130.19999999999999</v>
      </c>
      <c r="J19" s="44">
        <v>24.36</v>
      </c>
      <c r="K19" s="45">
        <v>30.45</v>
      </c>
      <c r="L19" s="44">
        <v>43.52</v>
      </c>
      <c r="M19" s="45">
        <v>45.4</v>
      </c>
      <c r="N19" s="44">
        <v>42</v>
      </c>
      <c r="O19" s="45">
        <v>52.5</v>
      </c>
      <c r="P19" s="48">
        <v>104.16</v>
      </c>
      <c r="Q19" s="49">
        <v>130.19999999999999</v>
      </c>
      <c r="R19" s="48">
        <v>24.36</v>
      </c>
      <c r="S19" s="49">
        <v>30.45</v>
      </c>
      <c r="T19" s="2">
        <v>2.67</v>
      </c>
      <c r="U19" s="45">
        <v>2.67</v>
      </c>
      <c r="V19" s="2">
        <v>28.03</v>
      </c>
      <c r="W19" s="45">
        <v>28.03</v>
      </c>
      <c r="Y19" s="50">
        <f>W19+U19+S19+Q19+O19+M19+K19+I19+G19+D19</f>
        <v>2282.3500000000004</v>
      </c>
    </row>
    <row r="20" spans="1:28" x14ac:dyDescent="0.25">
      <c r="B20" s="30"/>
      <c r="C20" s="17"/>
      <c r="D20" s="14"/>
      <c r="E20" s="25">
        <f>D20-C20</f>
        <v>0</v>
      </c>
      <c r="F20" s="14"/>
      <c r="G20" s="18"/>
      <c r="H20" s="17"/>
      <c r="I20" s="18"/>
      <c r="J20" s="17"/>
      <c r="K20" s="18"/>
      <c r="L20" s="17"/>
      <c r="M20" s="18"/>
      <c r="N20" s="17"/>
      <c r="O20" s="18"/>
      <c r="P20" s="32"/>
      <c r="Q20" s="33"/>
      <c r="R20" s="32"/>
      <c r="S20" s="33"/>
      <c r="T20" s="4"/>
      <c r="U20" s="5"/>
      <c r="V20" s="4"/>
      <c r="W20" s="5"/>
    </row>
    <row r="21" spans="1:28" ht="15.75" thickBot="1" x14ac:dyDescent="0.3">
      <c r="B21" s="30"/>
      <c r="C21" s="20"/>
      <c r="D21" s="22"/>
      <c r="E21" s="34">
        <f>D21-C21</f>
        <v>0</v>
      </c>
      <c r="F21" s="22"/>
      <c r="G21" s="21"/>
      <c r="H21" s="20"/>
      <c r="I21" s="21"/>
      <c r="J21" s="20"/>
      <c r="K21" s="21"/>
      <c r="L21" s="20"/>
      <c r="M21" s="21"/>
      <c r="N21" s="20"/>
      <c r="O21" s="21"/>
      <c r="P21" s="47"/>
      <c r="Q21" s="41"/>
      <c r="R21" s="47"/>
      <c r="S21" s="41"/>
      <c r="T21" s="6"/>
      <c r="U21" s="7"/>
      <c r="V21" s="6"/>
      <c r="W21" s="7"/>
    </row>
    <row r="22" spans="1:28" ht="15.75" thickBot="1" x14ac:dyDescent="0.3">
      <c r="A22" t="s">
        <v>15</v>
      </c>
      <c r="D22" s="34">
        <f>D7-C7</f>
        <v>5367.5199999999968</v>
      </c>
      <c r="E22" s="14"/>
      <c r="F22" s="14"/>
      <c r="G22" s="34">
        <f>G7-F7</f>
        <v>907.0600000000004</v>
      </c>
      <c r="H22" s="14"/>
      <c r="I22" s="34">
        <f>I7-H7</f>
        <v>445.25999999999976</v>
      </c>
      <c r="J22" s="14"/>
      <c r="K22" s="34">
        <f>K7-J7</f>
        <v>104.13999999999999</v>
      </c>
      <c r="L22" s="14"/>
      <c r="M22" s="34">
        <f>M7-L7</f>
        <v>169</v>
      </c>
      <c r="N22" s="14"/>
      <c r="O22" s="34">
        <f>O7-N7</f>
        <v>179.53999999999996</v>
      </c>
      <c r="P22" s="14"/>
      <c r="Q22" s="34">
        <f>Q7-P7</f>
        <v>445.27999999999975</v>
      </c>
      <c r="R22" s="14"/>
      <c r="S22" s="34">
        <f>S7-R7</f>
        <v>104.13999999999999</v>
      </c>
      <c r="T22" s="14"/>
      <c r="U22" s="34">
        <f>U7-T7</f>
        <v>0</v>
      </c>
      <c r="V22" s="14"/>
      <c r="W22" s="34">
        <f>W7-V7</f>
        <v>0</v>
      </c>
    </row>
    <row r="23" spans="1:28" x14ac:dyDescent="0.25"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</row>
    <row r="24" spans="1:28" x14ac:dyDescent="0.25">
      <c r="A24" s="35" t="s">
        <v>25</v>
      </c>
      <c r="C24" s="8" t="s">
        <v>55</v>
      </c>
      <c r="D24" s="14"/>
      <c r="E24" s="53" t="s">
        <v>49</v>
      </c>
      <c r="G24" s="14"/>
      <c r="H24" s="53" t="s">
        <v>49</v>
      </c>
      <c r="I24" s="14"/>
      <c r="J24" s="53" t="s">
        <v>50</v>
      </c>
      <c r="K24" s="14" t="s">
        <v>51</v>
      </c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24"/>
    </row>
    <row r="25" spans="1:28" ht="15.75" thickBot="1" x14ac:dyDescent="0.3">
      <c r="C25" t="s">
        <v>17</v>
      </c>
      <c r="D25" s="14" t="s">
        <v>21</v>
      </c>
      <c r="E25" s="53" t="s">
        <v>17</v>
      </c>
      <c r="F25" t="s">
        <v>19</v>
      </c>
      <c r="G25" s="14"/>
      <c r="H25" s="53" t="s">
        <v>21</v>
      </c>
      <c r="I25" s="14" t="s">
        <v>19</v>
      </c>
      <c r="J25" s="53" t="s">
        <v>52</v>
      </c>
      <c r="K25" s="14" t="s">
        <v>53</v>
      </c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24"/>
    </row>
    <row r="26" spans="1:28" x14ac:dyDescent="0.25">
      <c r="A26" t="s">
        <v>1</v>
      </c>
      <c r="B26" s="30">
        <f>B19</f>
        <v>7.4999999999999997E-2</v>
      </c>
      <c r="C26" s="23">
        <v>420</v>
      </c>
      <c r="D26" s="23">
        <v>32.15</v>
      </c>
      <c r="E26" s="52">
        <f>(E19+G19+I19+K19+M19+O19-N19-L19-J19-H19-F19)</f>
        <v>411.00000000000023</v>
      </c>
      <c r="F26" s="52">
        <f>E26-C26</f>
        <v>-8.9999999999997726</v>
      </c>
      <c r="G26" s="14" t="str">
        <f t="shared" ref="G26:G30" si="2">IF(F26=0,"Even",IF(F26&gt;0,"Deficit","Overage"))</f>
        <v>Overage</v>
      </c>
      <c r="H26" s="14">
        <f>Q19+S19+U19+W19-V19-T19-R19-P19</f>
        <v>32.129999999999967</v>
      </c>
      <c r="I26" s="14">
        <f>H26-D26</f>
        <v>-2.0000000000031548E-2</v>
      </c>
      <c r="J26" s="14">
        <f>ROUNDUP((I26/(1)),1)</f>
        <v>-0.1</v>
      </c>
      <c r="K26" s="24">
        <f>(D26/1)+J26</f>
        <v>32.049999999999997</v>
      </c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24"/>
    </row>
    <row r="27" spans="1:28" x14ac:dyDescent="0.25">
      <c r="A27" t="s">
        <v>37</v>
      </c>
      <c r="B27" s="30">
        <f>B15</f>
        <v>0.5</v>
      </c>
      <c r="C27" s="25">
        <v>3461.56</v>
      </c>
      <c r="D27" s="25">
        <v>264</v>
      </c>
      <c r="E27" s="52">
        <f>(E15+G15+I15+K15+M15+O15-N15-L15-J15-H15-F15)</f>
        <v>3461.5700000000006</v>
      </c>
      <c r="F27" s="52">
        <f t="shared" ref="F27:F30" si="3">E27-C27</f>
        <v>1.0000000000673026E-2</v>
      </c>
      <c r="G27" s="14" t="str">
        <f t="shared" si="2"/>
        <v>Deficit</v>
      </c>
      <c r="H27" s="14">
        <f>Q15+S15+U15+W15-V15-T15-R15-P15</f>
        <v>264.84000000000003</v>
      </c>
      <c r="I27" s="14">
        <f t="shared" ref="I27:I30" si="4">H27-D27</f>
        <v>0.84000000000003183</v>
      </c>
      <c r="J27" s="14">
        <f>ROUNDUP((I27/(2)),1)</f>
        <v>0.5</v>
      </c>
      <c r="K27" s="24">
        <f>(D27/2)+J27</f>
        <v>132.5</v>
      </c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24"/>
    </row>
    <row r="28" spans="1:28" x14ac:dyDescent="0.25">
      <c r="A28" t="s">
        <v>40</v>
      </c>
      <c r="B28" s="30">
        <f>B10</f>
        <v>0.49998999999999999</v>
      </c>
      <c r="C28" s="25">
        <v>3300</v>
      </c>
      <c r="D28" s="25">
        <v>226.5</v>
      </c>
      <c r="E28" s="52">
        <f>(E10+G10+I10+K10+M10+O10-N10-L10-J10-H10-F10)</f>
        <v>3299.9500000000007</v>
      </c>
      <c r="F28" s="52">
        <f t="shared" si="3"/>
        <v>-4.9999999999272404E-2</v>
      </c>
      <c r="G28" s="14" t="str">
        <f t="shared" si="2"/>
        <v>Overage</v>
      </c>
      <c r="H28" s="14">
        <f>Q10+S10+U10+W10-V10-T10-R10-P10</f>
        <v>252.44999999999993</v>
      </c>
      <c r="I28" s="14">
        <f t="shared" si="4"/>
        <v>25.949999999999932</v>
      </c>
      <c r="J28" s="14">
        <f>ROUNDUP((I28/(5)),1)</f>
        <v>5.1999999999999993</v>
      </c>
      <c r="K28" s="24">
        <f>(D28/5)+J28</f>
        <v>50.5</v>
      </c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24"/>
    </row>
    <row r="29" spans="1:28" hidden="1" x14ac:dyDescent="0.25">
      <c r="A29" t="s">
        <v>2</v>
      </c>
      <c r="B29" s="30"/>
      <c r="C29" s="25">
        <v>0</v>
      </c>
      <c r="D29" s="25">
        <v>0</v>
      </c>
      <c r="E29" s="52">
        <f>(E9+G9+I9+K9+M9+O9-N9-L9-J9-H9-F9)</f>
        <v>0</v>
      </c>
      <c r="F29" s="52">
        <f t="shared" si="3"/>
        <v>0</v>
      </c>
      <c r="G29" s="14" t="str">
        <f t="shared" si="2"/>
        <v>Even</v>
      </c>
      <c r="H29" s="14">
        <f>Q9+S9+U9+W9-V9-T9-R9-P9</f>
        <v>0</v>
      </c>
      <c r="I29" s="14">
        <f t="shared" si="4"/>
        <v>0</v>
      </c>
      <c r="J29" s="14">
        <f>ROUNDUP((I29/(5)),1)</f>
        <v>0</v>
      </c>
      <c r="K29" s="24">
        <f>(D29/4)+J29</f>
        <v>0</v>
      </c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24"/>
    </row>
    <row r="30" spans="1:28" ht="15.75" thickBot="1" x14ac:dyDescent="0.3">
      <c r="A30" t="s">
        <v>41</v>
      </c>
      <c r="B30" s="30"/>
      <c r="C30" s="25">
        <v>0</v>
      </c>
      <c r="D30" s="25">
        <v>0</v>
      </c>
      <c r="E30" s="52">
        <f>(E14+G14+I14+K14+M14+O14-N14-L14-J14-H14-F14)</f>
        <v>0</v>
      </c>
      <c r="F30" s="52">
        <f t="shared" si="3"/>
        <v>0</v>
      </c>
      <c r="G30" s="14" t="str">
        <f t="shared" si="2"/>
        <v>Even</v>
      </c>
      <c r="H30" s="14">
        <f>Q14+S14+U14+W14-V14-T14-R14-P14</f>
        <v>0</v>
      </c>
      <c r="I30" s="14">
        <f t="shared" si="4"/>
        <v>0</v>
      </c>
      <c r="J30" s="14">
        <f t="shared" ref="J30" si="5">ROUNDUP((I30/(4)),1)</f>
        <v>0</v>
      </c>
      <c r="K30" s="24">
        <f t="shared" ref="K30" si="6">(D30/4)+J30</f>
        <v>0</v>
      </c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24"/>
    </row>
    <row r="31" spans="1:28" x14ac:dyDescent="0.25">
      <c r="C31" s="3"/>
      <c r="D31" s="3"/>
      <c r="K31" s="14"/>
      <c r="L31" s="14"/>
      <c r="W31" s="27"/>
      <c r="X31" s="24"/>
      <c r="Y31" s="39"/>
      <c r="Z31" s="39"/>
    </row>
    <row r="32" spans="1:28" ht="15.75" thickBot="1" x14ac:dyDescent="0.3">
      <c r="B32" s="1" t="s">
        <v>42</v>
      </c>
      <c r="C32" s="1" t="s">
        <v>17</v>
      </c>
      <c r="D32" s="1" t="s">
        <v>43</v>
      </c>
      <c r="E32" s="1" t="s">
        <v>18</v>
      </c>
      <c r="F32" t="s">
        <v>14</v>
      </c>
      <c r="K32" s="14"/>
      <c r="L32" s="14"/>
      <c r="Y32" s="27"/>
      <c r="AB32" s="8"/>
    </row>
    <row r="33" spans="1:28" x14ac:dyDescent="0.25">
      <c r="A33" t="s">
        <v>23</v>
      </c>
      <c r="B33" s="36">
        <f>SUM(D22,G22,I22,K22,M22,O22)</f>
        <v>7172.5199999999968</v>
      </c>
      <c r="C33" s="36">
        <f>D22</f>
        <v>5367.5199999999968</v>
      </c>
      <c r="D33" s="36">
        <f>SUM(Q22,S22,U22,W22)</f>
        <v>549.41999999999973</v>
      </c>
      <c r="E33" s="36">
        <f>G22+I22+K22+M22+O22+Q22+S22+U22+W22</f>
        <v>2354.4199999999996</v>
      </c>
      <c r="F33" s="36">
        <f>SUM(D22:W22)</f>
        <v>7721.9399999999969</v>
      </c>
      <c r="K33" s="14"/>
      <c r="L33" s="14"/>
      <c r="AB33" s="8"/>
    </row>
    <row r="34" spans="1:28" ht="15.75" thickBot="1" x14ac:dyDescent="0.3">
      <c r="A34" t="s">
        <v>24</v>
      </c>
      <c r="B34" s="37">
        <f>SUM(C26:C30)</f>
        <v>7181.5599999999995</v>
      </c>
      <c r="C34" s="37">
        <f>SUM(C26:C30)</f>
        <v>7181.5599999999995</v>
      </c>
      <c r="D34" s="37">
        <f>SUM(D26:D30)</f>
        <v>522.65</v>
      </c>
      <c r="E34" s="38">
        <f>SUM(D26:D30)</f>
        <v>522.65</v>
      </c>
      <c r="F34" s="38">
        <f>SUM(C34,E34)</f>
        <v>7704.2099999999991</v>
      </c>
      <c r="K34" s="14"/>
      <c r="L34" s="14"/>
    </row>
    <row r="35" spans="1:28" ht="15.75" thickBot="1" x14ac:dyDescent="0.3">
      <c r="A35" t="s">
        <v>19</v>
      </c>
      <c r="B35" s="51">
        <f>B34-B33</f>
        <v>9.0400000000026921</v>
      </c>
      <c r="C35" s="26">
        <f>C34-C33</f>
        <v>1814.0400000000027</v>
      </c>
      <c r="D35" s="51">
        <f>D34-D33</f>
        <v>-26.769999999999754</v>
      </c>
      <c r="E35" s="26">
        <f>E34-E33</f>
        <v>-1831.7699999999995</v>
      </c>
      <c r="F35" s="26">
        <f>F34-F33</f>
        <v>-17.729999999997744</v>
      </c>
      <c r="G35" s="35" t="str">
        <f>IF(F35&gt;0,"Total Credit on Next Payroll","Total Debit on Next Payroll")</f>
        <v>Total Debit on Next Payroll</v>
      </c>
      <c r="K35" s="14"/>
      <c r="L35" s="14"/>
    </row>
    <row r="36" spans="1:28" x14ac:dyDescent="0.25">
      <c r="B36" s="50"/>
      <c r="C36" s="50"/>
      <c r="L36" s="14"/>
    </row>
    <row r="37" spans="1:28" x14ac:dyDescent="0.25">
      <c r="A37" t="s">
        <v>44</v>
      </c>
      <c r="B37" s="50">
        <f>C33-B33</f>
        <v>-1805</v>
      </c>
      <c r="C37" t="str">
        <f>IF(B37&gt;=0,"Credit on Payroll","Debit on Payroll")</f>
        <v>Debit on Payroll</v>
      </c>
      <c r="L37" s="14"/>
    </row>
    <row r="38" spans="1:28" x14ac:dyDescent="0.25">
      <c r="A38" t="s">
        <v>45</v>
      </c>
      <c r="B38" s="50">
        <f>E33-D33</f>
        <v>1805</v>
      </c>
      <c r="C38" t="str">
        <f t="shared" ref="C38:C41" si="7">IF(B38&gt;=0,"Credit on Payroll","Debit on Payroll")</f>
        <v>Credit on Payroll</v>
      </c>
    </row>
    <row r="40" spans="1:28" x14ac:dyDescent="0.25">
      <c r="A40" t="s">
        <v>46</v>
      </c>
      <c r="B40" s="50">
        <f>B35</f>
        <v>9.0400000000026921</v>
      </c>
      <c r="C40" t="str">
        <f t="shared" si="7"/>
        <v>Credit on Payroll</v>
      </c>
    </row>
    <row r="41" spans="1:28" x14ac:dyDescent="0.25">
      <c r="A41" t="s">
        <v>47</v>
      </c>
      <c r="B41" s="50">
        <f>D35</f>
        <v>-26.769999999999754</v>
      </c>
      <c r="C41" t="str">
        <f t="shared" si="7"/>
        <v>Debit on Payroll</v>
      </c>
    </row>
  </sheetData>
  <mergeCells count="39">
    <mergeCell ref="T12:U12"/>
    <mergeCell ref="V12:W12"/>
    <mergeCell ref="J12:K12"/>
    <mergeCell ref="L12:M12"/>
    <mergeCell ref="N12:O12"/>
    <mergeCell ref="P12:Q12"/>
    <mergeCell ref="R12:S12"/>
    <mergeCell ref="F4:O4"/>
    <mergeCell ref="C4:E4"/>
    <mergeCell ref="P4:W4"/>
    <mergeCell ref="A1:W1"/>
    <mergeCell ref="B2:C2"/>
    <mergeCell ref="B3:C3"/>
    <mergeCell ref="P17:Q17"/>
    <mergeCell ref="R17:S17"/>
    <mergeCell ref="T17:U17"/>
    <mergeCell ref="V17:W17"/>
    <mergeCell ref="C17:D17"/>
    <mergeCell ref="F17:G17"/>
    <mergeCell ref="H17:I17"/>
    <mergeCell ref="J17:K17"/>
    <mergeCell ref="L17:M17"/>
    <mergeCell ref="N17:O17"/>
    <mergeCell ref="V5:W5"/>
    <mergeCell ref="C5:D5"/>
    <mergeCell ref="C11:W11"/>
    <mergeCell ref="C16:W16"/>
    <mergeCell ref="F5:G5"/>
    <mergeCell ref="H5:I5"/>
    <mergeCell ref="J5:K5"/>
    <mergeCell ref="L5:M5"/>
    <mergeCell ref="N5:O5"/>
    <mergeCell ref="P5:Q5"/>
    <mergeCell ref="R5:S5"/>
    <mergeCell ref="T5:U5"/>
    <mergeCell ref="C8:W8"/>
    <mergeCell ref="C12:D12"/>
    <mergeCell ref="F12:G12"/>
    <mergeCell ref="H12:I12"/>
  </mergeCells>
  <pageMargins left="0.2" right="0.2" top="0.25" bottom="0.25" header="0.3" footer="0.3"/>
  <pageSetup paperSize="5" scale="6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"/>
  <sheetViews>
    <sheetView workbookViewId="0">
      <selection activeCell="F6" sqref="F6"/>
    </sheetView>
  </sheetViews>
  <sheetFormatPr defaultRowHeight="15" x14ac:dyDescent="0.25"/>
  <cols>
    <col min="1" max="1" width="20.140625" bestFit="1" customWidth="1"/>
    <col min="2" max="2" width="11.140625" bestFit="1" customWidth="1"/>
    <col min="3" max="3" width="11" bestFit="1" customWidth="1"/>
    <col min="4" max="4" width="14.28515625" bestFit="1" customWidth="1"/>
  </cols>
  <sheetData>
    <row r="1" spans="1:5" x14ac:dyDescent="0.25">
      <c r="A1" s="62" t="s">
        <v>30</v>
      </c>
      <c r="B1" s="62"/>
      <c r="C1" s="62"/>
      <c r="D1" s="62"/>
    </row>
    <row r="2" spans="1:5" x14ac:dyDescent="0.25">
      <c r="B2" t="s">
        <v>31</v>
      </c>
      <c r="C2" t="s">
        <v>29</v>
      </c>
      <c r="D2" t="s">
        <v>33</v>
      </c>
      <c r="E2">
        <v>4</v>
      </c>
    </row>
    <row r="3" spans="1:5" x14ac:dyDescent="0.25">
      <c r="A3" t="s">
        <v>0</v>
      </c>
      <c r="B3" s="31">
        <v>6.25E-2</v>
      </c>
      <c r="C3" s="40" t="e">
        <f>ROUNDUP(SUM((Sheet1!#REF!-Sheet1!#REF!),(Sheet1!#REF!-Sheet1!#REF!),(Sheet1!#REF!-Sheet1!#REF!),(Sheet1!#REF!-Sheet1!#REF!),(Sheet1!#REF!-Sheet1!#REF!),(Sheet1!#REF!-Sheet1!#REF!),(Sheet1!#REF!-Sheet1!#REF!),(Sheet1!#REF!-Sheet1!#REF!),(Sheet1!#REF!-Sheet1!#REF!)),0)</f>
        <v>#REF!</v>
      </c>
      <c r="D3" s="40" t="e">
        <f>ROUNDUP(C3/$E$2,0)</f>
        <v>#REF!</v>
      </c>
      <c r="E3" s="50"/>
    </row>
    <row r="4" spans="1:5" x14ac:dyDescent="0.25">
      <c r="A4" t="s">
        <v>2</v>
      </c>
      <c r="B4" s="31">
        <v>0.1</v>
      </c>
      <c r="C4" s="40">
        <f>ROUNDUP(SUM((Sheet1!G15-Sheet1!F15),(Sheet1!I15-Sheet1!H15),(Sheet1!K15-Sheet1!J15),(Sheet1!M15-Sheet1!L15),(Sheet1!O15-Sheet1!N15),(Sheet1!Q15-Sheet1!P15),(Sheet1!S15-Sheet1!R15),(Sheet1!U15-Sheet1!T15),(Sheet1!W15-Sheet1!V15)),0)</f>
        <v>1229</v>
      </c>
      <c r="D4" s="40">
        <f>ROUNDUP(C4/$E$2,0)</f>
        <v>308</v>
      </c>
      <c r="E4" s="50"/>
    </row>
    <row r="5" spans="1:5" x14ac:dyDescent="0.25">
      <c r="A5" t="s">
        <v>1</v>
      </c>
      <c r="B5" s="30">
        <v>0.38462000000000002</v>
      </c>
      <c r="C5" s="40">
        <f>ROUNDUP(SUM((Sheet1!G19-Sheet1!F19),(Sheet1!I19-Sheet1!H19),(Sheet1!K19-Sheet1!J19),(Sheet1!M19-Sheet1!L19),(Sheet1!O19-Sheet1!N19),(Sheet1!Q19-Sheet1!P19),(Sheet1!S19-Sheet1!R19),(Sheet1!U19-Sheet1!T19),(Sheet1!W19-Sheet1!V19)),0)</f>
        <v>136</v>
      </c>
      <c r="D5" s="40">
        <f t="shared" ref="D5" si="0">ROUNDUP(C5/$E$2,0)</f>
        <v>34</v>
      </c>
      <c r="E5" s="50"/>
    </row>
    <row r="6" spans="1:5" x14ac:dyDescent="0.25">
      <c r="A6" t="s">
        <v>32</v>
      </c>
      <c r="B6" s="30">
        <v>1</v>
      </c>
      <c r="C6" s="40"/>
      <c r="D6" s="40"/>
      <c r="E6" s="50" t="s">
        <v>35</v>
      </c>
    </row>
    <row r="7" spans="1:5" x14ac:dyDescent="0.25">
      <c r="A7" t="s">
        <v>34</v>
      </c>
      <c r="B7" s="30">
        <v>1</v>
      </c>
      <c r="C7" s="40"/>
      <c r="D7" s="40"/>
      <c r="E7" s="50" t="s">
        <v>35</v>
      </c>
    </row>
    <row r="8" spans="1:5" x14ac:dyDescent="0.25">
      <c r="C8" s="40"/>
      <c r="D8" s="40"/>
      <c r="E8" s="50"/>
    </row>
    <row r="9" spans="1:5" x14ac:dyDescent="0.25">
      <c r="C9" s="40"/>
      <c r="D9" s="40"/>
    </row>
  </sheetData>
  <mergeCells count="1">
    <mergeCell ref="A1:D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Sheet1!Print_Area</vt:lpstr>
      <vt:lpstr>Sheet2!Print_Area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Union Apartments</dc:creator>
  <cp:lastModifiedBy>Joshua Bett</cp:lastModifiedBy>
  <cp:lastPrinted>2024-06-07T18:37:35Z</cp:lastPrinted>
  <dcterms:created xsi:type="dcterms:W3CDTF">2022-03-03T15:06:10Z</dcterms:created>
  <dcterms:modified xsi:type="dcterms:W3CDTF">2024-06-07T18:40:59Z</dcterms:modified>
</cp:coreProperties>
</file>