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dff044ccf92a97/Work Items/SMAC/Payroll Reports/"/>
    </mc:Choice>
  </mc:AlternateContent>
  <xr:revisionPtr revIDLastSave="90" documentId="8_{BB845EBD-3FBF-4B24-8E3D-62863CCE2445}" xr6:coauthVersionLast="47" xr6:coauthVersionMax="47" xr10:uidLastSave="{32BB2976-297B-4996-A83E-37E1AB0070D4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Sheet1!$A$1:$W$43</definedName>
    <definedName name="_xlnm.Print_Area" localSheetId="1">Sheet2!$A$1:$F$10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K28" i="1"/>
  <c r="K27" i="1"/>
  <c r="Y21" i="1" l="1"/>
  <c r="Y17" i="1" l="1"/>
  <c r="Y10" i="1" l="1"/>
  <c r="Y11" i="1"/>
  <c r="Y12" i="1"/>
  <c r="Y13" i="1"/>
  <c r="Y9" i="1"/>
  <c r="H26" i="1" l="1"/>
  <c r="H32" i="1" l="1"/>
  <c r="I32" i="1" s="1"/>
  <c r="J32" i="1" s="1"/>
  <c r="K32" i="1" s="1"/>
  <c r="H31" i="1"/>
  <c r="I31" i="1" s="1"/>
  <c r="J31" i="1" s="1"/>
  <c r="K31" i="1" s="1"/>
  <c r="H30" i="1"/>
  <c r="I30" i="1" s="1"/>
  <c r="J30" i="1" s="1"/>
  <c r="K30" i="1" s="1"/>
  <c r="H29" i="1"/>
  <c r="H28" i="1"/>
  <c r="I28" i="1" s="1"/>
  <c r="J28" i="1" s="1"/>
  <c r="H27" i="1"/>
  <c r="I27" i="1" s="1"/>
  <c r="J27" i="1" s="1"/>
  <c r="I26" i="1"/>
  <c r="J26" i="1" s="1"/>
  <c r="I29" i="1" l="1"/>
  <c r="K26" i="1"/>
  <c r="J29" i="1" l="1"/>
  <c r="K29" i="1" s="1"/>
  <c r="B32" i="1"/>
  <c r="B31" i="1"/>
  <c r="B30" i="1"/>
  <c r="B26" i="1"/>
  <c r="J33" i="1" l="1"/>
  <c r="I7" i="1"/>
  <c r="E17" i="1"/>
  <c r="E31" i="1" s="1"/>
  <c r="F31" i="1" s="1"/>
  <c r="G31" i="1" s="1"/>
  <c r="V7" i="1"/>
  <c r="T7" i="1"/>
  <c r="O7" i="1"/>
  <c r="N7" i="1"/>
  <c r="M7" i="1"/>
  <c r="L7" i="1"/>
  <c r="J7" i="1"/>
  <c r="H7" i="1"/>
  <c r="G7" i="1"/>
  <c r="F7" i="1"/>
  <c r="C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K7" i="1" l="1"/>
  <c r="D36" i="1"/>
  <c r="B36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W6" i="1"/>
  <c r="U6" i="1"/>
  <c r="S6" i="1"/>
  <c r="Q6" i="1"/>
  <c r="O6" i="1"/>
  <c r="M6" i="1"/>
  <c r="K6" i="1"/>
  <c r="I6" i="1"/>
  <c r="G6" i="1"/>
  <c r="V6" i="1"/>
  <c r="T6" i="1"/>
  <c r="R6" i="1"/>
  <c r="P6" i="1"/>
  <c r="N6" i="1"/>
  <c r="L6" i="1"/>
  <c r="J6" i="1"/>
  <c r="H6" i="1"/>
  <c r="F6" i="1"/>
  <c r="W7" i="1" l="1"/>
  <c r="U7" i="1"/>
  <c r="D22" i="1" l="1"/>
  <c r="E9" i="2" l="1"/>
  <c r="E2" i="2"/>
  <c r="E36" i="1" l="1"/>
  <c r="C36" i="1"/>
  <c r="S7" i="1"/>
  <c r="R7" i="1"/>
  <c r="P7" i="1"/>
  <c r="Q7" i="1"/>
  <c r="E21" i="1"/>
  <c r="E32" i="1" s="1"/>
  <c r="F32" i="1" s="1"/>
  <c r="G32" i="1" s="1"/>
  <c r="E13" i="1"/>
  <c r="E30" i="1" s="1"/>
  <c r="F30" i="1" s="1"/>
  <c r="G30" i="1" s="1"/>
  <c r="E12" i="1"/>
  <c r="E29" i="1" s="1"/>
  <c r="F29" i="1" s="1"/>
  <c r="G29" i="1" s="1"/>
  <c r="E11" i="1"/>
  <c r="E28" i="1" s="1"/>
  <c r="F28" i="1" s="1"/>
  <c r="G28" i="1" s="1"/>
  <c r="E10" i="1"/>
  <c r="E27" i="1" s="1"/>
  <c r="F27" i="1" s="1"/>
  <c r="G27" i="1" s="1"/>
  <c r="E9" i="1"/>
  <c r="E26" i="1" s="1"/>
  <c r="F26" i="1" s="1"/>
  <c r="G26" i="1" s="1"/>
  <c r="F36" i="1" l="1"/>
  <c r="C10" i="2"/>
  <c r="D10" i="2" s="1"/>
  <c r="C4" i="2"/>
  <c r="D4" i="2" s="1"/>
  <c r="C5" i="2"/>
  <c r="D5" i="2" s="1"/>
  <c r="C8" i="2"/>
  <c r="D8" i="2" s="1"/>
  <c r="C7" i="2"/>
  <c r="D7" i="2" s="1"/>
  <c r="C6" i="2"/>
  <c r="D6" i="2" s="1"/>
  <c r="W22" i="1"/>
  <c r="O22" i="1"/>
  <c r="M22" i="1"/>
  <c r="K22" i="1"/>
  <c r="I22" i="1"/>
  <c r="G22" i="1"/>
  <c r="C35" i="1" l="1"/>
  <c r="B35" i="1"/>
  <c r="S22" i="1"/>
  <c r="Q22" i="1"/>
  <c r="U22" i="1"/>
  <c r="B37" i="1" l="1"/>
  <c r="B42" i="1" s="1"/>
  <c r="C42" i="1" s="1"/>
  <c r="D35" i="1"/>
  <c r="D37" i="1" s="1"/>
  <c r="B43" i="1" s="1"/>
  <c r="C43" i="1" s="1"/>
  <c r="C37" i="1"/>
  <c r="B39" i="1"/>
  <c r="C39" i="1" s="1"/>
  <c r="F35" i="1"/>
  <c r="F37" i="1" s="1"/>
  <c r="G37" i="1" s="1"/>
  <c r="E35" i="1"/>
  <c r="B40" i="1" l="1"/>
  <c r="C40" i="1" s="1"/>
  <c r="E37" i="1"/>
</calcChain>
</file>

<file path=xl/sharedStrings.xml><?xml version="1.0" encoding="utf-8"?>
<sst xmlns="http://schemas.openxmlformats.org/spreadsheetml/2006/main" count="97" uniqueCount="56">
  <si>
    <t>Union Vending</t>
  </si>
  <si>
    <t>Bett, Joshua</t>
  </si>
  <si>
    <t>Kusmer, Daniel</t>
  </si>
  <si>
    <t>Ackerman, Rhyan</t>
  </si>
  <si>
    <t>Newport, Andrew</t>
  </si>
  <si>
    <t>Kowalczyk, Joeseph</t>
  </si>
  <si>
    <t>Sarcyk, Neil</t>
  </si>
  <si>
    <t>Pilz, Michael</t>
  </si>
  <si>
    <t>FWT</t>
  </si>
  <si>
    <t>SS W/H</t>
  </si>
  <si>
    <t>MC W/H</t>
  </si>
  <si>
    <t>OH SIT</t>
  </si>
  <si>
    <t>CLE LIT</t>
  </si>
  <si>
    <t>ER SS</t>
  </si>
  <si>
    <t>ER MC</t>
  </si>
  <si>
    <t>FUTA</t>
  </si>
  <si>
    <t>OH SUTA</t>
  </si>
  <si>
    <t>Employee W/H</t>
  </si>
  <si>
    <t>Employer Paid</t>
  </si>
  <si>
    <t>Total</t>
  </si>
  <si>
    <t>Funds Used</t>
  </si>
  <si>
    <t>Payroll YTD Net</t>
  </si>
  <si>
    <t>Net Pay</t>
  </si>
  <si>
    <t>Total Tax</t>
  </si>
  <si>
    <t>Difference</t>
  </si>
  <si>
    <t>Total Used</t>
  </si>
  <si>
    <t>Taxes</t>
  </si>
  <si>
    <t>Net Used</t>
  </si>
  <si>
    <t>% UV</t>
  </si>
  <si>
    <t>Total Paid or W/H</t>
  </si>
  <si>
    <t>Total in Escrow</t>
  </si>
  <si>
    <t>Escrow</t>
  </si>
  <si>
    <t>Payroll Escrow Utilized</t>
  </si>
  <si>
    <t>Company:</t>
  </si>
  <si>
    <t>Payroll Period:</t>
  </si>
  <si>
    <t>Weekly Payroll Tax Escrow Estimator</t>
  </si>
  <si>
    <t>UV%</t>
  </si>
  <si>
    <t>Tax Liability</t>
  </si>
  <si>
    <t>Weekly</t>
  </si>
  <si>
    <t>Sarcyk, Laura</t>
  </si>
  <si>
    <t>Gross Pay</t>
  </si>
  <si>
    <t>ER Tax</t>
  </si>
  <si>
    <t>Tax Credit/Debit</t>
  </si>
  <si>
    <t>Payroll SVS Credit/Debit</t>
  </si>
  <si>
    <t>Taken From Gross Pay</t>
  </si>
  <si>
    <t>Added to Payroll Taxes</t>
  </si>
  <si>
    <t>Monthly Payroll (Month Behind)</t>
  </si>
  <si>
    <t>Bi-Weekly Payroll (Week Behind)</t>
  </si>
  <si>
    <t>Weekly Payroll (Week Behind)</t>
  </si>
  <si>
    <t>Utilized</t>
  </si>
  <si>
    <t>Adjust</t>
  </si>
  <si>
    <t>Total Adjustment on Next Payroll Transfer</t>
  </si>
  <si>
    <t>New Tax</t>
  </si>
  <si>
    <t>X-Fer Amt</t>
  </si>
  <si>
    <t>Per Period</t>
  </si>
  <si>
    <t>UV10041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</si>
</sst>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[$-409]m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2" fillId="0" borderId="0" xfId="0" applyFont="1"/>
    <xf numFmtId="14" fontId="0" fillId="0" borderId="7" xfId="0" applyNumberFormat="1" applyBorder="1"/>
    <xf numFmtId="14" fontId="0" fillId="0" borderId="9" xfId="0" applyNumberFormat="1" applyBorder="1"/>
    <xf numFmtId="0" fontId="0" fillId="0" borderId="3" xfId="0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44" fontId="0" fillId="0" borderId="1" xfId="1" applyFont="1" applyBorder="1"/>
    <xf numFmtId="44" fontId="0" fillId="0" borderId="0" xfId="1" applyFont="1" applyBorder="1"/>
    <xf numFmtId="44" fontId="0" fillId="0" borderId="10" xfId="1" applyFont="1" applyBorder="1"/>
    <xf numFmtId="44" fontId="0" fillId="0" borderId="12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0" xfId="1" applyFont="1" applyFill="1" applyBorder="1"/>
    <xf numFmtId="44" fontId="0" fillId="0" borderId="13" xfId="1" applyFont="1" applyBorder="1"/>
    <xf numFmtId="44" fontId="2" fillId="0" borderId="0" xfId="1" applyFont="1" applyBorder="1"/>
    <xf numFmtId="44" fontId="0" fillId="0" borderId="14" xfId="1" applyFont="1" applyBorder="1"/>
    <xf numFmtId="44" fontId="2" fillId="0" borderId="1" xfId="0" applyNumberFormat="1" applyFont="1" applyBorder="1"/>
    <xf numFmtId="0" fontId="2" fillId="0" borderId="0" xfId="0" applyFont="1" applyAlignment="1">
      <alignment horizontal="right"/>
    </xf>
    <xf numFmtId="14" fontId="0" fillId="0" borderId="8" xfId="0" applyNumberFormat="1" applyBorder="1"/>
    <xf numFmtId="44" fontId="0" fillId="0" borderId="11" xfId="1" applyFont="1" applyBorder="1"/>
    <xf numFmtId="164" fontId="0" fillId="0" borderId="0" xfId="2" applyNumberFormat="1" applyFont="1"/>
    <xf numFmtId="164" fontId="0" fillId="0" borderId="0" xfId="0" applyNumberFormat="1"/>
    <xf numFmtId="44" fontId="0" fillId="0" borderId="5" xfId="0" applyNumberFormat="1" applyBorder="1"/>
    <xf numFmtId="44" fontId="0" fillId="0" borderId="6" xfId="0" applyNumberFormat="1" applyBorder="1"/>
    <xf numFmtId="44" fontId="0" fillId="0" borderId="15" xfId="1" applyFont="1" applyBorder="1"/>
    <xf numFmtId="0" fontId="3" fillId="0" borderId="0" xfId="0" applyFont="1"/>
    <xf numFmtId="44" fontId="1" fillId="0" borderId="16" xfId="1" applyFont="1" applyBorder="1"/>
    <xf numFmtId="44" fontId="1" fillId="0" borderId="17" xfId="1" applyFont="1" applyBorder="1"/>
    <xf numFmtId="44" fontId="0" fillId="0" borderId="17" xfId="0" applyNumberFormat="1" applyBorder="1"/>
    <xf numFmtId="44" fontId="2" fillId="0" borderId="0" xfId="0" applyNumberFormat="1" applyFont="1"/>
    <xf numFmtId="44" fontId="0" fillId="0" borderId="0" xfId="1" applyFont="1"/>
    <xf numFmtId="164" fontId="0" fillId="0" borderId="0" xfId="2" applyNumberFormat="1" applyFont="1" applyFill="1"/>
    <xf numFmtId="44" fontId="0" fillId="0" borderId="7" xfId="1" applyFont="1" applyFill="1" applyBorder="1"/>
    <xf numFmtId="44" fontId="0" fillId="0" borderId="9" xfId="1" applyFont="1" applyFill="1" applyBorder="1"/>
    <xf numFmtId="44" fontId="0" fillId="0" borderId="8" xfId="1" applyFont="1" applyFill="1" applyBorder="1"/>
    <xf numFmtId="44" fontId="0" fillId="0" borderId="10" xfId="0" applyNumberFormat="1" applyBorder="1"/>
    <xf numFmtId="44" fontId="0" fillId="0" borderId="12" xfId="0" applyNumberFormat="1" applyBorder="1"/>
    <xf numFmtId="0" fontId="0" fillId="0" borderId="10" xfId="0" applyBorder="1"/>
    <xf numFmtId="0" fontId="0" fillId="0" borderId="12" xfId="0" applyBorder="1"/>
    <xf numFmtId="4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44" fontId="0" fillId="0" borderId="6" xfId="1" applyFont="1" applyFill="1" applyBorder="1"/>
    <xf numFmtId="44" fontId="0" fillId="0" borderId="1" xfId="0" applyNumberFormat="1" applyBorder="1"/>
    <xf numFmtId="44" fontId="0" fillId="0" borderId="0" xfId="1" applyFont="1" applyBorder="1" applyAlignment="1">
      <alignment horizontal="center"/>
    </xf>
    <xf numFmtId="44" fontId="2" fillId="0" borderId="0" xfId="1" applyFont="1"/>
    <xf numFmtId="0" fontId="3" fillId="0" borderId="0" xfId="1" applyNumberFormat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3"/>
  <sheetViews>
    <sheetView tabSelected="1" workbookViewId="0">
      <pane xSplit="1" topLeftCell="B1" activePane="topRight" state="frozen"/>
      <selection pane="topRight" activeCell="I23" sqref="I23"/>
    </sheetView>
  </sheetViews>
  <sheetFormatPr defaultRowHeight="15" x14ac:dyDescent="0.25"/>
  <cols>
    <col min="1" max="1" width="22.85546875" bestFit="1" customWidth="1"/>
    <col min="2" max="2" width="11.5703125" bestFit="1" customWidth="1"/>
    <col min="3" max="3" width="15.85546875" bestFit="1" customWidth="1"/>
    <col min="4" max="4" width="12.28515625" bestFit="1" customWidth="1"/>
    <col min="5" max="5" width="11.5703125" customWidth="1"/>
    <col min="6" max="9" width="11.5703125" bestFit="1" customWidth="1"/>
    <col min="10" max="15" width="10.5703125" bestFit="1" customWidth="1"/>
    <col min="16" max="17" width="11.5703125" bestFit="1" customWidth="1"/>
    <col min="18" max="19" width="10.5703125" bestFit="1" customWidth="1"/>
    <col min="20" max="21" width="10.7109375" bestFit="1" customWidth="1"/>
    <col min="22" max="24" width="10.5703125" bestFit="1" customWidth="1"/>
    <col min="25" max="26" width="11.5703125" bestFit="1" customWidth="1"/>
  </cols>
  <sheetData>
    <row r="1" spans="1:26" x14ac:dyDescent="0.25">
      <c r="A1" s="59" t="s">
        <v>32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 spans="1:26" x14ac:dyDescent="0.25">
      <c r="A2" s="21" t="s">
        <v>33</v>
      </c>
      <c r="B2" s="60" t="s">
        <v>0</v>
      </c>
      <c r="C2" s="60"/>
    </row>
    <row r="3" spans="1:26" ht="15.75" thickBot="1" x14ac:dyDescent="0.3">
      <c r="A3" s="21" t="s">
        <v>34</v>
      </c>
      <c r="B3" s="61">
        <v>45413</v>
      </c>
      <c r="C3" s="61"/>
    </row>
    <row r="4" spans="1:26" ht="15.75" thickBot="1" x14ac:dyDescent="0.3">
      <c r="A4" s="29" t="s">
        <v>20</v>
      </c>
      <c r="C4" s="56" t="s">
        <v>22</v>
      </c>
      <c r="D4" s="57"/>
      <c r="E4" s="58"/>
      <c r="F4" s="56" t="s">
        <v>17</v>
      </c>
      <c r="G4" s="57"/>
      <c r="H4" s="57"/>
      <c r="I4" s="57"/>
      <c r="J4" s="57"/>
      <c r="K4" s="57"/>
      <c r="L4" s="57"/>
      <c r="M4" s="57"/>
      <c r="N4" s="57"/>
      <c r="O4" s="58"/>
      <c r="P4" s="56" t="s">
        <v>18</v>
      </c>
      <c r="Q4" s="57"/>
      <c r="R4" s="57"/>
      <c r="S4" s="57"/>
      <c r="T4" s="57"/>
      <c r="U4" s="57"/>
      <c r="V4" s="57"/>
      <c r="W4" s="58"/>
      <c r="X4" s="1"/>
      <c r="Y4" s="1"/>
    </row>
    <row r="5" spans="1:26" x14ac:dyDescent="0.25">
      <c r="B5" t="s">
        <v>28</v>
      </c>
      <c r="C5" s="51" t="s">
        <v>21</v>
      </c>
      <c r="D5" s="52"/>
      <c r="E5" s="7" t="s">
        <v>27</v>
      </c>
      <c r="F5" s="51" t="s">
        <v>8</v>
      </c>
      <c r="G5" s="52"/>
      <c r="H5" s="51" t="s">
        <v>9</v>
      </c>
      <c r="I5" s="52"/>
      <c r="J5" s="51" t="s">
        <v>10</v>
      </c>
      <c r="K5" s="52"/>
      <c r="L5" s="51" t="s">
        <v>11</v>
      </c>
      <c r="M5" s="52"/>
      <c r="N5" s="51" t="s">
        <v>12</v>
      </c>
      <c r="O5" s="52"/>
      <c r="P5" s="51" t="s">
        <v>13</v>
      </c>
      <c r="Q5" s="52"/>
      <c r="R5" s="51" t="s">
        <v>14</v>
      </c>
      <c r="S5" s="52"/>
      <c r="T5" s="51" t="s">
        <v>15</v>
      </c>
      <c r="U5" s="52"/>
      <c r="V5" s="51" t="s">
        <v>16</v>
      </c>
      <c r="W5" s="52"/>
      <c r="X5" s="1"/>
      <c r="Y5" s="1"/>
    </row>
    <row r="6" spans="1:26" ht="15.75" thickBot="1" x14ac:dyDescent="0.3">
      <c r="C6" s="5">
        <v>45401</v>
      </c>
      <c r="D6" s="6">
        <v>45436</v>
      </c>
      <c r="E6" s="22"/>
      <c r="F6" s="5">
        <f>$C6</f>
        <v>45401</v>
      </c>
      <c r="G6" s="6">
        <f>$D6</f>
        <v>45436</v>
      </c>
      <c r="H6" s="5">
        <f>$C6</f>
        <v>45401</v>
      </c>
      <c r="I6" s="6">
        <f>$D6</f>
        <v>45436</v>
      </c>
      <c r="J6" s="5">
        <f>$C6</f>
        <v>45401</v>
      </c>
      <c r="K6" s="6">
        <f>$D6</f>
        <v>45436</v>
      </c>
      <c r="L6" s="5">
        <f>$C6</f>
        <v>45401</v>
      </c>
      <c r="M6" s="6">
        <f>$D6</f>
        <v>45436</v>
      </c>
      <c r="N6" s="5">
        <f>$C6</f>
        <v>45401</v>
      </c>
      <c r="O6" s="6">
        <f>$D6</f>
        <v>45436</v>
      </c>
      <c r="P6" s="5">
        <f>$C6</f>
        <v>45401</v>
      </c>
      <c r="Q6" s="6">
        <f>$D6</f>
        <v>45436</v>
      </c>
      <c r="R6" s="5">
        <f>$C6</f>
        <v>45401</v>
      </c>
      <c r="S6" s="6">
        <f>$D6</f>
        <v>45436</v>
      </c>
      <c r="T6" s="5">
        <f>$C6</f>
        <v>45401</v>
      </c>
      <c r="U6" s="6">
        <f>$D6</f>
        <v>45436</v>
      </c>
      <c r="V6" s="5">
        <f>$C6</f>
        <v>45401</v>
      </c>
      <c r="W6" s="6">
        <f>$D6</f>
        <v>45436</v>
      </c>
      <c r="X6" s="8"/>
      <c r="Y6" s="8"/>
    </row>
    <row r="7" spans="1:26" ht="15.75" thickBot="1" x14ac:dyDescent="0.3">
      <c r="A7" t="s">
        <v>25</v>
      </c>
      <c r="C7" s="12">
        <f>SUM(C9:C13)+C21+C17</f>
        <v>38075.800000000003</v>
      </c>
      <c r="D7" s="13">
        <f t="shared" ref="D7:W7" si="0">SUM(D9:D13)+D21+D17</f>
        <v>47823.08</v>
      </c>
      <c r="E7" s="23"/>
      <c r="F7" s="12">
        <f t="shared" si="0"/>
        <v>4960.0200000000004</v>
      </c>
      <c r="G7" s="13">
        <f t="shared" si="0"/>
        <v>6285.8099999999995</v>
      </c>
      <c r="H7" s="12">
        <f t="shared" si="0"/>
        <v>3041.2799999999997</v>
      </c>
      <c r="I7" s="13">
        <f t="shared" si="0"/>
        <v>3823.58</v>
      </c>
      <c r="J7" s="12">
        <f t="shared" si="0"/>
        <v>711.26</v>
      </c>
      <c r="K7" s="13">
        <f t="shared" si="0"/>
        <v>894.22</v>
      </c>
      <c r="L7" s="12">
        <f t="shared" si="0"/>
        <v>1038.33</v>
      </c>
      <c r="M7" s="13">
        <f t="shared" si="0"/>
        <v>1302.31</v>
      </c>
      <c r="N7" s="12">
        <f t="shared" si="0"/>
        <v>1226.31</v>
      </c>
      <c r="O7" s="13">
        <f t="shared" si="0"/>
        <v>1541.75</v>
      </c>
      <c r="P7" s="12">
        <f t="shared" si="0"/>
        <v>3041.1400000000003</v>
      </c>
      <c r="Q7" s="13">
        <f t="shared" si="0"/>
        <v>3823.3999999999996</v>
      </c>
      <c r="R7" s="12">
        <f t="shared" si="0"/>
        <v>711.2</v>
      </c>
      <c r="S7" s="13">
        <f t="shared" si="0"/>
        <v>894.13999999999987</v>
      </c>
      <c r="T7" s="12">
        <f t="shared" si="0"/>
        <v>172.03</v>
      </c>
      <c r="U7" s="13">
        <f t="shared" si="0"/>
        <v>172.03</v>
      </c>
      <c r="V7" s="12">
        <f t="shared" si="0"/>
        <v>1585.1200000000001</v>
      </c>
      <c r="W7" s="13">
        <f t="shared" si="0"/>
        <v>1679.5800000000002</v>
      </c>
      <c r="X7" s="3"/>
      <c r="Z7" s="4"/>
    </row>
    <row r="8" spans="1:26" ht="15.75" thickBot="1" x14ac:dyDescent="0.3">
      <c r="C8" s="53" t="s">
        <v>48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9"/>
      <c r="Y8" s="9"/>
      <c r="Z8" s="4"/>
    </row>
    <row r="9" spans="1:26" hidden="1" x14ac:dyDescent="0.25">
      <c r="A9" t="s">
        <v>1</v>
      </c>
      <c r="B9" s="25">
        <v>1</v>
      </c>
      <c r="C9" s="14">
        <v>2587.5</v>
      </c>
      <c r="D9" s="46">
        <v>2587.5</v>
      </c>
      <c r="E9" s="11">
        <f t="shared" ref="E9:E13" si="1">D9-C9</f>
        <v>0</v>
      </c>
      <c r="F9" s="14">
        <v>0</v>
      </c>
      <c r="G9" s="16">
        <v>0</v>
      </c>
      <c r="H9" s="14">
        <v>182.53</v>
      </c>
      <c r="I9" s="15">
        <v>182.53</v>
      </c>
      <c r="J9" s="14">
        <v>42.69</v>
      </c>
      <c r="K9" s="15">
        <v>42.69</v>
      </c>
      <c r="L9" s="14">
        <v>57.68</v>
      </c>
      <c r="M9" s="15">
        <v>57.68</v>
      </c>
      <c r="N9" s="14">
        <v>73.599999999999994</v>
      </c>
      <c r="O9" s="15">
        <v>73.599999999999994</v>
      </c>
      <c r="P9" s="26">
        <v>182.52</v>
      </c>
      <c r="Q9" s="27">
        <v>182.52</v>
      </c>
      <c r="R9" s="26">
        <v>42.68</v>
      </c>
      <c r="S9" s="27">
        <v>42.68</v>
      </c>
      <c r="T9" s="26">
        <v>17.68</v>
      </c>
      <c r="U9" s="15">
        <v>17.68</v>
      </c>
      <c r="V9" s="26">
        <v>144.24</v>
      </c>
      <c r="W9" s="15">
        <v>144.24</v>
      </c>
      <c r="Y9" s="43">
        <f>W9+U9+S9+Q9+O9+M9+K9+I9+G9+D9</f>
        <v>3331.12</v>
      </c>
    </row>
    <row r="10" spans="1:26" x14ac:dyDescent="0.25">
      <c r="A10" t="s">
        <v>5</v>
      </c>
      <c r="B10" s="25">
        <v>1</v>
      </c>
      <c r="C10" s="14">
        <v>5034.9799999999996</v>
      </c>
      <c r="D10" s="46">
        <v>6515.86</v>
      </c>
      <c r="E10" s="11">
        <f t="shared" si="1"/>
        <v>1480.88</v>
      </c>
      <c r="F10" s="14">
        <v>327.27</v>
      </c>
      <c r="G10" s="16">
        <v>423.52</v>
      </c>
      <c r="H10" s="14">
        <v>375.22</v>
      </c>
      <c r="I10" s="15">
        <v>485.58</v>
      </c>
      <c r="J10" s="14">
        <v>87.75</v>
      </c>
      <c r="K10" s="15">
        <v>113.56</v>
      </c>
      <c r="L10" s="14">
        <v>75.48</v>
      </c>
      <c r="M10" s="15">
        <v>97.68</v>
      </c>
      <c r="N10" s="14">
        <v>151.30000000000001</v>
      </c>
      <c r="O10" s="15">
        <v>195.8</v>
      </c>
      <c r="P10" s="26">
        <v>375.19</v>
      </c>
      <c r="Q10" s="27">
        <v>485.54</v>
      </c>
      <c r="R10" s="26">
        <v>87.72</v>
      </c>
      <c r="S10" s="27">
        <v>113.52</v>
      </c>
      <c r="T10" s="26">
        <v>36.380000000000003</v>
      </c>
      <c r="U10" s="15">
        <v>36.380000000000003</v>
      </c>
      <c r="V10" s="26">
        <v>296.48</v>
      </c>
      <c r="W10" s="15">
        <v>296.48</v>
      </c>
      <c r="Y10" s="43">
        <f t="shared" ref="Y10:Y13" si="2">W10+U10+S10+Q10+O10+M10+K10+I10+G10+D10</f>
        <v>8763.92</v>
      </c>
    </row>
    <row r="11" spans="1:26" x14ac:dyDescent="0.25">
      <c r="A11" t="s">
        <v>2</v>
      </c>
      <c r="B11" s="25">
        <v>1</v>
      </c>
      <c r="C11" s="14">
        <v>9094.11</v>
      </c>
      <c r="D11" s="46">
        <v>11768.84</v>
      </c>
      <c r="E11" s="11">
        <f t="shared" si="1"/>
        <v>2674.7299999999996</v>
      </c>
      <c r="F11" s="14">
        <v>1080</v>
      </c>
      <c r="G11" s="16">
        <v>1397.65</v>
      </c>
      <c r="H11" s="14">
        <v>718.83</v>
      </c>
      <c r="I11" s="15">
        <v>930.25</v>
      </c>
      <c r="J11" s="14">
        <v>168.11</v>
      </c>
      <c r="K11" s="15">
        <v>217.56</v>
      </c>
      <c r="L11" s="14">
        <v>243.1</v>
      </c>
      <c r="M11" s="15">
        <v>314.60000000000002</v>
      </c>
      <c r="N11" s="14">
        <v>289.85000000000002</v>
      </c>
      <c r="O11" s="15">
        <v>375.1</v>
      </c>
      <c r="P11" s="26">
        <v>718.76</v>
      </c>
      <c r="Q11" s="27">
        <v>930.16</v>
      </c>
      <c r="R11" s="26">
        <v>168.13</v>
      </c>
      <c r="S11" s="27">
        <v>217.58</v>
      </c>
      <c r="T11" s="26">
        <v>41.98</v>
      </c>
      <c r="U11" s="15">
        <v>41.98</v>
      </c>
      <c r="V11" s="26">
        <v>441.03</v>
      </c>
      <c r="W11" s="15">
        <v>441.03</v>
      </c>
      <c r="Y11" s="43">
        <f t="shared" si="2"/>
        <v>16634.75</v>
      </c>
    </row>
    <row r="12" spans="1:26" ht="15.75" thickBot="1" x14ac:dyDescent="0.3">
      <c r="A12" t="s">
        <v>4</v>
      </c>
      <c r="B12" s="25">
        <v>1</v>
      </c>
      <c r="C12" s="14">
        <v>5708.86</v>
      </c>
      <c r="D12" s="46">
        <v>7387.94</v>
      </c>
      <c r="E12" s="11">
        <f t="shared" si="1"/>
        <v>1679.08</v>
      </c>
      <c r="F12" s="14">
        <v>537.39</v>
      </c>
      <c r="G12" s="16">
        <v>695.44</v>
      </c>
      <c r="H12" s="14">
        <v>438.46</v>
      </c>
      <c r="I12" s="15">
        <v>567.41999999999996</v>
      </c>
      <c r="J12" s="14">
        <v>102.54</v>
      </c>
      <c r="K12" s="15">
        <v>132.69999999999999</v>
      </c>
      <c r="L12" s="14">
        <v>107.95</v>
      </c>
      <c r="M12" s="15">
        <v>139.69999999999999</v>
      </c>
      <c r="N12" s="14">
        <v>176.8</v>
      </c>
      <c r="O12" s="15">
        <v>228.8</v>
      </c>
      <c r="P12" s="26">
        <v>438.43</v>
      </c>
      <c r="Q12" s="27">
        <v>567.38</v>
      </c>
      <c r="R12" s="26">
        <v>102.51</v>
      </c>
      <c r="S12" s="27">
        <v>132.66</v>
      </c>
      <c r="T12" s="26">
        <v>42</v>
      </c>
      <c r="U12" s="15">
        <v>42</v>
      </c>
      <c r="V12" s="26">
        <v>346.46</v>
      </c>
      <c r="W12" s="15">
        <v>440.92</v>
      </c>
      <c r="Y12" s="43">
        <f t="shared" si="2"/>
        <v>10334.959999999999</v>
      </c>
    </row>
    <row r="13" spans="1:26" ht="15.75" hidden="1" thickBot="1" x14ac:dyDescent="0.3">
      <c r="A13" t="s">
        <v>7</v>
      </c>
      <c r="B13" s="25">
        <v>0.79895000000000005</v>
      </c>
      <c r="C13" s="14">
        <v>0</v>
      </c>
      <c r="D13" s="46">
        <v>0</v>
      </c>
      <c r="E13" s="11">
        <f t="shared" si="1"/>
        <v>0</v>
      </c>
      <c r="F13" s="14"/>
      <c r="G13" s="16">
        <v>0</v>
      </c>
      <c r="H13" s="14"/>
      <c r="I13" s="15">
        <v>0</v>
      </c>
      <c r="J13" s="14"/>
      <c r="K13" s="15">
        <v>0</v>
      </c>
      <c r="L13" s="14"/>
      <c r="M13" s="15">
        <v>0</v>
      </c>
      <c r="N13" s="14"/>
      <c r="O13" s="15">
        <v>0</v>
      </c>
      <c r="P13" s="26"/>
      <c r="Q13" s="27">
        <v>0</v>
      </c>
      <c r="R13" s="26"/>
      <c r="S13" s="27">
        <v>0</v>
      </c>
      <c r="T13" s="26"/>
      <c r="U13" s="15">
        <v>0</v>
      </c>
      <c r="V13" s="26"/>
      <c r="W13" s="15">
        <v>0</v>
      </c>
      <c r="X13" s="43"/>
      <c r="Y13" s="43">
        <f t="shared" si="2"/>
        <v>0</v>
      </c>
    </row>
    <row r="14" spans="1:26" ht="15.75" hidden="1" thickBot="1" x14ac:dyDescent="0.3">
      <c r="B14" s="25"/>
      <c r="C14" s="53" t="s">
        <v>47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9"/>
      <c r="Y14" s="9"/>
    </row>
    <row r="15" spans="1:26" hidden="1" x14ac:dyDescent="0.25">
      <c r="B15" s="25"/>
      <c r="C15" s="51" t="s">
        <v>21</v>
      </c>
      <c r="D15" s="52"/>
      <c r="E15" s="7"/>
      <c r="F15" s="51" t="s">
        <v>8</v>
      </c>
      <c r="G15" s="52"/>
      <c r="H15" s="51" t="s">
        <v>9</v>
      </c>
      <c r="I15" s="52"/>
      <c r="J15" s="51" t="s">
        <v>10</v>
      </c>
      <c r="K15" s="52"/>
      <c r="L15" s="51" t="s">
        <v>11</v>
      </c>
      <c r="M15" s="52"/>
      <c r="N15" s="51" t="s">
        <v>12</v>
      </c>
      <c r="O15" s="52"/>
      <c r="P15" s="51" t="s">
        <v>13</v>
      </c>
      <c r="Q15" s="52"/>
      <c r="R15" s="51" t="s">
        <v>14</v>
      </c>
      <c r="S15" s="52"/>
      <c r="T15" s="51" t="s">
        <v>15</v>
      </c>
      <c r="U15" s="52"/>
      <c r="V15" s="51" t="s">
        <v>16</v>
      </c>
      <c r="W15" s="52"/>
      <c r="X15" s="1"/>
      <c r="Y15" s="1"/>
    </row>
    <row r="16" spans="1:26" ht="15.75" hidden="1" thickBot="1" x14ac:dyDescent="0.3">
      <c r="B16" s="25"/>
      <c r="C16" s="5">
        <v>45292</v>
      </c>
      <c r="D16" s="6">
        <v>45310</v>
      </c>
      <c r="E16" s="22"/>
      <c r="F16" s="5">
        <f>$C16</f>
        <v>45292</v>
      </c>
      <c r="G16" s="6">
        <f>$D16</f>
        <v>45310</v>
      </c>
      <c r="H16" s="5">
        <f>$C16</f>
        <v>45292</v>
      </c>
      <c r="I16" s="6">
        <f>$D16</f>
        <v>45310</v>
      </c>
      <c r="J16" s="5">
        <f>$C16</f>
        <v>45292</v>
      </c>
      <c r="K16" s="6">
        <f>$D16</f>
        <v>45310</v>
      </c>
      <c r="L16" s="5">
        <f>$C16</f>
        <v>45292</v>
      </c>
      <c r="M16" s="6">
        <f>$D16</f>
        <v>45310</v>
      </c>
      <c r="N16" s="5">
        <f>$C16</f>
        <v>45292</v>
      </c>
      <c r="O16" s="6">
        <f>$D16</f>
        <v>45310</v>
      </c>
      <c r="P16" s="5">
        <f>$C16</f>
        <v>45292</v>
      </c>
      <c r="Q16" s="6">
        <f>$D16</f>
        <v>45310</v>
      </c>
      <c r="R16" s="5">
        <f>$C16</f>
        <v>45292</v>
      </c>
      <c r="S16" s="6">
        <f>$D16</f>
        <v>45310</v>
      </c>
      <c r="T16" s="5">
        <f>$C16</f>
        <v>45292</v>
      </c>
      <c r="U16" s="6">
        <f>$D16</f>
        <v>45310</v>
      </c>
      <c r="V16" s="5">
        <f>$C16</f>
        <v>45292</v>
      </c>
      <c r="W16" s="6">
        <f>$D16</f>
        <v>45310</v>
      </c>
      <c r="X16" s="8"/>
      <c r="Y16" s="8"/>
    </row>
    <row r="17" spans="1:27" ht="15.75" hidden="1" thickBot="1" x14ac:dyDescent="0.3">
      <c r="A17" t="s">
        <v>39</v>
      </c>
      <c r="B17" s="35">
        <v>1</v>
      </c>
      <c r="C17" s="36">
        <v>0</v>
      </c>
      <c r="D17" s="37">
        <v>0</v>
      </c>
      <c r="E17" s="38">
        <f>D17-C17</f>
        <v>0</v>
      </c>
      <c r="F17" s="36"/>
      <c r="G17" s="38">
        <v>0</v>
      </c>
      <c r="H17" s="36"/>
      <c r="I17" s="37">
        <v>0</v>
      </c>
      <c r="J17" s="36"/>
      <c r="K17" s="37">
        <v>0</v>
      </c>
      <c r="L17" s="36"/>
      <c r="M17" s="37">
        <v>0</v>
      </c>
      <c r="N17" s="36"/>
      <c r="O17" s="37">
        <v>0</v>
      </c>
      <c r="P17" s="39"/>
      <c r="Q17" s="40">
        <v>0</v>
      </c>
      <c r="R17" s="39"/>
      <c r="S17" s="40">
        <v>0</v>
      </c>
      <c r="T17" s="41"/>
      <c r="U17" s="42">
        <v>0</v>
      </c>
      <c r="V17" s="41"/>
      <c r="W17" s="42">
        <v>0</v>
      </c>
      <c r="Y17" s="43">
        <f t="shared" ref="Y17" si="3">W17+U17+S17+Q17+O17+M17+K17+I17+G17+D17</f>
        <v>0</v>
      </c>
    </row>
    <row r="18" spans="1:27" ht="15.75" thickBot="1" x14ac:dyDescent="0.3">
      <c r="B18" s="25"/>
      <c r="C18" s="53" t="s">
        <v>46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9"/>
      <c r="Y18" s="9"/>
    </row>
    <row r="19" spans="1:27" x14ac:dyDescent="0.25">
      <c r="B19" s="25"/>
      <c r="C19" s="51" t="s">
        <v>21</v>
      </c>
      <c r="D19" s="52"/>
      <c r="E19" s="7"/>
      <c r="F19" s="51" t="s">
        <v>8</v>
      </c>
      <c r="G19" s="52"/>
      <c r="H19" s="51" t="s">
        <v>9</v>
      </c>
      <c r="I19" s="52"/>
      <c r="J19" s="51" t="s">
        <v>10</v>
      </c>
      <c r="K19" s="52"/>
      <c r="L19" s="51" t="s">
        <v>11</v>
      </c>
      <c r="M19" s="52"/>
      <c r="N19" s="51" t="s">
        <v>12</v>
      </c>
      <c r="O19" s="52"/>
      <c r="P19" s="51" t="s">
        <v>13</v>
      </c>
      <c r="Q19" s="52"/>
      <c r="R19" s="51" t="s">
        <v>14</v>
      </c>
      <c r="S19" s="52"/>
      <c r="T19" s="51" t="s">
        <v>15</v>
      </c>
      <c r="U19" s="52"/>
      <c r="V19" s="51" t="s">
        <v>16</v>
      </c>
      <c r="W19" s="52"/>
      <c r="X19" s="1"/>
      <c r="Y19" s="1"/>
    </row>
    <row r="20" spans="1:27" ht="15.75" thickBot="1" x14ac:dyDescent="0.3">
      <c r="B20" s="25"/>
      <c r="C20" s="5">
        <v>45383</v>
      </c>
      <c r="D20" s="6">
        <v>45412</v>
      </c>
      <c r="E20" s="22"/>
      <c r="F20" s="5">
        <f>$C20</f>
        <v>45383</v>
      </c>
      <c r="G20" s="6">
        <f>$D20</f>
        <v>45412</v>
      </c>
      <c r="H20" s="5">
        <f>$C20</f>
        <v>45383</v>
      </c>
      <c r="I20" s="6">
        <f>$D20</f>
        <v>45412</v>
      </c>
      <c r="J20" s="5">
        <f>$C20</f>
        <v>45383</v>
      </c>
      <c r="K20" s="6">
        <f>$D20</f>
        <v>45412</v>
      </c>
      <c r="L20" s="5">
        <f>$C20</f>
        <v>45383</v>
      </c>
      <c r="M20" s="6">
        <f>$D20</f>
        <v>45412</v>
      </c>
      <c r="N20" s="5">
        <f>$C20</f>
        <v>45383</v>
      </c>
      <c r="O20" s="6">
        <f>$D20</f>
        <v>45412</v>
      </c>
      <c r="P20" s="5">
        <f>$C20</f>
        <v>45383</v>
      </c>
      <c r="Q20" s="6">
        <f>$D20</f>
        <v>45412</v>
      </c>
      <c r="R20" s="5">
        <f>$C20</f>
        <v>45383</v>
      </c>
      <c r="S20" s="6">
        <f>$D20</f>
        <v>45412</v>
      </c>
      <c r="T20" s="5">
        <f>$C20</f>
        <v>45383</v>
      </c>
      <c r="U20" s="6">
        <f>$D20</f>
        <v>45412</v>
      </c>
      <c r="V20" s="5">
        <f>$C20</f>
        <v>45383</v>
      </c>
      <c r="W20" s="6">
        <f>$D20</f>
        <v>45412</v>
      </c>
      <c r="X20" s="8"/>
      <c r="Y20" s="8"/>
    </row>
    <row r="21" spans="1:27" ht="15.75" thickBot="1" x14ac:dyDescent="0.3">
      <c r="A21" t="s">
        <v>6</v>
      </c>
      <c r="B21" s="35">
        <v>0.63571999999999995</v>
      </c>
      <c r="C21" s="36">
        <v>15650.35</v>
      </c>
      <c r="D21" s="37">
        <v>19562.939999999999</v>
      </c>
      <c r="E21" s="38">
        <f>D21-C21</f>
        <v>3912.5899999999983</v>
      </c>
      <c r="F21" s="36">
        <v>3015.36</v>
      </c>
      <c r="G21" s="38">
        <v>3769.2</v>
      </c>
      <c r="H21" s="36">
        <v>1326.24</v>
      </c>
      <c r="I21" s="37">
        <v>1657.8</v>
      </c>
      <c r="J21" s="36">
        <v>310.17</v>
      </c>
      <c r="K21" s="37">
        <v>387.71</v>
      </c>
      <c r="L21" s="36">
        <v>554.12</v>
      </c>
      <c r="M21" s="37">
        <v>692.65</v>
      </c>
      <c r="N21" s="36">
        <v>534.76</v>
      </c>
      <c r="O21" s="37">
        <v>668.45</v>
      </c>
      <c r="P21" s="39">
        <v>1326.24</v>
      </c>
      <c r="Q21" s="40">
        <v>1657.8</v>
      </c>
      <c r="R21" s="39">
        <v>310.16000000000003</v>
      </c>
      <c r="S21" s="40">
        <v>387.7</v>
      </c>
      <c r="T21" s="41">
        <v>33.99</v>
      </c>
      <c r="U21" s="13">
        <v>33.99</v>
      </c>
      <c r="V21" s="41">
        <v>356.91</v>
      </c>
      <c r="W21" s="13">
        <v>356.91</v>
      </c>
      <c r="Y21" s="43">
        <f t="shared" ref="Y21" si="4">W21+U21+S21+Q21+O21+M21+K21+I21+G21+D21</f>
        <v>29175.149999999998</v>
      </c>
    </row>
    <row r="22" spans="1:27" ht="15.75" thickBot="1" x14ac:dyDescent="0.3">
      <c r="A22" t="s">
        <v>20</v>
      </c>
      <c r="D22" s="10">
        <f>D7-C7</f>
        <v>9747.2799999999988</v>
      </c>
      <c r="E22" s="11"/>
      <c r="F22" s="11"/>
      <c r="G22" s="10">
        <f>G7-F7</f>
        <v>1325.7899999999991</v>
      </c>
      <c r="H22" s="11"/>
      <c r="I22" s="10">
        <f>I7-H7</f>
        <v>782.30000000000018</v>
      </c>
      <c r="J22" s="11"/>
      <c r="K22" s="10">
        <f>K7-J7</f>
        <v>182.96000000000004</v>
      </c>
      <c r="L22" s="11"/>
      <c r="M22" s="10">
        <f>M7-L7</f>
        <v>263.98</v>
      </c>
      <c r="N22" s="11"/>
      <c r="O22" s="10">
        <f>O7-N7</f>
        <v>315.44000000000005</v>
      </c>
      <c r="P22" s="11"/>
      <c r="Q22" s="28">
        <f>Q7-P7</f>
        <v>782.25999999999931</v>
      </c>
      <c r="R22" s="11"/>
      <c r="S22" s="28">
        <f>S7-R7</f>
        <v>182.93999999999983</v>
      </c>
      <c r="T22" s="11"/>
      <c r="U22" s="28">
        <f>U7-T7</f>
        <v>0</v>
      </c>
      <c r="V22" s="11"/>
      <c r="W22" s="28">
        <f>W7-V7</f>
        <v>94.460000000000036</v>
      </c>
    </row>
    <row r="23" spans="1:27" x14ac:dyDescent="0.25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x14ac:dyDescent="0.25">
      <c r="A24" s="29" t="s">
        <v>31</v>
      </c>
      <c r="C24" s="4" t="s">
        <v>55</v>
      </c>
      <c r="D24" s="11"/>
      <c r="E24" s="48" t="s">
        <v>49</v>
      </c>
      <c r="H24" s="48" t="s">
        <v>49</v>
      </c>
      <c r="I24" s="11"/>
      <c r="J24" s="48" t="s">
        <v>54</v>
      </c>
      <c r="K24" s="11" t="s">
        <v>52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8"/>
    </row>
    <row r="25" spans="1:27" ht="15.75" thickBot="1" x14ac:dyDescent="0.3">
      <c r="C25" t="s">
        <v>22</v>
      </c>
      <c r="D25" s="11" t="s">
        <v>26</v>
      </c>
      <c r="E25" s="48" t="s">
        <v>22</v>
      </c>
      <c r="F25" t="s">
        <v>24</v>
      </c>
      <c r="H25" s="48" t="s">
        <v>26</v>
      </c>
      <c r="I25" s="11" t="s">
        <v>24</v>
      </c>
      <c r="J25" s="48" t="s">
        <v>50</v>
      </c>
      <c r="K25" s="11" t="s">
        <v>53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8"/>
    </row>
    <row r="26" spans="1:27" ht="15.75" hidden="1" thickBot="1" x14ac:dyDescent="0.3">
      <c r="A26" t="s">
        <v>1</v>
      </c>
      <c r="B26" s="25">
        <f>B9</f>
        <v>1</v>
      </c>
      <c r="C26" s="17">
        <v>0</v>
      </c>
      <c r="D26" s="17">
        <v>0</v>
      </c>
      <c r="E26" s="11">
        <f>(E9+G9+I9+K9+M9+O9-N9-L9-J9-H9-F9)</f>
        <v>-2.8421709430404007E-14</v>
      </c>
      <c r="F26" s="11">
        <f t="shared" ref="F26:F32" si="5">E26-C26</f>
        <v>-2.8421709430404007E-14</v>
      </c>
      <c r="G26" s="50" t="str">
        <f t="shared" ref="G26:G32" si="6">IF(F26=0,"Even",IF(F26&gt;0,"Deficit","Overage"))</f>
        <v>Overage</v>
      </c>
      <c r="H26" s="11">
        <f>Q9+S9+U9+W9-V9-T9-R9-P9</f>
        <v>0</v>
      </c>
      <c r="I26" s="11">
        <f t="shared" ref="I26:I32" si="7">H26-D26</f>
        <v>0</v>
      </c>
      <c r="J26" s="18">
        <f>ROUNDUP((I26/(4)),1)</f>
        <v>0</v>
      </c>
      <c r="K26" s="18">
        <f>(D26/4)+J26</f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8"/>
    </row>
    <row r="27" spans="1:27" x14ac:dyDescent="0.25">
      <c r="A27" t="s">
        <v>5</v>
      </c>
      <c r="B27" s="25">
        <v>1</v>
      </c>
      <c r="C27" s="17">
        <v>1780</v>
      </c>
      <c r="D27" s="17">
        <v>234.25</v>
      </c>
      <c r="E27" s="11">
        <f>(E10+G10+I10+K10+M10+O10-N10-L10-J10-H10-F10)</f>
        <v>1779.9999999999995</v>
      </c>
      <c r="F27" s="11">
        <f t="shared" si="5"/>
        <v>0</v>
      </c>
      <c r="G27" s="50" t="str">
        <f t="shared" si="6"/>
        <v>Even</v>
      </c>
      <c r="H27" s="11">
        <f>Q10+S10+U10+W10-V10-T10-R10-P10</f>
        <v>136.15000000000003</v>
      </c>
      <c r="I27" s="11">
        <f t="shared" si="7"/>
        <v>-98.099999999999966</v>
      </c>
      <c r="J27" s="18">
        <f>ROUNDUP((I27/(4)),1)</f>
        <v>-24.6</v>
      </c>
      <c r="K27" s="18">
        <f>(D27/5)+J27</f>
        <v>22.25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8"/>
    </row>
    <row r="28" spans="1:27" x14ac:dyDescent="0.25">
      <c r="A28" t="s">
        <v>2</v>
      </c>
      <c r="B28" s="25">
        <v>1</v>
      </c>
      <c r="C28" s="19">
        <v>3410</v>
      </c>
      <c r="D28" s="19">
        <v>329.1</v>
      </c>
      <c r="E28" s="11">
        <f>(E11+G11+I11+K11+M11+O11-N11-L11-J11-H11-F11)</f>
        <v>3410</v>
      </c>
      <c r="F28" s="11">
        <f t="shared" si="5"/>
        <v>0</v>
      </c>
      <c r="G28" s="50" t="str">
        <f t="shared" si="6"/>
        <v>Even</v>
      </c>
      <c r="H28" s="11">
        <f>Q11+S11+U11+W11-V11-T11-R11-P11</f>
        <v>260.85000000000002</v>
      </c>
      <c r="I28" s="11">
        <f t="shared" si="7"/>
        <v>-68.25</v>
      </c>
      <c r="J28" s="18">
        <f>ROUNDUP((I28/(4)),1)</f>
        <v>-17.100000000000001</v>
      </c>
      <c r="K28" s="18">
        <f>(D28/5)+J28</f>
        <v>48.720000000000006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8"/>
    </row>
    <row r="29" spans="1:27" x14ac:dyDescent="0.25">
      <c r="A29" t="s">
        <v>4</v>
      </c>
      <c r="B29" s="25">
        <v>1</v>
      </c>
      <c r="C29" s="19">
        <v>2080</v>
      </c>
      <c r="D29" s="19">
        <v>273.75</v>
      </c>
      <c r="E29" s="11">
        <f>(E12+G12+I12+K12+M12+O12-N12-L12-J12-H12-F12)</f>
        <v>2080</v>
      </c>
      <c r="F29" s="11">
        <f t="shared" si="5"/>
        <v>0</v>
      </c>
      <c r="G29" s="50" t="str">
        <f t="shared" si="6"/>
        <v>Even</v>
      </c>
      <c r="H29" s="11">
        <f>Q12+S12+U12+W12-V12-T12-R12-P12</f>
        <v>253.56</v>
      </c>
      <c r="I29" s="11">
        <f>H29-D29</f>
        <v>-20.189999999999998</v>
      </c>
      <c r="J29" s="18">
        <f>ROUNDUP((I29/(4)),1)</f>
        <v>-5.0999999999999996</v>
      </c>
      <c r="K29" s="18">
        <f>(D29/5)+J29</f>
        <v>49.65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8"/>
    </row>
    <row r="30" spans="1:27" hidden="1" x14ac:dyDescent="0.25">
      <c r="A30" t="s">
        <v>7</v>
      </c>
      <c r="B30" s="25">
        <f>B13</f>
        <v>0.79895000000000005</v>
      </c>
      <c r="C30" s="19">
        <v>0</v>
      </c>
      <c r="D30" s="19">
        <v>0</v>
      </c>
      <c r="E30" s="11">
        <f>(E13+G13+I13+K13+M13+O13-N13-L13-J13-H13-F13)</f>
        <v>0</v>
      </c>
      <c r="F30" s="11">
        <f t="shared" si="5"/>
        <v>0</v>
      </c>
      <c r="G30" s="50" t="str">
        <f t="shared" si="6"/>
        <v>Even</v>
      </c>
      <c r="H30" s="11">
        <f>Q13+S13+U13+W13-V13-T13-R13-P13</f>
        <v>0</v>
      </c>
      <c r="I30" s="11">
        <f t="shared" si="7"/>
        <v>0</v>
      </c>
      <c r="J30" s="18">
        <f>ROUNDUP((I30/(4)),1)</f>
        <v>0</v>
      </c>
      <c r="K30" s="18">
        <f>(D30/4)+J30</f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8"/>
    </row>
    <row r="31" spans="1:27" hidden="1" x14ac:dyDescent="0.25">
      <c r="A31" t="s">
        <v>39</v>
      </c>
      <c r="B31" s="25">
        <f>B17</f>
        <v>1</v>
      </c>
      <c r="C31" s="19">
        <v>0</v>
      </c>
      <c r="D31" s="19">
        <v>0</v>
      </c>
      <c r="E31" s="11">
        <f>(E17+G17+I17+K17+M17+O17-N17-L17-J17-H17-F17)</f>
        <v>0</v>
      </c>
      <c r="F31" s="11">
        <f t="shared" si="5"/>
        <v>0</v>
      </c>
      <c r="G31" s="50" t="str">
        <f t="shared" si="6"/>
        <v>Even</v>
      </c>
      <c r="H31" s="11">
        <f>Q17+S17+U17+W17-V17-T17-R17-P17</f>
        <v>0</v>
      </c>
      <c r="I31" s="11">
        <f t="shared" si="7"/>
        <v>0</v>
      </c>
      <c r="J31" s="18">
        <f>ROUNDUP((I31/(2)),1)</f>
        <v>0</v>
      </c>
      <c r="K31" s="18">
        <f>(D31/2)+J31</f>
        <v>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8"/>
    </row>
    <row r="32" spans="1:27" ht="15.75" thickBot="1" x14ac:dyDescent="0.3">
      <c r="A32" t="s">
        <v>6</v>
      </c>
      <c r="B32" s="24">
        <f>B21</f>
        <v>0.63571999999999995</v>
      </c>
      <c r="C32" s="28">
        <v>5347.75</v>
      </c>
      <c r="D32" s="28">
        <v>409.07</v>
      </c>
      <c r="E32" s="11">
        <f>(E21+G21+I21+K21+M21+O21-N21-L21-J21-H21-F21)</f>
        <v>5347.7499999999964</v>
      </c>
      <c r="F32" s="11">
        <f t="shared" si="5"/>
        <v>0</v>
      </c>
      <c r="G32" s="50" t="str">
        <f t="shared" si="6"/>
        <v>Even</v>
      </c>
      <c r="H32" s="11">
        <f>Q21+S21+U21+W21-V21-T21-R21-P21</f>
        <v>409.09999999999968</v>
      </c>
      <c r="I32" s="11">
        <f t="shared" si="7"/>
        <v>2.9999999999688498E-2</v>
      </c>
      <c r="J32" s="18">
        <f>ROUNDUP((I32/(1)),1)</f>
        <v>0.1</v>
      </c>
      <c r="K32" s="18">
        <f>(D32/1)+J32</f>
        <v>409.17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8"/>
    </row>
    <row r="33" spans="1:28" x14ac:dyDescent="0.25">
      <c r="C33" s="2"/>
      <c r="D33" s="2"/>
      <c r="E33" s="11"/>
      <c r="H33" s="11"/>
      <c r="J33" s="49">
        <f>SUM(J26:J30)*5+(J31*2)+J32</f>
        <v>-233.90000000000003</v>
      </c>
      <c r="K33" s="18" t="s">
        <v>51</v>
      </c>
      <c r="P33" s="11"/>
      <c r="Q33" s="11"/>
      <c r="W33" s="21"/>
      <c r="X33" s="18"/>
      <c r="Y33" s="33"/>
      <c r="Z33" s="33"/>
    </row>
    <row r="34" spans="1:28" ht="15.75" thickBot="1" x14ac:dyDescent="0.3">
      <c r="B34" s="1" t="s">
        <v>40</v>
      </c>
      <c r="C34" s="1" t="s">
        <v>22</v>
      </c>
      <c r="D34" s="1" t="s">
        <v>41</v>
      </c>
      <c r="E34" s="1" t="s">
        <v>23</v>
      </c>
      <c r="F34" t="s">
        <v>19</v>
      </c>
      <c r="H34" s="11"/>
      <c r="Y34" s="21"/>
      <c r="AB34" s="4"/>
    </row>
    <row r="35" spans="1:28" x14ac:dyDescent="0.25">
      <c r="A35" t="s">
        <v>29</v>
      </c>
      <c r="B35" s="30">
        <f>SUM(D22,G22,I22,K22,M22,O22)</f>
        <v>12617.749999999998</v>
      </c>
      <c r="C35" s="30">
        <f>D22</f>
        <v>9747.2799999999988</v>
      </c>
      <c r="D35" s="30">
        <f>SUM(Q22,S22,U22,W22)</f>
        <v>1059.6599999999992</v>
      </c>
      <c r="E35" s="30">
        <f>G22+I22+K22+M22+O22+Q22+S22+U22+W22</f>
        <v>3930.1299999999983</v>
      </c>
      <c r="F35" s="30">
        <f>SUM(D22:W22)</f>
        <v>13677.41</v>
      </c>
      <c r="H35" s="11"/>
      <c r="AB35" s="4"/>
    </row>
    <row r="36" spans="1:28" ht="15.75" thickBot="1" x14ac:dyDescent="0.3">
      <c r="A36" t="s">
        <v>30</v>
      </c>
      <c r="B36" s="31">
        <f>SUM(C26:C32)</f>
        <v>12617.75</v>
      </c>
      <c r="C36" s="31">
        <f>SUM(C26:C32)</f>
        <v>12617.75</v>
      </c>
      <c r="D36" s="31">
        <f>SUM(D26:D32)</f>
        <v>1246.17</v>
      </c>
      <c r="E36" s="32">
        <f>SUM(D26:D32)</f>
        <v>1246.17</v>
      </c>
      <c r="F36" s="32">
        <f>SUM(C36,E36)</f>
        <v>13863.92</v>
      </c>
      <c r="P36" s="11"/>
      <c r="Q36" s="11"/>
    </row>
    <row r="37" spans="1:28" ht="15.75" thickBot="1" x14ac:dyDescent="0.3">
      <c r="A37" t="s">
        <v>24</v>
      </c>
      <c r="B37" s="47">
        <f>B36-B35</f>
        <v>0</v>
      </c>
      <c r="C37" s="20">
        <f>C36-C35</f>
        <v>2870.4700000000012</v>
      </c>
      <c r="D37" s="47">
        <f>D36-D35</f>
        <v>186.5100000000009</v>
      </c>
      <c r="E37" s="20">
        <f>E36-E35</f>
        <v>-2683.9599999999982</v>
      </c>
      <c r="F37" s="20">
        <f>F36-F35</f>
        <v>186.51000000000022</v>
      </c>
      <c r="G37" s="29" t="str">
        <f>IF(F37&gt;0,"Total Credit on Next Payroll","Total Debit on Next Payroll")</f>
        <v>Total Credit on Next Payroll</v>
      </c>
    </row>
    <row r="39" spans="1:28" x14ac:dyDescent="0.25">
      <c r="A39" t="s">
        <v>44</v>
      </c>
      <c r="B39" s="43">
        <f>C35-B35</f>
        <v>-2870.4699999999993</v>
      </c>
      <c r="C39" t="str">
        <f>IF(B39&gt;=0,"Credit on Payroll","Debit on Payroll")</f>
        <v>Debit on Payroll</v>
      </c>
    </row>
    <row r="40" spans="1:28" x14ac:dyDescent="0.25">
      <c r="A40" t="s">
        <v>45</v>
      </c>
      <c r="B40" s="43">
        <f>E35-D35</f>
        <v>2870.4699999999993</v>
      </c>
      <c r="C40" t="str">
        <f>IF(B40&gt;=0,"Credit on Payroll","Debit on Payroll")</f>
        <v>Credit on Payroll</v>
      </c>
    </row>
    <row r="41" spans="1:28" x14ac:dyDescent="0.25">
      <c r="B41" s="43"/>
    </row>
    <row r="42" spans="1:28" x14ac:dyDescent="0.25">
      <c r="A42" t="s">
        <v>43</v>
      </c>
      <c r="B42" s="43">
        <f>B37</f>
        <v>0</v>
      </c>
      <c r="C42" t="str">
        <f>IF(B42&gt;=0,"Credit on Payroll","Debit on Payroll")</f>
        <v>Credit on Payroll</v>
      </c>
    </row>
    <row r="43" spans="1:28" x14ac:dyDescent="0.25">
      <c r="A43" t="s">
        <v>42</v>
      </c>
      <c r="B43" s="43">
        <f>D37</f>
        <v>186.5100000000009</v>
      </c>
      <c r="C43" t="str">
        <f>IF(B43&gt;=0,"Credit on Payroll","Debit on Payroll")</f>
        <v>Credit on Payroll</v>
      </c>
    </row>
  </sheetData>
  <mergeCells count="39">
    <mergeCell ref="F4:O4"/>
    <mergeCell ref="C4:E4"/>
    <mergeCell ref="P4:W4"/>
    <mergeCell ref="A1:W1"/>
    <mergeCell ref="B2:C2"/>
    <mergeCell ref="B3:C3"/>
    <mergeCell ref="P19:Q19"/>
    <mergeCell ref="R19:S19"/>
    <mergeCell ref="T19:U19"/>
    <mergeCell ref="V19:W19"/>
    <mergeCell ref="C19:D19"/>
    <mergeCell ref="F19:G19"/>
    <mergeCell ref="H19:I19"/>
    <mergeCell ref="J19:K19"/>
    <mergeCell ref="L19:M19"/>
    <mergeCell ref="N19:O19"/>
    <mergeCell ref="V5:W5"/>
    <mergeCell ref="C5:D5"/>
    <mergeCell ref="C8:W8"/>
    <mergeCell ref="C18:W18"/>
    <mergeCell ref="F5:G5"/>
    <mergeCell ref="H5:I5"/>
    <mergeCell ref="J5:K5"/>
    <mergeCell ref="L5:M5"/>
    <mergeCell ref="N5:O5"/>
    <mergeCell ref="P5:Q5"/>
    <mergeCell ref="R5:S5"/>
    <mergeCell ref="T5:U5"/>
    <mergeCell ref="C14:W14"/>
    <mergeCell ref="C15:D15"/>
    <mergeCell ref="F15:G15"/>
    <mergeCell ref="H15:I15"/>
    <mergeCell ref="T15:U15"/>
    <mergeCell ref="V15:W15"/>
    <mergeCell ref="J15:K15"/>
    <mergeCell ref="L15:M15"/>
    <mergeCell ref="N15:O15"/>
    <mergeCell ref="P15:Q15"/>
    <mergeCell ref="R15:S15"/>
  </mergeCells>
  <pageMargins left="0.2" right="0.2" top="0.25" bottom="0.25" header="0.3" footer="0.3"/>
  <pageSetup paperSize="5"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8" sqref="C8"/>
    </sheetView>
  </sheetViews>
  <sheetFormatPr defaultRowHeight="15" x14ac:dyDescent="0.25"/>
  <cols>
    <col min="1" max="1" width="20.140625" bestFit="1" customWidth="1"/>
    <col min="3" max="3" width="11.42578125" bestFit="1" customWidth="1"/>
    <col min="5" max="5" width="4.5703125" style="44" bestFit="1" customWidth="1"/>
    <col min="6" max="6" width="14.28515625" bestFit="1" customWidth="1"/>
  </cols>
  <sheetData>
    <row r="1" spans="1:6" x14ac:dyDescent="0.25">
      <c r="A1" s="59" t="s">
        <v>35</v>
      </c>
      <c r="B1" s="59"/>
      <c r="C1" s="59"/>
      <c r="D1" s="59"/>
      <c r="E1" s="59"/>
    </row>
    <row r="2" spans="1:6" x14ac:dyDescent="0.25">
      <c r="B2" t="s">
        <v>36</v>
      </c>
      <c r="C2" t="s">
        <v>37</v>
      </c>
      <c r="D2" t="s">
        <v>38</v>
      </c>
      <c r="E2" s="44">
        <f>(Sheet1!D6-Sheet1!C6)/7</f>
        <v>5</v>
      </c>
    </row>
    <row r="3" spans="1:6" x14ac:dyDescent="0.25">
      <c r="A3" t="s">
        <v>3</v>
      </c>
      <c r="B3" s="24">
        <v>0.33333333333333298</v>
      </c>
      <c r="C3">
        <v>0</v>
      </c>
      <c r="D3">
        <v>0</v>
      </c>
      <c r="E3" s="45"/>
      <c r="F3" s="34"/>
    </row>
    <row r="4" spans="1:6" x14ac:dyDescent="0.25">
      <c r="A4" t="s">
        <v>1</v>
      </c>
      <c r="B4" s="25">
        <v>0.3125</v>
      </c>
      <c r="C4" s="43">
        <f>ROUNDUP(SUM((Sheet1!G9-Sheet1!F9),(Sheet1!I9-Sheet1!H9),(Sheet1!K9-Sheet1!J9),(Sheet1!M9-Sheet1!L9),(Sheet1!O9-Sheet1!N9),(Sheet1!Q9-Sheet1!P9),(Sheet1!S9-Sheet1!R9),(Sheet1!U9-Sheet1!T9),(Sheet1!W9-Sheet1!V9)),0)</f>
        <v>0</v>
      </c>
      <c r="D4" s="43">
        <f>ROUNDUP(C4/$E$2,0)</f>
        <v>0</v>
      </c>
      <c r="E4" s="45"/>
      <c r="F4" s="34"/>
    </row>
    <row r="5" spans="1:6" x14ac:dyDescent="0.25">
      <c r="A5" t="s">
        <v>5</v>
      </c>
      <c r="B5" s="25">
        <v>1</v>
      </c>
      <c r="C5" s="43">
        <f>ROUNDUP(SUM((Sheet1!G10-Sheet1!F10),(Sheet1!I10-Sheet1!H10),(Sheet1!K10-Sheet1!J10),(Sheet1!M10-Sheet1!L10),(Sheet1!O10-Sheet1!N10),(Sheet1!Q10-Sheet1!P10),(Sheet1!S10-Sheet1!R10),(Sheet1!U10-Sheet1!T10),(Sheet1!W10-Sheet1!V10)),0)</f>
        <v>436</v>
      </c>
      <c r="D5" s="43">
        <f t="shared" ref="D5:D8" si="0">ROUNDUP(C5/$E$2,0)</f>
        <v>88</v>
      </c>
      <c r="E5" s="45"/>
      <c r="F5" s="34"/>
    </row>
    <row r="6" spans="1:6" x14ac:dyDescent="0.25">
      <c r="A6" t="s">
        <v>2</v>
      </c>
      <c r="B6" s="25">
        <v>1</v>
      </c>
      <c r="C6" s="43">
        <f>ROUNDUP(SUM((Sheet1!G11-Sheet1!F11),(Sheet1!I11-Sheet1!H11),(Sheet1!K11-Sheet1!J11),(Sheet1!M11-Sheet1!L11),(Sheet1!O11-Sheet1!N11),(Sheet1!Q11-Sheet1!P11),(Sheet1!S11-Sheet1!R11),(Sheet1!U11-Sheet1!T11),(Sheet1!W11-Sheet1!V11)),0)</f>
        <v>997</v>
      </c>
      <c r="D6" s="43">
        <f t="shared" si="0"/>
        <v>200</v>
      </c>
      <c r="E6" s="45"/>
      <c r="F6" s="34"/>
    </row>
    <row r="7" spans="1:6" x14ac:dyDescent="0.25">
      <c r="A7" t="s">
        <v>4</v>
      </c>
      <c r="B7" s="25">
        <v>1</v>
      </c>
      <c r="C7" s="43">
        <f>ROUNDUP(SUM((Sheet1!G12-Sheet1!F12),(Sheet1!I12-Sheet1!H12),(Sheet1!K12-Sheet1!J12),(Sheet1!M12-Sheet1!L12),(Sheet1!O12-Sheet1!N12),(Sheet1!Q12-Sheet1!P12),(Sheet1!S12-Sheet1!R12),(Sheet1!U12-Sheet1!T12),(Sheet1!W12-Sheet1!V12)),0)</f>
        <v>655</v>
      </c>
      <c r="D7" s="43">
        <f t="shared" si="0"/>
        <v>131</v>
      </c>
      <c r="E7" s="45"/>
      <c r="F7" s="34"/>
    </row>
    <row r="8" spans="1:6" x14ac:dyDescent="0.25">
      <c r="A8" t="s">
        <v>7</v>
      </c>
      <c r="B8" s="25">
        <v>0.7</v>
      </c>
      <c r="C8" s="43">
        <f>ROUNDUP(SUM((Sheet1!G13-Sheet1!F13),(Sheet1!I13-Sheet1!H13),(Sheet1!K13-Sheet1!J13),(Sheet1!M13-Sheet1!L13),(Sheet1!O13-Sheet1!N13),(Sheet1!Q13-Sheet1!P13),(Sheet1!S13-Sheet1!R13),(Sheet1!U13-Sheet1!T13),(Sheet1!W13-Sheet1!V13)),0)</f>
        <v>0</v>
      </c>
      <c r="D8" s="43">
        <f t="shared" si="0"/>
        <v>0</v>
      </c>
      <c r="E8" s="45"/>
      <c r="F8" s="34"/>
    </row>
    <row r="9" spans="1:6" x14ac:dyDescent="0.25">
      <c r="B9" s="25"/>
      <c r="C9" s="43"/>
      <c r="D9" s="43"/>
      <c r="E9" s="45">
        <f>(Sheet1!D20-Sheet1!C20)/7</f>
        <v>4.1428571428571432</v>
      </c>
      <c r="F9" s="34"/>
    </row>
    <row r="10" spans="1:6" x14ac:dyDescent="0.25">
      <c r="A10" t="s">
        <v>6</v>
      </c>
      <c r="B10" s="24">
        <v>0.46154000000000001</v>
      </c>
      <c r="C10" s="43">
        <f>ROUNDUP(SUM((Sheet1!G21-Sheet1!F21),(Sheet1!I21-Sheet1!H21),(Sheet1!K21-Sheet1!J21),(Sheet1!M21-Sheet1!L21),(Sheet1!O21-Sheet1!N21),(Sheet1!Q21-Sheet1!P21),(Sheet1!S21-Sheet1!R21),(Sheet1!U21-Sheet1!T21),(Sheet1!W21-Sheet1!V21)),0)</f>
        <v>1845</v>
      </c>
      <c r="D10" s="43">
        <f>ROUNDUP(C10/E9,0)</f>
        <v>446</v>
      </c>
      <c r="E10" s="45"/>
      <c r="F10" s="34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Union Apartments</dc:creator>
  <cp:lastModifiedBy>Joshua Bett</cp:lastModifiedBy>
  <cp:lastPrinted>2024-06-07T16:11:55Z</cp:lastPrinted>
  <dcterms:created xsi:type="dcterms:W3CDTF">2022-03-03T15:06:10Z</dcterms:created>
  <dcterms:modified xsi:type="dcterms:W3CDTF">2024-06-07T16:14:44Z</dcterms:modified>
</cp:coreProperties>
</file>