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dff044ccf92a97/Work Items/SMAC/Payroll Reports/"/>
    </mc:Choice>
  </mc:AlternateContent>
  <xr:revisionPtr revIDLastSave="43" documentId="8_{39100983-5946-4179-BCDD-06E7CDF0201B}" xr6:coauthVersionLast="47" xr6:coauthVersionMax="47" xr10:uidLastSave="{F14BAB36-F9BA-460E-9DCE-74A1347C781D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Sheet1!$A$1:$W$38</definedName>
    <definedName name="_xlnm.Print_Area" localSheetId="1">Sheet2!$A$1:$D$7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9" i="1"/>
  <c r="Y14" i="1" l="1"/>
  <c r="H20" i="1"/>
  <c r="I20" i="1" s="1"/>
  <c r="J20" i="1" s="1"/>
  <c r="K20" i="1" s="1"/>
  <c r="H21" i="1"/>
  <c r="I21" i="1" s="1"/>
  <c r="J21" i="1" s="1"/>
  <c r="K21" i="1" s="1"/>
  <c r="H22" i="1" l="1"/>
  <c r="I22" i="1" s="1"/>
  <c r="J22" i="1" s="1"/>
  <c r="K22" i="1" s="1"/>
  <c r="P22" i="1" s="1"/>
  <c r="B21" i="1"/>
  <c r="B20" i="1"/>
  <c r="E15" i="1"/>
  <c r="D27" i="1" l="1"/>
  <c r="B27" i="1"/>
  <c r="W6" i="1" l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7" i="1" l="1"/>
  <c r="C7" i="1"/>
  <c r="G7" i="1"/>
  <c r="F7" i="1"/>
  <c r="I7" i="1"/>
  <c r="H7" i="1"/>
  <c r="K7" i="1"/>
  <c r="J7" i="1"/>
  <c r="M7" i="1"/>
  <c r="L7" i="1"/>
  <c r="O7" i="1"/>
  <c r="N7" i="1"/>
  <c r="E14" i="1"/>
  <c r="E22" i="1" s="1"/>
  <c r="F22" i="1" s="1"/>
  <c r="G22" i="1" s="1"/>
  <c r="C27" i="1"/>
  <c r="E27" i="1"/>
  <c r="W7" i="1"/>
  <c r="V7" i="1"/>
  <c r="T7" i="1"/>
  <c r="E13" i="1"/>
  <c r="E21" i="1" s="1"/>
  <c r="F21" i="1" s="1"/>
  <c r="G21" i="1" s="1"/>
  <c r="F27" i="1" l="1"/>
  <c r="U7" i="1"/>
  <c r="C3" i="2"/>
  <c r="D3" i="2" s="1"/>
  <c r="E9" i="1"/>
  <c r="E20" i="1" s="1"/>
  <c r="F20" i="1" s="1"/>
  <c r="G20" i="1" s="1"/>
  <c r="S7" i="1" l="1"/>
  <c r="C4" i="2"/>
  <c r="D4" i="2" s="1"/>
  <c r="C5" i="2"/>
  <c r="D5" i="2" s="1"/>
  <c r="P7" i="1"/>
  <c r="R7" i="1"/>
  <c r="Q7" i="1"/>
  <c r="W16" i="1"/>
  <c r="O16" i="1"/>
  <c r="M16" i="1"/>
  <c r="K16" i="1"/>
  <c r="I16" i="1"/>
  <c r="G16" i="1"/>
  <c r="D16" i="1"/>
  <c r="C26" i="1" l="1"/>
  <c r="B26" i="1"/>
  <c r="B28" i="1" s="1"/>
  <c r="B33" i="1" s="1"/>
  <c r="C33" i="1" s="1"/>
  <c r="S16" i="1"/>
  <c r="Q16" i="1"/>
  <c r="U16" i="1"/>
  <c r="F26" i="1" l="1"/>
  <c r="F28" i="1" s="1"/>
  <c r="G28" i="1" s="1"/>
  <c r="C28" i="1"/>
  <c r="B30" i="1"/>
  <c r="C30" i="1" s="1"/>
  <c r="D26" i="1"/>
  <c r="D28" i="1" s="1"/>
  <c r="B34" i="1" s="1"/>
  <c r="C34" i="1" s="1"/>
  <c r="E26" i="1"/>
  <c r="B31" i="1" l="1"/>
  <c r="C31" i="1" s="1"/>
  <c r="E28" i="1"/>
</calcChain>
</file>

<file path=xl/sharedStrings.xml><?xml version="1.0" encoding="utf-8"?>
<sst xmlns="http://schemas.openxmlformats.org/spreadsheetml/2006/main" count="79" uniqueCount="55">
  <si>
    <t>Bett, Joshua</t>
  </si>
  <si>
    <t>Sarcyk, Neil</t>
  </si>
  <si>
    <t>Pilz, Michael</t>
  </si>
  <si>
    <t>FWT</t>
  </si>
  <si>
    <t>SS W/H</t>
  </si>
  <si>
    <t>MC W/H</t>
  </si>
  <si>
    <t>OH SIT</t>
  </si>
  <si>
    <t>CLE LIT</t>
  </si>
  <si>
    <t>ER SS</t>
  </si>
  <si>
    <t>ER MC</t>
  </si>
  <si>
    <t>FUTA</t>
  </si>
  <si>
    <t>OH SUTA</t>
  </si>
  <si>
    <t>Employee W/H</t>
  </si>
  <si>
    <t>Employer Paid</t>
  </si>
  <si>
    <t>Total</t>
  </si>
  <si>
    <t>Funds Used</t>
  </si>
  <si>
    <t>Payroll YTD Net</t>
  </si>
  <si>
    <t>Net Pay</t>
  </si>
  <si>
    <t>Total Tax</t>
  </si>
  <si>
    <t>Difference</t>
  </si>
  <si>
    <t>Total Used</t>
  </si>
  <si>
    <t>Taxes</t>
  </si>
  <si>
    <t>Net Used</t>
  </si>
  <si>
    <t>Total Paid or W/H</t>
  </si>
  <si>
    <t>Total in Escrow</t>
  </si>
  <si>
    <t>Escrow</t>
  </si>
  <si>
    <t>Payroll Escrow Utilized</t>
  </si>
  <si>
    <t>Company:</t>
  </si>
  <si>
    <t>Payroll Period:</t>
  </si>
  <si>
    <t>Est Liability</t>
  </si>
  <si>
    <t>Weekly Payroll Tax Escrow Estimator</t>
  </si>
  <si>
    <t>UV%</t>
  </si>
  <si>
    <t>% SD</t>
  </si>
  <si>
    <t>SMAC Distributing</t>
  </si>
  <si>
    <t>Reese, Aaron</t>
  </si>
  <si>
    <t>Reese, Aaron (Gross)</t>
  </si>
  <si>
    <t>SMAC</t>
  </si>
  <si>
    <t>Haggerty, Joe</t>
  </si>
  <si>
    <t>TBD</t>
  </si>
  <si>
    <t>Gross Pay</t>
  </si>
  <si>
    <t>ER Tax</t>
  </si>
  <si>
    <t>Payroll SVS Credit/Debit</t>
  </si>
  <si>
    <t>Tax Credit/Debit</t>
  </si>
  <si>
    <t>Taken From Gross Pay</t>
  </si>
  <si>
    <t>Added to Payroll Taxes</t>
  </si>
  <si>
    <t>Notes:</t>
  </si>
  <si>
    <t>Weekly Payroll (Week Behind)</t>
  </si>
  <si>
    <t>Utilized</t>
  </si>
  <si>
    <t>Per Period</t>
  </si>
  <si>
    <t>New Tax</t>
  </si>
  <si>
    <t>Adjust</t>
  </si>
  <si>
    <t>X-Fer Amt</t>
  </si>
  <si>
    <t>Monthly Payroll - Month Behind</t>
  </si>
  <si>
    <t>No Adjustments due to commission based pay</t>
  </si>
  <si>
    <t>SD10030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</si>
</sst>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[$-409]m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0" xfId="0" applyFont="1"/>
    <xf numFmtId="14" fontId="0" fillId="0" borderId="7" xfId="0" applyNumberFormat="1" applyBorder="1"/>
    <xf numFmtId="14" fontId="0" fillId="0" borderId="9" xfId="0" applyNumberFormat="1" applyBorder="1"/>
    <xf numFmtId="0" fontId="0" fillId="0" borderId="3" xfId="0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 applyBorder="1"/>
    <xf numFmtId="44" fontId="0" fillId="0" borderId="10" xfId="1" applyFont="1" applyBorder="1"/>
    <xf numFmtId="44" fontId="0" fillId="0" borderId="12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0" xfId="1" applyFont="1" applyFill="1" applyBorder="1"/>
    <xf numFmtId="44" fontId="0" fillId="0" borderId="7" xfId="1" applyFont="1" applyBorder="1"/>
    <xf numFmtId="44" fontId="0" fillId="0" borderId="9" xfId="1" applyFont="1" applyBorder="1"/>
    <xf numFmtId="44" fontId="0" fillId="0" borderId="8" xfId="1" applyFont="1" applyBorder="1"/>
    <xf numFmtId="44" fontId="0" fillId="0" borderId="13" xfId="1" applyFont="1" applyBorder="1"/>
    <xf numFmtId="44" fontId="2" fillId="0" borderId="0" xfId="1" applyFont="1" applyBorder="1"/>
    <xf numFmtId="44" fontId="0" fillId="0" borderId="14" xfId="1" applyFont="1" applyBorder="1"/>
    <xf numFmtId="44" fontId="2" fillId="0" borderId="1" xfId="0" applyNumberFormat="1" applyFont="1" applyBorder="1"/>
    <xf numFmtId="0" fontId="2" fillId="0" borderId="0" xfId="0" applyFont="1" applyAlignment="1">
      <alignment horizontal="right"/>
    </xf>
    <xf numFmtId="14" fontId="0" fillId="0" borderId="8" xfId="0" applyNumberFormat="1" applyBorder="1"/>
    <xf numFmtId="44" fontId="0" fillId="0" borderId="11" xfId="1" applyFont="1" applyBorder="1"/>
    <xf numFmtId="164" fontId="0" fillId="0" borderId="0" xfId="2" applyNumberFormat="1" applyFont="1"/>
    <xf numFmtId="164" fontId="0" fillId="0" borderId="0" xfId="0" applyNumberFormat="1"/>
    <xf numFmtId="44" fontId="0" fillId="0" borderId="5" xfId="0" applyNumberFormat="1" applyBorder="1"/>
    <xf numFmtId="44" fontId="0" fillId="0" borderId="6" xfId="0" applyNumberFormat="1" applyBorder="1"/>
    <xf numFmtId="44" fontId="0" fillId="0" borderId="15" xfId="1" applyFont="1" applyBorder="1"/>
    <xf numFmtId="0" fontId="3" fillId="0" borderId="0" xfId="0" applyFont="1"/>
    <xf numFmtId="44" fontId="1" fillId="0" borderId="16" xfId="1" applyFont="1" applyBorder="1"/>
    <xf numFmtId="44" fontId="1" fillId="0" borderId="17" xfId="1" applyFont="1" applyBorder="1"/>
    <xf numFmtId="44" fontId="0" fillId="0" borderId="17" xfId="0" applyNumberFormat="1" applyBorder="1"/>
    <xf numFmtId="44" fontId="2" fillId="0" borderId="0" xfId="0" applyNumberFormat="1" applyFont="1"/>
    <xf numFmtId="44" fontId="0" fillId="0" borderId="0" xfId="1" applyFont="1"/>
    <xf numFmtId="44" fontId="0" fillId="0" borderId="9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44" fontId="0" fillId="0" borderId="2" xfId="1" applyFont="1" applyBorder="1"/>
    <xf numFmtId="44" fontId="0" fillId="0" borderId="4" xfId="1" applyFont="1" applyBorder="1"/>
    <xf numFmtId="44" fontId="0" fillId="0" borderId="3" xfId="1" applyFont="1" applyBorder="1"/>
    <xf numFmtId="44" fontId="0" fillId="0" borderId="7" xfId="0" applyNumberFormat="1" applyBorder="1"/>
    <xf numFmtId="44" fontId="0" fillId="0" borderId="2" xfId="0" applyNumberFormat="1" applyBorder="1"/>
    <xf numFmtId="44" fontId="0" fillId="0" borderId="4" xfId="0" applyNumberFormat="1" applyBorder="1"/>
    <xf numFmtId="44" fontId="0" fillId="0" borderId="0" xfId="0" applyNumberFormat="1"/>
    <xf numFmtId="44" fontId="0" fillId="0" borderId="1" xfId="0" applyNumberFormat="1" applyBorder="1"/>
    <xf numFmtId="44" fontId="0" fillId="0" borderId="0" xfId="1" applyFont="1" applyBorder="1" applyAlignment="1">
      <alignment horizontal="center"/>
    </xf>
    <xf numFmtId="164" fontId="0" fillId="0" borderId="0" xfId="2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8"/>
  <sheetViews>
    <sheetView tabSelected="1" workbookViewId="0">
      <pane xSplit="1" topLeftCell="B1" activePane="topRight" state="frozen"/>
      <selection pane="topRight" activeCell="W16" sqref="W16"/>
    </sheetView>
  </sheetViews>
  <sheetFormatPr defaultRowHeight="15" x14ac:dyDescent="0.25"/>
  <cols>
    <col min="1" max="1" width="23.140625" bestFit="1" customWidth="1"/>
    <col min="2" max="2" width="11.28515625" bestFit="1" customWidth="1"/>
    <col min="3" max="4" width="11.5703125" bestFit="1" customWidth="1"/>
    <col min="5" max="5" width="11.5703125" customWidth="1"/>
    <col min="6" max="6" width="11.28515625" bestFit="1" customWidth="1"/>
    <col min="7" max="7" width="10.5703125" customWidth="1"/>
    <col min="8" max="9" width="10.5703125" bestFit="1" customWidth="1"/>
    <col min="10" max="15" width="10.7109375" bestFit="1" customWidth="1"/>
    <col min="16" max="16" width="10.5703125" bestFit="1" customWidth="1"/>
    <col min="17" max="23" width="10.7109375" bestFit="1" customWidth="1"/>
    <col min="24" max="25" width="10.5703125" bestFit="1" customWidth="1"/>
    <col min="26" max="26" width="11.5703125" bestFit="1" customWidth="1"/>
  </cols>
  <sheetData>
    <row r="1" spans="1:26" x14ac:dyDescent="0.25">
      <c r="A1" s="53" t="s">
        <v>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6" x14ac:dyDescent="0.25">
      <c r="A2" s="23" t="s">
        <v>27</v>
      </c>
      <c r="B2" s="54" t="s">
        <v>33</v>
      </c>
      <c r="C2" s="54"/>
    </row>
    <row r="3" spans="1:26" ht="15.75" thickBot="1" x14ac:dyDescent="0.3">
      <c r="A3" s="23" t="s">
        <v>28</v>
      </c>
      <c r="B3" s="55">
        <v>45413</v>
      </c>
      <c r="C3" s="55"/>
    </row>
    <row r="4" spans="1:26" ht="15.75" thickBot="1" x14ac:dyDescent="0.3">
      <c r="A4" s="31" t="s">
        <v>15</v>
      </c>
      <c r="C4" s="50" t="s">
        <v>17</v>
      </c>
      <c r="D4" s="51"/>
      <c r="E4" s="52"/>
      <c r="F4" s="50" t="s">
        <v>12</v>
      </c>
      <c r="G4" s="51"/>
      <c r="H4" s="51"/>
      <c r="I4" s="51"/>
      <c r="J4" s="51"/>
      <c r="K4" s="51"/>
      <c r="L4" s="51"/>
      <c r="M4" s="51"/>
      <c r="N4" s="51"/>
      <c r="O4" s="52"/>
      <c r="P4" s="50" t="s">
        <v>13</v>
      </c>
      <c r="Q4" s="51"/>
      <c r="R4" s="51"/>
      <c r="S4" s="51"/>
      <c r="T4" s="51"/>
      <c r="U4" s="51"/>
      <c r="V4" s="51"/>
      <c r="W4" s="52"/>
      <c r="X4" s="1"/>
      <c r="Y4" s="1"/>
    </row>
    <row r="5" spans="1:26" hidden="1" x14ac:dyDescent="0.25">
      <c r="B5" t="s">
        <v>32</v>
      </c>
      <c r="C5" s="56" t="s">
        <v>16</v>
      </c>
      <c r="D5" s="57"/>
      <c r="E5" s="7" t="s">
        <v>22</v>
      </c>
      <c r="F5" s="56" t="s">
        <v>3</v>
      </c>
      <c r="G5" s="57"/>
      <c r="H5" s="56" t="s">
        <v>4</v>
      </c>
      <c r="I5" s="57"/>
      <c r="J5" s="56" t="s">
        <v>5</v>
      </c>
      <c r="K5" s="57"/>
      <c r="L5" s="56" t="s">
        <v>6</v>
      </c>
      <c r="M5" s="57"/>
      <c r="N5" s="56" t="s">
        <v>7</v>
      </c>
      <c r="O5" s="57"/>
      <c r="P5" s="56" t="s">
        <v>8</v>
      </c>
      <c r="Q5" s="57"/>
      <c r="R5" s="56" t="s">
        <v>9</v>
      </c>
      <c r="S5" s="57"/>
      <c r="T5" s="56" t="s">
        <v>10</v>
      </c>
      <c r="U5" s="57"/>
      <c r="V5" s="56" t="s">
        <v>11</v>
      </c>
      <c r="W5" s="57"/>
      <c r="X5" s="1"/>
      <c r="Y5" s="1"/>
    </row>
    <row r="6" spans="1:26" ht="15.75" hidden="1" thickBot="1" x14ac:dyDescent="0.3">
      <c r="C6" s="5">
        <v>45310</v>
      </c>
      <c r="D6" s="6">
        <v>45338</v>
      </c>
      <c r="E6" s="24"/>
      <c r="F6" s="5">
        <f>$C6</f>
        <v>45310</v>
      </c>
      <c r="G6" s="6">
        <f>$D6</f>
        <v>45338</v>
      </c>
      <c r="H6" s="5">
        <f>$C6</f>
        <v>45310</v>
      </c>
      <c r="I6" s="6">
        <f>$D6</f>
        <v>45338</v>
      </c>
      <c r="J6" s="5">
        <f>$C6</f>
        <v>45310</v>
      </c>
      <c r="K6" s="6">
        <f>$D6</f>
        <v>45338</v>
      </c>
      <c r="L6" s="5">
        <f>$C6</f>
        <v>45310</v>
      </c>
      <c r="M6" s="6">
        <f>$D6</f>
        <v>45338</v>
      </c>
      <c r="N6" s="5">
        <f>$C6</f>
        <v>45310</v>
      </c>
      <c r="O6" s="6">
        <f>$D6</f>
        <v>45338</v>
      </c>
      <c r="P6" s="5">
        <f>$C6</f>
        <v>45310</v>
      </c>
      <c r="Q6" s="6">
        <f>$D6</f>
        <v>45338</v>
      </c>
      <c r="R6" s="5">
        <f>$C6</f>
        <v>45310</v>
      </c>
      <c r="S6" s="6">
        <f>$D6</f>
        <v>45338</v>
      </c>
      <c r="T6" s="5">
        <f>$C6</f>
        <v>45310</v>
      </c>
      <c r="U6" s="6">
        <f>$D6</f>
        <v>45338</v>
      </c>
      <c r="V6" s="5">
        <f>$C6</f>
        <v>45310</v>
      </c>
      <c r="W6" s="6">
        <f>$D6</f>
        <v>45338</v>
      </c>
      <c r="X6" s="8"/>
      <c r="Y6" s="8"/>
    </row>
    <row r="7" spans="1:26" ht="15.75" hidden="1" thickBot="1" x14ac:dyDescent="0.3">
      <c r="A7" t="s">
        <v>20</v>
      </c>
      <c r="C7" s="11">
        <f>SUM(C9:C9,C13:C15)</f>
        <v>4188.24</v>
      </c>
      <c r="D7" s="12">
        <f>SUM(D9:D9,D13:D15)</f>
        <v>4878.8100000000004</v>
      </c>
      <c r="E7" s="25"/>
      <c r="F7" s="11">
        <f t="shared" ref="F7:W7" si="0">SUM(F9:F9,F13:F15)</f>
        <v>386.34000000000003</v>
      </c>
      <c r="G7" s="12">
        <f t="shared" si="0"/>
        <v>445.5</v>
      </c>
      <c r="H7" s="11">
        <f t="shared" si="0"/>
        <v>320.85000000000002</v>
      </c>
      <c r="I7" s="12">
        <f t="shared" si="0"/>
        <v>373.49</v>
      </c>
      <c r="J7" s="11">
        <f t="shared" si="0"/>
        <v>75.039999999999992</v>
      </c>
      <c r="K7" s="12">
        <f t="shared" si="0"/>
        <v>87.35</v>
      </c>
      <c r="L7" s="11">
        <f t="shared" si="0"/>
        <v>75.150000000000006</v>
      </c>
      <c r="M7" s="12">
        <f t="shared" si="0"/>
        <v>88.240000000000009</v>
      </c>
      <c r="N7" s="11">
        <f t="shared" si="0"/>
        <v>129.38</v>
      </c>
      <c r="O7" s="12">
        <f t="shared" si="0"/>
        <v>150.61000000000001</v>
      </c>
      <c r="P7" s="11">
        <f t="shared" si="0"/>
        <v>320.85000000000002</v>
      </c>
      <c r="Q7" s="12">
        <f t="shared" si="0"/>
        <v>373.49</v>
      </c>
      <c r="R7" s="11">
        <f t="shared" si="0"/>
        <v>75.039999999999992</v>
      </c>
      <c r="S7" s="12">
        <f t="shared" si="0"/>
        <v>87.35</v>
      </c>
      <c r="T7" s="11">
        <f t="shared" si="0"/>
        <v>23.64</v>
      </c>
      <c r="U7" s="12">
        <f t="shared" si="0"/>
        <v>26.21</v>
      </c>
      <c r="V7" s="11">
        <f t="shared" si="0"/>
        <v>191.82999999999998</v>
      </c>
      <c r="W7" s="12">
        <f t="shared" si="0"/>
        <v>212.85000000000002</v>
      </c>
      <c r="X7" s="3"/>
      <c r="Z7" s="4"/>
    </row>
    <row r="8" spans="1:26" ht="15.75" hidden="1" thickBot="1" x14ac:dyDescent="0.3">
      <c r="C8" s="58" t="s">
        <v>46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0"/>
      <c r="X8" s="9"/>
      <c r="Y8" s="9"/>
      <c r="Z8" s="4"/>
    </row>
    <row r="9" spans="1:26" ht="15.75" hidden="1" thickBot="1" x14ac:dyDescent="0.3">
      <c r="A9" t="s">
        <v>2</v>
      </c>
      <c r="B9" s="27">
        <v>0.10052</v>
      </c>
      <c r="C9" s="13"/>
      <c r="D9" s="14"/>
      <c r="E9" s="10">
        <f>D9-C9</f>
        <v>0</v>
      </c>
      <c r="F9" s="13"/>
      <c r="G9" s="15"/>
      <c r="H9" s="13"/>
      <c r="I9" s="14"/>
      <c r="J9" s="13"/>
      <c r="K9" s="14"/>
      <c r="L9" s="13"/>
      <c r="M9" s="14"/>
      <c r="N9" s="13"/>
      <c r="O9" s="14"/>
      <c r="P9" s="28"/>
      <c r="Q9" s="29"/>
      <c r="R9" s="28"/>
      <c r="S9" s="29"/>
      <c r="T9" s="16"/>
      <c r="U9" s="17"/>
      <c r="V9" s="16"/>
      <c r="W9" s="17"/>
      <c r="Y9" s="46">
        <f>W9+U9+S9+Q9+O9+M9+K9+G9+D9+I9</f>
        <v>0</v>
      </c>
    </row>
    <row r="10" spans="1:26" ht="15.75" thickBot="1" x14ac:dyDescent="0.3">
      <c r="B10" s="27"/>
      <c r="C10" s="58" t="s">
        <v>52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0"/>
      <c r="X10" s="9"/>
      <c r="Y10" s="9"/>
    </row>
    <row r="11" spans="1:26" x14ac:dyDescent="0.25">
      <c r="B11" s="27"/>
      <c r="C11" s="56" t="s">
        <v>16</v>
      </c>
      <c r="D11" s="57"/>
      <c r="E11" s="7"/>
      <c r="F11" s="56" t="s">
        <v>3</v>
      </c>
      <c r="G11" s="57"/>
      <c r="H11" s="56" t="s">
        <v>4</v>
      </c>
      <c r="I11" s="57"/>
      <c r="J11" s="56" t="s">
        <v>5</v>
      </c>
      <c r="K11" s="57"/>
      <c r="L11" s="56" t="s">
        <v>6</v>
      </c>
      <c r="M11" s="57"/>
      <c r="N11" s="56" t="s">
        <v>7</v>
      </c>
      <c r="O11" s="57"/>
      <c r="P11" s="56" t="s">
        <v>8</v>
      </c>
      <c r="Q11" s="57"/>
      <c r="R11" s="56" t="s">
        <v>9</v>
      </c>
      <c r="S11" s="57"/>
      <c r="T11" s="56" t="s">
        <v>10</v>
      </c>
      <c r="U11" s="57"/>
      <c r="V11" s="56" t="s">
        <v>11</v>
      </c>
      <c r="W11" s="57"/>
      <c r="X11" s="1"/>
      <c r="Y11" s="1"/>
    </row>
    <row r="12" spans="1:26" ht="15.75" thickBot="1" x14ac:dyDescent="0.3">
      <c r="B12" s="27"/>
      <c r="C12" s="38">
        <v>45383</v>
      </c>
      <c r="D12" s="39">
        <v>45412</v>
      </c>
      <c r="E12" s="8"/>
      <c r="F12" s="5">
        <f>$C12</f>
        <v>45383</v>
      </c>
      <c r="G12" s="6">
        <f>$D12</f>
        <v>45412</v>
      </c>
      <c r="H12" s="5">
        <f>$C12</f>
        <v>45383</v>
      </c>
      <c r="I12" s="6">
        <f>$D12</f>
        <v>45412</v>
      </c>
      <c r="J12" s="5">
        <f>$C12</f>
        <v>45383</v>
      </c>
      <c r="K12" s="6">
        <f>$D12</f>
        <v>45412</v>
      </c>
      <c r="L12" s="5">
        <f>$C12</f>
        <v>45383</v>
      </c>
      <c r="M12" s="6">
        <f>$D12</f>
        <v>45412</v>
      </c>
      <c r="N12" s="5">
        <f>$C12</f>
        <v>45383</v>
      </c>
      <c r="O12" s="6">
        <f>$D12</f>
        <v>45412</v>
      </c>
      <c r="P12" s="5">
        <f>$C12</f>
        <v>45383</v>
      </c>
      <c r="Q12" s="6">
        <f>$D12</f>
        <v>45412</v>
      </c>
      <c r="R12" s="5">
        <f>$C12</f>
        <v>45383</v>
      </c>
      <c r="S12" s="6">
        <f>$D12</f>
        <v>45412</v>
      </c>
      <c r="T12" s="5">
        <f>$C12</f>
        <v>45383</v>
      </c>
      <c r="U12" s="6">
        <f>$D12</f>
        <v>45412</v>
      </c>
      <c r="V12" s="5">
        <f>$C12</f>
        <v>45383</v>
      </c>
      <c r="W12" s="6">
        <f>$D12</f>
        <v>45412</v>
      </c>
      <c r="X12" s="8"/>
      <c r="Y12" s="8"/>
    </row>
    <row r="13" spans="1:26" x14ac:dyDescent="0.25">
      <c r="A13" t="s">
        <v>1</v>
      </c>
      <c r="B13" s="26">
        <v>0.21428</v>
      </c>
      <c r="C13" s="40">
        <v>1229.1199999999999</v>
      </c>
      <c r="D13" s="42">
        <v>1536.45</v>
      </c>
      <c r="E13" s="19">
        <f>D13-C13</f>
        <v>307.33000000000015</v>
      </c>
      <c r="F13" s="42">
        <v>236.84</v>
      </c>
      <c r="G13" s="41">
        <v>296</v>
      </c>
      <c r="H13" s="40">
        <v>104.16</v>
      </c>
      <c r="I13" s="41">
        <v>130.19999999999999</v>
      </c>
      <c r="J13" s="40">
        <v>24.36</v>
      </c>
      <c r="K13" s="41">
        <v>30.45</v>
      </c>
      <c r="L13" s="40">
        <v>43.52</v>
      </c>
      <c r="M13" s="41">
        <v>54.4</v>
      </c>
      <c r="N13" s="40">
        <v>42</v>
      </c>
      <c r="O13" s="41">
        <v>52.5</v>
      </c>
      <c r="P13" s="44">
        <v>104.16</v>
      </c>
      <c r="Q13" s="45">
        <v>130.19999999999999</v>
      </c>
      <c r="R13" s="44">
        <v>24.36</v>
      </c>
      <c r="S13" s="45">
        <v>30.45</v>
      </c>
      <c r="T13" s="40">
        <v>2.67</v>
      </c>
      <c r="U13" s="41">
        <v>2.67</v>
      </c>
      <c r="V13" s="40">
        <v>20.58</v>
      </c>
      <c r="W13" s="41">
        <v>20.58</v>
      </c>
      <c r="Y13" s="46">
        <f t="shared" ref="Y13:Y14" si="1">W13+U13+S13+Q13+O13+M13+K13+G13+D13+I13</f>
        <v>2283.8999999999996</v>
      </c>
    </row>
    <row r="14" spans="1:26" ht="15.75" thickBot="1" x14ac:dyDescent="0.3">
      <c r="A14" t="s">
        <v>34</v>
      </c>
      <c r="B14" s="26">
        <v>1</v>
      </c>
      <c r="C14" s="16">
        <v>2959.12</v>
      </c>
      <c r="D14" s="18">
        <v>3342.36</v>
      </c>
      <c r="E14" s="30">
        <f>D14-C14</f>
        <v>383.24000000000024</v>
      </c>
      <c r="F14" s="18">
        <v>149.5</v>
      </c>
      <c r="G14" s="17">
        <v>149.5</v>
      </c>
      <c r="H14" s="16">
        <v>216.69</v>
      </c>
      <c r="I14" s="17">
        <v>243.29</v>
      </c>
      <c r="J14" s="16">
        <v>50.68</v>
      </c>
      <c r="K14" s="17">
        <v>56.9</v>
      </c>
      <c r="L14" s="16">
        <v>31.63</v>
      </c>
      <c r="M14" s="17">
        <v>33.840000000000003</v>
      </c>
      <c r="N14" s="16">
        <v>87.38</v>
      </c>
      <c r="O14" s="17">
        <v>98.11</v>
      </c>
      <c r="P14" s="43">
        <v>216.69</v>
      </c>
      <c r="Q14" s="37">
        <v>243.29</v>
      </c>
      <c r="R14" s="43">
        <v>50.68</v>
      </c>
      <c r="S14" s="37">
        <v>56.9</v>
      </c>
      <c r="T14" s="16">
        <v>20.97</v>
      </c>
      <c r="U14" s="17">
        <v>23.54</v>
      </c>
      <c r="V14" s="16">
        <v>171.25</v>
      </c>
      <c r="W14" s="17">
        <v>192.27</v>
      </c>
      <c r="Y14" s="46">
        <f t="shared" si="1"/>
        <v>4440</v>
      </c>
    </row>
    <row r="15" spans="1:26" ht="15.75" hidden="1" thickBot="1" x14ac:dyDescent="0.3">
      <c r="B15" s="26">
        <v>1</v>
      </c>
      <c r="C15" s="16"/>
      <c r="D15" s="18"/>
      <c r="E15" s="30">
        <f>D15-C15</f>
        <v>0</v>
      </c>
      <c r="F15" s="18"/>
      <c r="G15" s="17"/>
      <c r="H15" s="16"/>
      <c r="I15" s="17"/>
      <c r="J15" s="16"/>
      <c r="K15" s="17"/>
      <c r="L15" s="16"/>
      <c r="M15" s="17"/>
      <c r="N15" s="16"/>
      <c r="O15" s="17"/>
      <c r="P15" s="43"/>
      <c r="Q15" s="37"/>
      <c r="R15" s="43"/>
      <c r="S15" s="37"/>
      <c r="T15" s="16"/>
      <c r="U15" s="17"/>
      <c r="V15" s="16"/>
      <c r="W15" s="17"/>
    </row>
    <row r="16" spans="1:26" ht="15.75" thickBot="1" x14ac:dyDescent="0.3">
      <c r="A16" t="s">
        <v>15</v>
      </c>
      <c r="D16" s="30">
        <f>D7-C7</f>
        <v>690.57000000000062</v>
      </c>
      <c r="E16" s="10"/>
      <c r="F16" s="10"/>
      <c r="G16" s="30">
        <f>G7-F7</f>
        <v>59.159999999999968</v>
      </c>
      <c r="H16" s="10"/>
      <c r="I16" s="30">
        <f>I7-H7</f>
        <v>52.639999999999986</v>
      </c>
      <c r="J16" s="10"/>
      <c r="K16" s="30">
        <f>K7-J7</f>
        <v>12.310000000000002</v>
      </c>
      <c r="L16" s="10"/>
      <c r="M16" s="30">
        <f>M7-L7</f>
        <v>13.090000000000003</v>
      </c>
      <c r="N16" s="10"/>
      <c r="O16" s="30">
        <f>O7-N7</f>
        <v>21.230000000000018</v>
      </c>
      <c r="P16" s="10"/>
      <c r="Q16" s="30">
        <f>Q7-P7</f>
        <v>52.639999999999986</v>
      </c>
      <c r="R16" s="10"/>
      <c r="S16" s="30">
        <f>S7-R7</f>
        <v>12.310000000000002</v>
      </c>
      <c r="T16" s="10"/>
      <c r="U16" s="30">
        <f>U7-T7</f>
        <v>2.5700000000000003</v>
      </c>
      <c r="V16" s="10"/>
      <c r="W16" s="30">
        <f>W7-V7</f>
        <v>21.020000000000039</v>
      </c>
    </row>
    <row r="17" spans="1:28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46"/>
      <c r="O17" s="10"/>
      <c r="P17" s="10"/>
      <c r="Q17" s="10"/>
      <c r="R17" s="10"/>
      <c r="S17" s="10"/>
      <c r="T17" s="10"/>
      <c r="U17" s="10"/>
      <c r="V17" s="10"/>
      <c r="W17" s="10"/>
    </row>
    <row r="18" spans="1:28" x14ac:dyDescent="0.25">
      <c r="A18" s="31" t="s">
        <v>25</v>
      </c>
      <c r="C18" s="4" t="s">
        <v>54</v>
      </c>
      <c r="D18" s="10"/>
      <c r="E18" s="48" t="s">
        <v>47</v>
      </c>
      <c r="G18" s="10"/>
      <c r="H18" s="48" t="s">
        <v>47</v>
      </c>
      <c r="I18" s="10"/>
      <c r="J18" s="48" t="s">
        <v>48</v>
      </c>
      <c r="K18" s="10" t="s">
        <v>49</v>
      </c>
      <c r="L18" s="10"/>
      <c r="N18" s="46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20"/>
    </row>
    <row r="19" spans="1:28" ht="15.75" thickBot="1" x14ac:dyDescent="0.3">
      <c r="C19" t="s">
        <v>17</v>
      </c>
      <c r="D19" s="10" t="s">
        <v>21</v>
      </c>
      <c r="E19" s="48" t="s">
        <v>17</v>
      </c>
      <c r="F19" t="s">
        <v>19</v>
      </c>
      <c r="G19" s="10"/>
      <c r="H19" s="48" t="s">
        <v>21</v>
      </c>
      <c r="I19" s="10" t="s">
        <v>19</v>
      </c>
      <c r="J19" s="48" t="s">
        <v>50</v>
      </c>
      <c r="K19" s="10" t="s">
        <v>51</v>
      </c>
      <c r="N19" s="46"/>
      <c r="O19" s="46"/>
      <c r="P19" s="10"/>
      <c r="Q19" s="10"/>
      <c r="S19" s="10"/>
      <c r="T19" s="10"/>
      <c r="U19" s="10"/>
      <c r="V19" s="10"/>
      <c r="W19" s="10"/>
      <c r="X19" s="10"/>
      <c r="Y19" s="10"/>
      <c r="Z19" s="20"/>
    </row>
    <row r="20" spans="1:28" hidden="1" x14ac:dyDescent="0.25">
      <c r="A20" t="s">
        <v>2</v>
      </c>
      <c r="B20" s="27">
        <f>B9</f>
        <v>0.10052</v>
      </c>
      <c r="C20" s="19">
        <v>0</v>
      </c>
      <c r="D20" s="19">
        <v>0</v>
      </c>
      <c r="E20" s="10">
        <f>(E9+G9+I9+K9+M9+O9-N9-L9-J9-H9-F9)</f>
        <v>0</v>
      </c>
      <c r="F20" s="10">
        <f>E20-C20</f>
        <v>0</v>
      </c>
      <c r="G20" s="10" t="str">
        <f>IF(F20=0,"Even",IF(F20&gt;0,"Deficit","Overage"))</f>
        <v>Even</v>
      </c>
      <c r="H20" s="10">
        <f>Q9+S9+U9+W9-V9-T9-R9-P9</f>
        <v>0</v>
      </c>
      <c r="I20" s="10">
        <f>H20-D20</f>
        <v>0</v>
      </c>
      <c r="J20" s="10">
        <f>ROUNDUP((I20/(4)),1)</f>
        <v>0</v>
      </c>
      <c r="K20" s="20">
        <f>(D20/4)+J20</f>
        <v>0</v>
      </c>
      <c r="N20" s="46"/>
      <c r="O20" s="46"/>
      <c r="P20" s="10"/>
      <c r="Q20" s="10"/>
      <c r="S20" s="10"/>
      <c r="T20" s="10"/>
      <c r="U20" s="10"/>
      <c r="V20" s="10"/>
      <c r="W20" s="10"/>
      <c r="X20" s="10"/>
      <c r="Y20" s="10"/>
      <c r="Z20" s="20"/>
    </row>
    <row r="21" spans="1:28" x14ac:dyDescent="0.25">
      <c r="A21" t="s">
        <v>1</v>
      </c>
      <c r="B21" s="26">
        <f>B13</f>
        <v>0.21428</v>
      </c>
      <c r="C21" s="19">
        <v>420</v>
      </c>
      <c r="D21" s="19">
        <v>32.15</v>
      </c>
      <c r="E21" s="10">
        <f>(E13+G13+I13+K13+M13+O13-N13-L13-J13-H13-F13)</f>
        <v>420.00000000000023</v>
      </c>
      <c r="F21" s="10">
        <f>E21-C21</f>
        <v>0</v>
      </c>
      <c r="G21" s="10" t="str">
        <f t="shared" ref="G21:G22" si="2">IF(F21=0,"Even",IF(F21&gt;0,"Deficit","Overage"))</f>
        <v>Even</v>
      </c>
      <c r="H21" s="10">
        <f>Q13+S13+U13+W13-V13-T13-R13-P13</f>
        <v>32.130000000000024</v>
      </c>
      <c r="I21" s="10">
        <f t="shared" ref="I21:I22" si="3">H21-D21</f>
        <v>-1.9999999999974705E-2</v>
      </c>
      <c r="J21" s="10">
        <f>ROUNDUP((I21/(1)),1)</f>
        <v>-0.1</v>
      </c>
      <c r="K21" s="20">
        <f t="shared" ref="K21" si="4">(D21/1)+J21</f>
        <v>32.049999999999997</v>
      </c>
      <c r="N21" s="46"/>
      <c r="O21" s="46"/>
      <c r="P21" s="10"/>
      <c r="Q21" s="10"/>
      <c r="S21" s="10"/>
      <c r="T21" s="10"/>
      <c r="U21" s="10"/>
      <c r="V21" s="10"/>
      <c r="W21" s="10"/>
      <c r="X21" s="10"/>
      <c r="Y21" s="10"/>
      <c r="Z21" s="20"/>
    </row>
    <row r="22" spans="1:28" ht="15.75" thickBot="1" x14ac:dyDescent="0.3">
      <c r="A22" t="s">
        <v>35</v>
      </c>
      <c r="B22" s="26">
        <v>1</v>
      </c>
      <c r="C22" s="30">
        <v>429</v>
      </c>
      <c r="D22" s="30">
        <v>56.41</v>
      </c>
      <c r="E22" s="10">
        <f>(E14+G14+I14+K14+M14+O14-N14-L14-J14-H14-F14)</f>
        <v>429.00000000000023</v>
      </c>
      <c r="F22" s="10">
        <f>E22-C22</f>
        <v>0</v>
      </c>
      <c r="G22" s="10" t="str">
        <f t="shared" si="2"/>
        <v>Even</v>
      </c>
      <c r="H22" s="10">
        <f>Q14+S14+U14+W14-V14-T14-R14-P14</f>
        <v>56.409999999999968</v>
      </c>
      <c r="I22" s="10">
        <f t="shared" si="3"/>
        <v>0</v>
      </c>
      <c r="J22" s="10">
        <f>ROUNDUP((I22/(1)),1)</f>
        <v>0</v>
      </c>
      <c r="K22" s="20">
        <f>(D22/1)+J22</f>
        <v>56.41</v>
      </c>
      <c r="L22" t="s">
        <v>53</v>
      </c>
      <c r="N22" s="46"/>
      <c r="O22" s="46"/>
      <c r="P22" s="49">
        <f>K22/C22</f>
        <v>0.13149184149184148</v>
      </c>
      <c r="Q22" s="10"/>
      <c r="S22" s="10"/>
      <c r="T22" s="10"/>
      <c r="U22" s="10"/>
      <c r="V22" s="10"/>
      <c r="W22" s="10"/>
      <c r="X22" s="10"/>
      <c r="Y22" s="10"/>
      <c r="Z22" s="20"/>
    </row>
    <row r="23" spans="1:28" ht="15.75" hidden="1" thickBot="1" x14ac:dyDescent="0.3">
      <c r="B23" s="26">
        <v>1</v>
      </c>
      <c r="C23" s="21"/>
      <c r="D23" s="21"/>
      <c r="E23" s="10"/>
      <c r="F23" s="10"/>
      <c r="G23" s="10"/>
      <c r="H23" s="10"/>
      <c r="I23" s="10"/>
      <c r="J23" s="10"/>
      <c r="K23" s="10"/>
      <c r="N23" s="46"/>
      <c r="O23" s="46"/>
      <c r="P23" s="10"/>
      <c r="Q23" s="10"/>
      <c r="S23" s="10"/>
      <c r="T23" s="10"/>
      <c r="U23" s="10"/>
      <c r="V23" s="10"/>
      <c r="W23" s="10"/>
      <c r="X23" s="10"/>
      <c r="Y23" s="10"/>
      <c r="Z23" s="20"/>
    </row>
    <row r="24" spans="1:28" x14ac:dyDescent="0.25">
      <c r="C24" s="2"/>
      <c r="D24" s="2"/>
      <c r="N24" s="46"/>
      <c r="O24" s="46"/>
      <c r="W24" s="23"/>
      <c r="X24" s="20"/>
      <c r="Y24" s="35"/>
      <c r="Z24" s="35"/>
    </row>
    <row r="25" spans="1:28" ht="15.75" thickBot="1" x14ac:dyDescent="0.3">
      <c r="B25" s="1" t="s">
        <v>39</v>
      </c>
      <c r="C25" s="1" t="s">
        <v>17</v>
      </c>
      <c r="D25" s="1" t="s">
        <v>40</v>
      </c>
      <c r="E25" s="1" t="s">
        <v>18</v>
      </c>
      <c r="F25" t="s">
        <v>14</v>
      </c>
      <c r="N25" s="46"/>
      <c r="O25" s="46"/>
      <c r="Y25" s="23"/>
      <c r="AB25" s="4"/>
    </row>
    <row r="26" spans="1:28" x14ac:dyDescent="0.25">
      <c r="A26" t="s">
        <v>23</v>
      </c>
      <c r="B26" s="32">
        <f>SUM(D16,G16,I16,K16,M16,O16)</f>
        <v>849.00000000000057</v>
      </c>
      <c r="C26" s="32">
        <f>D16</f>
        <v>690.57000000000062</v>
      </c>
      <c r="D26" s="32">
        <f>SUM(Q16,S16,U16,W16)</f>
        <v>88.54000000000002</v>
      </c>
      <c r="E26" s="32">
        <f>G16+I16+K16+M16+O16+Q16+S16+U16+W16</f>
        <v>246.97</v>
      </c>
      <c r="F26" s="32">
        <f>SUM(D16:W16)</f>
        <v>937.54000000000065</v>
      </c>
      <c r="N26" s="46"/>
      <c r="AB26" s="4"/>
    </row>
    <row r="27" spans="1:28" ht="15.75" thickBot="1" x14ac:dyDescent="0.3">
      <c r="A27" t="s">
        <v>24</v>
      </c>
      <c r="B27" s="33">
        <f>SUM(C20:C23)</f>
        <v>849</v>
      </c>
      <c r="C27" s="33">
        <f>SUM(C20:C23)</f>
        <v>849</v>
      </c>
      <c r="D27" s="34">
        <f>SUM(D20:D23)</f>
        <v>88.56</v>
      </c>
      <c r="E27" s="34">
        <f>SUM(D20:D23)</f>
        <v>88.56</v>
      </c>
      <c r="F27" s="34">
        <f>SUM(C27,E27)</f>
        <v>937.56</v>
      </c>
    </row>
    <row r="28" spans="1:28" ht="15.75" thickBot="1" x14ac:dyDescent="0.3">
      <c r="A28" t="s">
        <v>19</v>
      </c>
      <c r="B28" s="47">
        <f>B27-B26</f>
        <v>0</v>
      </c>
      <c r="C28" s="22">
        <f>C27-C26</f>
        <v>158.42999999999938</v>
      </c>
      <c r="D28" s="47">
        <f>D27-D26</f>
        <v>1.999999999998181E-2</v>
      </c>
      <c r="E28" s="22">
        <f>E27-E26</f>
        <v>-158.41</v>
      </c>
      <c r="F28" s="22">
        <f>F27-F26</f>
        <v>1.9999999999299689E-2</v>
      </c>
      <c r="G28" s="31" t="str">
        <f>IF(F28&gt;0,"Total Credit on Next Payroll","Total Debit on Next Payroll")</f>
        <v>Total Credit on Next Payroll</v>
      </c>
    </row>
    <row r="30" spans="1:28" x14ac:dyDescent="0.25">
      <c r="A30" t="s">
        <v>43</v>
      </c>
      <c r="B30" s="46">
        <f>C26-B26</f>
        <v>-158.42999999999995</v>
      </c>
      <c r="C30" t="str">
        <f>IF(B30&gt;=0,"Credit on Payroll","Debit on Payroll")</f>
        <v>Debit on Payroll</v>
      </c>
    </row>
    <row r="31" spans="1:28" x14ac:dyDescent="0.25">
      <c r="A31" t="s">
        <v>44</v>
      </c>
      <c r="B31" s="46">
        <f>E26-D26</f>
        <v>158.42999999999998</v>
      </c>
      <c r="C31" t="str">
        <f>IF(B31&gt;=0,"Credit on Payroll","Debit on Payroll")</f>
        <v>Credit on Payroll</v>
      </c>
    </row>
    <row r="33" spans="1:3" x14ac:dyDescent="0.25">
      <c r="A33" t="s">
        <v>41</v>
      </c>
      <c r="B33" s="46">
        <f>B28</f>
        <v>0</v>
      </c>
      <c r="C33" t="str">
        <f>IF(B33&gt;=0,"Credit on Payroll","Debit on Payroll")</f>
        <v>Credit on Payroll</v>
      </c>
    </row>
    <row r="34" spans="1:3" x14ac:dyDescent="0.25">
      <c r="A34" t="s">
        <v>42</v>
      </c>
      <c r="B34" s="46">
        <f>D28</f>
        <v>1.999999999998181E-2</v>
      </c>
      <c r="C34" t="str">
        <f>IF(B34&gt;=0,"Credit on Payroll","Debit on Payroll")</f>
        <v>Credit on Payroll</v>
      </c>
    </row>
    <row r="36" spans="1:3" x14ac:dyDescent="0.25">
      <c r="A36" t="s">
        <v>45</v>
      </c>
    </row>
    <row r="37" spans="1:3" x14ac:dyDescent="0.25">
      <c r="B37" s="46"/>
    </row>
    <row r="38" spans="1:3" x14ac:dyDescent="0.25">
      <c r="B38" s="46"/>
    </row>
  </sheetData>
  <mergeCells count="28">
    <mergeCell ref="V5:W5"/>
    <mergeCell ref="C5:D5"/>
    <mergeCell ref="C8:W8"/>
    <mergeCell ref="C10:W10"/>
    <mergeCell ref="F5:G5"/>
    <mergeCell ref="H5:I5"/>
    <mergeCell ref="J5:K5"/>
    <mergeCell ref="L5:M5"/>
    <mergeCell ref="N5:O5"/>
    <mergeCell ref="P5:Q5"/>
    <mergeCell ref="R5:S5"/>
    <mergeCell ref="T5:U5"/>
    <mergeCell ref="P11:Q11"/>
    <mergeCell ref="R11:S11"/>
    <mergeCell ref="T11:U11"/>
    <mergeCell ref="V11:W11"/>
    <mergeCell ref="C11:D11"/>
    <mergeCell ref="F11:G11"/>
    <mergeCell ref="H11:I11"/>
    <mergeCell ref="J11:K11"/>
    <mergeCell ref="L11:M11"/>
    <mergeCell ref="N11:O11"/>
    <mergeCell ref="F4:O4"/>
    <mergeCell ref="C4:E4"/>
    <mergeCell ref="P4:W4"/>
    <mergeCell ref="A1:W1"/>
    <mergeCell ref="B2:C2"/>
    <mergeCell ref="B3:C3"/>
  </mergeCells>
  <pageMargins left="0.2" right="0.2" top="0.25" bottom="0.25" header="0.3" footer="0.3"/>
  <pageSetup paperSize="5" scale="66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F6" sqref="F6"/>
    </sheetView>
  </sheetViews>
  <sheetFormatPr defaultRowHeight="15" x14ac:dyDescent="0.25"/>
  <cols>
    <col min="1" max="1" width="20.140625" bestFit="1" customWidth="1"/>
    <col min="2" max="2" width="11.140625" bestFit="1" customWidth="1"/>
    <col min="3" max="3" width="11" bestFit="1" customWidth="1"/>
    <col min="4" max="4" width="14.28515625" bestFit="1" customWidth="1"/>
  </cols>
  <sheetData>
    <row r="1" spans="1:5" x14ac:dyDescent="0.25">
      <c r="A1" s="53" t="s">
        <v>30</v>
      </c>
      <c r="B1" s="53"/>
      <c r="C1" s="53"/>
      <c r="D1" s="53"/>
    </row>
    <row r="2" spans="1:5" x14ac:dyDescent="0.25">
      <c r="B2" t="s">
        <v>31</v>
      </c>
      <c r="C2" t="s">
        <v>29</v>
      </c>
      <c r="D2" t="s">
        <v>36</v>
      </c>
      <c r="E2">
        <v>4</v>
      </c>
    </row>
    <row r="3" spans="1:5" x14ac:dyDescent="0.25">
      <c r="A3" t="s">
        <v>0</v>
      </c>
      <c r="B3" s="27">
        <v>6.25E-2</v>
      </c>
      <c r="C3" s="36" t="e">
        <f>ROUNDUP(SUM((Sheet1!#REF!-Sheet1!#REF!),(Sheet1!#REF!-Sheet1!#REF!),(Sheet1!#REF!-Sheet1!#REF!),(Sheet1!#REF!-Sheet1!#REF!),(Sheet1!#REF!-Sheet1!#REF!),(Sheet1!#REF!-Sheet1!#REF!),(Sheet1!#REF!-Sheet1!#REF!),(Sheet1!#REF!-Sheet1!#REF!),(Sheet1!#REF!-Sheet1!#REF!)),0)</f>
        <v>#REF!</v>
      </c>
      <c r="D3" s="36" t="e">
        <f>ROUNDUP(C3/$E$2,0)</f>
        <v>#REF!</v>
      </c>
      <c r="E3" s="46"/>
    </row>
    <row r="4" spans="1:5" x14ac:dyDescent="0.25">
      <c r="A4" t="s">
        <v>2</v>
      </c>
      <c r="B4" s="27">
        <v>0.1</v>
      </c>
      <c r="C4" s="36">
        <f>ROUNDUP(SUM((Sheet1!G9-Sheet1!F9),(Sheet1!I9-Sheet1!H9),(Sheet1!K9-Sheet1!J9),(Sheet1!M9-Sheet1!L9),(Sheet1!O9-Sheet1!N9),(Sheet1!Q9-Sheet1!P9),(Sheet1!S9-Sheet1!R9),(Sheet1!U9-Sheet1!T9),(Sheet1!W9-Sheet1!V9)),0)</f>
        <v>0</v>
      </c>
      <c r="D4" s="36">
        <f>ROUNDUP(C4/$E$2,0)</f>
        <v>0</v>
      </c>
      <c r="E4" s="46"/>
    </row>
    <row r="5" spans="1:5" x14ac:dyDescent="0.25">
      <c r="A5" t="s">
        <v>1</v>
      </c>
      <c r="B5" s="26">
        <v>0.38462000000000002</v>
      </c>
      <c r="C5" s="36">
        <f>ROUNDUP(SUM((Sheet1!G13-Sheet1!F13),(Sheet1!I13-Sheet1!H13),(Sheet1!K13-Sheet1!J13),(Sheet1!M13-Sheet1!L13),(Sheet1!O13-Sheet1!N13),(Sheet1!Q13-Sheet1!P13),(Sheet1!S13-Sheet1!R13),(Sheet1!U13-Sheet1!T13),(Sheet1!W13-Sheet1!V13)),0)</f>
        <v>145</v>
      </c>
      <c r="D5" s="36">
        <f t="shared" ref="D5" si="0">ROUNDUP(C5/$E$2,0)</f>
        <v>37</v>
      </c>
      <c r="E5" s="46"/>
    </row>
    <row r="6" spans="1:5" x14ac:dyDescent="0.25">
      <c r="A6" t="s">
        <v>34</v>
      </c>
      <c r="B6" s="26">
        <v>1</v>
      </c>
      <c r="C6" s="36"/>
      <c r="D6" s="36"/>
      <c r="E6" s="46" t="s">
        <v>38</v>
      </c>
    </row>
    <row r="7" spans="1:5" x14ac:dyDescent="0.25">
      <c r="A7" t="s">
        <v>37</v>
      </c>
      <c r="B7" s="26">
        <v>1</v>
      </c>
      <c r="C7" s="36"/>
      <c r="D7" s="36"/>
      <c r="E7" s="46" t="s">
        <v>38</v>
      </c>
    </row>
    <row r="8" spans="1:5" x14ac:dyDescent="0.25">
      <c r="C8" s="36"/>
      <c r="D8" s="36"/>
      <c r="E8" s="46"/>
    </row>
    <row r="9" spans="1:5" x14ac:dyDescent="0.25">
      <c r="C9" s="36"/>
      <c r="D9" s="36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Apartments</dc:creator>
  <cp:lastModifiedBy>Joshua Bett</cp:lastModifiedBy>
  <cp:lastPrinted>2024-06-07T19:29:17Z</cp:lastPrinted>
  <dcterms:created xsi:type="dcterms:W3CDTF">2022-03-03T15:06:10Z</dcterms:created>
  <dcterms:modified xsi:type="dcterms:W3CDTF">2024-06-07T19:31:24Z</dcterms:modified>
</cp:coreProperties>
</file>