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dff044ccf92a97/Work Items/SMAC/"/>
    </mc:Choice>
  </mc:AlternateContent>
  <xr:revisionPtr revIDLastSave="136" documentId="8_{B126BF29-12F2-4FFC-914C-1AF39C8356C7}" xr6:coauthVersionLast="47" xr6:coauthVersionMax="47" xr10:uidLastSave="{54E730F7-59D5-4A7F-819D-225BF5C5408C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  <sheet name="Neil" sheetId="2" r:id="rId3"/>
  </sheets>
  <definedNames>
    <definedName name="_xlnm.Print_Area" localSheetId="2">Neil!$A$1:$J$34</definedName>
    <definedName name="_xlnm.Print_Area" localSheetId="0">Sheet1!$A$1:$J$189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1" i="1" l="1"/>
  <c r="F129" i="1" l="1"/>
  <c r="I18" i="1" l="1"/>
  <c r="I21" i="1"/>
  <c r="C21" i="1" s="1"/>
  <c r="C22" i="1" s="1"/>
  <c r="C24" i="1" s="1"/>
  <c r="D22" i="1"/>
  <c r="E22" i="1"/>
  <c r="E24" i="1" s="1"/>
  <c r="F22" i="1"/>
  <c r="F24" i="1" s="1"/>
  <c r="G22" i="1"/>
  <c r="G24" i="1" s="1"/>
  <c r="H22" i="1"/>
  <c r="H24" i="1" s="1"/>
  <c r="D23" i="1"/>
  <c r="E23" i="1"/>
  <c r="I23" i="1" s="1"/>
  <c r="F23" i="1"/>
  <c r="G23" i="1"/>
  <c r="H23" i="1"/>
  <c r="J23" i="1"/>
  <c r="P22" i="1"/>
  <c r="C23" i="1" l="1"/>
  <c r="B21" i="1" s="1"/>
  <c r="B23" i="1" s="1"/>
  <c r="B24" i="1" s="1"/>
  <c r="I22" i="1"/>
  <c r="J22" i="1" s="1"/>
  <c r="J24" i="1" s="1"/>
  <c r="D24" i="1"/>
  <c r="I24" i="1" s="1"/>
  <c r="G188" i="1"/>
  <c r="F188" i="1"/>
  <c r="E188" i="1"/>
  <c r="D188" i="1"/>
  <c r="G187" i="1"/>
  <c r="G189" i="1" s="1"/>
  <c r="F187" i="1"/>
  <c r="F189" i="1" s="1"/>
  <c r="E187" i="1"/>
  <c r="E189" i="1" s="1"/>
  <c r="D187" i="1"/>
  <c r="D189" i="1" s="1"/>
  <c r="P186" i="1"/>
  <c r="H186" i="1"/>
  <c r="I186" i="1" s="1"/>
  <c r="I188" i="1" s="1"/>
  <c r="C186" i="1"/>
  <c r="C188" i="1" s="1"/>
  <c r="B186" i="1" s="1"/>
  <c r="B188" i="1" s="1"/>
  <c r="B189" i="1" s="1"/>
  <c r="J181" i="1"/>
  <c r="H181" i="1"/>
  <c r="G181" i="1"/>
  <c r="F181" i="1"/>
  <c r="E181" i="1"/>
  <c r="D181" i="1"/>
  <c r="P180" i="1"/>
  <c r="H180" i="1"/>
  <c r="H182" i="1" s="1"/>
  <c r="G180" i="1"/>
  <c r="G182" i="1" s="1"/>
  <c r="F180" i="1"/>
  <c r="F182" i="1" s="1"/>
  <c r="E180" i="1"/>
  <c r="E182" i="1" s="1"/>
  <c r="D180" i="1"/>
  <c r="D182" i="1" s="1"/>
  <c r="I179" i="1"/>
  <c r="C179" i="1"/>
  <c r="G172" i="1"/>
  <c r="F172" i="1"/>
  <c r="E172" i="1"/>
  <c r="D172" i="1"/>
  <c r="G171" i="1"/>
  <c r="G173" i="1" s="1"/>
  <c r="F171" i="1"/>
  <c r="E171" i="1"/>
  <c r="E173" i="1" s="1"/>
  <c r="D171" i="1"/>
  <c r="D173" i="1" s="1"/>
  <c r="P170" i="1"/>
  <c r="H170" i="1"/>
  <c r="D166" i="1"/>
  <c r="H165" i="1"/>
  <c r="G165" i="1"/>
  <c r="F165" i="1"/>
  <c r="E165" i="1"/>
  <c r="D165" i="1"/>
  <c r="C165" i="1"/>
  <c r="B163" i="1" s="1"/>
  <c r="B165" i="1" s="1"/>
  <c r="B166" i="1" s="1"/>
  <c r="P164" i="1"/>
  <c r="H164" i="1"/>
  <c r="H166" i="1" s="1"/>
  <c r="G164" i="1"/>
  <c r="G166" i="1" s="1"/>
  <c r="F164" i="1"/>
  <c r="F166" i="1" s="1"/>
  <c r="E164" i="1"/>
  <c r="E166" i="1" s="1"/>
  <c r="D164" i="1"/>
  <c r="C164" i="1"/>
  <c r="C166" i="1" s="1"/>
  <c r="J163" i="1"/>
  <c r="I170" i="1" s="1"/>
  <c r="I172" i="1" s="1"/>
  <c r="I163" i="1"/>
  <c r="H156" i="1"/>
  <c r="G156" i="1"/>
  <c r="F156" i="1"/>
  <c r="E156" i="1"/>
  <c r="D156" i="1"/>
  <c r="G155" i="1"/>
  <c r="G157" i="1" s="1"/>
  <c r="F155" i="1"/>
  <c r="F157" i="1" s="1"/>
  <c r="E155" i="1"/>
  <c r="E157" i="1" s="1"/>
  <c r="D155" i="1"/>
  <c r="D157" i="1" s="1"/>
  <c r="P154" i="1"/>
  <c r="H154" i="1"/>
  <c r="I154" i="1" s="1"/>
  <c r="I156" i="1" s="1"/>
  <c r="C154" i="1"/>
  <c r="C156" i="1" s="1"/>
  <c r="B154" i="1" s="1"/>
  <c r="B156" i="1" s="1"/>
  <c r="B157" i="1" s="1"/>
  <c r="J149" i="1"/>
  <c r="H149" i="1"/>
  <c r="G149" i="1"/>
  <c r="F149" i="1"/>
  <c r="E149" i="1"/>
  <c r="D149" i="1"/>
  <c r="P148" i="1"/>
  <c r="H148" i="1"/>
  <c r="H150" i="1" s="1"/>
  <c r="G148" i="1"/>
  <c r="G150" i="1" s="1"/>
  <c r="F148" i="1"/>
  <c r="F150" i="1" s="1"/>
  <c r="E148" i="1"/>
  <c r="E150" i="1" s="1"/>
  <c r="D148" i="1"/>
  <c r="I147" i="1"/>
  <c r="C147" i="1" s="1"/>
  <c r="I144" i="1"/>
  <c r="I160" i="1" s="1"/>
  <c r="J160" i="1" s="1"/>
  <c r="J161" i="1" s="1"/>
  <c r="H140" i="1"/>
  <c r="P138" i="1"/>
  <c r="P136" i="1"/>
  <c r="I131" i="1"/>
  <c r="P129" i="1"/>
  <c r="C129" i="1"/>
  <c r="B129" i="1" s="1"/>
  <c r="P127" i="1"/>
  <c r="H127" i="1"/>
  <c r="H128" i="1" s="1"/>
  <c r="G127" i="1"/>
  <c r="G128" i="1" s="1"/>
  <c r="F127" i="1"/>
  <c r="F128" i="1" s="1"/>
  <c r="E127" i="1"/>
  <c r="E128" i="1" s="1"/>
  <c r="D127" i="1"/>
  <c r="D128" i="1" s="1"/>
  <c r="C127" i="1"/>
  <c r="C128" i="1" s="1"/>
  <c r="J124" i="1"/>
  <c r="J144" i="1" s="1"/>
  <c r="I181" i="1" l="1"/>
  <c r="J165" i="1"/>
  <c r="H171" i="1"/>
  <c r="I166" i="1"/>
  <c r="C170" i="1"/>
  <c r="I165" i="1"/>
  <c r="I164" i="1"/>
  <c r="I149" i="1"/>
  <c r="H172" i="1"/>
  <c r="H188" i="1"/>
  <c r="I148" i="1"/>
  <c r="H157" i="1"/>
  <c r="H155" i="1"/>
  <c r="H187" i="1"/>
  <c r="I182" i="1"/>
  <c r="B127" i="1"/>
  <c r="B136" i="1" s="1"/>
  <c r="D136" i="1" s="1"/>
  <c r="C130" i="1"/>
  <c r="C132" i="1" s="1"/>
  <c r="B128" i="1" s="1"/>
  <c r="B137" i="1" s="1"/>
  <c r="J164" i="1"/>
  <c r="I171" i="1" s="1"/>
  <c r="I173" i="1" s="1"/>
  <c r="E129" i="1"/>
  <c r="E130" i="1" s="1"/>
  <c r="E132" i="1" s="1"/>
  <c r="D129" i="1"/>
  <c r="B138" i="1"/>
  <c r="H129" i="1"/>
  <c r="H130" i="1" s="1"/>
  <c r="H132" i="1" s="1"/>
  <c r="F130" i="1"/>
  <c r="F132" i="1" s="1"/>
  <c r="G129" i="1"/>
  <c r="G130" i="1" s="1"/>
  <c r="G132" i="1" s="1"/>
  <c r="H173" i="1"/>
  <c r="H189" i="1"/>
  <c r="J128" i="1"/>
  <c r="C137" i="1" s="1"/>
  <c r="I180" i="1"/>
  <c r="J125" i="1"/>
  <c r="J145" i="1" s="1"/>
  <c r="I127" i="1"/>
  <c r="J127" i="1" s="1"/>
  <c r="C136" i="1" s="1"/>
  <c r="C148" i="1"/>
  <c r="C150" i="1" s="1"/>
  <c r="C180" i="1"/>
  <c r="C182" i="1" s="1"/>
  <c r="C149" i="1"/>
  <c r="B147" i="1" s="1"/>
  <c r="B149" i="1" s="1"/>
  <c r="B150" i="1" s="1"/>
  <c r="B179" i="1"/>
  <c r="B181" i="1" s="1"/>
  <c r="B182" i="1" s="1"/>
  <c r="D150" i="1"/>
  <c r="I150" i="1" s="1"/>
  <c r="F173" i="1"/>
  <c r="B131" i="1" l="1"/>
  <c r="I128" i="1"/>
  <c r="E136" i="1"/>
  <c r="E137" i="1" s="1"/>
  <c r="J180" i="1"/>
  <c r="I187" i="1" s="1"/>
  <c r="I189" i="1" s="1"/>
  <c r="G136" i="1"/>
  <c r="G137" i="1" s="1"/>
  <c r="F136" i="1"/>
  <c r="F137" i="1" s="1"/>
  <c r="C172" i="1"/>
  <c r="B170" i="1" s="1"/>
  <c r="B172" i="1" s="1"/>
  <c r="B173" i="1" s="1"/>
  <c r="C171" i="1"/>
  <c r="C173" i="1" s="1"/>
  <c r="J166" i="1"/>
  <c r="B130" i="1"/>
  <c r="B139" i="1" s="1"/>
  <c r="B141" i="1" s="1"/>
  <c r="I129" i="1"/>
  <c r="D130" i="1"/>
  <c r="D137" i="1"/>
  <c r="J148" i="1"/>
  <c r="G138" i="1"/>
  <c r="G139" i="1" s="1"/>
  <c r="F138" i="1"/>
  <c r="F139" i="1" s="1"/>
  <c r="E138" i="1"/>
  <c r="E139" i="1" s="1"/>
  <c r="E141" i="1" s="1"/>
  <c r="D138" i="1"/>
  <c r="B140" i="1"/>
  <c r="C187" i="1" l="1"/>
  <c r="C189" i="1" s="1"/>
  <c r="J182" i="1"/>
  <c r="K182" i="1" s="1"/>
  <c r="H137" i="1"/>
  <c r="H136" i="1"/>
  <c r="I136" i="1" s="1"/>
  <c r="G141" i="1"/>
  <c r="F141" i="1"/>
  <c r="B132" i="1"/>
  <c r="I137" i="1"/>
  <c r="H138" i="1"/>
  <c r="D139" i="1"/>
  <c r="J150" i="1"/>
  <c r="K150" i="1" s="1"/>
  <c r="C155" i="1"/>
  <c r="C157" i="1" s="1"/>
  <c r="I155" i="1"/>
  <c r="I157" i="1" s="1"/>
  <c r="J130" i="1"/>
  <c r="C139" i="1" s="1"/>
  <c r="D132" i="1"/>
  <c r="J129" i="1"/>
  <c r="I130" i="1"/>
  <c r="I139" i="1" l="1"/>
  <c r="C141" i="1"/>
  <c r="D141" i="1"/>
  <c r="H141" i="1" s="1"/>
  <c r="H139" i="1"/>
  <c r="I132" i="1"/>
  <c r="J132" i="1"/>
  <c r="J131" i="1"/>
  <c r="C138" i="1"/>
  <c r="C140" i="1" s="1"/>
  <c r="I141" i="1" l="1"/>
  <c r="K132" i="1"/>
  <c r="I138" i="1"/>
  <c r="I140" i="1" s="1"/>
  <c r="R111" i="1" l="1"/>
  <c r="E107" i="1" l="1"/>
  <c r="F14" i="1" l="1"/>
  <c r="E7" i="1"/>
  <c r="F7" i="1"/>
  <c r="J2" i="1"/>
  <c r="J18" i="1" s="1"/>
  <c r="S15" i="2" l="1"/>
  <c r="G107" i="1"/>
  <c r="J49" i="1" l="1"/>
  <c r="P43" i="1" l="1"/>
  <c r="F93" i="1" l="1"/>
  <c r="E93" i="1"/>
  <c r="P61" i="1" l="1"/>
  <c r="C61" i="1" l="1"/>
  <c r="H109" i="1"/>
  <c r="H107" i="1"/>
  <c r="G109" i="1"/>
  <c r="F109" i="1"/>
  <c r="F107" i="1"/>
  <c r="E109" i="1"/>
  <c r="D109" i="1"/>
  <c r="D107" i="1"/>
  <c r="C109" i="1"/>
  <c r="C107" i="1"/>
  <c r="S39" i="1" l="1"/>
  <c r="I34" i="1" l="1"/>
  <c r="J34" i="1"/>
  <c r="J39" i="1"/>
  <c r="C40" i="1"/>
  <c r="J40" i="1" s="1"/>
  <c r="E77" i="1" l="1"/>
  <c r="F77" i="1"/>
  <c r="G13" i="1" l="1"/>
  <c r="P6" i="1" l="1"/>
  <c r="P12" i="1"/>
  <c r="P28" i="1"/>
  <c r="P76" i="1"/>
  <c r="P92" i="1"/>
  <c r="P98" i="1"/>
  <c r="P118" i="1"/>
  <c r="P116" i="1"/>
  <c r="P82" i="1"/>
  <c r="P55" i="1"/>
  <c r="P59" i="1"/>
  <c r="P63" i="1"/>
  <c r="P120" i="1" l="1"/>
  <c r="J4" i="2"/>
  <c r="P4" i="2"/>
  <c r="P6" i="2"/>
  <c r="P8" i="2"/>
  <c r="P10" i="2"/>
  <c r="P12" i="2"/>
  <c r="P14" i="2"/>
  <c r="P15" i="2" l="1"/>
  <c r="C31" i="2"/>
  <c r="C29" i="2"/>
  <c r="C27" i="2"/>
  <c r="C25" i="2"/>
  <c r="C23" i="2"/>
  <c r="C21" i="2"/>
  <c r="D84" i="1" l="1"/>
  <c r="E84" i="1"/>
  <c r="F84" i="1"/>
  <c r="G84" i="1"/>
  <c r="D77" i="1"/>
  <c r="G77" i="1"/>
  <c r="H77" i="1"/>
  <c r="H33" i="2" l="1"/>
  <c r="P31" i="2"/>
  <c r="P29" i="2"/>
  <c r="P27" i="2"/>
  <c r="P25" i="2"/>
  <c r="P23" i="2"/>
  <c r="P21" i="2"/>
  <c r="P32" i="2" l="1"/>
  <c r="C110" i="1"/>
  <c r="C108" i="1"/>
  <c r="H120" i="1"/>
  <c r="G100" i="1"/>
  <c r="F100" i="1"/>
  <c r="E100" i="1"/>
  <c r="D100" i="1"/>
  <c r="G99" i="1"/>
  <c r="G101" i="1" s="1"/>
  <c r="F99" i="1"/>
  <c r="F101" i="1" s="1"/>
  <c r="E99" i="1"/>
  <c r="E101" i="1" s="1"/>
  <c r="D99" i="1"/>
  <c r="D101" i="1" s="1"/>
  <c r="H98" i="1"/>
  <c r="I98" i="1" s="1"/>
  <c r="I100" i="1" s="1"/>
  <c r="C98" i="1"/>
  <c r="G83" i="1"/>
  <c r="G85" i="1" s="1"/>
  <c r="F83" i="1"/>
  <c r="F85" i="1" s="1"/>
  <c r="E83" i="1"/>
  <c r="E85" i="1" s="1"/>
  <c r="D83" i="1"/>
  <c r="D85" i="1" s="1"/>
  <c r="H82" i="1"/>
  <c r="I82" i="1" s="1"/>
  <c r="I84" i="1" s="1"/>
  <c r="C82" i="1"/>
  <c r="C84" i="1" s="1"/>
  <c r="I88" i="1"/>
  <c r="J88" i="1"/>
  <c r="I91" i="1"/>
  <c r="C91" i="1" s="1"/>
  <c r="C92" i="1" s="1"/>
  <c r="C100" i="1" l="1"/>
  <c r="B98" i="1" s="1"/>
  <c r="B100" i="1" s="1"/>
  <c r="B101" i="1" s="1"/>
  <c r="H100" i="1"/>
  <c r="H101" i="1"/>
  <c r="H99" i="1"/>
  <c r="H84" i="1"/>
  <c r="B82" i="1"/>
  <c r="B84" i="1" s="1"/>
  <c r="B85" i="1" s="1"/>
  <c r="H85" i="1"/>
  <c r="H83" i="1"/>
  <c r="C63" i="1" l="1"/>
  <c r="C59" i="1"/>
  <c r="C55" i="1"/>
  <c r="H67" i="1"/>
  <c r="H65" i="1" s="1"/>
  <c r="G65" i="1"/>
  <c r="F65" i="1"/>
  <c r="E65" i="1"/>
  <c r="D65" i="1"/>
  <c r="G30" i="1"/>
  <c r="F30" i="1"/>
  <c r="G29" i="1"/>
  <c r="G31" i="1" s="1"/>
  <c r="F29" i="1"/>
  <c r="F31" i="1" s="1"/>
  <c r="E29" i="1"/>
  <c r="E31" i="1" s="1"/>
  <c r="D29" i="1"/>
  <c r="D31" i="1" s="1"/>
  <c r="H28" i="1"/>
  <c r="I28" i="1" s="1"/>
  <c r="I30" i="1" s="1"/>
  <c r="C28" i="1"/>
  <c r="C30" i="1" s="1"/>
  <c r="B28" i="1" s="1"/>
  <c r="B30" i="1" s="1"/>
  <c r="B31" i="1" s="1"/>
  <c r="F13" i="1"/>
  <c r="E13" i="1"/>
  <c r="D13" i="1"/>
  <c r="C67" i="1" l="1"/>
  <c r="H30" i="1"/>
  <c r="H31" i="1"/>
  <c r="H29" i="1"/>
  <c r="C12" i="1" l="1"/>
  <c r="G14" i="1"/>
  <c r="E14" i="1"/>
  <c r="D14" i="1"/>
  <c r="G15" i="1"/>
  <c r="F15" i="1"/>
  <c r="E15" i="1"/>
  <c r="D15" i="1"/>
  <c r="H12" i="1"/>
  <c r="I12" i="1" s="1"/>
  <c r="I14" i="1" s="1"/>
  <c r="C14" i="1" l="1"/>
  <c r="B12" i="1" s="1"/>
  <c r="B14" i="1" s="1"/>
  <c r="B15" i="1" s="1"/>
  <c r="H14" i="1"/>
  <c r="H15" i="1"/>
  <c r="H13" i="1"/>
  <c r="I111" i="1" l="1"/>
  <c r="P109" i="1"/>
  <c r="P107" i="1"/>
  <c r="P111" i="1" l="1"/>
  <c r="B116" i="1"/>
  <c r="D116" i="1" s="1"/>
  <c r="C112" i="1"/>
  <c r="B110" i="1" s="1"/>
  <c r="E116" i="1" l="1"/>
  <c r="D117" i="1"/>
  <c r="B119" i="1"/>
  <c r="G118" i="1"/>
  <c r="G119" i="1" s="1"/>
  <c r="B111" i="1"/>
  <c r="H110" i="1"/>
  <c r="E110" i="1"/>
  <c r="G110" i="1"/>
  <c r="B108" i="1"/>
  <c r="B117" i="1" l="1"/>
  <c r="B121" i="1" s="1"/>
  <c r="F110" i="1"/>
  <c r="B118" i="1"/>
  <c r="B112" i="1"/>
  <c r="E117" i="1"/>
  <c r="G116" i="1"/>
  <c r="G117" i="1" s="1"/>
  <c r="F116" i="1"/>
  <c r="F117" i="1" s="1"/>
  <c r="D110" i="1"/>
  <c r="G108" i="1"/>
  <c r="G112" i="1" s="1"/>
  <c r="H108" i="1"/>
  <c r="H112" i="1" s="1"/>
  <c r="F108" i="1"/>
  <c r="E108" i="1"/>
  <c r="E112" i="1" s="1"/>
  <c r="E118" i="1" l="1"/>
  <c r="E119" i="1" s="1"/>
  <c r="E121" i="1" s="1"/>
  <c r="D118" i="1"/>
  <c r="D119" i="1" s="1"/>
  <c r="D121" i="1" s="1"/>
  <c r="G121" i="1"/>
  <c r="F112" i="1"/>
  <c r="I109" i="1"/>
  <c r="J109" i="1" s="1"/>
  <c r="C118" i="1" s="1"/>
  <c r="B120" i="1"/>
  <c r="F118" i="1"/>
  <c r="H117" i="1"/>
  <c r="H116" i="1"/>
  <c r="I107" i="1"/>
  <c r="D108" i="1"/>
  <c r="J108" i="1" s="1"/>
  <c r="C117" i="1" s="1"/>
  <c r="J110" i="1"/>
  <c r="C119" i="1" s="1"/>
  <c r="C121" i="1" l="1"/>
  <c r="I117" i="1"/>
  <c r="I110" i="1"/>
  <c r="F119" i="1"/>
  <c r="H119" i="1" s="1"/>
  <c r="H118" i="1"/>
  <c r="D112" i="1"/>
  <c r="J107" i="1"/>
  <c r="I108" i="1"/>
  <c r="J111" i="1" l="1"/>
  <c r="C116" i="1"/>
  <c r="I118" i="1"/>
  <c r="F121" i="1"/>
  <c r="H121" i="1" s="1"/>
  <c r="I119" i="1"/>
  <c r="I112" i="1"/>
  <c r="J112" i="1"/>
  <c r="K112" i="1" l="1"/>
  <c r="C120" i="1"/>
  <c r="I116" i="1"/>
  <c r="I120" i="1" s="1"/>
  <c r="I121" i="1"/>
  <c r="H92" i="1"/>
  <c r="G92" i="1"/>
  <c r="F92" i="1"/>
  <c r="E92" i="1"/>
  <c r="D92" i="1"/>
  <c r="H76" i="1"/>
  <c r="G76" i="1"/>
  <c r="F76" i="1"/>
  <c r="E76" i="1"/>
  <c r="D76" i="1"/>
  <c r="H6" i="1"/>
  <c r="H8" i="1" s="1"/>
  <c r="G6" i="1"/>
  <c r="G8" i="1" s="1"/>
  <c r="F6" i="1"/>
  <c r="F8" i="1" s="1"/>
  <c r="E6" i="1"/>
  <c r="E8" i="1" s="1"/>
  <c r="D6" i="1"/>
  <c r="D8" i="1" s="1"/>
  <c r="B43" i="1"/>
  <c r="B61" i="1" s="1"/>
  <c r="P41" i="1"/>
  <c r="I75" i="1"/>
  <c r="C75" i="1" s="1"/>
  <c r="C76" i="1" s="1"/>
  <c r="I5" i="1"/>
  <c r="C5" i="1" s="1"/>
  <c r="C6" i="1" s="1"/>
  <c r="H7" i="1"/>
  <c r="G7" i="1"/>
  <c r="D7" i="1"/>
  <c r="G43" i="1" l="1"/>
  <c r="G44" i="1" s="1"/>
  <c r="F43" i="1"/>
  <c r="F44" i="1" s="1"/>
  <c r="E43" i="1"/>
  <c r="E44" i="1" s="1"/>
  <c r="H43" i="1"/>
  <c r="H44" i="1" s="1"/>
  <c r="D43" i="1"/>
  <c r="D44" i="1" s="1"/>
  <c r="B37" i="1"/>
  <c r="C66" i="1"/>
  <c r="I57" i="1"/>
  <c r="I66" i="1" s="1"/>
  <c r="I58" i="1"/>
  <c r="C58" i="1"/>
  <c r="I92" i="1"/>
  <c r="J92" i="1" s="1"/>
  <c r="I76" i="1"/>
  <c r="J76" i="1" s="1"/>
  <c r="I6" i="1"/>
  <c r="I8" i="1"/>
  <c r="I7" i="1"/>
  <c r="E37" i="1" l="1"/>
  <c r="F37" i="1"/>
  <c r="G37" i="1"/>
  <c r="D37" i="1"/>
  <c r="H37" i="1"/>
  <c r="B55" i="1"/>
  <c r="C29" i="1"/>
  <c r="C31" i="1" s="1"/>
  <c r="C99" i="1"/>
  <c r="C101" i="1" s="1"/>
  <c r="I99" i="1"/>
  <c r="I101" i="1" s="1"/>
  <c r="C83" i="1"/>
  <c r="C85" i="1" s="1"/>
  <c r="I83" i="1"/>
  <c r="I85" i="1" s="1"/>
  <c r="D38" i="1" l="1"/>
  <c r="G38" i="1"/>
  <c r="H38" i="1"/>
  <c r="E38" i="1"/>
  <c r="E55" i="1"/>
  <c r="G55" i="1"/>
  <c r="D55" i="1"/>
  <c r="F55" i="1"/>
  <c r="I37" i="1"/>
  <c r="C37" i="1" s="1"/>
  <c r="F38" i="1"/>
  <c r="I29" i="1"/>
  <c r="I31" i="1" s="1"/>
  <c r="J16" i="2"/>
  <c r="B14" i="2" s="1"/>
  <c r="I16" i="2"/>
  <c r="C38" i="1" l="1"/>
  <c r="J38" i="1" s="1"/>
  <c r="B10" i="2"/>
  <c r="D10" i="2" s="1"/>
  <c r="D11" i="2" s="1"/>
  <c r="G31" i="2"/>
  <c r="G32" i="2" s="1"/>
  <c r="D31" i="2"/>
  <c r="B31" i="2"/>
  <c r="F31" i="2"/>
  <c r="F32" i="2" s="1"/>
  <c r="E31" i="2"/>
  <c r="E32" i="2" s="1"/>
  <c r="B6" i="2"/>
  <c r="B23" i="2" s="1"/>
  <c r="B12" i="2"/>
  <c r="B29" i="2" s="1"/>
  <c r="F10" i="2"/>
  <c r="F11" i="2" s="1"/>
  <c r="B4" i="2"/>
  <c r="B21" i="2" s="1"/>
  <c r="D21" i="2" s="1"/>
  <c r="F14" i="2"/>
  <c r="F15" i="2" s="1"/>
  <c r="H14" i="2"/>
  <c r="H15" i="2" s="1"/>
  <c r="E14" i="2"/>
  <c r="E15" i="2" s="1"/>
  <c r="D14" i="2"/>
  <c r="D15" i="2" s="1"/>
  <c r="H10" i="2"/>
  <c r="H11" i="2" s="1"/>
  <c r="B8" i="2"/>
  <c r="E10" i="2"/>
  <c r="E11" i="2" s="1"/>
  <c r="G14" i="2"/>
  <c r="G15" i="2" s="1"/>
  <c r="G10" i="2" l="1"/>
  <c r="G11" i="2" s="1"/>
  <c r="E6" i="2"/>
  <c r="E7" i="2" s="1"/>
  <c r="G4" i="2"/>
  <c r="G5" i="2" s="1"/>
  <c r="H6" i="2"/>
  <c r="H7" i="2" s="1"/>
  <c r="G6" i="2"/>
  <c r="G7" i="2" s="1"/>
  <c r="F23" i="2"/>
  <c r="F24" i="2" s="1"/>
  <c r="E23" i="2"/>
  <c r="E24" i="2" s="1"/>
  <c r="D6" i="2"/>
  <c r="D7" i="2" s="1"/>
  <c r="G23" i="2"/>
  <c r="G24" i="2" s="1"/>
  <c r="F6" i="2"/>
  <c r="F7" i="2" s="1"/>
  <c r="G8" i="2"/>
  <c r="G9" i="2" s="1"/>
  <c r="B25" i="2"/>
  <c r="H31" i="2"/>
  <c r="I31" i="2" s="1"/>
  <c r="D23" i="2"/>
  <c r="D24" i="2" s="1"/>
  <c r="G27" i="2"/>
  <c r="G28" i="2" s="1"/>
  <c r="E27" i="2"/>
  <c r="E28" i="2" s="1"/>
  <c r="F27" i="2"/>
  <c r="F28" i="2" s="1"/>
  <c r="B27" i="2"/>
  <c r="D27" i="2" s="1"/>
  <c r="D28" i="2" s="1"/>
  <c r="H8" i="2"/>
  <c r="H9" i="2" s="1"/>
  <c r="I10" i="2"/>
  <c r="I11" i="2" s="1"/>
  <c r="F4" i="2"/>
  <c r="F5" i="2" s="1"/>
  <c r="E21" i="2"/>
  <c r="E22" i="2" s="1"/>
  <c r="D22" i="2"/>
  <c r="F21" i="2"/>
  <c r="G21" i="2"/>
  <c r="G22" i="2" s="1"/>
  <c r="H4" i="2"/>
  <c r="H5" i="2" s="1"/>
  <c r="F8" i="2"/>
  <c r="F9" i="2" s="1"/>
  <c r="E25" i="2"/>
  <c r="D25" i="2"/>
  <c r="G25" i="2"/>
  <c r="G26" i="2" s="1"/>
  <c r="F25" i="2"/>
  <c r="E4" i="2"/>
  <c r="E5" i="2" s="1"/>
  <c r="D4" i="2"/>
  <c r="D5" i="2" s="1"/>
  <c r="D32" i="2"/>
  <c r="H32" i="2" s="1"/>
  <c r="I14" i="2"/>
  <c r="C14" i="2" s="1"/>
  <c r="E8" i="2"/>
  <c r="E9" i="2" s="1"/>
  <c r="D8" i="2"/>
  <c r="B16" i="2"/>
  <c r="C56" i="1"/>
  <c r="G12" i="2" l="1"/>
  <c r="G13" i="2" s="1"/>
  <c r="C10" i="2"/>
  <c r="C11" i="2" s="1"/>
  <c r="J11" i="2" s="1"/>
  <c r="C28" i="2" s="1"/>
  <c r="I6" i="2"/>
  <c r="C6" i="2" s="1"/>
  <c r="C7" i="2" s="1"/>
  <c r="J7" i="2" s="1"/>
  <c r="C24" i="2" s="1"/>
  <c r="H23" i="2"/>
  <c r="H25" i="2"/>
  <c r="H28" i="2"/>
  <c r="H24" i="2"/>
  <c r="H27" i="2"/>
  <c r="I27" i="2" s="1"/>
  <c r="F22" i="2"/>
  <c r="H22" i="2" s="1"/>
  <c r="H21" i="2"/>
  <c r="I21" i="2" s="1"/>
  <c r="D29" i="2"/>
  <c r="D30" i="2" s="1"/>
  <c r="H12" i="2"/>
  <c r="H18" i="2" s="1"/>
  <c r="C15" i="2"/>
  <c r="J15" i="2" s="1"/>
  <c r="C32" i="2" s="1"/>
  <c r="I8" i="2"/>
  <c r="I9" i="2" s="1"/>
  <c r="D12" i="2"/>
  <c r="D13" i="2" s="1"/>
  <c r="I15" i="2"/>
  <c r="E29" i="2"/>
  <c r="E30" i="2" s="1"/>
  <c r="E26" i="2"/>
  <c r="F29" i="2"/>
  <c r="F26" i="2"/>
  <c r="F12" i="2"/>
  <c r="G29" i="2"/>
  <c r="G30" i="2" s="1"/>
  <c r="G34" i="2" s="1"/>
  <c r="I4" i="2"/>
  <c r="C4" i="2" s="1"/>
  <c r="C5" i="2" s="1"/>
  <c r="D26" i="2"/>
  <c r="D9" i="2"/>
  <c r="E12" i="2"/>
  <c r="E13" i="2" s="1"/>
  <c r="G18" i="2"/>
  <c r="H13" i="2" l="1"/>
  <c r="H17" i="2" s="1"/>
  <c r="I7" i="2"/>
  <c r="C8" i="2"/>
  <c r="C9" i="2" s="1"/>
  <c r="J9" i="2" s="1"/>
  <c r="C26" i="2" s="1"/>
  <c r="H26" i="2"/>
  <c r="F30" i="2"/>
  <c r="F34" i="2" s="1"/>
  <c r="H29" i="2"/>
  <c r="I29" i="2" s="1"/>
  <c r="I33" i="2" s="1"/>
  <c r="D17" i="2"/>
  <c r="E34" i="2"/>
  <c r="D18" i="2"/>
  <c r="I32" i="2"/>
  <c r="E18" i="2"/>
  <c r="I24" i="2"/>
  <c r="D34" i="2"/>
  <c r="F13" i="2"/>
  <c r="F18" i="2"/>
  <c r="I5" i="2"/>
  <c r="I28" i="2"/>
  <c r="I12" i="2"/>
  <c r="I13" i="2" s="1"/>
  <c r="E17" i="2"/>
  <c r="G17" i="2"/>
  <c r="H30" i="2" l="1"/>
  <c r="C12" i="2"/>
  <c r="C13" i="2" s="1"/>
  <c r="C17" i="2" s="1"/>
  <c r="B13" i="2" s="1"/>
  <c r="B30" i="2" s="1"/>
  <c r="F17" i="2"/>
  <c r="I17" i="2" s="1"/>
  <c r="I26" i="2"/>
  <c r="H34" i="2"/>
  <c r="J5" i="2"/>
  <c r="C22" i="2" s="1"/>
  <c r="J13" i="2" l="1"/>
  <c r="C30" i="2" s="1"/>
  <c r="C34" i="2" s="1"/>
  <c r="C16" i="2"/>
  <c r="B33" i="2"/>
  <c r="C33" i="2"/>
  <c r="I22" i="2"/>
  <c r="B5" i="2"/>
  <c r="B22" i="2" s="1"/>
  <c r="C18" i="2"/>
  <c r="J17" i="2"/>
  <c r="K17" i="2" s="1"/>
  <c r="B15" i="2"/>
  <c r="B32" i="2" s="1"/>
  <c r="B7" i="2"/>
  <c r="B24" i="2" s="1"/>
  <c r="B11" i="2"/>
  <c r="B28" i="2" s="1"/>
  <c r="B9" i="2"/>
  <c r="B26" i="2" s="1"/>
  <c r="I30" i="2" l="1"/>
  <c r="I34" i="2"/>
  <c r="B17" i="2"/>
  <c r="B34" i="2" l="1"/>
  <c r="P45" i="1"/>
  <c r="J77" i="1" l="1"/>
  <c r="J78" i="1"/>
  <c r="C77" i="1"/>
  <c r="C78" i="1"/>
  <c r="D78" i="1"/>
  <c r="E78" i="1"/>
  <c r="F78" i="1"/>
  <c r="G78" i="1"/>
  <c r="H78" i="1"/>
  <c r="K78" i="1" l="1"/>
  <c r="B75" i="1"/>
  <c r="B77" i="1" s="1"/>
  <c r="B78" i="1" s="1"/>
  <c r="I77" i="1"/>
  <c r="I78" i="1"/>
  <c r="H47" i="1"/>
  <c r="G47" i="1"/>
  <c r="F47" i="1"/>
  <c r="E47" i="1"/>
  <c r="D47" i="1"/>
  <c r="C48" i="1"/>
  <c r="J48" i="1"/>
  <c r="B6" i="3" l="1"/>
  <c r="B8" i="3" s="1"/>
  <c r="B10" i="3" s="1"/>
  <c r="C5" i="3"/>
  <c r="D5" i="3" s="1"/>
  <c r="C4" i="3"/>
  <c r="D4" i="3" s="1"/>
  <c r="C3" i="3"/>
  <c r="D3" i="3" s="1"/>
  <c r="C2" i="3"/>
  <c r="D2" i="3" s="1"/>
  <c r="H94" i="1"/>
  <c r="G94" i="1"/>
  <c r="F94" i="1"/>
  <c r="E94" i="1"/>
  <c r="D94" i="1"/>
  <c r="H93" i="1"/>
  <c r="G93" i="1"/>
  <c r="D93" i="1"/>
  <c r="C93" i="1"/>
  <c r="B91" i="1" s="1"/>
  <c r="J94" i="1"/>
  <c r="C94" i="1"/>
  <c r="J93" i="1"/>
  <c r="K94" i="1" l="1"/>
  <c r="B93" i="1"/>
  <c r="B94" i="1" s="1"/>
  <c r="D6" i="3"/>
  <c r="D8" i="3" s="1"/>
  <c r="D10" i="3" s="1"/>
  <c r="C6" i="3"/>
  <c r="C8" i="3" s="1"/>
  <c r="C10" i="3" s="1"/>
  <c r="I93" i="1"/>
  <c r="I94" i="1"/>
  <c r="P37" i="1" l="1"/>
  <c r="I38" i="1" s="1"/>
  <c r="I49" i="1" l="1"/>
  <c r="I47" i="1" s="1"/>
  <c r="B16" i="3" l="1"/>
  <c r="E13" i="3" l="1"/>
  <c r="C16" i="3"/>
  <c r="C12" i="3" s="1"/>
  <c r="D12" i="3" s="1"/>
  <c r="E14" i="3"/>
  <c r="E15" i="3"/>
  <c r="E12" i="3"/>
  <c r="D16" i="3" l="1"/>
  <c r="C15" i="3"/>
  <c r="D15" i="3" s="1"/>
  <c r="C13" i="3"/>
  <c r="D13" i="3" s="1"/>
  <c r="C14" i="3"/>
  <c r="D14" i="3" s="1"/>
  <c r="B41" i="1" l="1"/>
  <c r="B59" i="1" s="1"/>
  <c r="G61" i="1" l="1"/>
  <c r="G62" i="1" s="1"/>
  <c r="D61" i="1"/>
  <c r="F61" i="1"/>
  <c r="F62" i="1" s="1"/>
  <c r="E61" i="1"/>
  <c r="E62" i="1" s="1"/>
  <c r="F59" i="1"/>
  <c r="E59" i="1"/>
  <c r="D59" i="1"/>
  <c r="G59" i="1"/>
  <c r="G41" i="1"/>
  <c r="F41" i="1"/>
  <c r="E41" i="1"/>
  <c r="H41" i="1"/>
  <c r="D41" i="1"/>
  <c r="D45" i="1" s="1"/>
  <c r="J47" i="1"/>
  <c r="B45" i="1"/>
  <c r="B63" i="1" l="1"/>
  <c r="B67" i="1" s="1"/>
  <c r="B49" i="1"/>
  <c r="D62" i="1"/>
  <c r="H62" i="1" s="1"/>
  <c r="H61" i="1"/>
  <c r="I61" i="1" s="1"/>
  <c r="H42" i="1"/>
  <c r="H45" i="1"/>
  <c r="E42" i="1"/>
  <c r="E45" i="1"/>
  <c r="G42" i="1"/>
  <c r="G45" i="1"/>
  <c r="F42" i="1"/>
  <c r="F45" i="1"/>
  <c r="G60" i="1"/>
  <c r="E60" i="1"/>
  <c r="F60" i="1"/>
  <c r="D42" i="1"/>
  <c r="I41" i="1"/>
  <c r="F46" i="1" l="1"/>
  <c r="C41" i="1"/>
  <c r="C42" i="1" s="1"/>
  <c r="I42" i="1"/>
  <c r="C65" i="1" l="1"/>
  <c r="J42" i="1"/>
  <c r="G46" i="1"/>
  <c r="H46" i="1"/>
  <c r="I45" i="1"/>
  <c r="D46" i="1"/>
  <c r="E46" i="1"/>
  <c r="C60" i="1" l="1"/>
  <c r="I46" i="1"/>
  <c r="C45" i="1"/>
  <c r="C46" i="1" l="1"/>
  <c r="J46" i="1" l="1"/>
  <c r="C64" i="1" l="1"/>
  <c r="K24" i="1"/>
  <c r="I104" i="1" l="1"/>
  <c r="I72" i="1"/>
  <c r="J72" i="1"/>
  <c r="J104" i="1"/>
  <c r="C7" i="1"/>
  <c r="B5" i="1" s="1"/>
  <c r="B7" i="1" s="1"/>
  <c r="B8" i="1" s="1"/>
  <c r="J7" i="1"/>
  <c r="J6" i="1"/>
  <c r="I13" i="1" s="1"/>
  <c r="J8" i="1" l="1"/>
  <c r="K8" i="1" s="1"/>
  <c r="C13" i="1"/>
  <c r="C8" i="1"/>
  <c r="C15" i="1" l="1"/>
  <c r="I15" i="1"/>
  <c r="H59" i="1" l="1"/>
  <c r="I59" i="1" s="1"/>
  <c r="D60" i="1"/>
  <c r="H60" i="1" s="1"/>
  <c r="I60" i="1" s="1"/>
  <c r="G56" i="1" l="1"/>
  <c r="H55" i="1"/>
  <c r="I55" i="1" s="1"/>
  <c r="E63" i="1"/>
  <c r="E64" i="1" s="1"/>
  <c r="E56" i="1"/>
  <c r="F56" i="1"/>
  <c r="D63" i="1"/>
  <c r="D56" i="1"/>
  <c r="F63" i="1"/>
  <c r="F64" i="1" s="1"/>
  <c r="G63" i="1"/>
  <c r="G64" i="1" s="1"/>
  <c r="G68" i="1" s="1"/>
  <c r="E68" i="1" l="1"/>
  <c r="E69" i="1" s="1"/>
  <c r="F68" i="1"/>
  <c r="F69" i="1" s="1"/>
  <c r="G69" i="1"/>
  <c r="H63" i="1"/>
  <c r="I63" i="1" s="1"/>
  <c r="H56" i="1"/>
  <c r="I56" i="1" s="1"/>
  <c r="D64" i="1"/>
  <c r="D68" i="1" s="1"/>
  <c r="I67" i="1" l="1"/>
  <c r="I65" i="1" s="1"/>
  <c r="H64" i="1"/>
  <c r="I64" i="1" s="1"/>
  <c r="D69" i="1" l="1"/>
  <c r="H68" i="1"/>
  <c r="H69" i="1" s="1"/>
  <c r="H50" i="1"/>
  <c r="H51" i="1" s="1"/>
  <c r="F50" i="1"/>
  <c r="F51" i="1" s="1"/>
  <c r="E50" i="1"/>
  <c r="E51" i="1" s="1"/>
  <c r="D50" i="1"/>
  <c r="G50" i="1"/>
  <c r="G51" i="1" s="1"/>
  <c r="I50" i="1" l="1"/>
  <c r="I51" i="1" s="1"/>
  <c r="D51" i="1"/>
  <c r="I43" i="1" l="1"/>
  <c r="C43" i="1" l="1"/>
  <c r="C49" i="1" s="1"/>
  <c r="I44" i="1"/>
  <c r="C44" i="1" l="1"/>
  <c r="C50" i="1" s="1"/>
  <c r="C51" i="1" s="1"/>
  <c r="C47" i="1"/>
  <c r="B38" i="1" l="1"/>
  <c r="B56" i="1" s="1"/>
  <c r="J44" i="1"/>
  <c r="I62" i="1" s="1"/>
  <c r="B44" i="1"/>
  <c r="B62" i="1" s="1"/>
  <c r="J50" i="1"/>
  <c r="B42" i="1"/>
  <c r="B60" i="1" s="1"/>
  <c r="B46" i="1"/>
  <c r="B64" i="1" s="1"/>
  <c r="B68" i="1" l="1"/>
  <c r="C62" i="1"/>
  <c r="C68" i="1" s="1"/>
  <c r="C69" i="1" s="1"/>
  <c r="J51" i="1"/>
  <c r="K51" i="1" s="1"/>
  <c r="B50" i="1"/>
  <c r="I68" i="1" l="1"/>
  <c r="I69" i="1" s="1"/>
</calcChain>
</file>

<file path=xl/sharedStrings.xml><?xml version="1.0" encoding="utf-8"?>
<sst xmlns="http://schemas.openxmlformats.org/spreadsheetml/2006/main" count="558" uniqueCount="76">
  <si>
    <t>Union Vending</t>
  </si>
  <si>
    <t>Baldwin Park</t>
  </si>
  <si>
    <t>Fox Glove</t>
  </si>
  <si>
    <t>SMAC Distributing</t>
  </si>
  <si>
    <t>Percentage</t>
  </si>
  <si>
    <t>TOTAL</t>
  </si>
  <si>
    <t>Net</t>
  </si>
  <si>
    <t>FWT</t>
  </si>
  <si>
    <t>Soc Sec</t>
  </si>
  <si>
    <t>Medicaid</t>
  </si>
  <si>
    <t>Ohio</t>
  </si>
  <si>
    <t>Cleveland</t>
  </si>
  <si>
    <t>YTD</t>
  </si>
  <si>
    <t>Total Tax</t>
  </si>
  <si>
    <t>YTD TOTAL</t>
  </si>
  <si>
    <t>Prev Week</t>
  </si>
  <si>
    <t>FWT YTD</t>
  </si>
  <si>
    <t>Med YTD</t>
  </si>
  <si>
    <t>SS YTD</t>
  </si>
  <si>
    <t>Ohio YTD</t>
  </si>
  <si>
    <t>Cleve YTD</t>
  </si>
  <si>
    <t>Week</t>
  </si>
  <si>
    <t>Sarcyk Management and Consulting, LLC</t>
  </si>
  <si>
    <t>FED. ID. NO:</t>
  </si>
  <si>
    <t>86-1294352</t>
  </si>
  <si>
    <t>Employee Name:</t>
  </si>
  <si>
    <t>Pay Period:</t>
  </si>
  <si>
    <t>Company Worked For</t>
  </si>
  <si>
    <t>Net Pay</t>
  </si>
  <si>
    <t>Gross Pay</t>
  </si>
  <si>
    <t>Neil Sarcyk</t>
  </si>
  <si>
    <t>75 Baldwin Park</t>
  </si>
  <si>
    <t>Sarcyk Distributing</t>
  </si>
  <si>
    <t>Taxes</t>
  </si>
  <si>
    <t>Gross</t>
  </si>
  <si>
    <t>Total</t>
  </si>
  <si>
    <t>Yearly</t>
  </si>
  <si>
    <t>Yearly Total</t>
  </si>
  <si>
    <t>Monthly</t>
  </si>
  <si>
    <t>Check TOTAL</t>
  </si>
  <si>
    <t>Deduction - BP Rent PMT</t>
  </si>
  <si>
    <t>YTD Check TOTAL</t>
  </si>
  <si>
    <t>YTD EARNED TOTAL</t>
  </si>
  <si>
    <t>EARNED TOTAL</t>
  </si>
  <si>
    <t>Rent Payment</t>
  </si>
  <si>
    <t>W2 Employee Deductions</t>
  </si>
  <si>
    <t>UV 1099 Income</t>
  </si>
  <si>
    <t>(W2) Union Vending</t>
  </si>
  <si>
    <t>(W2) SMAC Distributing</t>
  </si>
  <si>
    <t>(W2) 75 Baldwin Park</t>
  </si>
  <si>
    <t>(W2) 64 Fox Glove Group</t>
  </si>
  <si>
    <t>Employee Name: Joshua Bett</t>
  </si>
  <si>
    <t>Employee Name: Daniel Kusmer</t>
  </si>
  <si>
    <t>Employee Name: Michael Pilz</t>
  </si>
  <si>
    <t>Employee Name: Joe Kowalczyk</t>
  </si>
  <si>
    <t>Employee Name: Andrew Newport</t>
  </si>
  <si>
    <t>Employee Name: Tyler Juszczyk</t>
  </si>
  <si>
    <t>(W2) 64 Foxglove Group</t>
  </si>
  <si>
    <t>Employee Name: Wayne Sarcyk</t>
  </si>
  <si>
    <t>Employer Paid Payroll Taxes</t>
  </si>
  <si>
    <t>ER-SS</t>
  </si>
  <si>
    <t>ER-SS YTD</t>
  </si>
  <si>
    <t>Total Liability</t>
  </si>
  <si>
    <t>ER-MC</t>
  </si>
  <si>
    <t>ER-MC YTD</t>
  </si>
  <si>
    <t>FUTA</t>
  </si>
  <si>
    <t>OH SUI</t>
  </si>
  <si>
    <t>Employee Name: Laura Sarcyk</t>
  </si>
  <si>
    <t>SUTA</t>
  </si>
  <si>
    <t>ER SS</t>
  </si>
  <si>
    <t>ER MC</t>
  </si>
  <si>
    <t>SUI</t>
  </si>
  <si>
    <t>Paid</t>
  </si>
  <si>
    <t>Employee Name: Mark White</t>
  </si>
  <si>
    <t>Employee Name: Aaron Reese</t>
  </si>
  <si>
    <t>(W2) Smac Distributing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</si>
</sst>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1">
    <xf numFmtId="0" fontId="0" fillId="0" borderId="0" xfId="0"/>
    <xf numFmtId="44" fontId="0" fillId="0" borderId="0" xfId="0" applyNumberFormat="1"/>
    <xf numFmtId="44" fontId="0" fillId="0" borderId="0" xfId="1" applyFont="1"/>
    <xf numFmtId="44" fontId="0" fillId="0" borderId="14" xfId="1" applyFont="1" applyBorder="1"/>
    <xf numFmtId="0" fontId="0" fillId="0" borderId="14" xfId="1" applyNumberFormat="1" applyFont="1" applyBorder="1"/>
    <xf numFmtId="0" fontId="0" fillId="0" borderId="14" xfId="0" applyBorder="1"/>
    <xf numFmtId="164" fontId="0" fillId="0" borderId="0" xfId="2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3" fillId="0" borderId="13" xfId="2" applyNumberFormat="1" applyFont="1" applyBorder="1"/>
    <xf numFmtId="44" fontId="3" fillId="0" borderId="10" xfId="1" applyFont="1" applyBorder="1"/>
    <xf numFmtId="44" fontId="3" fillId="0" borderId="10" xfId="0" applyNumberFormat="1" applyFont="1" applyBorder="1"/>
    <xf numFmtId="164" fontId="3" fillId="0" borderId="9" xfId="2" applyNumberFormat="1" applyFont="1" applyBorder="1"/>
    <xf numFmtId="44" fontId="3" fillId="0" borderId="6" xfId="1" applyFont="1" applyBorder="1"/>
    <xf numFmtId="44" fontId="3" fillId="0" borderId="6" xfId="0" applyNumberFormat="1" applyFont="1" applyBorder="1"/>
    <xf numFmtId="44" fontId="3" fillId="0" borderId="2" xfId="0" applyNumberFormat="1" applyFont="1" applyBorder="1"/>
    <xf numFmtId="2" fontId="3" fillId="0" borderId="0" xfId="0" applyNumberFormat="1" applyFont="1"/>
    <xf numFmtId="44" fontId="3" fillId="0" borderId="0" xfId="0" applyNumberFormat="1" applyFont="1"/>
    <xf numFmtId="0" fontId="3" fillId="0" borderId="7" xfId="0" applyFont="1" applyBorder="1"/>
    <xf numFmtId="44" fontId="3" fillId="0" borderId="7" xfId="1" applyFont="1" applyBorder="1"/>
    <xf numFmtId="44" fontId="3" fillId="0" borderId="8" xfId="1" applyFont="1" applyBorder="1"/>
    <xf numFmtId="44" fontId="3" fillId="0" borderId="9" xfId="1" applyFont="1" applyBorder="1"/>
    <xf numFmtId="0" fontId="3" fillId="0" borderId="11" xfId="0" applyFont="1" applyBorder="1"/>
    <xf numFmtId="44" fontId="3" fillId="0" borderId="11" xfId="1" applyFont="1" applyBorder="1"/>
    <xf numFmtId="44" fontId="3" fillId="0" borderId="12" xfId="1" applyFont="1" applyBorder="1"/>
    <xf numFmtId="44" fontId="3" fillId="0" borderId="13" xfId="1" applyFont="1" applyBorder="1"/>
    <xf numFmtId="0" fontId="3" fillId="0" borderId="69" xfId="0" applyFont="1" applyBorder="1"/>
    <xf numFmtId="0" fontId="3" fillId="0" borderId="3" xfId="0" applyFont="1" applyBorder="1"/>
    <xf numFmtId="164" fontId="3" fillId="0" borderId="5" xfId="2" applyNumberFormat="1" applyFont="1" applyBorder="1"/>
    <xf numFmtId="44" fontId="3" fillId="0" borderId="1" xfId="1" applyFont="1" applyBorder="1"/>
    <xf numFmtId="44" fontId="3" fillId="0" borderId="3" xfId="1" applyFont="1" applyBorder="1"/>
    <xf numFmtId="44" fontId="3" fillId="0" borderId="4" xfId="1" applyFont="1" applyBorder="1"/>
    <xf numFmtId="44" fontId="3" fillId="0" borderId="5" xfId="1" applyFont="1" applyBorder="1"/>
    <xf numFmtId="44" fontId="3" fillId="0" borderId="1" xfId="0" applyNumberFormat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/>
    <xf numFmtId="14" fontId="4" fillId="0" borderId="0" xfId="0" applyNumberFormat="1" applyFont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19" xfId="0" applyFont="1" applyBorder="1"/>
    <xf numFmtId="164" fontId="5" fillId="0" borderId="20" xfId="2" applyNumberFormat="1" applyFont="1" applyBorder="1"/>
    <xf numFmtId="44" fontId="5" fillId="0" borderId="21" xfId="1" applyFont="1" applyBorder="1"/>
    <xf numFmtId="44" fontId="5" fillId="0" borderId="22" xfId="1" applyFont="1" applyBorder="1"/>
    <xf numFmtId="44" fontId="5" fillId="0" borderId="23" xfId="1" applyFont="1" applyBorder="1"/>
    <xf numFmtId="44" fontId="5" fillId="0" borderId="20" xfId="1" applyFont="1" applyBorder="1"/>
    <xf numFmtId="44" fontId="5" fillId="0" borderId="21" xfId="0" applyNumberFormat="1" applyFont="1" applyBorder="1"/>
    <xf numFmtId="44" fontId="5" fillId="0" borderId="24" xfId="0" applyNumberFormat="1" applyFont="1" applyBorder="1"/>
    <xf numFmtId="0" fontId="5" fillId="0" borderId="25" xfId="0" applyFont="1" applyBorder="1"/>
    <xf numFmtId="164" fontId="5" fillId="0" borderId="13" xfId="2" applyNumberFormat="1" applyFont="1" applyBorder="1"/>
    <xf numFmtId="44" fontId="5" fillId="0" borderId="10" xfId="1" applyFont="1" applyBorder="1"/>
    <xf numFmtId="44" fontId="5" fillId="0" borderId="11" xfId="1" applyFont="1" applyFill="1" applyBorder="1"/>
    <xf numFmtId="44" fontId="5" fillId="0" borderId="12" xfId="1" applyFont="1" applyFill="1" applyBorder="1"/>
    <xf numFmtId="44" fontId="5" fillId="0" borderId="13" xfId="1" applyFont="1" applyFill="1" applyBorder="1"/>
    <xf numFmtId="44" fontId="5" fillId="0" borderId="10" xfId="0" applyNumberFormat="1" applyFont="1" applyBorder="1"/>
    <xf numFmtId="44" fontId="5" fillId="0" borderId="26" xfId="0" applyNumberFormat="1" applyFont="1" applyBorder="1"/>
    <xf numFmtId="0" fontId="5" fillId="0" borderId="27" xfId="0" applyFont="1" applyBorder="1"/>
    <xf numFmtId="164" fontId="5" fillId="0" borderId="9" xfId="2" applyNumberFormat="1" applyFont="1" applyBorder="1"/>
    <xf numFmtId="44" fontId="5" fillId="0" borderId="6" xfId="1" applyFont="1" applyBorder="1"/>
    <xf numFmtId="44" fontId="5" fillId="0" borderId="7" xfId="1" applyFont="1" applyFill="1" applyBorder="1"/>
    <xf numFmtId="44" fontId="5" fillId="0" borderId="8" xfId="1" applyFont="1" applyFill="1" applyBorder="1"/>
    <xf numFmtId="44" fontId="5" fillId="0" borderId="9" xfId="1" applyFont="1" applyFill="1" applyBorder="1"/>
    <xf numFmtId="44" fontId="5" fillId="0" borderId="6" xfId="0" applyNumberFormat="1" applyFont="1" applyBorder="1"/>
    <xf numFmtId="44" fontId="5" fillId="0" borderId="28" xfId="0" applyNumberFormat="1" applyFont="1" applyBorder="1"/>
    <xf numFmtId="0" fontId="5" fillId="0" borderId="29" xfId="0" applyFont="1" applyBorder="1"/>
    <xf numFmtId="164" fontId="5" fillId="0" borderId="30" xfId="2" applyNumberFormat="1" applyFont="1" applyBorder="1"/>
    <xf numFmtId="44" fontId="5" fillId="0" borderId="31" xfId="1" applyFont="1" applyBorder="1"/>
    <xf numFmtId="44" fontId="5" fillId="0" borderId="32" xfId="1" applyFont="1" applyFill="1" applyBorder="1"/>
    <xf numFmtId="44" fontId="5" fillId="0" borderId="33" xfId="1" applyFont="1" applyFill="1" applyBorder="1"/>
    <xf numFmtId="44" fontId="5" fillId="0" borderId="30" xfId="1" applyFont="1" applyFill="1" applyBorder="1"/>
    <xf numFmtId="44" fontId="5" fillId="0" borderId="31" xfId="0" applyNumberFormat="1" applyFont="1" applyBorder="1"/>
    <xf numFmtId="44" fontId="5" fillId="0" borderId="34" xfId="0" applyNumberFormat="1" applyFont="1" applyBorder="1"/>
    <xf numFmtId="0" fontId="5" fillId="0" borderId="62" xfId="0" applyFont="1" applyBorder="1"/>
    <xf numFmtId="164" fontId="5" fillId="0" borderId="54" xfId="2" applyNumberFormat="1" applyFont="1" applyBorder="1"/>
    <xf numFmtId="44" fontId="5" fillId="0" borderId="50" xfId="1" applyFont="1" applyBorder="1"/>
    <xf numFmtId="44" fontId="5" fillId="0" borderId="52" xfId="1" applyFont="1" applyBorder="1"/>
    <xf numFmtId="44" fontId="5" fillId="0" borderId="53" xfId="1" applyFont="1" applyBorder="1"/>
    <xf numFmtId="44" fontId="5" fillId="0" borderId="54" xfId="1" applyFont="1" applyBorder="1"/>
    <xf numFmtId="44" fontId="5" fillId="0" borderId="50" xfId="0" applyNumberFormat="1" applyFont="1" applyBorder="1"/>
    <xf numFmtId="44" fontId="5" fillId="0" borderId="55" xfId="0" applyNumberFormat="1" applyFont="1" applyBorder="1"/>
    <xf numFmtId="0" fontId="5" fillId="0" borderId="63" xfId="0" applyFont="1" applyBorder="1"/>
    <xf numFmtId="164" fontId="5" fillId="0" borderId="61" xfId="2" applyNumberFormat="1" applyFont="1" applyBorder="1"/>
    <xf numFmtId="44" fontId="5" fillId="0" borderId="57" xfId="1" applyFont="1" applyBorder="1"/>
    <xf numFmtId="44" fontId="5" fillId="0" borderId="59" xfId="1" applyFont="1" applyBorder="1"/>
    <xf numFmtId="44" fontId="5" fillId="0" borderId="60" xfId="1" applyFont="1" applyBorder="1"/>
    <xf numFmtId="44" fontId="5" fillId="0" borderId="61" xfId="1" applyFont="1" applyBorder="1"/>
    <xf numFmtId="44" fontId="5" fillId="0" borderId="57" xfId="0" applyNumberFormat="1" applyFont="1" applyBorder="1"/>
    <xf numFmtId="44" fontId="5" fillId="0" borderId="64" xfId="0" applyNumberFormat="1" applyFont="1" applyBorder="1"/>
    <xf numFmtId="44" fontId="5" fillId="0" borderId="0" xfId="0" applyNumberFormat="1" applyFont="1"/>
    <xf numFmtId="0" fontId="5" fillId="0" borderId="35" xfId="0" applyFont="1" applyBorder="1"/>
    <xf numFmtId="164" fontId="5" fillId="0" borderId="36" xfId="2" applyNumberFormat="1" applyFont="1" applyBorder="1"/>
    <xf numFmtId="44" fontId="5" fillId="0" borderId="37" xfId="1" applyFont="1" applyBorder="1"/>
    <xf numFmtId="44" fontId="5" fillId="0" borderId="38" xfId="1" applyFont="1" applyBorder="1"/>
    <xf numFmtId="44" fontId="5" fillId="0" borderId="39" xfId="1" applyFont="1" applyBorder="1"/>
    <xf numFmtId="44" fontId="5" fillId="0" borderId="40" xfId="1" applyFont="1" applyBorder="1"/>
    <xf numFmtId="44" fontId="5" fillId="0" borderId="36" xfId="0" applyNumberFormat="1" applyFont="1" applyBorder="1"/>
    <xf numFmtId="44" fontId="5" fillId="0" borderId="41" xfId="0" applyNumberFormat="1" applyFont="1" applyBorder="1"/>
    <xf numFmtId="0" fontId="5" fillId="0" borderId="42" xfId="0" applyFont="1" applyBorder="1"/>
    <xf numFmtId="164" fontId="5" fillId="0" borderId="43" xfId="2" applyNumberFormat="1" applyFont="1" applyBorder="1"/>
    <xf numFmtId="44" fontId="5" fillId="0" borderId="44" xfId="1" applyFont="1" applyBorder="1"/>
    <xf numFmtId="44" fontId="5" fillId="0" borderId="45" xfId="1" applyFont="1" applyBorder="1"/>
    <xf numFmtId="44" fontId="5" fillId="0" borderId="46" xfId="1" applyFont="1" applyBorder="1"/>
    <xf numFmtId="44" fontId="5" fillId="0" borderId="47" xfId="1" applyFont="1" applyBorder="1"/>
    <xf numFmtId="44" fontId="5" fillId="0" borderId="43" xfId="0" applyNumberFormat="1" applyFont="1" applyBorder="1"/>
    <xf numFmtId="44" fontId="5" fillId="0" borderId="48" xfId="0" applyNumberFormat="1" applyFont="1" applyBorder="1"/>
    <xf numFmtId="0" fontId="5" fillId="0" borderId="49" xfId="0" applyFont="1" applyBorder="1"/>
    <xf numFmtId="164" fontId="5" fillId="0" borderId="50" xfId="2" applyNumberFormat="1" applyFont="1" applyBorder="1"/>
    <xf numFmtId="44" fontId="5" fillId="0" borderId="51" xfId="1" applyFont="1" applyBorder="1"/>
    <xf numFmtId="0" fontId="5" fillId="0" borderId="56" xfId="0" applyFont="1" applyBorder="1"/>
    <xf numFmtId="164" fontId="5" fillId="0" borderId="57" xfId="2" applyNumberFormat="1" applyFont="1" applyBorder="1"/>
    <xf numFmtId="0" fontId="5" fillId="0" borderId="67" xfId="0" applyFont="1" applyBorder="1"/>
    <xf numFmtId="164" fontId="5" fillId="0" borderId="68" xfId="2" applyNumberFormat="1" applyFont="1" applyBorder="1"/>
    <xf numFmtId="44" fontId="5" fillId="0" borderId="22" xfId="1" applyFont="1" applyFill="1" applyBorder="1"/>
    <xf numFmtId="44" fontId="5" fillId="0" borderId="23" xfId="1" applyFont="1" applyFill="1" applyBorder="1"/>
    <xf numFmtId="44" fontId="5" fillId="0" borderId="20" xfId="1" applyFont="1" applyFill="1" applyBorder="1"/>
    <xf numFmtId="44" fontId="5" fillId="0" borderId="24" xfId="1" applyFont="1" applyBorder="1"/>
    <xf numFmtId="44" fontId="5" fillId="0" borderId="26" xfId="1" applyFont="1" applyBorder="1"/>
    <xf numFmtId="0" fontId="5" fillId="0" borderId="65" xfId="0" applyFont="1" applyBorder="1"/>
    <xf numFmtId="164" fontId="5" fillId="0" borderId="16" xfId="2" applyNumberFormat="1" applyFont="1" applyBorder="1"/>
    <xf numFmtId="44" fontId="5" fillId="0" borderId="17" xfId="1" applyFont="1" applyBorder="1"/>
    <xf numFmtId="44" fontId="5" fillId="0" borderId="15" xfId="1" applyFont="1" applyFill="1" applyBorder="1"/>
    <xf numFmtId="44" fontId="5" fillId="0" borderId="18" xfId="1" applyFont="1" applyFill="1" applyBorder="1"/>
    <xf numFmtId="44" fontId="5" fillId="0" borderId="16" xfId="1" applyFont="1" applyFill="1" applyBorder="1"/>
    <xf numFmtId="44" fontId="5" fillId="0" borderId="17" xfId="0" applyNumberFormat="1" applyFont="1" applyBorder="1"/>
    <xf numFmtId="44" fontId="5" fillId="0" borderId="66" xfId="1" applyFont="1" applyBorder="1"/>
    <xf numFmtId="0" fontId="2" fillId="0" borderId="0" xfId="0" applyFont="1" applyAlignment="1">
      <alignment horizontal="left"/>
    </xf>
    <xf numFmtId="14" fontId="2" fillId="0" borderId="0" xfId="0" applyNumberFormat="1" applyFont="1"/>
    <xf numFmtId="44" fontId="5" fillId="0" borderId="70" xfId="1" applyFont="1" applyBorder="1"/>
    <xf numFmtId="44" fontId="5" fillId="0" borderId="0" xfId="1" applyFont="1" applyBorder="1"/>
    <xf numFmtId="44" fontId="4" fillId="0" borderId="48" xfId="0" applyNumberFormat="1" applyFont="1" applyBorder="1"/>
    <xf numFmtId="44" fontId="4" fillId="0" borderId="58" xfId="1" applyFont="1" applyBorder="1"/>
    <xf numFmtId="44" fontId="4" fillId="0" borderId="34" xfId="1" applyFont="1" applyBorder="1"/>
    <xf numFmtId="44" fontId="4" fillId="0" borderId="31" xfId="1" applyFont="1" applyBorder="1"/>
    <xf numFmtId="164" fontId="5" fillId="0" borderId="0" xfId="2" applyNumberFormat="1" applyFont="1" applyBorder="1"/>
    <xf numFmtId="44" fontId="4" fillId="0" borderId="0" xfId="1" applyFont="1" applyBorder="1"/>
    <xf numFmtId="44" fontId="4" fillId="0" borderId="0" xfId="0" applyNumberFormat="1" applyFont="1"/>
    <xf numFmtId="44" fontId="5" fillId="0" borderId="70" xfId="0" applyNumberFormat="1" applyFont="1" applyBorder="1"/>
    <xf numFmtId="44" fontId="5" fillId="0" borderId="32" xfId="1" applyFont="1" applyBorder="1"/>
    <xf numFmtId="44" fontId="5" fillId="0" borderId="33" xfId="1" applyFont="1" applyBorder="1"/>
    <xf numFmtId="164" fontId="5" fillId="0" borderId="21" xfId="2" applyNumberFormat="1" applyFont="1" applyBorder="1"/>
    <xf numFmtId="44" fontId="5" fillId="0" borderId="71" xfId="1" applyFont="1" applyBorder="1"/>
    <xf numFmtId="164" fontId="5" fillId="0" borderId="31" xfId="2" applyNumberFormat="1" applyFont="1" applyBorder="1"/>
    <xf numFmtId="44" fontId="5" fillId="0" borderId="72" xfId="1" applyFont="1" applyBorder="1"/>
    <xf numFmtId="44" fontId="5" fillId="0" borderId="30" xfId="1" applyFont="1" applyBorder="1"/>
    <xf numFmtId="44" fontId="2" fillId="0" borderId="3" xfId="1" applyFont="1" applyBorder="1"/>
    <xf numFmtId="44" fontId="2" fillId="0" borderId="4" xfId="1" applyFont="1" applyBorder="1"/>
    <xf numFmtId="44" fontId="2" fillId="0" borderId="5" xfId="1" applyFont="1" applyBorder="1"/>
    <xf numFmtId="44" fontId="6" fillId="0" borderId="1" xfId="1" applyFont="1" applyBorder="1"/>
    <xf numFmtId="14" fontId="4" fillId="0" borderId="0" xfId="0" applyNumberFormat="1" applyFont="1" applyAlignment="1">
      <alignment horizontal="right"/>
    </xf>
    <xf numFmtId="44" fontId="5" fillId="0" borderId="73" xfId="0" applyNumberFormat="1" applyFont="1" applyBorder="1"/>
    <xf numFmtId="0" fontId="5" fillId="0" borderId="74" xfId="0" applyFont="1" applyBorder="1"/>
    <xf numFmtId="164" fontId="5" fillId="0" borderId="75" xfId="2" applyNumberFormat="1" applyFont="1" applyBorder="1"/>
    <xf numFmtId="0" fontId="5" fillId="0" borderId="76" xfId="0" applyFont="1" applyBorder="1"/>
    <xf numFmtId="164" fontId="5" fillId="0" borderId="77" xfId="2" applyNumberFormat="1" applyFont="1" applyBorder="1"/>
    <xf numFmtId="0" fontId="5" fillId="0" borderId="78" xfId="0" applyFont="1" applyBorder="1"/>
    <xf numFmtId="164" fontId="5" fillId="0" borderId="79" xfId="2" applyNumberFormat="1" applyFont="1" applyBorder="1"/>
    <xf numFmtId="44" fontId="5" fillId="0" borderId="80" xfId="1" applyFont="1" applyBorder="1"/>
    <xf numFmtId="44" fontId="5" fillId="0" borderId="81" xfId="1" applyFont="1" applyFill="1" applyBorder="1"/>
    <xf numFmtId="44" fontId="5" fillId="0" borderId="82" xfId="1" applyFont="1" applyFill="1" applyBorder="1"/>
    <xf numFmtId="44" fontId="5" fillId="0" borderId="80" xfId="0" applyNumberFormat="1" applyFont="1" applyBorder="1"/>
    <xf numFmtId="44" fontId="5" fillId="0" borderId="83" xfId="0" applyNumberFormat="1" applyFont="1" applyBorder="1"/>
    <xf numFmtId="165" fontId="5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90"/>
  <sheetViews>
    <sheetView tabSelected="1" topLeftCell="A166" zoomScale="120" zoomScaleNormal="120" workbookViewId="0">
      <selection activeCell="G187" sqref="G187"/>
    </sheetView>
  </sheetViews>
  <sheetFormatPr defaultRowHeight="12.75" x14ac:dyDescent="0.2"/>
  <cols>
    <col min="1" max="1" width="25" style="41" bestFit="1" customWidth="1"/>
    <col min="2" max="2" width="11" style="41" customWidth="1"/>
    <col min="3" max="3" width="11.5703125" style="41" bestFit="1" customWidth="1"/>
    <col min="4" max="4" width="13.28515625" style="41" customWidth="1"/>
    <col min="5" max="5" width="10.5703125" style="41" bestFit="1" customWidth="1"/>
    <col min="6" max="7" width="10.7109375" style="41" bestFit="1" customWidth="1"/>
    <col min="8" max="8" width="11.7109375" style="41" bestFit="1" customWidth="1"/>
    <col min="9" max="9" width="13.5703125" style="41" bestFit="1" customWidth="1"/>
    <col min="10" max="10" width="11.5703125" style="41" bestFit="1" customWidth="1"/>
    <col min="11" max="11" width="12.85546875" style="41" bestFit="1" customWidth="1"/>
    <col min="12" max="12" width="11.28515625" style="41" bestFit="1" customWidth="1"/>
    <col min="13" max="14" width="10.5703125" style="41" bestFit="1" customWidth="1"/>
    <col min="15" max="16" width="11.85546875" style="41" bestFit="1" customWidth="1"/>
    <col min="17" max="17" width="12.85546875" style="41" bestFit="1" customWidth="1"/>
    <col min="18" max="18" width="9.7109375" style="41" bestFit="1" customWidth="1"/>
    <col min="19" max="16384" width="9.140625" style="41"/>
  </cols>
  <sheetData>
    <row r="1" spans="1:19" hidden="1" x14ac:dyDescent="0.2">
      <c r="A1" s="169" t="s">
        <v>22</v>
      </c>
      <c r="B1" s="169"/>
      <c r="C1" s="169"/>
      <c r="D1" s="38"/>
      <c r="E1" s="38"/>
      <c r="F1" s="38"/>
      <c r="G1" s="38"/>
      <c r="H1" s="38"/>
      <c r="I1" s="39" t="s">
        <v>23</v>
      </c>
      <c r="J1" s="40" t="s">
        <v>24</v>
      </c>
    </row>
    <row r="2" spans="1:19" hidden="1" x14ac:dyDescent="0.2">
      <c r="A2" s="40" t="s">
        <v>51</v>
      </c>
      <c r="B2" s="40"/>
      <c r="C2" s="40"/>
      <c r="D2" s="38"/>
      <c r="E2" s="38"/>
      <c r="F2" s="38"/>
      <c r="G2" s="38"/>
      <c r="H2" s="39" t="s">
        <v>26</v>
      </c>
      <c r="I2" s="42">
        <v>45430</v>
      </c>
      <c r="J2" s="43">
        <f>I2+6</f>
        <v>45436</v>
      </c>
      <c r="K2" s="41" t="s">
        <v>16</v>
      </c>
      <c r="L2" s="41" t="s">
        <v>18</v>
      </c>
      <c r="M2" s="41" t="s">
        <v>17</v>
      </c>
      <c r="N2" s="41" t="s">
        <v>19</v>
      </c>
      <c r="O2" s="41" t="s">
        <v>20</v>
      </c>
      <c r="R2" s="41" t="s">
        <v>6</v>
      </c>
      <c r="S2" s="41" t="s">
        <v>34</v>
      </c>
    </row>
    <row r="3" spans="1:19" hidden="1" x14ac:dyDescent="0.2">
      <c r="A3" s="39"/>
      <c r="B3" s="40"/>
      <c r="C3" s="40"/>
      <c r="D3" s="168" t="s">
        <v>45</v>
      </c>
      <c r="E3" s="168"/>
      <c r="F3" s="168"/>
      <c r="G3" s="168"/>
      <c r="H3" s="168"/>
      <c r="I3" s="42"/>
      <c r="J3" s="43"/>
    </row>
    <row r="4" spans="1:19" ht="13.5" hidden="1" thickBot="1" x14ac:dyDescent="0.25">
      <c r="A4" s="44" t="s">
        <v>27</v>
      </c>
      <c r="B4" s="44" t="s">
        <v>4</v>
      </c>
      <c r="C4" s="44" t="s">
        <v>28</v>
      </c>
      <c r="D4" s="45" t="s">
        <v>7</v>
      </c>
      <c r="E4" s="44" t="s">
        <v>8</v>
      </c>
      <c r="F4" s="44" t="s">
        <v>9</v>
      </c>
      <c r="G4" s="44" t="s">
        <v>10</v>
      </c>
      <c r="H4" s="44" t="s">
        <v>11</v>
      </c>
      <c r="I4" s="44" t="s">
        <v>13</v>
      </c>
      <c r="J4" s="44" t="s">
        <v>29</v>
      </c>
    </row>
    <row r="5" spans="1:19" ht="13.5" hidden="1" thickTop="1" x14ac:dyDescent="0.2">
      <c r="A5" s="95" t="s">
        <v>47</v>
      </c>
      <c r="B5" s="96">
        <f>C5/C7</f>
        <v>1</v>
      </c>
      <c r="C5" s="97">
        <f>J5-I5</f>
        <v>646.88</v>
      </c>
      <c r="D5" s="98">
        <v>0</v>
      </c>
      <c r="E5" s="99">
        <v>45.63</v>
      </c>
      <c r="F5" s="99">
        <v>10.67</v>
      </c>
      <c r="G5" s="99">
        <v>14.42</v>
      </c>
      <c r="H5" s="100">
        <v>18.399999999999999</v>
      </c>
      <c r="I5" s="101">
        <f>SUM(D5:H5)</f>
        <v>89.12</v>
      </c>
      <c r="J5" s="102">
        <v>736</v>
      </c>
    </row>
    <row r="6" spans="1:19" ht="13.5" hidden="1" thickBot="1" x14ac:dyDescent="0.25">
      <c r="A6" s="103" t="s">
        <v>12</v>
      </c>
      <c r="B6" s="104"/>
      <c r="C6" s="105">
        <f>R6+C5</f>
        <v>2587.5</v>
      </c>
      <c r="D6" s="106">
        <f>K6+D5</f>
        <v>0</v>
      </c>
      <c r="E6" s="107">
        <f>L6+E5</f>
        <v>182.53</v>
      </c>
      <c r="F6" s="107">
        <f>M6+F5</f>
        <v>42.690000000000005</v>
      </c>
      <c r="G6" s="107">
        <f>N6+G5</f>
        <v>57.68</v>
      </c>
      <c r="H6" s="108">
        <f>O6+H5</f>
        <v>73.599999999999994</v>
      </c>
      <c r="I6" s="109">
        <f>SUM(D6:H6)</f>
        <v>356.5</v>
      </c>
      <c r="J6" s="110">
        <f>I6+C6</f>
        <v>2944</v>
      </c>
      <c r="K6" s="133">
        <v>0</v>
      </c>
      <c r="L6" s="134">
        <v>136.9</v>
      </c>
      <c r="M6" s="134">
        <v>32.020000000000003</v>
      </c>
      <c r="N6" s="134">
        <v>43.26</v>
      </c>
      <c r="O6" s="134">
        <v>55.2</v>
      </c>
      <c r="P6" s="41">
        <f>(K6+O6+N6+M6+L6)</f>
        <v>267.38</v>
      </c>
      <c r="R6" s="41">
        <v>1940.62</v>
      </c>
    </row>
    <row r="7" spans="1:19" ht="14.25" hidden="1" thickTop="1" thickBot="1" x14ac:dyDescent="0.25">
      <c r="A7" s="111" t="s">
        <v>5</v>
      </c>
      <c r="B7" s="112">
        <f>SUM(B5:B6)</f>
        <v>1</v>
      </c>
      <c r="C7" s="113">
        <f t="shared" ref="C7:G7" si="0">C5</f>
        <v>646.88</v>
      </c>
      <c r="D7" s="81">
        <f t="shared" si="0"/>
        <v>0</v>
      </c>
      <c r="E7" s="82">
        <f t="shared" si="0"/>
        <v>45.63</v>
      </c>
      <c r="F7" s="82">
        <f t="shared" si="0"/>
        <v>10.67</v>
      </c>
      <c r="G7" s="82">
        <f t="shared" si="0"/>
        <v>14.42</v>
      </c>
      <c r="H7" s="83">
        <f>H5</f>
        <v>18.399999999999999</v>
      </c>
      <c r="I7" s="84">
        <f>SUM(D7:H7)</f>
        <v>89.12</v>
      </c>
      <c r="J7" s="85">
        <f>J5</f>
        <v>736</v>
      </c>
    </row>
    <row r="8" spans="1:19" ht="13.5" hidden="1" thickBot="1" x14ac:dyDescent="0.25">
      <c r="A8" s="114" t="s">
        <v>14</v>
      </c>
      <c r="B8" s="115">
        <f>SUM(B6:B7)</f>
        <v>1</v>
      </c>
      <c r="C8" s="136">
        <f t="shared" ref="C8:G8" si="1">C6</f>
        <v>2587.5</v>
      </c>
      <c r="D8" s="89">
        <f t="shared" si="1"/>
        <v>0</v>
      </c>
      <c r="E8" s="90">
        <f t="shared" si="1"/>
        <v>182.53</v>
      </c>
      <c r="F8" s="90">
        <f t="shared" si="1"/>
        <v>42.690000000000005</v>
      </c>
      <c r="G8" s="90">
        <f t="shared" si="1"/>
        <v>57.68</v>
      </c>
      <c r="H8" s="91">
        <f>H6</f>
        <v>73.599999999999994</v>
      </c>
      <c r="I8" s="92">
        <f>SUM(D8:H8)</f>
        <v>356.5</v>
      </c>
      <c r="J8" s="135">
        <f>J6</f>
        <v>2944</v>
      </c>
      <c r="K8" s="41">
        <f>J8/J7</f>
        <v>4</v>
      </c>
    </row>
    <row r="9" spans="1:19" ht="13.5" hidden="1" thickTop="1" x14ac:dyDescent="0.2">
      <c r="E9" s="94"/>
      <c r="F9" s="94"/>
      <c r="G9" s="94"/>
      <c r="H9" s="94"/>
    </row>
    <row r="10" spans="1:19" hidden="1" x14ac:dyDescent="0.2">
      <c r="D10" s="168" t="s">
        <v>59</v>
      </c>
      <c r="E10" s="168"/>
      <c r="F10" s="168"/>
      <c r="G10" s="168"/>
    </row>
    <row r="11" spans="1:19" ht="13.5" hidden="1" thickBot="1" x14ac:dyDescent="0.25">
      <c r="A11" s="44" t="s">
        <v>27</v>
      </c>
      <c r="B11" s="44" t="s">
        <v>4</v>
      </c>
      <c r="C11" s="44" t="s">
        <v>29</v>
      </c>
      <c r="D11" s="45" t="s">
        <v>60</v>
      </c>
      <c r="E11" s="44" t="s">
        <v>63</v>
      </c>
      <c r="F11" s="44" t="s">
        <v>65</v>
      </c>
      <c r="G11" s="44" t="s">
        <v>68</v>
      </c>
      <c r="H11" s="44" t="s">
        <v>13</v>
      </c>
      <c r="I11" s="44" t="s">
        <v>62</v>
      </c>
      <c r="J11" s="44"/>
      <c r="K11" s="41" t="s">
        <v>61</v>
      </c>
      <c r="L11" s="41" t="s">
        <v>64</v>
      </c>
      <c r="M11" s="41" t="s">
        <v>65</v>
      </c>
      <c r="N11" s="41" t="s">
        <v>66</v>
      </c>
    </row>
    <row r="12" spans="1:19" ht="13.5" hidden="1" thickTop="1" x14ac:dyDescent="0.2">
      <c r="A12" s="95" t="s">
        <v>47</v>
      </c>
      <c r="B12" s="96">
        <f>C12/C14</f>
        <v>1</v>
      </c>
      <c r="C12" s="97">
        <f>J5</f>
        <v>736</v>
      </c>
      <c r="D12" s="98">
        <v>45.63</v>
      </c>
      <c r="E12" s="99">
        <v>10.67</v>
      </c>
      <c r="F12" s="99">
        <v>4.42</v>
      </c>
      <c r="G12" s="99">
        <v>36.06</v>
      </c>
      <c r="H12" s="101">
        <f>SUM(D12:G12)</f>
        <v>96.78</v>
      </c>
      <c r="I12" s="102">
        <f>J5+H12</f>
        <v>832.78</v>
      </c>
      <c r="J12" s="94"/>
      <c r="K12" s="41">
        <v>136.88999999999999</v>
      </c>
      <c r="L12" s="41">
        <v>32.01</v>
      </c>
      <c r="M12" s="41">
        <v>13.26</v>
      </c>
      <c r="N12" s="41">
        <v>108.18</v>
      </c>
      <c r="P12" s="41">
        <f>(K12+O12+N12+M12+L12)</f>
        <v>290.33999999999997</v>
      </c>
    </row>
    <row r="13" spans="1:19" ht="13.5" hidden="1" thickBot="1" x14ac:dyDescent="0.25">
      <c r="A13" s="103" t="s">
        <v>12</v>
      </c>
      <c r="B13" s="104"/>
      <c r="C13" s="105">
        <f>J6</f>
        <v>2944</v>
      </c>
      <c r="D13" s="106">
        <f>D12+K12</f>
        <v>182.51999999999998</v>
      </c>
      <c r="E13" s="107">
        <f>E12+L12</f>
        <v>42.68</v>
      </c>
      <c r="F13" s="107">
        <f>F12+M12</f>
        <v>17.68</v>
      </c>
      <c r="G13" s="107">
        <f>G12+N12</f>
        <v>144.24</v>
      </c>
      <c r="H13" s="109">
        <f>SUM(D13:G13)</f>
        <v>387.12</v>
      </c>
      <c r="I13" s="110">
        <f>H13+J6</f>
        <v>3331.12</v>
      </c>
      <c r="J13" s="142"/>
      <c r="K13" s="134"/>
      <c r="L13" s="134"/>
      <c r="M13" s="134"/>
      <c r="N13" s="134"/>
      <c r="O13" s="134"/>
    </row>
    <row r="14" spans="1:19" ht="14.25" hidden="1" thickTop="1" thickBot="1" x14ac:dyDescent="0.25">
      <c r="A14" s="111" t="s">
        <v>5</v>
      </c>
      <c r="B14" s="112">
        <f>SUM(B12:B13)</f>
        <v>1</v>
      </c>
      <c r="C14" s="113">
        <f t="shared" ref="C14:G14" si="2">C12</f>
        <v>736</v>
      </c>
      <c r="D14" s="81">
        <f t="shared" si="2"/>
        <v>45.63</v>
      </c>
      <c r="E14" s="82">
        <f t="shared" si="2"/>
        <v>10.67</v>
      </c>
      <c r="F14" s="82">
        <f t="shared" si="2"/>
        <v>4.42</v>
      </c>
      <c r="G14" s="82">
        <f t="shared" si="2"/>
        <v>36.06</v>
      </c>
      <c r="H14" s="84">
        <f>SUM(D14:G14)</f>
        <v>96.78</v>
      </c>
      <c r="I14" s="85">
        <f>I12</f>
        <v>832.78</v>
      </c>
      <c r="J14" s="94"/>
    </row>
    <row r="15" spans="1:19" ht="13.5" hidden="1" thickBot="1" x14ac:dyDescent="0.25">
      <c r="A15" s="114" t="s">
        <v>14</v>
      </c>
      <c r="B15" s="115">
        <f>SUM(B13:B14)</f>
        <v>1</v>
      </c>
      <c r="C15" s="136">
        <f t="shared" ref="C15:G15" si="3">C13</f>
        <v>2944</v>
      </c>
      <c r="D15" s="89">
        <f t="shared" si="3"/>
        <v>182.51999999999998</v>
      </c>
      <c r="E15" s="90">
        <f t="shared" si="3"/>
        <v>42.68</v>
      </c>
      <c r="F15" s="90">
        <f t="shared" si="3"/>
        <v>17.68</v>
      </c>
      <c r="G15" s="90">
        <f t="shared" si="3"/>
        <v>144.24</v>
      </c>
      <c r="H15" s="92">
        <f>SUM(D15:G15)</f>
        <v>387.12</v>
      </c>
      <c r="I15" s="135">
        <f>I13</f>
        <v>3331.12</v>
      </c>
      <c r="J15" s="141"/>
    </row>
    <row r="16" spans="1:19" ht="13.5" hidden="1" thickTop="1" x14ac:dyDescent="0.2">
      <c r="B16" s="139"/>
      <c r="C16" s="140"/>
      <c r="D16" s="134"/>
      <c r="E16" s="134"/>
      <c r="F16" s="134"/>
      <c r="G16" s="134"/>
      <c r="H16" s="134"/>
      <c r="I16" s="94"/>
      <c r="J16" s="141"/>
    </row>
    <row r="17" spans="1:18" x14ac:dyDescent="0.2">
      <c r="A17" s="169" t="s">
        <v>22</v>
      </c>
      <c r="B17" s="169"/>
      <c r="C17" s="169"/>
      <c r="D17" s="38"/>
      <c r="E17" s="38"/>
      <c r="F17" s="38"/>
      <c r="G17" s="38"/>
      <c r="H17" s="38"/>
      <c r="I17" s="39" t="s">
        <v>23</v>
      </c>
      <c r="J17" s="40" t="s">
        <v>24</v>
      </c>
    </row>
    <row r="18" spans="1:18" x14ac:dyDescent="0.2">
      <c r="A18" s="40" t="s">
        <v>52</v>
      </c>
      <c r="B18" s="40"/>
      <c r="C18" s="40"/>
      <c r="D18" s="38"/>
      <c r="E18" s="38"/>
      <c r="F18" s="38"/>
      <c r="G18" s="38"/>
      <c r="H18" s="39" t="s">
        <v>26</v>
      </c>
      <c r="I18" s="42">
        <f>$I$2</f>
        <v>45430</v>
      </c>
      <c r="J18" s="43">
        <f>$J$2</f>
        <v>45436</v>
      </c>
    </row>
    <row r="19" spans="1:18" x14ac:dyDescent="0.2">
      <c r="A19" s="39"/>
      <c r="B19" s="40"/>
      <c r="C19" s="40"/>
      <c r="D19" s="168" t="s">
        <v>45</v>
      </c>
      <c r="E19" s="168"/>
      <c r="F19" s="168"/>
      <c r="G19" s="168"/>
      <c r="H19" s="168"/>
      <c r="I19" s="42"/>
      <c r="J19" s="43"/>
    </row>
    <row r="20" spans="1:18" ht="13.5" thickBot="1" x14ac:dyDescent="0.25">
      <c r="A20" s="44" t="s">
        <v>27</v>
      </c>
      <c r="B20" s="44" t="s">
        <v>4</v>
      </c>
      <c r="C20" s="44" t="s">
        <v>28</v>
      </c>
      <c r="D20" s="45" t="s">
        <v>7</v>
      </c>
      <c r="E20" s="44" t="s">
        <v>8</v>
      </c>
      <c r="F20" s="44" t="s">
        <v>9</v>
      </c>
      <c r="G20" s="44" t="s">
        <v>10</v>
      </c>
      <c r="H20" s="44" t="s">
        <v>11</v>
      </c>
      <c r="I20" s="44" t="s">
        <v>13</v>
      </c>
      <c r="J20" s="44" t="s">
        <v>29</v>
      </c>
    </row>
    <row r="21" spans="1:18" ht="13.5" thickTop="1" x14ac:dyDescent="0.2">
      <c r="A21" s="95" t="s">
        <v>47</v>
      </c>
      <c r="B21" s="96">
        <f>C21/C23</f>
        <v>1</v>
      </c>
      <c r="C21" s="97">
        <f>J21-I21</f>
        <v>534.94000000000005</v>
      </c>
      <c r="D21" s="98">
        <v>63.53</v>
      </c>
      <c r="E21" s="99">
        <v>42.29</v>
      </c>
      <c r="F21" s="99">
        <v>9.89</v>
      </c>
      <c r="G21" s="99">
        <v>14.3</v>
      </c>
      <c r="H21" s="100">
        <v>17.05</v>
      </c>
      <c r="I21" s="101">
        <f>SUM(D21:H21)</f>
        <v>147.06</v>
      </c>
      <c r="J21" s="102">
        <v>682</v>
      </c>
    </row>
    <row r="22" spans="1:18" ht="13.5" thickBot="1" x14ac:dyDescent="0.25">
      <c r="A22" s="103" t="s">
        <v>12</v>
      </c>
      <c r="B22" s="104"/>
      <c r="C22" s="105">
        <f>R22+C21</f>
        <v>11768.84</v>
      </c>
      <c r="D22" s="106">
        <f>K22+D21</f>
        <v>1397.6499999999999</v>
      </c>
      <c r="E22" s="107">
        <f>L22+E21</f>
        <v>930.25</v>
      </c>
      <c r="F22" s="107">
        <f>M22+F21</f>
        <v>217.56</v>
      </c>
      <c r="G22" s="107">
        <f>N22+G21</f>
        <v>314.60000000000002</v>
      </c>
      <c r="H22" s="108">
        <f>O22+H21</f>
        <v>375.1</v>
      </c>
      <c r="I22" s="109">
        <f>SUM(D22:H22)</f>
        <v>3235.1599999999994</v>
      </c>
      <c r="J22" s="110">
        <f>I22+C22</f>
        <v>15004</v>
      </c>
      <c r="K22" s="133">
        <v>1334.12</v>
      </c>
      <c r="L22" s="134">
        <v>887.96</v>
      </c>
      <c r="M22" s="134">
        <v>207.67</v>
      </c>
      <c r="N22" s="134">
        <v>300.3</v>
      </c>
      <c r="O22" s="134">
        <v>358.05</v>
      </c>
      <c r="P22" s="41">
        <f>(K22+O22+N22+M22+L22)</f>
        <v>3088.1</v>
      </c>
      <c r="R22" s="41">
        <v>11233.9</v>
      </c>
    </row>
    <row r="23" spans="1:18" ht="14.25" thickTop="1" thickBot="1" x14ac:dyDescent="0.25">
      <c r="A23" s="111" t="s">
        <v>5</v>
      </c>
      <c r="B23" s="112">
        <f>SUM(B21:B22)</f>
        <v>1</v>
      </c>
      <c r="C23" s="113">
        <f t="shared" ref="C23:E24" si="4">C21</f>
        <v>534.94000000000005</v>
      </c>
      <c r="D23" s="81">
        <f t="shared" si="4"/>
        <v>63.53</v>
      </c>
      <c r="E23" s="82">
        <f t="shared" si="4"/>
        <v>42.29</v>
      </c>
      <c r="F23" s="82">
        <f>F21</f>
        <v>9.89</v>
      </c>
      <c r="G23" s="82">
        <f t="shared" ref="G23" si="5">G21</f>
        <v>14.3</v>
      </c>
      <c r="H23" s="83">
        <f>H21</f>
        <v>17.05</v>
      </c>
      <c r="I23" s="84">
        <f>SUM(D23:H23)</f>
        <v>147.06</v>
      </c>
      <c r="J23" s="85">
        <f>J21</f>
        <v>682</v>
      </c>
    </row>
    <row r="24" spans="1:18" ht="13.5" thickBot="1" x14ac:dyDescent="0.25">
      <c r="A24" s="114" t="s">
        <v>14</v>
      </c>
      <c r="B24" s="115">
        <f>SUM(B22:B23)</f>
        <v>1</v>
      </c>
      <c r="C24" s="136">
        <f t="shared" si="4"/>
        <v>11768.84</v>
      </c>
      <c r="D24" s="89">
        <f t="shared" si="4"/>
        <v>1397.6499999999999</v>
      </c>
      <c r="E24" s="90">
        <f t="shared" si="4"/>
        <v>930.25</v>
      </c>
      <c r="F24" s="90">
        <f t="shared" ref="F24:G24" si="6">F22</f>
        <v>217.56</v>
      </c>
      <c r="G24" s="90">
        <f t="shared" si="6"/>
        <v>314.60000000000002</v>
      </c>
      <c r="H24" s="91">
        <f>H22</f>
        <v>375.1</v>
      </c>
      <c r="I24" s="92">
        <f>SUM(D24:H24)</f>
        <v>3235.1599999999994</v>
      </c>
      <c r="J24" s="135">
        <f>J22</f>
        <v>15004</v>
      </c>
      <c r="K24" s="41">
        <f>J24/J23</f>
        <v>22</v>
      </c>
    </row>
    <row r="25" spans="1:18" ht="13.5" thickTop="1" x14ac:dyDescent="0.2"/>
    <row r="26" spans="1:18" x14ac:dyDescent="0.2">
      <c r="D26" s="168" t="s">
        <v>59</v>
      </c>
      <c r="E26" s="168"/>
      <c r="F26" s="168"/>
      <c r="G26" s="168"/>
    </row>
    <row r="27" spans="1:18" ht="13.5" thickBot="1" x14ac:dyDescent="0.25">
      <c r="A27" s="44" t="s">
        <v>27</v>
      </c>
      <c r="B27" s="44" t="s">
        <v>4</v>
      </c>
      <c r="C27" s="44" t="s">
        <v>29</v>
      </c>
      <c r="D27" s="45" t="s">
        <v>60</v>
      </c>
      <c r="E27" s="44" t="s">
        <v>63</v>
      </c>
      <c r="F27" s="44" t="s">
        <v>65</v>
      </c>
      <c r="G27" s="44" t="s">
        <v>68</v>
      </c>
      <c r="H27" s="44" t="s">
        <v>13</v>
      </c>
      <c r="I27" s="44" t="s">
        <v>62</v>
      </c>
      <c r="J27" s="44"/>
      <c r="K27" s="41" t="s">
        <v>61</v>
      </c>
      <c r="L27" s="41" t="s">
        <v>64</v>
      </c>
      <c r="M27" s="41" t="s">
        <v>65</v>
      </c>
      <c r="N27" s="41" t="s">
        <v>66</v>
      </c>
    </row>
    <row r="28" spans="1:18" ht="13.5" thickTop="1" x14ac:dyDescent="0.2">
      <c r="A28" s="95" t="s">
        <v>47</v>
      </c>
      <c r="B28" s="96">
        <f>C28/C30</f>
        <v>1</v>
      </c>
      <c r="C28" s="97">
        <f>J21</f>
        <v>682</v>
      </c>
      <c r="D28" s="98">
        <v>42.28</v>
      </c>
      <c r="E28" s="99">
        <v>9.89</v>
      </c>
      <c r="F28" s="99">
        <v>0</v>
      </c>
      <c r="G28" s="99">
        <v>0</v>
      </c>
      <c r="H28" s="101">
        <f>SUM(D28:G28)</f>
        <v>52.17</v>
      </c>
      <c r="I28" s="102">
        <f>J21+H28</f>
        <v>734.17</v>
      </c>
      <c r="J28" s="94"/>
      <c r="K28" s="41">
        <v>887.88</v>
      </c>
      <c r="L28" s="41">
        <v>207.69</v>
      </c>
      <c r="M28" s="41">
        <v>41.98</v>
      </c>
      <c r="N28" s="41">
        <v>441.03</v>
      </c>
      <c r="P28" s="41">
        <f>(K28+O28+N28+M28+L28)</f>
        <v>1578.58</v>
      </c>
    </row>
    <row r="29" spans="1:18" ht="13.5" thickBot="1" x14ac:dyDescent="0.25">
      <c r="A29" s="103" t="s">
        <v>12</v>
      </c>
      <c r="B29" s="104"/>
      <c r="C29" s="105">
        <f>J22</f>
        <v>15004</v>
      </c>
      <c r="D29" s="106">
        <f>D28+K28</f>
        <v>930.16</v>
      </c>
      <c r="E29" s="107">
        <f>E28+L28</f>
        <v>217.57999999999998</v>
      </c>
      <c r="F29" s="107">
        <f>F28+M28</f>
        <v>41.98</v>
      </c>
      <c r="G29" s="107">
        <f>G28+N28</f>
        <v>441.03</v>
      </c>
      <c r="H29" s="109">
        <f>SUM(D29:G29)</f>
        <v>1630.75</v>
      </c>
      <c r="I29" s="110">
        <f>H29+J22</f>
        <v>16634.75</v>
      </c>
      <c r="J29" s="142"/>
      <c r="K29" s="134"/>
      <c r="L29" s="134"/>
      <c r="M29" s="134"/>
      <c r="N29" s="134"/>
      <c r="O29" s="134"/>
    </row>
    <row r="30" spans="1:18" ht="14.25" thickTop="1" thickBot="1" x14ac:dyDescent="0.25">
      <c r="A30" s="111" t="s">
        <v>5</v>
      </c>
      <c r="B30" s="112">
        <f>SUM(B28:B29)</f>
        <v>1</v>
      </c>
      <c r="C30" s="113">
        <f t="shared" ref="C30:G30" si="7">C28</f>
        <v>682</v>
      </c>
      <c r="D30" s="81">
        <v>42.28</v>
      </c>
      <c r="E30" s="82">
        <v>9.89</v>
      </c>
      <c r="F30" s="82">
        <f t="shared" si="7"/>
        <v>0</v>
      </c>
      <c r="G30" s="82">
        <f t="shared" si="7"/>
        <v>0</v>
      </c>
      <c r="H30" s="84">
        <f>SUM(D30:G30)</f>
        <v>52.17</v>
      </c>
      <c r="I30" s="85">
        <f>I28</f>
        <v>734.17</v>
      </c>
      <c r="J30" s="94"/>
    </row>
    <row r="31" spans="1:18" ht="13.5" thickBot="1" x14ac:dyDescent="0.25">
      <c r="A31" s="114" t="s">
        <v>14</v>
      </c>
      <c r="B31" s="115">
        <f>SUM(B29:B30)</f>
        <v>1</v>
      </c>
      <c r="C31" s="136">
        <f t="shared" ref="C31:G31" si="8">C29</f>
        <v>15004</v>
      </c>
      <c r="D31" s="89">
        <f t="shared" si="8"/>
        <v>930.16</v>
      </c>
      <c r="E31" s="90">
        <f t="shared" si="8"/>
        <v>217.57999999999998</v>
      </c>
      <c r="F31" s="90">
        <f t="shared" si="8"/>
        <v>41.98</v>
      </c>
      <c r="G31" s="90">
        <f t="shared" si="8"/>
        <v>441.03</v>
      </c>
      <c r="H31" s="92">
        <f>SUM(D31:G31)</f>
        <v>1630.75</v>
      </c>
      <c r="I31" s="135">
        <f>I29</f>
        <v>16634.75</v>
      </c>
      <c r="J31" s="141"/>
    </row>
    <row r="32" spans="1:18" ht="13.5" thickTop="1" x14ac:dyDescent="0.2"/>
    <row r="33" spans="1:20" hidden="1" x14ac:dyDescent="0.2">
      <c r="A33" s="169" t="s">
        <v>22</v>
      </c>
      <c r="B33" s="169"/>
      <c r="C33" s="169"/>
      <c r="D33" s="38"/>
      <c r="E33" s="38"/>
      <c r="F33" s="38"/>
      <c r="G33" s="38"/>
      <c r="H33" s="38"/>
      <c r="I33" s="39" t="s">
        <v>23</v>
      </c>
      <c r="J33" s="40" t="s">
        <v>24</v>
      </c>
    </row>
    <row r="34" spans="1:20" hidden="1" x14ac:dyDescent="0.2">
      <c r="A34" s="40" t="s">
        <v>53</v>
      </c>
      <c r="B34" s="40"/>
      <c r="C34" s="40"/>
      <c r="D34" s="38"/>
      <c r="E34" s="38"/>
      <c r="F34" s="38"/>
      <c r="G34" s="38"/>
      <c r="H34" s="39" t="s">
        <v>26</v>
      </c>
      <c r="I34" s="42">
        <f>I2</f>
        <v>45430</v>
      </c>
      <c r="J34" s="43">
        <f>J2</f>
        <v>45436</v>
      </c>
      <c r="K34" s="41" t="s">
        <v>16</v>
      </c>
      <c r="L34" s="41" t="s">
        <v>18</v>
      </c>
      <c r="M34" s="41" t="s">
        <v>17</v>
      </c>
      <c r="N34" s="41" t="s">
        <v>19</v>
      </c>
      <c r="O34" s="41" t="s">
        <v>20</v>
      </c>
      <c r="Q34" s="41" t="s">
        <v>44</v>
      </c>
    </row>
    <row r="35" spans="1:20" hidden="1" x14ac:dyDescent="0.2">
      <c r="A35" s="39"/>
      <c r="B35" s="40"/>
      <c r="C35" s="40"/>
      <c r="D35" s="168" t="s">
        <v>45</v>
      </c>
      <c r="E35" s="168"/>
      <c r="F35" s="168"/>
      <c r="G35" s="168"/>
      <c r="H35" s="168"/>
      <c r="I35" s="42"/>
      <c r="J35" s="43"/>
    </row>
    <row r="36" spans="1:20" ht="13.5" hidden="1" thickBot="1" x14ac:dyDescent="0.25">
      <c r="A36" s="44" t="s">
        <v>27</v>
      </c>
      <c r="B36" s="44" t="s">
        <v>4</v>
      </c>
      <c r="C36" s="44" t="s">
        <v>28</v>
      </c>
      <c r="D36" s="45" t="s">
        <v>7</v>
      </c>
      <c r="E36" s="44" t="s">
        <v>8</v>
      </c>
      <c r="F36" s="44" t="s">
        <v>9</v>
      </c>
      <c r="G36" s="44" t="s">
        <v>10</v>
      </c>
      <c r="H36" s="44" t="s">
        <v>11</v>
      </c>
      <c r="I36" s="44" t="s">
        <v>13</v>
      </c>
      <c r="J36" s="44" t="s">
        <v>29</v>
      </c>
      <c r="K36" s="41" t="s">
        <v>15</v>
      </c>
      <c r="L36" s="41" t="s">
        <v>15</v>
      </c>
      <c r="M36" s="41" t="s">
        <v>15</v>
      </c>
      <c r="N36" s="41" t="s">
        <v>15</v>
      </c>
      <c r="O36" s="41" t="s">
        <v>15</v>
      </c>
    </row>
    <row r="37" spans="1:20" ht="13.5" hidden="1" thickTop="1" x14ac:dyDescent="0.2">
      <c r="A37" s="46" t="s">
        <v>47</v>
      </c>
      <c r="B37" s="47">
        <f>J37/J49</f>
        <v>1</v>
      </c>
      <c r="C37" s="48">
        <f>J37-I37</f>
        <v>1E-8</v>
      </c>
      <c r="D37" s="49">
        <f>ROUND(D49*$B$37,2)</f>
        <v>0</v>
      </c>
      <c r="E37" s="50">
        <f>ROUND(E49*$B$37,2)</f>
        <v>0</v>
      </c>
      <c r="F37" s="50">
        <f>ROUND(F49*$B$37,2)</f>
        <v>0</v>
      </c>
      <c r="G37" s="50">
        <f>ROUND(G49*$B$37,2)</f>
        <v>0</v>
      </c>
      <c r="H37" s="51">
        <f>ROUND(H49*$B$37,2)</f>
        <v>0</v>
      </c>
      <c r="I37" s="52">
        <f>SUM(D37:H37)</f>
        <v>0</v>
      </c>
      <c r="J37" s="53">
        <v>1E-8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>
        <f>(K37+O37+N37+M37+L37)</f>
        <v>0</v>
      </c>
      <c r="R37" s="41">
        <v>0</v>
      </c>
    </row>
    <row r="38" spans="1:20" ht="13.5" hidden="1" thickBot="1" x14ac:dyDescent="0.25">
      <c r="A38" s="54" t="s">
        <v>12</v>
      </c>
      <c r="B38" s="55">
        <f>C38/C50</f>
        <v>1</v>
      </c>
      <c r="C38" s="56">
        <f>R37+C37</f>
        <v>1E-8</v>
      </c>
      <c r="D38" s="57">
        <f t="shared" ref="D38:I38" si="9">K37+D37</f>
        <v>0</v>
      </c>
      <c r="E38" s="58">
        <f>L37+E37</f>
        <v>0</v>
      </c>
      <c r="F38" s="58">
        <f t="shared" si="9"/>
        <v>0</v>
      </c>
      <c r="G38" s="58">
        <f t="shared" si="9"/>
        <v>0</v>
      </c>
      <c r="H38" s="59">
        <f t="shared" si="9"/>
        <v>0</v>
      </c>
      <c r="I38" s="60">
        <f t="shared" si="9"/>
        <v>0</v>
      </c>
      <c r="J38" s="61">
        <f>SUM(C38:H38)</f>
        <v>1E-8</v>
      </c>
    </row>
    <row r="39" spans="1:20" hidden="1" x14ac:dyDescent="0.2">
      <c r="A39" s="62" t="s">
        <v>46</v>
      </c>
      <c r="B39" s="63"/>
      <c r="C39" s="64"/>
      <c r="D39" s="65"/>
      <c r="E39" s="66"/>
      <c r="F39" s="66"/>
      <c r="G39" s="66"/>
      <c r="H39" s="67"/>
      <c r="I39" s="68"/>
      <c r="J39" s="69">
        <f>C39</f>
        <v>0</v>
      </c>
      <c r="Q39" s="41">
        <v>0</v>
      </c>
      <c r="S39" s="41">
        <f>Q39/925</f>
        <v>0</v>
      </c>
    </row>
    <row r="40" spans="1:20" ht="13.5" hidden="1" thickBot="1" x14ac:dyDescent="0.25">
      <c r="A40" s="54" t="s">
        <v>12</v>
      </c>
      <c r="B40" s="55"/>
      <c r="C40" s="56">
        <f>Q39+C39</f>
        <v>0</v>
      </c>
      <c r="D40" s="57"/>
      <c r="E40" s="58"/>
      <c r="F40" s="58"/>
      <c r="G40" s="58"/>
      <c r="H40" s="59"/>
      <c r="I40" s="60"/>
      <c r="J40" s="61">
        <f>C40</f>
        <v>0</v>
      </c>
    </row>
    <row r="41" spans="1:20" hidden="1" x14ac:dyDescent="0.2">
      <c r="A41" s="156" t="s">
        <v>50</v>
      </c>
      <c r="B41" s="157">
        <f>J41/J49</f>
        <v>0</v>
      </c>
      <c r="C41" s="64">
        <f>J41-I41</f>
        <v>0</v>
      </c>
      <c r="D41" s="65">
        <f>ROUND(D49*$B$41,2)</f>
        <v>0</v>
      </c>
      <c r="E41" s="66">
        <f>ROUND(E49*$B$41,2)</f>
        <v>0</v>
      </c>
      <c r="F41" s="66">
        <f>ROUND(F49*$B$41,2)</f>
        <v>0</v>
      </c>
      <c r="G41" s="66">
        <f>ROUND(G49*$B$41,2)</f>
        <v>0</v>
      </c>
      <c r="H41" s="67">
        <f>ROUND(H49*$B$41,2)</f>
        <v>0</v>
      </c>
      <c r="I41" s="68">
        <f>SUM(D41:H41)</f>
        <v>0</v>
      </c>
      <c r="J41" s="68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f>(K41+O41+N41+M41+L41)</f>
        <v>0</v>
      </c>
      <c r="R41" s="41">
        <v>0</v>
      </c>
    </row>
    <row r="42" spans="1:20" ht="13.5" hidden="1" thickBot="1" x14ac:dyDescent="0.25">
      <c r="A42" s="158" t="s">
        <v>12</v>
      </c>
      <c r="B42" s="159">
        <f>C42/C50</f>
        <v>0</v>
      </c>
      <c r="C42" s="56">
        <f>R41+C41</f>
        <v>0</v>
      </c>
      <c r="D42" s="57">
        <f>K41+D41</f>
        <v>0</v>
      </c>
      <c r="E42" s="58">
        <f>L41+E41</f>
        <v>0</v>
      </c>
      <c r="F42" s="58">
        <f t="shared" ref="F42" si="10">M41+F41</f>
        <v>0</v>
      </c>
      <c r="G42" s="58">
        <f t="shared" ref="G42" si="11">N41+G41</f>
        <v>0</v>
      </c>
      <c r="H42" s="59">
        <f t="shared" ref="H42" si="12">O41+H41</f>
        <v>0</v>
      </c>
      <c r="I42" s="60">
        <f>P41+I41</f>
        <v>0</v>
      </c>
      <c r="J42" s="60">
        <f>SUM(C42:H42)</f>
        <v>0</v>
      </c>
    </row>
    <row r="43" spans="1:20" hidden="1" x14ac:dyDescent="0.2">
      <c r="A43" s="116" t="s">
        <v>49</v>
      </c>
      <c r="B43" s="117">
        <f>J43/J49</f>
        <v>0</v>
      </c>
      <c r="C43" s="64">
        <f>J43-I43</f>
        <v>0</v>
      </c>
      <c r="D43" s="65">
        <f>ROUND(D49*$B$43,2)</f>
        <v>0</v>
      </c>
      <c r="E43" s="66">
        <f>ROUND(E49*$B$43,2)</f>
        <v>0</v>
      </c>
      <c r="F43" s="66">
        <f>ROUND(F49*$B$43,2)</f>
        <v>0</v>
      </c>
      <c r="G43" s="66">
        <f>ROUND(G49*$B$43,2)</f>
        <v>0</v>
      </c>
      <c r="H43" s="67">
        <f>ROUND(H49*$B$43,2)</f>
        <v>0</v>
      </c>
      <c r="I43" s="68">
        <f>SUM(D43:H43)</f>
        <v>0</v>
      </c>
      <c r="J43" s="155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f>(K43+O43+N43+M43+L43)</f>
        <v>0</v>
      </c>
      <c r="R43" s="41">
        <v>0</v>
      </c>
    </row>
    <row r="44" spans="1:20" ht="13.5" hidden="1" thickBot="1" x14ac:dyDescent="0.25">
      <c r="A44" s="116" t="s">
        <v>12</v>
      </c>
      <c r="B44" s="117">
        <f>C44/C50</f>
        <v>0</v>
      </c>
      <c r="C44" s="56">
        <f>R43+C43</f>
        <v>0</v>
      </c>
      <c r="D44" s="57">
        <f>K43+D43</f>
        <v>0</v>
      </c>
      <c r="E44" s="58">
        <f>L43+E43</f>
        <v>0</v>
      </c>
      <c r="F44" s="58">
        <f t="shared" ref="F44" si="13">M43+F43</f>
        <v>0</v>
      </c>
      <c r="G44" s="58">
        <f t="shared" ref="G44" si="14">N43+G43</f>
        <v>0</v>
      </c>
      <c r="H44" s="59">
        <f t="shared" ref="H44" si="15">O43+H43</f>
        <v>0</v>
      </c>
      <c r="I44" s="60">
        <f>P43+I43</f>
        <v>0</v>
      </c>
      <c r="J44" s="60">
        <f>SUM(C44:H44)</f>
        <v>0</v>
      </c>
    </row>
    <row r="45" spans="1:20" hidden="1" x14ac:dyDescent="0.2">
      <c r="A45" s="62" t="s">
        <v>48</v>
      </c>
      <c r="B45" s="63">
        <f>J45/J49</f>
        <v>0</v>
      </c>
      <c r="C45" s="64">
        <f>J45-I45</f>
        <v>0</v>
      </c>
      <c r="D45" s="65">
        <f>D49-(D37+D43+D41)</f>
        <v>0</v>
      </c>
      <c r="E45" s="66">
        <f>E49-(E37+E43+E41)</f>
        <v>0</v>
      </c>
      <c r="F45" s="66">
        <f>F49-(F37+F43+F41)</f>
        <v>0</v>
      </c>
      <c r="G45" s="66">
        <f>G49-(G37+G43+G41)</f>
        <v>0</v>
      </c>
      <c r="H45" s="67">
        <f>H49-(H37+H43+H41)</f>
        <v>0</v>
      </c>
      <c r="I45" s="68">
        <f>SUM(D45:H45)</f>
        <v>0</v>
      </c>
      <c r="J45" s="69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f>(K45+O45+N45+M45+L45)</f>
        <v>0</v>
      </c>
      <c r="R45" s="41">
        <v>0</v>
      </c>
    </row>
    <row r="46" spans="1:20" ht="13.5" hidden="1" thickBot="1" x14ac:dyDescent="0.25">
      <c r="A46" s="70" t="s">
        <v>12</v>
      </c>
      <c r="B46" s="71">
        <f>C46/C50</f>
        <v>0</v>
      </c>
      <c r="C46" s="72">
        <f>R45+C45</f>
        <v>0</v>
      </c>
      <c r="D46" s="73">
        <f>K45+D45</f>
        <v>0</v>
      </c>
      <c r="E46" s="74">
        <f>L45+E45</f>
        <v>0</v>
      </c>
      <c r="F46" s="74">
        <f t="shared" ref="F46" si="16">M45+F45</f>
        <v>0</v>
      </c>
      <c r="G46" s="74">
        <f t="shared" ref="G46" si="17">N45+G45</f>
        <v>0</v>
      </c>
      <c r="H46" s="75">
        <f t="shared" ref="H46" si="18">O45+H45</f>
        <v>0</v>
      </c>
      <c r="I46" s="76">
        <f>P45+I45</f>
        <v>0</v>
      </c>
      <c r="J46" s="77">
        <f>SUM(C46:H46)</f>
        <v>0</v>
      </c>
    </row>
    <row r="47" spans="1:20" ht="13.5" hidden="1" thickTop="1" x14ac:dyDescent="0.2">
      <c r="A47" s="46" t="s">
        <v>43</v>
      </c>
      <c r="B47" s="47"/>
      <c r="C47" s="48">
        <f>C49+C39</f>
        <v>1E-8</v>
      </c>
      <c r="D47" s="118">
        <f>D49</f>
        <v>0</v>
      </c>
      <c r="E47" s="119">
        <f>E49</f>
        <v>0</v>
      </c>
      <c r="F47" s="119">
        <f t="shared" ref="F47:G47" si="19">F49</f>
        <v>0</v>
      </c>
      <c r="G47" s="119">
        <f t="shared" si="19"/>
        <v>0</v>
      </c>
      <c r="H47" s="120">
        <f>H49</f>
        <v>0</v>
      </c>
      <c r="I47" s="52">
        <f>I49</f>
        <v>0</v>
      </c>
      <c r="J47" s="121">
        <f>J49+J39</f>
        <v>1E-8</v>
      </c>
      <c r="T47" s="41">
        <v>3780</v>
      </c>
    </row>
    <row r="48" spans="1:20" ht="13.5" hidden="1" thickBot="1" x14ac:dyDescent="0.25">
      <c r="A48" s="54" t="s">
        <v>40</v>
      </c>
      <c r="B48" s="55"/>
      <c r="C48" s="56">
        <f>-C39</f>
        <v>0</v>
      </c>
      <c r="D48" s="57"/>
      <c r="E48" s="58"/>
      <c r="F48" s="58"/>
      <c r="G48" s="58"/>
      <c r="H48" s="59"/>
      <c r="I48" s="60"/>
      <c r="J48" s="122">
        <f>-J39</f>
        <v>0</v>
      </c>
    </row>
    <row r="49" spans="1:16" ht="13.5" hidden="1" thickBot="1" x14ac:dyDescent="0.25">
      <c r="A49" s="86" t="s">
        <v>39</v>
      </c>
      <c r="B49" s="87">
        <f>B45+B37+B41+B43</f>
        <v>1</v>
      </c>
      <c r="C49" s="88">
        <f>SUM(C37+C43+C41+C45)</f>
        <v>1E-8</v>
      </c>
      <c r="D49" s="89">
        <v>0</v>
      </c>
      <c r="E49" s="90">
        <v>0</v>
      </c>
      <c r="F49" s="90">
        <v>0</v>
      </c>
      <c r="G49" s="90">
        <v>0</v>
      </c>
      <c r="H49" s="91">
        <v>0</v>
      </c>
      <c r="I49" s="92">
        <f>SUM(D49:H49)</f>
        <v>0</v>
      </c>
      <c r="J49" s="93">
        <f>J45+J37+J41+J43</f>
        <v>1E-8</v>
      </c>
    </row>
    <row r="50" spans="1:16" ht="13.5" hidden="1" thickTop="1" x14ac:dyDescent="0.2">
      <c r="A50" s="123" t="s">
        <v>41</v>
      </c>
      <c r="B50" s="124">
        <f t="shared" ref="B50:H50" si="20">B46+B44+B38+B42</f>
        <v>1</v>
      </c>
      <c r="C50" s="125">
        <f t="shared" si="20"/>
        <v>1E-8</v>
      </c>
      <c r="D50" s="126">
        <f t="shared" si="20"/>
        <v>0</v>
      </c>
      <c r="E50" s="127">
        <f t="shared" si="20"/>
        <v>0</v>
      </c>
      <c r="F50" s="127">
        <f t="shared" si="20"/>
        <v>0</v>
      </c>
      <c r="G50" s="127">
        <f t="shared" si="20"/>
        <v>0</v>
      </c>
      <c r="H50" s="128">
        <f t="shared" si="20"/>
        <v>0</v>
      </c>
      <c r="I50" s="129">
        <f>SUM(D50:H50)</f>
        <v>0</v>
      </c>
      <c r="J50" s="130">
        <f>SUM(C50:H50)</f>
        <v>1E-8</v>
      </c>
      <c r="K50" s="94"/>
    </row>
    <row r="51" spans="1:16" ht="13.5" hidden="1" thickBot="1" x14ac:dyDescent="0.25">
      <c r="A51" s="70" t="s">
        <v>42</v>
      </c>
      <c r="B51" s="71"/>
      <c r="C51" s="138">
        <f>C50+C40</f>
        <v>1E-8</v>
      </c>
      <c r="D51" s="73">
        <f t="shared" ref="D51:I51" si="21">D50</f>
        <v>0</v>
      </c>
      <c r="E51" s="74">
        <f t="shared" si="21"/>
        <v>0</v>
      </c>
      <c r="F51" s="74">
        <f t="shared" si="21"/>
        <v>0</v>
      </c>
      <c r="G51" s="74">
        <f t="shared" si="21"/>
        <v>0</v>
      </c>
      <c r="H51" s="75">
        <f t="shared" si="21"/>
        <v>0</v>
      </c>
      <c r="I51" s="76">
        <f t="shared" si="21"/>
        <v>0</v>
      </c>
      <c r="J51" s="137">
        <f>J50+J40</f>
        <v>1E-8</v>
      </c>
      <c r="K51" s="41">
        <f>J51/J50</f>
        <v>1</v>
      </c>
    </row>
    <row r="52" spans="1:16" ht="13.5" hidden="1" thickTop="1" x14ac:dyDescent="0.2">
      <c r="D52" s="94"/>
      <c r="E52" s="94"/>
      <c r="F52" s="94"/>
      <c r="G52" s="94"/>
      <c r="H52" s="94"/>
    </row>
    <row r="53" spans="1:16" hidden="1" x14ac:dyDescent="0.2">
      <c r="A53" s="39"/>
      <c r="B53" s="40"/>
      <c r="C53" s="40"/>
      <c r="D53" s="168" t="s">
        <v>59</v>
      </c>
      <c r="E53" s="168"/>
      <c r="F53" s="168"/>
      <c r="G53" s="168"/>
      <c r="H53" s="38"/>
      <c r="I53" s="42"/>
      <c r="J53" s="43"/>
    </row>
    <row r="54" spans="1:16" ht="13.5" hidden="1" thickBot="1" x14ac:dyDescent="0.25">
      <c r="A54" s="44" t="s">
        <v>27</v>
      </c>
      <c r="B54" s="44" t="s">
        <v>4</v>
      </c>
      <c r="C54" s="44" t="s">
        <v>29</v>
      </c>
      <c r="D54" s="45" t="s">
        <v>60</v>
      </c>
      <c r="E54" s="44" t="s">
        <v>63</v>
      </c>
      <c r="F54" s="44" t="s">
        <v>65</v>
      </c>
      <c r="G54" s="44" t="s">
        <v>68</v>
      </c>
      <c r="H54" s="44" t="s">
        <v>13</v>
      </c>
      <c r="I54" s="44" t="s">
        <v>62</v>
      </c>
      <c r="J54" s="44"/>
      <c r="K54" s="41" t="s">
        <v>61</v>
      </c>
      <c r="L54" s="41" t="s">
        <v>64</v>
      </c>
      <c r="M54" s="41" t="s">
        <v>65</v>
      </c>
      <c r="N54" s="41" t="s">
        <v>66</v>
      </c>
    </row>
    <row r="55" spans="1:16" ht="13.5" hidden="1" thickTop="1" x14ac:dyDescent="0.2">
      <c r="A55" s="46" t="s">
        <v>47</v>
      </c>
      <c r="B55" s="47">
        <f>B37</f>
        <v>1</v>
      </c>
      <c r="C55" s="48">
        <f>J37</f>
        <v>1E-8</v>
      </c>
      <c r="D55" s="49">
        <f>ROUND(D67*$B$55,2)</f>
        <v>0</v>
      </c>
      <c r="E55" s="50">
        <f>ROUND(E67*B55,2)</f>
        <v>0</v>
      </c>
      <c r="F55" s="50">
        <f>ROUND(F67*B55,2)</f>
        <v>0</v>
      </c>
      <c r="G55" s="50">
        <f>ROUND(G67*B55,2)</f>
        <v>0</v>
      </c>
      <c r="H55" s="52">
        <f>SUM(D55:G55)</f>
        <v>0</v>
      </c>
      <c r="I55" s="53">
        <f>J37+H55</f>
        <v>1E-8</v>
      </c>
      <c r="J55" s="94"/>
      <c r="K55" s="41">
        <v>0</v>
      </c>
      <c r="L55" s="41">
        <v>0</v>
      </c>
      <c r="M55" s="41">
        <v>0</v>
      </c>
      <c r="N55" s="41">
        <v>0</v>
      </c>
      <c r="P55" s="41">
        <f>SUM(K55:N55)</f>
        <v>0</v>
      </c>
    </row>
    <row r="56" spans="1:16" ht="13.5" hidden="1" thickBot="1" x14ac:dyDescent="0.25">
      <c r="A56" s="54" t="s">
        <v>12</v>
      </c>
      <c r="B56" s="55">
        <f>B38</f>
        <v>1</v>
      </c>
      <c r="C56" s="56">
        <f>J38</f>
        <v>1E-8</v>
      </c>
      <c r="D56" s="143">
        <f>D55+K55</f>
        <v>0</v>
      </c>
      <c r="E56" s="144">
        <f>E55+L55</f>
        <v>0</v>
      </c>
      <c r="F56" s="144">
        <f>F55+M55</f>
        <v>0</v>
      </c>
      <c r="G56" s="144">
        <f>G55+N55</f>
        <v>0</v>
      </c>
      <c r="H56" s="76">
        <f>SUM(D56:G56)</f>
        <v>0</v>
      </c>
      <c r="I56" s="77">
        <f>H56+J38</f>
        <v>1E-8</v>
      </c>
      <c r="J56" s="94"/>
    </row>
    <row r="57" spans="1:16" ht="13.5" hidden="1" thickTop="1" x14ac:dyDescent="0.2">
      <c r="A57" s="62" t="s">
        <v>46</v>
      </c>
      <c r="B57" s="63"/>
      <c r="C57" s="64"/>
      <c r="D57" s="65"/>
      <c r="E57" s="66"/>
      <c r="F57" s="66"/>
      <c r="G57" s="66"/>
      <c r="H57" s="68"/>
      <c r="I57" s="53">
        <f>J39+H57</f>
        <v>0</v>
      </c>
      <c r="J57" s="94"/>
      <c r="K57" s="41">
        <v>0</v>
      </c>
      <c r="L57" s="41">
        <v>0</v>
      </c>
      <c r="M57" s="41">
        <v>0</v>
      </c>
      <c r="N57" s="41">
        <v>0</v>
      </c>
    </row>
    <row r="58" spans="1:16" ht="13.5" hidden="1" thickBot="1" x14ac:dyDescent="0.25">
      <c r="A58" s="160" t="s">
        <v>12</v>
      </c>
      <c r="B58" s="161"/>
      <c r="C58" s="162">
        <f t="shared" ref="C58:C64" si="22">J40</f>
        <v>0</v>
      </c>
      <c r="D58" s="163"/>
      <c r="E58" s="164"/>
      <c r="F58" s="164"/>
      <c r="G58" s="164"/>
      <c r="H58" s="165"/>
      <c r="I58" s="166">
        <f>H58+J40</f>
        <v>0</v>
      </c>
      <c r="J58" s="94"/>
    </row>
    <row r="59" spans="1:16" hidden="1" x14ac:dyDescent="0.2">
      <c r="A59" s="156" t="s">
        <v>50</v>
      </c>
      <c r="B59" s="157">
        <f t="shared" ref="B59:B64" si="23">B41</f>
        <v>0</v>
      </c>
      <c r="C59" s="64">
        <f t="shared" si="22"/>
        <v>0</v>
      </c>
      <c r="D59" s="65">
        <f>ROUND(D67*$B$59,2)</f>
        <v>0</v>
      </c>
      <c r="E59" s="66">
        <f>ROUND(E67*$B$59,2)</f>
        <v>0</v>
      </c>
      <c r="F59" s="66">
        <f>ROUND(F67*$B$59,2)</f>
        <v>0</v>
      </c>
      <c r="G59" s="66">
        <f>ROUND(G67*$B$59,2)</f>
        <v>0</v>
      </c>
      <c r="H59" s="68">
        <f t="shared" ref="H59:H64" si="24">SUM(D59:G59)</f>
        <v>0</v>
      </c>
      <c r="I59" s="68">
        <f>J41+H59</f>
        <v>0</v>
      </c>
      <c r="J59" s="94"/>
      <c r="K59" s="41">
        <v>0</v>
      </c>
      <c r="L59" s="41">
        <v>0</v>
      </c>
      <c r="M59" s="41">
        <v>0</v>
      </c>
      <c r="N59" s="41">
        <v>0</v>
      </c>
      <c r="P59" s="41">
        <f>SUM(K59:N59)</f>
        <v>0</v>
      </c>
    </row>
    <row r="60" spans="1:16" ht="13.5" hidden="1" thickBot="1" x14ac:dyDescent="0.25">
      <c r="A60" s="158" t="s">
        <v>12</v>
      </c>
      <c r="B60" s="159">
        <f t="shared" si="23"/>
        <v>0</v>
      </c>
      <c r="C60" s="56">
        <f t="shared" si="22"/>
        <v>0</v>
      </c>
      <c r="D60" s="57">
        <f>K59+D59</f>
        <v>0</v>
      </c>
      <c r="E60" s="58">
        <f>L59+E59</f>
        <v>0</v>
      </c>
      <c r="F60" s="58">
        <f>M59+F59</f>
        <v>0</v>
      </c>
      <c r="G60" s="58">
        <f>N59+G59</f>
        <v>0</v>
      </c>
      <c r="H60" s="60">
        <f t="shared" si="24"/>
        <v>0</v>
      </c>
      <c r="I60" s="60">
        <f>H60+J42</f>
        <v>0</v>
      </c>
      <c r="J60" s="94"/>
    </row>
    <row r="61" spans="1:16" hidden="1" x14ac:dyDescent="0.2">
      <c r="A61" s="116" t="s">
        <v>49</v>
      </c>
      <c r="B61" s="157">
        <f t="shared" si="23"/>
        <v>0</v>
      </c>
      <c r="C61" s="64">
        <f t="shared" si="22"/>
        <v>0</v>
      </c>
      <c r="D61" s="65">
        <f>ROUND(D67*$B$59,2)</f>
        <v>0</v>
      </c>
      <c r="E61" s="66">
        <f>ROUND(E67*$B$59,2)</f>
        <v>0</v>
      </c>
      <c r="F61" s="66">
        <f>ROUND(F67*$B$59,2)</f>
        <v>0</v>
      </c>
      <c r="G61" s="66">
        <f>ROUND(G67*$B$59,2)</f>
        <v>0</v>
      </c>
      <c r="H61" s="68">
        <f t="shared" si="24"/>
        <v>0</v>
      </c>
      <c r="I61" s="68">
        <f>J43+H61</f>
        <v>0</v>
      </c>
      <c r="J61" s="94"/>
      <c r="K61" s="41">
        <v>0</v>
      </c>
      <c r="L61" s="41">
        <v>0</v>
      </c>
      <c r="M61" s="41">
        <v>0</v>
      </c>
      <c r="N61" s="41">
        <v>0</v>
      </c>
      <c r="P61" s="41">
        <f>SUM(K61:N61)</f>
        <v>0</v>
      </c>
    </row>
    <row r="62" spans="1:16" ht="13.5" hidden="1" thickBot="1" x14ac:dyDescent="0.25">
      <c r="A62" s="116" t="s">
        <v>12</v>
      </c>
      <c r="B62" s="159">
        <f t="shared" si="23"/>
        <v>0</v>
      </c>
      <c r="C62" s="56">
        <f t="shared" si="22"/>
        <v>0</v>
      </c>
      <c r="D62" s="57">
        <f>K61+D61</f>
        <v>0</v>
      </c>
      <c r="E62" s="58">
        <f>L61+E61</f>
        <v>0</v>
      </c>
      <c r="F62" s="58">
        <f>M61+F61</f>
        <v>0</v>
      </c>
      <c r="G62" s="58">
        <f>N61+G61</f>
        <v>0</v>
      </c>
      <c r="H62" s="60">
        <f t="shared" si="24"/>
        <v>0</v>
      </c>
      <c r="I62" s="60">
        <f>H62+J44</f>
        <v>0</v>
      </c>
      <c r="J62" s="94"/>
    </row>
    <row r="63" spans="1:16" ht="13.5" hidden="1" thickTop="1" x14ac:dyDescent="0.2">
      <c r="A63" s="62" t="s">
        <v>48</v>
      </c>
      <c r="B63" s="117">
        <f t="shared" si="23"/>
        <v>0</v>
      </c>
      <c r="C63" s="64">
        <f t="shared" si="22"/>
        <v>0</v>
      </c>
      <c r="D63" s="65">
        <f>D67-(D55+D59)</f>
        <v>0</v>
      </c>
      <c r="E63" s="66">
        <f>E67-(E55+E59)</f>
        <v>0</v>
      </c>
      <c r="F63" s="66">
        <f>F67-(F55+F59)</f>
        <v>0</v>
      </c>
      <c r="G63" s="66">
        <f>G67-(G55+G59)</f>
        <v>0</v>
      </c>
      <c r="H63" s="68">
        <f t="shared" si="24"/>
        <v>0</v>
      </c>
      <c r="I63" s="53">
        <f>J45+H63</f>
        <v>0</v>
      </c>
      <c r="J63" s="94"/>
      <c r="K63" s="41">
        <v>0</v>
      </c>
      <c r="L63" s="41">
        <v>0</v>
      </c>
      <c r="M63" s="41">
        <v>0</v>
      </c>
      <c r="N63" s="41">
        <v>0</v>
      </c>
      <c r="P63" s="41">
        <f>SUM(K63:N63)</f>
        <v>0</v>
      </c>
    </row>
    <row r="64" spans="1:16" ht="13.5" hidden="1" thickBot="1" x14ac:dyDescent="0.25">
      <c r="A64" s="70" t="s">
        <v>12</v>
      </c>
      <c r="B64" s="117">
        <f t="shared" si="23"/>
        <v>0</v>
      </c>
      <c r="C64" s="72">
        <f t="shared" si="22"/>
        <v>0</v>
      </c>
      <c r="D64" s="73">
        <f>K63+D63</f>
        <v>0</v>
      </c>
      <c r="E64" s="74">
        <f>L63+E63</f>
        <v>0</v>
      </c>
      <c r="F64" s="74">
        <f>M63+F63</f>
        <v>0</v>
      </c>
      <c r="G64" s="74">
        <f>N63+G63</f>
        <v>0</v>
      </c>
      <c r="H64" s="76">
        <f t="shared" si="24"/>
        <v>0</v>
      </c>
      <c r="I64" s="77">
        <f>H64+J46</f>
        <v>0</v>
      </c>
      <c r="J64" s="94"/>
    </row>
    <row r="65" spans="1:18" ht="13.5" hidden="1" thickTop="1" x14ac:dyDescent="0.2">
      <c r="A65" s="46" t="s">
        <v>43</v>
      </c>
      <c r="B65" s="47"/>
      <c r="C65" s="48">
        <f>C67+C57</f>
        <v>1E-8</v>
      </c>
      <c r="D65" s="118">
        <f>D67</f>
        <v>0</v>
      </c>
      <c r="E65" s="119">
        <f>E67</f>
        <v>0</v>
      </c>
      <c r="F65" s="119">
        <f t="shared" ref="F65:G65" si="25">F67</f>
        <v>0</v>
      </c>
      <c r="G65" s="119">
        <f t="shared" si="25"/>
        <v>0</v>
      </c>
      <c r="H65" s="52">
        <f>H67</f>
        <v>0</v>
      </c>
      <c r="I65" s="121">
        <f>I67+I57</f>
        <v>1E-8</v>
      </c>
      <c r="J65" s="134"/>
    </row>
    <row r="66" spans="1:18" ht="13.5" hidden="1" thickBot="1" x14ac:dyDescent="0.25">
      <c r="A66" s="54" t="s">
        <v>40</v>
      </c>
      <c r="B66" s="55"/>
      <c r="C66" s="56">
        <f>-C57</f>
        <v>0</v>
      </c>
      <c r="D66" s="57"/>
      <c r="E66" s="58"/>
      <c r="F66" s="58"/>
      <c r="G66" s="58"/>
      <c r="H66" s="60"/>
      <c r="I66" s="122">
        <f>-I57</f>
        <v>0</v>
      </c>
      <c r="J66" s="134"/>
    </row>
    <row r="67" spans="1:18" ht="13.5" hidden="1" thickBot="1" x14ac:dyDescent="0.25">
      <c r="A67" s="86" t="s">
        <v>39</v>
      </c>
      <c r="B67" s="87">
        <f>B63+B55+B59+B61</f>
        <v>1</v>
      </c>
      <c r="C67" s="88">
        <f>SUM(C55+C61+C59+C63)</f>
        <v>1E-8</v>
      </c>
      <c r="D67" s="89">
        <v>0</v>
      </c>
      <c r="E67" s="90">
        <v>0</v>
      </c>
      <c r="F67" s="90">
        <v>0</v>
      </c>
      <c r="G67" s="90">
        <v>0</v>
      </c>
      <c r="H67" s="92">
        <f>SUM(D67:G67)</f>
        <v>0</v>
      </c>
      <c r="I67" s="93">
        <f>I63+I55+I59+I61</f>
        <v>1E-8</v>
      </c>
      <c r="J67" s="94"/>
    </row>
    <row r="68" spans="1:18" ht="13.5" hidden="1" thickTop="1" x14ac:dyDescent="0.2">
      <c r="A68" s="123" t="s">
        <v>41</v>
      </c>
      <c r="B68" s="124">
        <f>B64+B56+B60+B62</f>
        <v>1</v>
      </c>
      <c r="C68" s="125">
        <f>C64+C62+C56+C60</f>
        <v>1E-8</v>
      </c>
      <c r="D68" s="126">
        <f>D64+D56+D60+D62</f>
        <v>0</v>
      </c>
      <c r="E68" s="127">
        <f>E64+E56+E60+E62</f>
        <v>0</v>
      </c>
      <c r="F68" s="127">
        <f>F64+F56+F60+F62</f>
        <v>0</v>
      </c>
      <c r="G68" s="127">
        <f>G64+G56+G60+G62</f>
        <v>0</v>
      </c>
      <c r="H68" s="129">
        <f>SUM(D68:G68)</f>
        <v>0</v>
      </c>
      <c r="I68" s="130">
        <f>SUM(C68:G68)</f>
        <v>1E-8</v>
      </c>
      <c r="J68" s="134"/>
      <c r="K68" s="94"/>
    </row>
    <row r="69" spans="1:18" ht="13.5" hidden="1" thickBot="1" x14ac:dyDescent="0.25">
      <c r="A69" s="70" t="s">
        <v>42</v>
      </c>
      <c r="B69" s="71"/>
      <c r="C69" s="138">
        <f>C68+C58</f>
        <v>1E-8</v>
      </c>
      <c r="D69" s="73">
        <f t="shared" ref="D69:H69" si="26">D68</f>
        <v>0</v>
      </c>
      <c r="E69" s="74">
        <f t="shared" si="26"/>
        <v>0</v>
      </c>
      <c r="F69" s="74">
        <f t="shared" si="26"/>
        <v>0</v>
      </c>
      <c r="G69" s="74">
        <f t="shared" si="26"/>
        <v>0</v>
      </c>
      <c r="H69" s="76">
        <f t="shared" si="26"/>
        <v>0</v>
      </c>
      <c r="I69" s="137">
        <f>I68+I58</f>
        <v>1E-8</v>
      </c>
      <c r="J69" s="140"/>
    </row>
    <row r="70" spans="1:18" ht="13.5" hidden="1" thickTop="1" x14ac:dyDescent="0.2"/>
    <row r="71" spans="1:18" s="38" customFormat="1" x14ac:dyDescent="0.2">
      <c r="A71" s="169" t="s">
        <v>22</v>
      </c>
      <c r="B71" s="169"/>
      <c r="C71" s="169"/>
      <c r="I71" s="39" t="s">
        <v>23</v>
      </c>
      <c r="J71" s="40" t="s">
        <v>24</v>
      </c>
    </row>
    <row r="72" spans="1:18" s="38" customFormat="1" x14ac:dyDescent="0.2">
      <c r="A72" s="40" t="s">
        <v>54</v>
      </c>
      <c r="B72" s="40"/>
      <c r="C72" s="40"/>
      <c r="H72" s="39" t="s">
        <v>26</v>
      </c>
      <c r="I72" s="42">
        <f>$I$2</f>
        <v>45430</v>
      </c>
      <c r="J72" s="43">
        <f>$J$2</f>
        <v>45436</v>
      </c>
    </row>
    <row r="73" spans="1:18" s="38" customFormat="1" x14ac:dyDescent="0.2">
      <c r="A73" s="39"/>
      <c r="B73" s="40"/>
      <c r="C73" s="40"/>
      <c r="D73" s="168" t="s">
        <v>45</v>
      </c>
      <c r="E73" s="168"/>
      <c r="F73" s="168"/>
      <c r="G73" s="168"/>
      <c r="H73" s="168"/>
      <c r="I73" s="42"/>
      <c r="J73" s="43"/>
    </row>
    <row r="74" spans="1:18" ht="13.5" thickBot="1" x14ac:dyDescent="0.25">
      <c r="A74" s="44" t="s">
        <v>27</v>
      </c>
      <c r="B74" s="44" t="s">
        <v>4</v>
      </c>
      <c r="C74" s="44" t="s">
        <v>28</v>
      </c>
      <c r="D74" s="45" t="s">
        <v>7</v>
      </c>
      <c r="E74" s="44" t="s">
        <v>8</v>
      </c>
      <c r="F74" s="44" t="s">
        <v>9</v>
      </c>
      <c r="G74" s="44" t="s">
        <v>10</v>
      </c>
      <c r="H74" s="44" t="s">
        <v>11</v>
      </c>
      <c r="I74" s="44" t="s">
        <v>13</v>
      </c>
      <c r="J74" s="44" t="s">
        <v>29</v>
      </c>
    </row>
    <row r="75" spans="1:18" ht="13.5" thickTop="1" x14ac:dyDescent="0.2">
      <c r="A75" s="95" t="s">
        <v>47</v>
      </c>
      <c r="B75" s="145">
        <f>C75/C77</f>
        <v>1</v>
      </c>
      <c r="C75" s="146">
        <f>J75-I75</f>
        <v>296.18</v>
      </c>
      <c r="D75" s="49">
        <v>19.25</v>
      </c>
      <c r="E75" s="50">
        <v>22.07</v>
      </c>
      <c r="F75" s="50">
        <v>5.16</v>
      </c>
      <c r="G75" s="50">
        <v>4.4400000000000004</v>
      </c>
      <c r="H75" s="51">
        <v>8.9</v>
      </c>
      <c r="I75" s="52">
        <f>SUM(D75:H75)</f>
        <v>59.82</v>
      </c>
      <c r="J75" s="53">
        <v>356</v>
      </c>
    </row>
    <row r="76" spans="1:18" ht="13.5" thickBot="1" x14ac:dyDescent="0.25">
      <c r="A76" s="103" t="s">
        <v>12</v>
      </c>
      <c r="B76" s="147"/>
      <c r="C76" s="148">
        <f>R76+C75</f>
        <v>6515.8600000000006</v>
      </c>
      <c r="D76" s="143">
        <f>K76+D75</f>
        <v>423.52</v>
      </c>
      <c r="E76" s="144">
        <f>L76+E75</f>
        <v>485.58</v>
      </c>
      <c r="F76" s="144">
        <f>M76+F75</f>
        <v>113.56</v>
      </c>
      <c r="G76" s="144">
        <f>N76+G75</f>
        <v>97.679999999999993</v>
      </c>
      <c r="H76" s="149">
        <f>O76+H75</f>
        <v>195.8</v>
      </c>
      <c r="I76" s="76">
        <f>SUM(D76:H76)</f>
        <v>1316.1399999999999</v>
      </c>
      <c r="J76" s="77">
        <f>I76+C76</f>
        <v>7832</v>
      </c>
      <c r="K76" s="133">
        <v>404.27</v>
      </c>
      <c r="L76" s="134">
        <v>463.51</v>
      </c>
      <c r="M76" s="134">
        <v>108.4</v>
      </c>
      <c r="N76" s="134">
        <v>93.24</v>
      </c>
      <c r="O76" s="134">
        <v>186.9</v>
      </c>
      <c r="P76" s="41">
        <f>(K76+O76+N76+M76+L76)</f>
        <v>1256.32</v>
      </c>
      <c r="R76" s="41">
        <v>6219.68</v>
      </c>
    </row>
    <row r="77" spans="1:18" ht="14.25" thickTop="1" thickBot="1" x14ac:dyDescent="0.25">
      <c r="A77" s="111" t="s">
        <v>5</v>
      </c>
      <c r="B77" s="112">
        <f>SUM(B75:B76)</f>
        <v>1</v>
      </c>
      <c r="C77" s="113">
        <f t="shared" ref="C77:G77" si="27">C75</f>
        <v>296.18</v>
      </c>
      <c r="D77" s="81">
        <f t="shared" si="27"/>
        <v>19.25</v>
      </c>
      <c r="E77" s="82">
        <f t="shared" si="27"/>
        <v>22.07</v>
      </c>
      <c r="F77" s="82">
        <f t="shared" si="27"/>
        <v>5.16</v>
      </c>
      <c r="G77" s="82">
        <f t="shared" si="27"/>
        <v>4.4400000000000004</v>
      </c>
      <c r="H77" s="83">
        <f>H75</f>
        <v>8.9</v>
      </c>
      <c r="I77" s="84">
        <f>SUM(D77:H77)</f>
        <v>59.82</v>
      </c>
      <c r="J77" s="85">
        <f>J75</f>
        <v>356</v>
      </c>
    </row>
    <row r="78" spans="1:18" ht="13.5" thickBot="1" x14ac:dyDescent="0.25">
      <c r="A78" s="114" t="s">
        <v>14</v>
      </c>
      <c r="B78" s="115">
        <f>SUM(B76:B77)</f>
        <v>1</v>
      </c>
      <c r="C78" s="136">
        <f t="shared" ref="C78:G78" si="28">C76</f>
        <v>6515.8600000000006</v>
      </c>
      <c r="D78" s="89">
        <f t="shared" si="28"/>
        <v>423.52</v>
      </c>
      <c r="E78" s="90">
        <f t="shared" si="28"/>
        <v>485.58</v>
      </c>
      <c r="F78" s="90">
        <f t="shared" si="28"/>
        <v>113.56</v>
      </c>
      <c r="G78" s="90">
        <f t="shared" si="28"/>
        <v>97.679999999999993</v>
      </c>
      <c r="H78" s="91">
        <f>H76</f>
        <v>195.8</v>
      </c>
      <c r="I78" s="92">
        <f>SUM(D78:H78)</f>
        <v>1316.1399999999999</v>
      </c>
      <c r="J78" s="135">
        <f>J76</f>
        <v>7832</v>
      </c>
      <c r="K78" s="41">
        <f>J78/J77</f>
        <v>22</v>
      </c>
    </row>
    <row r="79" spans="1:18" ht="13.5" thickTop="1" x14ac:dyDescent="0.2"/>
    <row r="80" spans="1:18" x14ac:dyDescent="0.2">
      <c r="D80" s="168" t="s">
        <v>59</v>
      </c>
      <c r="E80" s="168"/>
      <c r="F80" s="168"/>
      <c r="G80" s="168"/>
    </row>
    <row r="81" spans="1:18" ht="13.5" thickBot="1" x14ac:dyDescent="0.25">
      <c r="A81" s="44" t="s">
        <v>27</v>
      </c>
      <c r="B81" s="44" t="s">
        <v>4</v>
      </c>
      <c r="C81" s="44" t="s">
        <v>29</v>
      </c>
      <c r="D81" s="45" t="s">
        <v>60</v>
      </c>
      <c r="E81" s="44" t="s">
        <v>63</v>
      </c>
      <c r="F81" s="44" t="s">
        <v>65</v>
      </c>
      <c r="G81" s="44" t="s">
        <v>68</v>
      </c>
      <c r="H81" s="44" t="s">
        <v>13</v>
      </c>
      <c r="I81" s="44" t="s">
        <v>62</v>
      </c>
      <c r="J81" s="44"/>
      <c r="K81" s="41" t="s">
        <v>61</v>
      </c>
      <c r="L81" s="41" t="s">
        <v>64</v>
      </c>
      <c r="M81" s="41" t="s">
        <v>65</v>
      </c>
      <c r="N81" s="41" t="s">
        <v>66</v>
      </c>
    </row>
    <row r="82" spans="1:18" ht="13.5" thickTop="1" x14ac:dyDescent="0.2">
      <c r="A82" s="95" t="s">
        <v>47</v>
      </c>
      <c r="B82" s="96">
        <f>C82/C84</f>
        <v>1</v>
      </c>
      <c r="C82" s="97">
        <f>J75</f>
        <v>356</v>
      </c>
      <c r="D82" s="98">
        <v>22.07</v>
      </c>
      <c r="E82" s="99">
        <v>5.16</v>
      </c>
      <c r="F82" s="99">
        <v>0</v>
      </c>
      <c r="G82" s="99">
        <v>17.440000000000001</v>
      </c>
      <c r="H82" s="101">
        <f>SUM(D82:G82)</f>
        <v>44.67</v>
      </c>
      <c r="I82" s="102">
        <f>J75+H82</f>
        <v>400.67</v>
      </c>
      <c r="J82" s="94"/>
      <c r="K82" s="41">
        <v>463.47</v>
      </c>
      <c r="L82" s="41">
        <v>108.36</v>
      </c>
      <c r="M82" s="41">
        <v>42</v>
      </c>
      <c r="N82" s="41">
        <v>366.24</v>
      </c>
      <c r="P82" s="41">
        <f>SUM(K82:N82)</f>
        <v>980.07</v>
      </c>
    </row>
    <row r="83" spans="1:18" ht="13.5" thickBot="1" x14ac:dyDescent="0.25">
      <c r="A83" s="103" t="s">
        <v>12</v>
      </c>
      <c r="B83" s="104"/>
      <c r="C83" s="105">
        <f>J76</f>
        <v>7832</v>
      </c>
      <c r="D83" s="106">
        <f>D82+K82</f>
        <v>485.54</v>
      </c>
      <c r="E83" s="107">
        <f>E82+L82</f>
        <v>113.52</v>
      </c>
      <c r="F83" s="107">
        <f>F82+M82</f>
        <v>42</v>
      </c>
      <c r="G83" s="107">
        <f>G82+N82</f>
        <v>383.68</v>
      </c>
      <c r="H83" s="109">
        <f>SUM(D83:G83)</f>
        <v>1024.74</v>
      </c>
      <c r="I83" s="110">
        <f>H83+J76</f>
        <v>8856.74</v>
      </c>
      <c r="J83" s="142"/>
      <c r="K83" s="134"/>
      <c r="L83" s="134"/>
      <c r="M83" s="134"/>
      <c r="N83" s="134"/>
      <c r="O83" s="134"/>
    </row>
    <row r="84" spans="1:18" ht="14.25" thickTop="1" thickBot="1" x14ac:dyDescent="0.25">
      <c r="A84" s="111" t="s">
        <v>5</v>
      </c>
      <c r="B84" s="112">
        <f>SUM(B82:B83)</f>
        <v>1</v>
      </c>
      <c r="C84" s="113">
        <f t="shared" ref="C84:G84" si="29">C82</f>
        <v>356</v>
      </c>
      <c r="D84" s="81">
        <f t="shared" si="29"/>
        <v>22.07</v>
      </c>
      <c r="E84" s="82">
        <f t="shared" si="29"/>
        <v>5.16</v>
      </c>
      <c r="F84" s="82">
        <f t="shared" si="29"/>
        <v>0</v>
      </c>
      <c r="G84" s="82">
        <f t="shared" si="29"/>
        <v>17.440000000000001</v>
      </c>
      <c r="H84" s="84">
        <f>SUM(D84:G84)</f>
        <v>44.67</v>
      </c>
      <c r="I84" s="85">
        <f>I82</f>
        <v>400.67</v>
      </c>
      <c r="J84" s="94"/>
    </row>
    <row r="85" spans="1:18" ht="13.5" thickBot="1" x14ac:dyDescent="0.25">
      <c r="A85" s="114" t="s">
        <v>14</v>
      </c>
      <c r="B85" s="115">
        <f>SUM(B83:B84)</f>
        <v>1</v>
      </c>
      <c r="C85" s="136">
        <f t="shared" ref="C85:G85" si="30">C83</f>
        <v>7832</v>
      </c>
      <c r="D85" s="89">
        <f t="shared" si="30"/>
        <v>485.54</v>
      </c>
      <c r="E85" s="90">
        <f t="shared" si="30"/>
        <v>113.52</v>
      </c>
      <c r="F85" s="90">
        <f t="shared" si="30"/>
        <v>42</v>
      </c>
      <c r="G85" s="90">
        <f t="shared" si="30"/>
        <v>383.68</v>
      </c>
      <c r="H85" s="92">
        <f>SUM(D85:G85)</f>
        <v>1024.74</v>
      </c>
      <c r="I85" s="135">
        <f>I83</f>
        <v>8856.74</v>
      </c>
      <c r="J85" s="141"/>
    </row>
    <row r="86" spans="1:18" ht="13.5" thickTop="1" x14ac:dyDescent="0.2"/>
    <row r="87" spans="1:18" x14ac:dyDescent="0.2">
      <c r="A87" s="169" t="s">
        <v>22</v>
      </c>
      <c r="B87" s="169"/>
      <c r="C87" s="169"/>
      <c r="D87" s="38"/>
      <c r="E87" s="38"/>
      <c r="F87" s="38"/>
      <c r="G87" s="38"/>
      <c r="H87" s="38"/>
      <c r="I87" s="39" t="s">
        <v>23</v>
      </c>
      <c r="J87" s="40" t="s">
        <v>24</v>
      </c>
    </row>
    <row r="88" spans="1:18" x14ac:dyDescent="0.2">
      <c r="A88" s="40" t="s">
        <v>55</v>
      </c>
      <c r="B88" s="40"/>
      <c r="C88" s="40"/>
      <c r="D88" s="38"/>
      <c r="E88" s="38"/>
      <c r="F88" s="38"/>
      <c r="G88" s="38"/>
      <c r="H88" s="39" t="s">
        <v>26</v>
      </c>
      <c r="I88" s="42">
        <f>$I$2</f>
        <v>45430</v>
      </c>
      <c r="J88" s="43">
        <f>$J$2</f>
        <v>45436</v>
      </c>
    </row>
    <row r="89" spans="1:18" x14ac:dyDescent="0.2">
      <c r="A89" s="39"/>
      <c r="B89" s="40"/>
      <c r="C89" s="40"/>
      <c r="D89" s="168" t="s">
        <v>45</v>
      </c>
      <c r="E89" s="168"/>
      <c r="F89" s="168"/>
      <c r="G89" s="168"/>
      <c r="H89" s="168"/>
      <c r="I89" s="42"/>
      <c r="J89" s="43"/>
    </row>
    <row r="90" spans="1:18" ht="13.5" thickBot="1" x14ac:dyDescent="0.25">
      <c r="A90" s="44" t="s">
        <v>27</v>
      </c>
      <c r="B90" s="44" t="s">
        <v>4</v>
      </c>
      <c r="C90" s="44" t="s">
        <v>28</v>
      </c>
      <c r="D90" s="45" t="s">
        <v>7</v>
      </c>
      <c r="E90" s="44" t="s">
        <v>8</v>
      </c>
      <c r="F90" s="44" t="s">
        <v>9</v>
      </c>
      <c r="G90" s="44" t="s">
        <v>10</v>
      </c>
      <c r="H90" s="44" t="s">
        <v>11</v>
      </c>
      <c r="I90" s="44" t="s">
        <v>13</v>
      </c>
      <c r="J90" s="44" t="s">
        <v>29</v>
      </c>
    </row>
    <row r="91" spans="1:18" ht="13.5" thickTop="1" x14ac:dyDescent="0.2">
      <c r="A91" s="95" t="s">
        <v>47</v>
      </c>
      <c r="B91" s="96">
        <f>C91/C93</f>
        <v>1</v>
      </c>
      <c r="C91" s="97">
        <f>J91-I91</f>
        <v>335.82</v>
      </c>
      <c r="D91" s="98">
        <v>31.61</v>
      </c>
      <c r="E91" s="99">
        <v>25.79</v>
      </c>
      <c r="F91" s="99">
        <v>6.03</v>
      </c>
      <c r="G91" s="99">
        <v>6.35</v>
      </c>
      <c r="H91" s="100">
        <v>10.4</v>
      </c>
      <c r="I91" s="101">
        <f>SUM(D91:H91)</f>
        <v>80.180000000000007</v>
      </c>
      <c r="J91" s="102">
        <v>416</v>
      </c>
    </row>
    <row r="92" spans="1:18" ht="13.5" thickBot="1" x14ac:dyDescent="0.25">
      <c r="A92" s="103" t="s">
        <v>12</v>
      </c>
      <c r="B92" s="104"/>
      <c r="C92" s="105">
        <f>R92+C91</f>
        <v>7387.94</v>
      </c>
      <c r="D92" s="106">
        <f>K92+D91</f>
        <v>695.44</v>
      </c>
      <c r="E92" s="107">
        <f>L92+E91</f>
        <v>567.41999999999996</v>
      </c>
      <c r="F92" s="107">
        <f>M92+F91</f>
        <v>132.69999999999999</v>
      </c>
      <c r="G92" s="107">
        <f>N92+G91</f>
        <v>139.69999999999999</v>
      </c>
      <c r="H92" s="108">
        <f>O92+H91</f>
        <v>228.8</v>
      </c>
      <c r="I92" s="109">
        <f>SUM(D92:H92)</f>
        <v>1764.0600000000002</v>
      </c>
      <c r="J92" s="110">
        <f>I92+C92</f>
        <v>9152</v>
      </c>
      <c r="K92" s="133">
        <v>663.83</v>
      </c>
      <c r="L92" s="134">
        <v>541.63</v>
      </c>
      <c r="M92" s="134">
        <v>126.67</v>
      </c>
      <c r="N92" s="134">
        <v>133.35</v>
      </c>
      <c r="O92" s="134">
        <v>218.4</v>
      </c>
      <c r="P92" s="41">
        <f>(K92+O92+N92+M92+L92)</f>
        <v>1683.88</v>
      </c>
      <c r="R92" s="41">
        <v>7052.12</v>
      </c>
    </row>
    <row r="93" spans="1:18" ht="14.25" thickTop="1" thickBot="1" x14ac:dyDescent="0.25">
      <c r="A93" s="111" t="s">
        <v>5</v>
      </c>
      <c r="B93" s="112">
        <f>SUM(B91:B92)</f>
        <v>1</v>
      </c>
      <c r="C93" s="113">
        <f t="shared" ref="C93:G93" si="31">C91</f>
        <v>335.82</v>
      </c>
      <c r="D93" s="81">
        <f t="shared" si="31"/>
        <v>31.61</v>
      </c>
      <c r="E93" s="82">
        <f>E91</f>
        <v>25.79</v>
      </c>
      <c r="F93" s="82">
        <f>F91</f>
        <v>6.03</v>
      </c>
      <c r="G93" s="82">
        <f t="shared" si="31"/>
        <v>6.35</v>
      </c>
      <c r="H93" s="83">
        <f>H91</f>
        <v>10.4</v>
      </c>
      <c r="I93" s="84">
        <f>SUM(D93:H93)</f>
        <v>80.180000000000007</v>
      </c>
      <c r="J93" s="85">
        <f>J91</f>
        <v>416</v>
      </c>
    </row>
    <row r="94" spans="1:18" ht="13.5" thickBot="1" x14ac:dyDescent="0.25">
      <c r="A94" s="114" t="s">
        <v>14</v>
      </c>
      <c r="B94" s="115">
        <f>SUM(B92:B93)</f>
        <v>1</v>
      </c>
      <c r="C94" s="136">
        <f t="shared" ref="C94:G94" si="32">C92</f>
        <v>7387.94</v>
      </c>
      <c r="D94" s="89">
        <f t="shared" si="32"/>
        <v>695.44</v>
      </c>
      <c r="E94" s="90">
        <f t="shared" si="32"/>
        <v>567.41999999999996</v>
      </c>
      <c r="F94" s="90">
        <f t="shared" si="32"/>
        <v>132.69999999999999</v>
      </c>
      <c r="G94" s="90">
        <f t="shared" si="32"/>
        <v>139.69999999999999</v>
      </c>
      <c r="H94" s="91">
        <f>H92</f>
        <v>228.8</v>
      </c>
      <c r="I94" s="92">
        <f>SUM(D94:H94)</f>
        <v>1764.0600000000002</v>
      </c>
      <c r="J94" s="135">
        <f>J92</f>
        <v>9152</v>
      </c>
      <c r="K94" s="41">
        <f>J94/J93</f>
        <v>22</v>
      </c>
    </row>
    <row r="95" spans="1:18" ht="13.5" thickTop="1" x14ac:dyDescent="0.2"/>
    <row r="96" spans="1:18" x14ac:dyDescent="0.2">
      <c r="D96" s="168" t="s">
        <v>59</v>
      </c>
      <c r="E96" s="168"/>
      <c r="F96" s="168"/>
      <c r="G96" s="168"/>
    </row>
    <row r="97" spans="1:18" ht="13.5" thickBot="1" x14ac:dyDescent="0.25">
      <c r="A97" s="44" t="s">
        <v>27</v>
      </c>
      <c r="B97" s="44" t="s">
        <v>4</v>
      </c>
      <c r="C97" s="44" t="s">
        <v>29</v>
      </c>
      <c r="D97" s="45" t="s">
        <v>60</v>
      </c>
      <c r="E97" s="44" t="s">
        <v>63</v>
      </c>
      <c r="F97" s="44" t="s">
        <v>65</v>
      </c>
      <c r="G97" s="44" t="s">
        <v>68</v>
      </c>
      <c r="H97" s="44" t="s">
        <v>13</v>
      </c>
      <c r="I97" s="44" t="s">
        <v>62</v>
      </c>
      <c r="J97" s="44"/>
      <c r="K97" s="41" t="s">
        <v>61</v>
      </c>
      <c r="L97" s="41" t="s">
        <v>64</v>
      </c>
      <c r="M97" s="41" t="s">
        <v>65</v>
      </c>
      <c r="N97" s="41" t="s">
        <v>66</v>
      </c>
    </row>
    <row r="98" spans="1:18" ht="13.5" thickTop="1" x14ac:dyDescent="0.2">
      <c r="A98" s="95" t="s">
        <v>47</v>
      </c>
      <c r="B98" s="96">
        <f>C98/C100</f>
        <v>1</v>
      </c>
      <c r="C98" s="97">
        <f>J91</f>
        <v>416</v>
      </c>
      <c r="D98" s="98">
        <v>25.79</v>
      </c>
      <c r="E98" s="99">
        <v>6.03</v>
      </c>
      <c r="F98" s="99">
        <v>0</v>
      </c>
      <c r="G98" s="99">
        <v>12.94</v>
      </c>
      <c r="H98" s="101">
        <f>SUM(D98:G98)</f>
        <v>44.76</v>
      </c>
      <c r="I98" s="102">
        <f>J91+H98</f>
        <v>460.76</v>
      </c>
      <c r="J98" s="94"/>
      <c r="K98" s="41">
        <v>541.59</v>
      </c>
      <c r="L98" s="41">
        <v>126.63</v>
      </c>
      <c r="M98" s="41">
        <v>42</v>
      </c>
      <c r="N98" s="41">
        <v>427.98</v>
      </c>
      <c r="P98" s="41">
        <f>(K98+O98+N98+M98+L98)</f>
        <v>1138.2</v>
      </c>
    </row>
    <row r="99" spans="1:18" ht="13.5" thickBot="1" x14ac:dyDescent="0.25">
      <c r="A99" s="103" t="s">
        <v>12</v>
      </c>
      <c r="B99" s="104"/>
      <c r="C99" s="105">
        <f>J92</f>
        <v>9152</v>
      </c>
      <c r="D99" s="106">
        <f>D98+K98</f>
        <v>567.38</v>
      </c>
      <c r="E99" s="107">
        <f>E98+L98</f>
        <v>132.66</v>
      </c>
      <c r="F99" s="107">
        <f>F98+M98</f>
        <v>42</v>
      </c>
      <c r="G99" s="107">
        <f>G98+N98</f>
        <v>440.92</v>
      </c>
      <c r="H99" s="109">
        <f>SUM(D99:G99)</f>
        <v>1182.96</v>
      </c>
      <c r="I99" s="110">
        <f>H99+J92</f>
        <v>10334.959999999999</v>
      </c>
      <c r="J99" s="142"/>
      <c r="K99" s="134"/>
      <c r="L99" s="134"/>
      <c r="M99" s="134"/>
      <c r="N99" s="134"/>
      <c r="O99" s="134"/>
    </row>
    <row r="100" spans="1:18" ht="14.25" thickTop="1" thickBot="1" x14ac:dyDescent="0.25">
      <c r="A100" s="111" t="s">
        <v>5</v>
      </c>
      <c r="B100" s="112">
        <f>SUM(B98:B99)</f>
        <v>1</v>
      </c>
      <c r="C100" s="113">
        <f t="shared" ref="C100:G100" si="33">C98</f>
        <v>416</v>
      </c>
      <c r="D100" s="81">
        <f t="shared" si="33"/>
        <v>25.79</v>
      </c>
      <c r="E100" s="82">
        <f t="shared" si="33"/>
        <v>6.03</v>
      </c>
      <c r="F100" s="82">
        <f t="shared" si="33"/>
        <v>0</v>
      </c>
      <c r="G100" s="82">
        <f t="shared" si="33"/>
        <v>12.94</v>
      </c>
      <c r="H100" s="84">
        <f>SUM(D100:G100)</f>
        <v>44.76</v>
      </c>
      <c r="I100" s="85">
        <f>I98</f>
        <v>460.76</v>
      </c>
      <c r="J100" s="94"/>
    </row>
    <row r="101" spans="1:18" ht="13.5" thickBot="1" x14ac:dyDescent="0.25">
      <c r="A101" s="114" t="s">
        <v>14</v>
      </c>
      <c r="B101" s="115">
        <f>SUM(B99:B100)</f>
        <v>1</v>
      </c>
      <c r="C101" s="136">
        <f t="shared" ref="C101:G101" si="34">C99</f>
        <v>9152</v>
      </c>
      <c r="D101" s="89">
        <f t="shared" si="34"/>
        <v>567.38</v>
      </c>
      <c r="E101" s="90">
        <f t="shared" si="34"/>
        <v>132.66</v>
      </c>
      <c r="F101" s="90">
        <f t="shared" si="34"/>
        <v>42</v>
      </c>
      <c r="G101" s="90">
        <f t="shared" si="34"/>
        <v>440.92</v>
      </c>
      <c r="H101" s="92">
        <f>SUM(D101:G101)</f>
        <v>1182.96</v>
      </c>
      <c r="I101" s="135">
        <f>I99</f>
        <v>10334.959999999999</v>
      </c>
      <c r="J101" s="141"/>
    </row>
    <row r="102" spans="1:18" ht="13.5" thickTop="1" x14ac:dyDescent="0.2"/>
    <row r="103" spans="1:18" x14ac:dyDescent="0.2">
      <c r="A103" s="169" t="s">
        <v>22</v>
      </c>
      <c r="B103" s="169"/>
      <c r="C103" s="169"/>
      <c r="D103" s="38"/>
      <c r="E103" s="38"/>
      <c r="F103" s="38"/>
      <c r="G103" s="38"/>
      <c r="H103" s="38"/>
      <c r="I103" s="39" t="s">
        <v>23</v>
      </c>
      <c r="J103" s="40" t="s">
        <v>24</v>
      </c>
    </row>
    <row r="104" spans="1:18" x14ac:dyDescent="0.2">
      <c r="A104" s="40" t="s">
        <v>56</v>
      </c>
      <c r="B104" s="40"/>
      <c r="C104" s="40"/>
      <c r="D104" s="38"/>
      <c r="E104" s="38"/>
      <c r="F104" s="38"/>
      <c r="G104" s="38"/>
      <c r="H104" s="39" t="s">
        <v>26</v>
      </c>
      <c r="I104" s="42">
        <f>I88</f>
        <v>45430</v>
      </c>
      <c r="J104" s="43">
        <f>J88</f>
        <v>45436</v>
      </c>
      <c r="K104" s="41" t="s">
        <v>16</v>
      </c>
      <c r="L104" s="41" t="s">
        <v>18</v>
      </c>
      <c r="M104" s="41" t="s">
        <v>17</v>
      </c>
      <c r="N104" s="41" t="s">
        <v>19</v>
      </c>
      <c r="O104" s="41" t="s">
        <v>20</v>
      </c>
    </row>
    <row r="105" spans="1:18" x14ac:dyDescent="0.2">
      <c r="A105" s="40"/>
      <c r="B105" s="40"/>
      <c r="C105" s="40"/>
      <c r="D105" s="168" t="s">
        <v>45</v>
      </c>
      <c r="E105" s="168"/>
      <c r="F105" s="168"/>
      <c r="G105" s="168"/>
      <c r="H105" s="168"/>
      <c r="I105" s="42"/>
      <c r="J105" s="43"/>
    </row>
    <row r="106" spans="1:18" ht="13.5" thickBot="1" x14ac:dyDescent="0.25">
      <c r="A106" s="44" t="s">
        <v>27</v>
      </c>
      <c r="B106" s="44" t="s">
        <v>4</v>
      </c>
      <c r="C106" s="44" t="s">
        <v>28</v>
      </c>
      <c r="D106" s="45" t="s">
        <v>7</v>
      </c>
      <c r="E106" s="44" t="s">
        <v>8</v>
      </c>
      <c r="F106" s="44" t="s">
        <v>9</v>
      </c>
      <c r="G106" s="44" t="s">
        <v>10</v>
      </c>
      <c r="H106" s="44" t="s">
        <v>11</v>
      </c>
      <c r="I106" s="44" t="s">
        <v>13</v>
      </c>
      <c r="J106" s="44" t="s">
        <v>29</v>
      </c>
      <c r="K106" s="41" t="s">
        <v>15</v>
      </c>
      <c r="L106" s="41" t="s">
        <v>15</v>
      </c>
      <c r="M106" s="41" t="s">
        <v>15</v>
      </c>
      <c r="N106" s="41" t="s">
        <v>15</v>
      </c>
      <c r="O106" s="41" t="s">
        <v>15</v>
      </c>
    </row>
    <row r="107" spans="1:18" ht="13.5" thickTop="1" x14ac:dyDescent="0.2">
      <c r="A107" s="46" t="s">
        <v>49</v>
      </c>
      <c r="B107" s="47">
        <v>0.75</v>
      </c>
      <c r="C107" s="48">
        <f>ROUNDDOWN(C111*B107,2)</f>
        <v>512.37</v>
      </c>
      <c r="D107" s="49">
        <f>ROUND(D111*$B$107,2)</f>
        <v>65.47</v>
      </c>
      <c r="E107" s="50">
        <f>ROUNDDOWN(E111*$B$107,2)</f>
        <v>40.92</v>
      </c>
      <c r="F107" s="50">
        <f>ROUND(F111*$B$107,2)</f>
        <v>9.57</v>
      </c>
      <c r="G107" s="50">
        <f>ROUNDDOWN(G111*$B$107,2)</f>
        <v>15.16</v>
      </c>
      <c r="H107" s="51">
        <f>ROUND(H111*$B$107,2)</f>
        <v>16.5</v>
      </c>
      <c r="I107" s="52">
        <f>SUM(D107:H107)</f>
        <v>147.62</v>
      </c>
      <c r="J107" s="53">
        <f>I107+C107</f>
        <v>659.99</v>
      </c>
      <c r="K107" s="41">
        <v>1391.25</v>
      </c>
      <c r="L107" s="41">
        <v>863.13</v>
      </c>
      <c r="M107" s="41">
        <v>201.86</v>
      </c>
      <c r="N107" s="41">
        <v>320.2</v>
      </c>
      <c r="O107" s="41">
        <v>348.04</v>
      </c>
      <c r="P107" s="41">
        <f>(K107+O107+N107+M107+L107)</f>
        <v>3124.48</v>
      </c>
      <c r="R107" s="41">
        <v>10796.83</v>
      </c>
    </row>
    <row r="108" spans="1:18" ht="13.5" thickBot="1" x14ac:dyDescent="0.25">
      <c r="A108" s="54" t="s">
        <v>12</v>
      </c>
      <c r="B108" s="55">
        <f>C108/C112</f>
        <v>0.74998972089920246</v>
      </c>
      <c r="C108" s="56">
        <f>R107+C107</f>
        <v>11309.2</v>
      </c>
      <c r="D108" s="57">
        <f>K107+D107</f>
        <v>1456.72</v>
      </c>
      <c r="E108" s="58">
        <f>L107+E107</f>
        <v>904.05</v>
      </c>
      <c r="F108" s="58">
        <f>M107+F107</f>
        <v>211.43</v>
      </c>
      <c r="G108" s="58">
        <f>N107+G107</f>
        <v>335.36</v>
      </c>
      <c r="H108" s="59">
        <f t="shared" ref="H108" si="35">O107+H107</f>
        <v>364.54</v>
      </c>
      <c r="I108" s="60">
        <f>P107+I107</f>
        <v>3272.1</v>
      </c>
      <c r="J108" s="61">
        <f>SUM(C108:H108)</f>
        <v>14581.300000000001</v>
      </c>
    </row>
    <row r="109" spans="1:18" x14ac:dyDescent="0.2">
      <c r="A109" s="62" t="s">
        <v>50</v>
      </c>
      <c r="B109" s="63">
        <v>0.25</v>
      </c>
      <c r="C109" s="64">
        <f>ROUNDUP(C111*B109,2)</f>
        <v>170.79999999999998</v>
      </c>
      <c r="D109" s="65">
        <f>ROUND(D111*$B$109,2)</f>
        <v>21.82</v>
      </c>
      <c r="E109" s="66">
        <f>ROUND(E111*$B$109,2)</f>
        <v>13.64</v>
      </c>
      <c r="F109" s="66">
        <f>ROUND(F111*$B109,2)</f>
        <v>3.19</v>
      </c>
      <c r="G109" s="66">
        <f>ROUND(G111*$B$109,2)</f>
        <v>5.0599999999999996</v>
      </c>
      <c r="H109" s="67">
        <f>ROUND(H111*$B$109,2)</f>
        <v>5.5</v>
      </c>
      <c r="I109" s="68">
        <f>SUM(D109:H109)</f>
        <v>49.21</v>
      </c>
      <c r="J109" s="69">
        <f>I109+C109</f>
        <v>220.01</v>
      </c>
      <c r="K109" s="41">
        <v>463.68</v>
      </c>
      <c r="L109" s="41">
        <v>287.70999999999998</v>
      </c>
      <c r="M109" s="41">
        <v>67.290000000000006</v>
      </c>
      <c r="N109" s="41">
        <v>106.86</v>
      </c>
      <c r="O109" s="41">
        <v>116.01</v>
      </c>
      <c r="P109" s="41">
        <f>(K109+O109+N109+M109+L109)</f>
        <v>1041.55</v>
      </c>
      <c r="R109" s="41">
        <v>3599.14</v>
      </c>
    </row>
    <row r="110" spans="1:18" ht="13.5" thickBot="1" x14ac:dyDescent="0.25">
      <c r="A110" s="70" t="s">
        <v>12</v>
      </c>
      <c r="B110" s="71">
        <f>C110/C112</f>
        <v>0.25001027910079748</v>
      </c>
      <c r="C110" s="72">
        <f>R109+C109</f>
        <v>3769.94</v>
      </c>
      <c r="D110" s="73">
        <f>K109+D109</f>
        <v>485.5</v>
      </c>
      <c r="E110" s="74">
        <f>L109+E109</f>
        <v>301.34999999999997</v>
      </c>
      <c r="F110" s="74">
        <f t="shared" ref="F110:H110" si="36">M109+F109</f>
        <v>70.48</v>
      </c>
      <c r="G110" s="74">
        <f t="shared" si="36"/>
        <v>111.92</v>
      </c>
      <c r="H110" s="75">
        <f t="shared" si="36"/>
        <v>121.51</v>
      </c>
      <c r="I110" s="76">
        <f>P109+I109</f>
        <v>1090.76</v>
      </c>
      <c r="J110" s="77">
        <f>SUM(C110:H110)</f>
        <v>4860.7000000000007</v>
      </c>
    </row>
    <row r="111" spans="1:18" ht="14.25" thickTop="1" thickBot="1" x14ac:dyDescent="0.25">
      <c r="A111" s="78" t="s">
        <v>5</v>
      </c>
      <c r="B111" s="79">
        <f>B109+B107</f>
        <v>1</v>
      </c>
      <c r="C111" s="80">
        <v>683.17</v>
      </c>
      <c r="D111" s="81">
        <v>87.29</v>
      </c>
      <c r="E111" s="82">
        <v>54.56</v>
      </c>
      <c r="F111" s="82">
        <v>12.76</v>
      </c>
      <c r="G111" s="82">
        <v>20.22</v>
      </c>
      <c r="H111" s="83">
        <v>22</v>
      </c>
      <c r="I111" s="84">
        <f>SUM(D111:H111)</f>
        <v>196.83</v>
      </c>
      <c r="J111" s="85">
        <f>J109+J107</f>
        <v>880</v>
      </c>
      <c r="P111" s="41">
        <f>SUM(P107:P109)</f>
        <v>4166.03</v>
      </c>
      <c r="R111" s="41">
        <f>SUM(R107:R109)</f>
        <v>14395.97</v>
      </c>
    </row>
    <row r="112" spans="1:18" ht="13.5" thickBot="1" x14ac:dyDescent="0.25">
      <c r="A112" s="86" t="s">
        <v>14</v>
      </c>
      <c r="B112" s="87">
        <f>B110+B108</f>
        <v>1</v>
      </c>
      <c r="C112" s="88">
        <f t="shared" ref="C112:H112" si="37">C110+C108</f>
        <v>15079.140000000001</v>
      </c>
      <c r="D112" s="89">
        <f t="shared" si="37"/>
        <v>1942.22</v>
      </c>
      <c r="E112" s="90">
        <f t="shared" si="37"/>
        <v>1205.3999999999999</v>
      </c>
      <c r="F112" s="90">
        <f t="shared" si="37"/>
        <v>281.91000000000003</v>
      </c>
      <c r="G112" s="90">
        <f t="shared" si="37"/>
        <v>447.28000000000003</v>
      </c>
      <c r="H112" s="91">
        <f t="shared" si="37"/>
        <v>486.05</v>
      </c>
      <c r="I112" s="92">
        <f>SUM(D112:H112)</f>
        <v>4362.8599999999997</v>
      </c>
      <c r="J112" s="93">
        <f>SUM(C112:H112)</f>
        <v>19442</v>
      </c>
      <c r="K112" s="167">
        <f>(J112)/(J111+13.667)</f>
        <v>21.755307066278601</v>
      </c>
    </row>
    <row r="113" spans="1:18" ht="13.5" thickTop="1" x14ac:dyDescent="0.2"/>
    <row r="114" spans="1:18" x14ac:dyDescent="0.2">
      <c r="A114" s="40"/>
      <c r="B114" s="40"/>
      <c r="C114" s="40"/>
      <c r="D114" s="168" t="s">
        <v>59</v>
      </c>
      <c r="E114" s="168"/>
      <c r="F114" s="168"/>
      <c r="G114" s="168"/>
      <c r="H114" s="38"/>
      <c r="I114" s="42"/>
      <c r="J114" s="43"/>
    </row>
    <row r="115" spans="1:18" ht="13.5" thickBot="1" x14ac:dyDescent="0.25">
      <c r="A115" s="44" t="s">
        <v>27</v>
      </c>
      <c r="B115" s="44" t="s">
        <v>4</v>
      </c>
      <c r="C115" s="44" t="s">
        <v>29</v>
      </c>
      <c r="D115" s="45" t="s">
        <v>60</v>
      </c>
      <c r="E115" s="44" t="s">
        <v>63</v>
      </c>
      <c r="F115" s="44" t="s">
        <v>65</v>
      </c>
      <c r="G115" s="44" t="s">
        <v>68</v>
      </c>
      <c r="H115" s="44" t="s">
        <v>13</v>
      </c>
      <c r="I115" s="44" t="s">
        <v>62</v>
      </c>
      <c r="J115" s="44"/>
      <c r="K115" s="41" t="s">
        <v>61</v>
      </c>
      <c r="L115" s="41" t="s">
        <v>64</v>
      </c>
      <c r="M115" s="41" t="s">
        <v>65</v>
      </c>
      <c r="N115" s="41" t="s">
        <v>66</v>
      </c>
    </row>
    <row r="116" spans="1:18" ht="13.5" thickTop="1" x14ac:dyDescent="0.2">
      <c r="A116" s="46" t="s">
        <v>49</v>
      </c>
      <c r="B116" s="47">
        <f>B107</f>
        <v>0.75</v>
      </c>
      <c r="C116" s="48">
        <f>J107</f>
        <v>659.99</v>
      </c>
      <c r="D116" s="49">
        <f>ROUNDDOWN(D120*$B$116,2)</f>
        <v>40.92</v>
      </c>
      <c r="E116" s="50">
        <f>ROUND(E120*$B$116,2)</f>
        <v>9.57</v>
      </c>
      <c r="F116" s="50">
        <f>ROUND(F120*$B$108,2)</f>
        <v>0</v>
      </c>
      <c r="G116" s="50">
        <f>ROUND(G120*$B$108,2)</f>
        <v>0</v>
      </c>
      <c r="H116" s="52">
        <f t="shared" ref="H116:H121" si="38">SUM(D116:G116)</f>
        <v>50.49</v>
      </c>
      <c r="I116" s="53">
        <f>H116+C116</f>
        <v>710.48</v>
      </c>
      <c r="J116" s="94"/>
      <c r="K116" s="41">
        <v>863.13</v>
      </c>
      <c r="L116" s="41">
        <v>201.87</v>
      </c>
      <c r="M116" s="41">
        <v>31.49</v>
      </c>
      <c r="N116" s="41">
        <v>330.73</v>
      </c>
      <c r="P116" s="41">
        <f>(K116+O116+N116+M116+L116)</f>
        <v>1427.2200000000003</v>
      </c>
    </row>
    <row r="117" spans="1:18" ht="13.5" thickBot="1" x14ac:dyDescent="0.25">
      <c r="A117" s="54" t="s">
        <v>12</v>
      </c>
      <c r="B117" s="55">
        <f>B108</f>
        <v>0.74998972089920246</v>
      </c>
      <c r="C117" s="56">
        <f>J108</f>
        <v>14581.300000000001</v>
      </c>
      <c r="D117" s="57">
        <f>K116+D116</f>
        <v>904.05</v>
      </c>
      <c r="E117" s="58">
        <f>L116+E116</f>
        <v>211.44</v>
      </c>
      <c r="F117" s="58">
        <f>M116+F116</f>
        <v>31.49</v>
      </c>
      <c r="G117" s="58">
        <f>N116+G116</f>
        <v>330.73</v>
      </c>
      <c r="H117" s="60">
        <f t="shared" si="38"/>
        <v>1477.71</v>
      </c>
      <c r="I117" s="61">
        <f>SUM(C117:G117)</f>
        <v>16059.01</v>
      </c>
      <c r="J117" s="94"/>
    </row>
    <row r="118" spans="1:18" x14ac:dyDescent="0.2">
      <c r="A118" s="62" t="s">
        <v>50</v>
      </c>
      <c r="B118" s="63">
        <f>B109</f>
        <v>0.25</v>
      </c>
      <c r="C118" s="64">
        <f>J109</f>
        <v>220.01</v>
      </c>
      <c r="D118" s="65">
        <f>ROUND(D120*$B$118,2)</f>
        <v>13.64</v>
      </c>
      <c r="E118" s="66">
        <f>ROUND(E120*$B$118,2)</f>
        <v>3.19</v>
      </c>
      <c r="F118" s="66">
        <f>ROUND(F120*$B118,2)</f>
        <v>0</v>
      </c>
      <c r="G118" s="66">
        <f>ROUND(G120*$B$110,2)</f>
        <v>0</v>
      </c>
      <c r="H118" s="68">
        <f t="shared" si="38"/>
        <v>16.830000000000002</v>
      </c>
      <c r="I118" s="69">
        <f>H118+C118</f>
        <v>236.84</v>
      </c>
      <c r="J118" s="94"/>
      <c r="K118" s="41">
        <v>287.70999999999998</v>
      </c>
      <c r="L118" s="41">
        <v>67.290000000000006</v>
      </c>
      <c r="M118" s="41">
        <v>10.51</v>
      </c>
      <c r="N118" s="41">
        <v>110.26</v>
      </c>
      <c r="P118" s="41">
        <f>(K118+O118+N118+M118+L118)</f>
        <v>475.77</v>
      </c>
    </row>
    <row r="119" spans="1:18" ht="13.5" thickBot="1" x14ac:dyDescent="0.25">
      <c r="A119" s="70" t="s">
        <v>12</v>
      </c>
      <c r="B119" s="71">
        <f>B110</f>
        <v>0.25001027910079748</v>
      </c>
      <c r="C119" s="72">
        <f>J110</f>
        <v>4860.7000000000007</v>
      </c>
      <c r="D119" s="73">
        <f>K118+D118</f>
        <v>301.34999999999997</v>
      </c>
      <c r="E119" s="74">
        <f>L118+E118</f>
        <v>70.48</v>
      </c>
      <c r="F119" s="74">
        <f>M118+F118</f>
        <v>10.51</v>
      </c>
      <c r="G119" s="74">
        <f>N118+G118</f>
        <v>110.26</v>
      </c>
      <c r="H119" s="76">
        <f t="shared" si="38"/>
        <v>492.59999999999997</v>
      </c>
      <c r="I119" s="77">
        <f>SUM(C119:G119)</f>
        <v>5353.3000000000011</v>
      </c>
      <c r="J119" s="94"/>
    </row>
    <row r="120" spans="1:18" ht="14.25" thickTop="1" thickBot="1" x14ac:dyDescent="0.25">
      <c r="A120" s="78" t="s">
        <v>5</v>
      </c>
      <c r="B120" s="79">
        <f>B118+B116</f>
        <v>1</v>
      </c>
      <c r="C120" s="80">
        <f>SUM(C118+C116)</f>
        <v>880</v>
      </c>
      <c r="D120" s="81">
        <v>54.56</v>
      </c>
      <c r="E120" s="82">
        <v>12.76</v>
      </c>
      <c r="F120" s="82">
        <v>0</v>
      </c>
      <c r="G120" s="82">
        <v>0</v>
      </c>
      <c r="H120" s="84">
        <f t="shared" si="38"/>
        <v>67.320000000000007</v>
      </c>
      <c r="I120" s="85">
        <f>I118+I116</f>
        <v>947.32</v>
      </c>
      <c r="J120" s="94"/>
      <c r="P120" s="41">
        <f>SUM(P116:P118)</f>
        <v>1902.9900000000002</v>
      </c>
    </row>
    <row r="121" spans="1:18" ht="13.5" thickBot="1" x14ac:dyDescent="0.25">
      <c r="A121" s="86" t="s">
        <v>14</v>
      </c>
      <c r="B121" s="87">
        <f>B119+B117</f>
        <v>1</v>
      </c>
      <c r="C121" s="88">
        <f t="shared" ref="C121:G121" si="39">C119+C117</f>
        <v>19442</v>
      </c>
      <c r="D121" s="89">
        <f t="shared" si="39"/>
        <v>1205.3999999999999</v>
      </c>
      <c r="E121" s="90">
        <f t="shared" si="39"/>
        <v>281.92</v>
      </c>
      <c r="F121" s="90">
        <f t="shared" si="39"/>
        <v>42</v>
      </c>
      <c r="G121" s="90">
        <f t="shared" si="39"/>
        <v>440.99</v>
      </c>
      <c r="H121" s="92">
        <f t="shared" si="38"/>
        <v>1970.31</v>
      </c>
      <c r="I121" s="93">
        <f>SUM(C121:G121)</f>
        <v>21412.31</v>
      </c>
      <c r="J121" s="94"/>
    </row>
    <row r="122" spans="1:18" ht="13.5" thickTop="1" x14ac:dyDescent="0.2"/>
    <row r="123" spans="1:18" x14ac:dyDescent="0.2">
      <c r="A123" s="169" t="s">
        <v>22</v>
      </c>
      <c r="B123" s="169"/>
      <c r="C123" s="169"/>
      <c r="D123" s="38"/>
      <c r="E123" s="38"/>
      <c r="F123" s="38"/>
      <c r="G123" s="38"/>
      <c r="H123" s="38"/>
      <c r="I123" s="39" t="s">
        <v>23</v>
      </c>
      <c r="J123" s="40" t="s">
        <v>24</v>
      </c>
    </row>
    <row r="124" spans="1:18" x14ac:dyDescent="0.2">
      <c r="A124" s="40" t="s">
        <v>58</v>
      </c>
      <c r="B124" s="40"/>
      <c r="C124" s="40"/>
      <c r="D124" s="38"/>
      <c r="E124" s="38"/>
      <c r="F124" s="38"/>
      <c r="G124" s="38"/>
      <c r="H124" s="39" t="s">
        <v>26</v>
      </c>
      <c r="I124" s="42">
        <v>45416</v>
      </c>
      <c r="J124" s="43">
        <f>I124+13</f>
        <v>45429</v>
      </c>
      <c r="K124" s="41" t="s">
        <v>16</v>
      </c>
      <c r="L124" s="41" t="s">
        <v>18</v>
      </c>
      <c r="M124" s="41" t="s">
        <v>17</v>
      </c>
      <c r="N124" s="41" t="s">
        <v>19</v>
      </c>
      <c r="O124" s="41" t="s">
        <v>20</v>
      </c>
    </row>
    <row r="125" spans="1:18" x14ac:dyDescent="0.2">
      <c r="A125" s="40"/>
      <c r="B125" s="40"/>
      <c r="C125" s="40"/>
      <c r="D125" s="168" t="s">
        <v>45</v>
      </c>
      <c r="E125" s="168"/>
      <c r="F125" s="168"/>
      <c r="G125" s="168"/>
      <c r="H125" s="168"/>
      <c r="I125" s="154" t="s">
        <v>72</v>
      </c>
      <c r="J125" s="43">
        <f>J124+7</f>
        <v>45436</v>
      </c>
    </row>
    <row r="126" spans="1:18" ht="13.5" thickBot="1" x14ac:dyDescent="0.25">
      <c r="A126" s="44" t="s">
        <v>27</v>
      </c>
      <c r="B126" s="44" t="s">
        <v>4</v>
      </c>
      <c r="C126" s="44" t="s">
        <v>28</v>
      </c>
      <c r="D126" s="45" t="s">
        <v>7</v>
      </c>
      <c r="E126" s="44" t="s">
        <v>8</v>
      </c>
      <c r="F126" s="44" t="s">
        <v>9</v>
      </c>
      <c r="G126" s="44" t="s">
        <v>10</v>
      </c>
      <c r="H126" s="44" t="s">
        <v>11</v>
      </c>
      <c r="I126" s="44" t="s">
        <v>13</v>
      </c>
      <c r="J126" s="44" t="s">
        <v>29</v>
      </c>
      <c r="K126" s="41" t="s">
        <v>15</v>
      </c>
      <c r="L126" s="41" t="s">
        <v>15</v>
      </c>
      <c r="M126" s="41" t="s">
        <v>15</v>
      </c>
      <c r="N126" s="41" t="s">
        <v>15</v>
      </c>
      <c r="O126" s="41" t="s">
        <v>15</v>
      </c>
    </row>
    <row r="127" spans="1:18" ht="13.5" thickTop="1" x14ac:dyDescent="0.2">
      <c r="A127" s="46" t="s">
        <v>49</v>
      </c>
      <c r="B127" s="47">
        <f>C127/C131</f>
        <v>0.50000200130485084</v>
      </c>
      <c r="C127" s="48">
        <f>ROUNDUP((C131)*0.5,2)</f>
        <v>1249.19</v>
      </c>
      <c r="D127" s="49">
        <f>ROUNDUP(D131*0.5,2)</f>
        <v>260.25</v>
      </c>
      <c r="E127" s="50">
        <f t="shared" ref="E127:H127" si="40">ROUNDUP(E131*0.5,2)</f>
        <v>107.31</v>
      </c>
      <c r="F127" s="50">
        <f t="shared" si="40"/>
        <v>25.1</v>
      </c>
      <c r="G127" s="50">
        <f t="shared" si="40"/>
        <v>45.66</v>
      </c>
      <c r="H127" s="51">
        <f t="shared" si="40"/>
        <v>43.27</v>
      </c>
      <c r="I127" s="52">
        <f>SUM(D127:H127)</f>
        <v>481.59000000000003</v>
      </c>
      <c r="J127" s="53">
        <f>I127+C127</f>
        <v>1730.7800000000002</v>
      </c>
      <c r="K127" s="41">
        <v>2602.5</v>
      </c>
      <c r="L127" s="41">
        <v>1073.0999999999999</v>
      </c>
      <c r="M127" s="41">
        <v>251</v>
      </c>
      <c r="N127" s="41">
        <v>456.6</v>
      </c>
      <c r="O127" s="41">
        <v>432.7</v>
      </c>
      <c r="P127" s="41">
        <f>(K127+O127+N127+M127+L127)</f>
        <v>4815.8999999999996</v>
      </c>
      <c r="R127" s="41">
        <v>12491.96</v>
      </c>
    </row>
    <row r="128" spans="1:18" ht="13.5" thickBot="1" x14ac:dyDescent="0.25">
      <c r="A128" s="54" t="s">
        <v>12</v>
      </c>
      <c r="B128" s="55">
        <f>C128/C132</f>
        <v>0.50000145548649266</v>
      </c>
      <c r="C128" s="56">
        <f>R127+C127</f>
        <v>13741.15</v>
      </c>
      <c r="D128" s="57">
        <f>K127+D127</f>
        <v>2862.75</v>
      </c>
      <c r="E128" s="58">
        <f>L127+E127</f>
        <v>1180.4099999999999</v>
      </c>
      <c r="F128" s="58">
        <f>M127+F127</f>
        <v>276.10000000000002</v>
      </c>
      <c r="G128" s="58">
        <f>N127+G127</f>
        <v>502.26</v>
      </c>
      <c r="H128" s="59">
        <f t="shared" ref="H128" si="41">O127+H127</f>
        <v>475.96999999999997</v>
      </c>
      <c r="I128" s="60">
        <f>P127+I127</f>
        <v>5297.49</v>
      </c>
      <c r="J128" s="61">
        <f>SUM(C128:H128)</f>
        <v>19038.64</v>
      </c>
    </row>
    <row r="129" spans="1:19" x14ac:dyDescent="0.2">
      <c r="A129" s="62" t="s">
        <v>50</v>
      </c>
      <c r="B129" s="63">
        <f>C129/C131</f>
        <v>0.49999799869514927</v>
      </c>
      <c r="C129" s="64">
        <f>ROUNDDOWN((C131)*0.5,2)</f>
        <v>1249.18</v>
      </c>
      <c r="D129" s="65">
        <f>ROUND(D131*$B$129,2)</f>
        <v>260.25</v>
      </c>
      <c r="E129" s="66">
        <f>ROUND(E131*$B$129,2)</f>
        <v>107.31</v>
      </c>
      <c r="F129" s="66">
        <f>ROUND(F131*$B$129,2)</f>
        <v>25.1</v>
      </c>
      <c r="G129" s="66">
        <f>ROUNDDOWN(G131*$B$129,2)</f>
        <v>45.65</v>
      </c>
      <c r="H129" s="67">
        <f>ROUND(H131*$B$129,2)</f>
        <v>43.27</v>
      </c>
      <c r="I129" s="68">
        <f>SUM(D129:H129)</f>
        <v>481.58</v>
      </c>
      <c r="J129" s="69">
        <f>I129+C129</f>
        <v>1730.76</v>
      </c>
      <c r="K129" s="41">
        <v>2602.5</v>
      </c>
      <c r="L129" s="41">
        <v>1073.04</v>
      </c>
      <c r="M129" s="41">
        <v>250.91</v>
      </c>
      <c r="N129" s="41">
        <v>456.5</v>
      </c>
      <c r="O129" s="41">
        <v>432.7</v>
      </c>
      <c r="P129" s="41">
        <f>(K129+O129+N129+M129+L129)</f>
        <v>4815.6499999999996</v>
      </c>
      <c r="R129" s="41">
        <v>12491.89</v>
      </c>
    </row>
    <row r="130" spans="1:19" ht="13.5" thickBot="1" x14ac:dyDescent="0.25">
      <c r="A130" s="70" t="s">
        <v>12</v>
      </c>
      <c r="B130" s="71">
        <f>C130/C132</f>
        <v>0.49999854451350723</v>
      </c>
      <c r="C130" s="72">
        <f>R129+C129</f>
        <v>13741.07</v>
      </c>
      <c r="D130" s="73">
        <f>K129+D129</f>
        <v>2862.75</v>
      </c>
      <c r="E130" s="74">
        <f>L129+E129</f>
        <v>1180.3499999999999</v>
      </c>
      <c r="F130" s="74">
        <f t="shared" ref="F130:H130" si="42">M129+F129</f>
        <v>276.01</v>
      </c>
      <c r="G130" s="74">
        <f t="shared" si="42"/>
        <v>502.15</v>
      </c>
      <c r="H130" s="75">
        <f t="shared" si="42"/>
        <v>475.96999999999997</v>
      </c>
      <c r="I130" s="76">
        <f>P129+I129</f>
        <v>5297.23</v>
      </c>
      <c r="J130" s="77">
        <f>SUM(C130:H130)</f>
        <v>19038.3</v>
      </c>
    </row>
    <row r="131" spans="1:19" ht="14.25" thickTop="1" thickBot="1" x14ac:dyDescent="0.25">
      <c r="A131" s="78" t="s">
        <v>5</v>
      </c>
      <c r="B131" s="79">
        <f>B129+B127</f>
        <v>1</v>
      </c>
      <c r="C131" s="80">
        <v>2498.37</v>
      </c>
      <c r="D131" s="81">
        <v>520.5</v>
      </c>
      <c r="E131" s="82">
        <v>214.62</v>
      </c>
      <c r="F131" s="82">
        <v>50.2</v>
      </c>
      <c r="G131" s="82">
        <v>91.31</v>
      </c>
      <c r="H131" s="83">
        <v>86.54</v>
      </c>
      <c r="I131" s="84">
        <f>SUM(D131:H131)</f>
        <v>963.17000000000007</v>
      </c>
      <c r="J131" s="85">
        <f>J129+J127</f>
        <v>3461.54</v>
      </c>
      <c r="K131" s="94"/>
    </row>
    <row r="132" spans="1:19" ht="13.5" thickBot="1" x14ac:dyDescent="0.25">
      <c r="A132" s="86" t="s">
        <v>14</v>
      </c>
      <c r="B132" s="87">
        <f>B130+B128</f>
        <v>0.99999999999999989</v>
      </c>
      <c r="C132" s="88">
        <f>C130+C128</f>
        <v>27482.22</v>
      </c>
      <c r="D132" s="89">
        <f t="shared" ref="D132:H132" si="43">D130+D128</f>
        <v>5725.5</v>
      </c>
      <c r="E132" s="90">
        <f t="shared" si="43"/>
        <v>2360.7599999999998</v>
      </c>
      <c r="F132" s="90">
        <f t="shared" si="43"/>
        <v>552.11</v>
      </c>
      <c r="G132" s="90">
        <f t="shared" si="43"/>
        <v>1004.41</v>
      </c>
      <c r="H132" s="91">
        <f t="shared" si="43"/>
        <v>951.93999999999994</v>
      </c>
      <c r="I132" s="92">
        <f>SUM(D132:H132)</f>
        <v>10594.720000000001</v>
      </c>
      <c r="J132" s="93">
        <f>SUM(C132:H132)</f>
        <v>38076.94000000001</v>
      </c>
      <c r="K132" s="41">
        <f>J132/J131</f>
        <v>11.000000000000004</v>
      </c>
    </row>
    <row r="133" spans="1:19" ht="13.5" thickTop="1" x14ac:dyDescent="0.2"/>
    <row r="134" spans="1:19" x14ac:dyDescent="0.2">
      <c r="A134" s="40"/>
      <c r="B134" s="40"/>
      <c r="C134" s="40"/>
      <c r="D134" s="168" t="s">
        <v>59</v>
      </c>
      <c r="E134" s="168"/>
      <c r="F134" s="168"/>
      <c r="G134" s="168"/>
      <c r="H134" s="38"/>
      <c r="I134" s="42"/>
      <c r="J134" s="43"/>
    </row>
    <row r="135" spans="1:19" ht="13.5" thickBot="1" x14ac:dyDescent="0.25">
      <c r="A135" s="44" t="s">
        <v>27</v>
      </c>
      <c r="B135" s="44" t="s">
        <v>4</v>
      </c>
      <c r="C135" s="44" t="s">
        <v>29</v>
      </c>
      <c r="D135" s="45" t="s">
        <v>60</v>
      </c>
      <c r="E135" s="44" t="s">
        <v>63</v>
      </c>
      <c r="F135" s="44" t="s">
        <v>65</v>
      </c>
      <c r="G135" s="44" t="s">
        <v>68</v>
      </c>
      <c r="H135" s="44" t="s">
        <v>13</v>
      </c>
      <c r="I135" s="44" t="s">
        <v>62</v>
      </c>
      <c r="J135" s="44"/>
      <c r="K135" s="41" t="s">
        <v>61</v>
      </c>
      <c r="L135" s="41" t="s">
        <v>64</v>
      </c>
      <c r="M135" s="41" t="s">
        <v>65</v>
      </c>
      <c r="N135" s="41" t="s">
        <v>66</v>
      </c>
    </row>
    <row r="136" spans="1:19" ht="13.5" thickTop="1" x14ac:dyDescent="0.2">
      <c r="A136" s="46" t="s">
        <v>49</v>
      </c>
      <c r="B136" s="47">
        <f>B127</f>
        <v>0.50000200130485084</v>
      </c>
      <c r="C136" s="48">
        <f>J127</f>
        <v>1730.7800000000002</v>
      </c>
      <c r="D136" s="49">
        <f>ROUNDUP(D140*$B$136,2)</f>
        <v>107.32000000000001</v>
      </c>
      <c r="E136" s="50">
        <f>ROUNDUP(E140*$B$136,2)</f>
        <v>25.1</v>
      </c>
      <c r="F136" s="50">
        <f>ROUNDUP(F140*$B$127,2)</f>
        <v>0</v>
      </c>
      <c r="G136" s="50">
        <f>ROUNDUP(G140*$B$136,2)</f>
        <v>0</v>
      </c>
      <c r="H136" s="52">
        <f t="shared" ref="H136:H141" si="44">SUM(D136:G136)</f>
        <v>132.42000000000002</v>
      </c>
      <c r="I136" s="53">
        <f>H136+C136</f>
        <v>1863.2000000000003</v>
      </c>
      <c r="J136" s="94"/>
      <c r="K136" s="41">
        <v>1073.17</v>
      </c>
      <c r="L136" s="41">
        <v>251</v>
      </c>
      <c r="M136" s="41">
        <v>21.02</v>
      </c>
      <c r="N136" s="41">
        <v>220.52</v>
      </c>
      <c r="P136" s="41">
        <f>(K136+O136+N136+M136+L136)</f>
        <v>1565.71</v>
      </c>
    </row>
    <row r="137" spans="1:19" ht="13.5" thickBot="1" x14ac:dyDescent="0.25">
      <c r="A137" s="54" t="s">
        <v>12</v>
      </c>
      <c r="B137" s="55">
        <f>B128</f>
        <v>0.50000145548649266</v>
      </c>
      <c r="C137" s="56">
        <f>J128</f>
        <v>19038.64</v>
      </c>
      <c r="D137" s="57">
        <f>K136+D136</f>
        <v>1180.49</v>
      </c>
      <c r="E137" s="58">
        <f>L136+E136</f>
        <v>276.10000000000002</v>
      </c>
      <c r="F137" s="58">
        <f>M136+F136</f>
        <v>21.02</v>
      </c>
      <c r="G137" s="58">
        <f>N136+G136</f>
        <v>220.52</v>
      </c>
      <c r="H137" s="60">
        <f t="shared" si="44"/>
        <v>1698.13</v>
      </c>
      <c r="I137" s="61">
        <f>SUM(C137:G137)</f>
        <v>20736.77</v>
      </c>
      <c r="J137" s="94"/>
    </row>
    <row r="138" spans="1:19" x14ac:dyDescent="0.2">
      <c r="A138" s="62" t="s">
        <v>50</v>
      </c>
      <c r="B138" s="63">
        <f>B129</f>
        <v>0.49999799869514927</v>
      </c>
      <c r="C138" s="64">
        <f>J129</f>
        <v>1730.76</v>
      </c>
      <c r="D138" s="65">
        <f>ROUNDDOWN(D140*$B$138,2)</f>
        <v>107.3</v>
      </c>
      <c r="E138" s="66">
        <f>ROUNDDOWN(E140*$B$138,2)</f>
        <v>25.09</v>
      </c>
      <c r="F138" s="66">
        <f>ROUNDDOWN(F140*$B138,2)</f>
        <v>0</v>
      </c>
      <c r="G138" s="66">
        <f>ROUNDDOWN(G140*$B$138,2)</f>
        <v>0</v>
      </c>
      <c r="H138" s="68">
        <f t="shared" si="44"/>
        <v>132.38999999999999</v>
      </c>
      <c r="I138" s="69">
        <f>H138+C138</f>
        <v>1863.15</v>
      </c>
      <c r="J138" s="94"/>
      <c r="K138" s="41">
        <v>1073.03</v>
      </c>
      <c r="L138" s="41">
        <v>250.9</v>
      </c>
      <c r="M138" s="41">
        <v>20.98</v>
      </c>
      <c r="N138" s="41">
        <v>220.49</v>
      </c>
      <c r="P138" s="41">
        <f>(K138+O138+N138+M138+L138)</f>
        <v>1565.4</v>
      </c>
    </row>
    <row r="139" spans="1:19" ht="13.5" thickBot="1" x14ac:dyDescent="0.25">
      <c r="A139" s="70" t="s">
        <v>12</v>
      </c>
      <c r="B139" s="71">
        <f>B130</f>
        <v>0.49999854451350723</v>
      </c>
      <c r="C139" s="72">
        <f>J130</f>
        <v>19038.3</v>
      </c>
      <c r="D139" s="73">
        <f>K138+D138</f>
        <v>1180.33</v>
      </c>
      <c r="E139" s="74">
        <f>L138+E138</f>
        <v>275.99</v>
      </c>
      <c r="F139" s="74">
        <f>M138+F138</f>
        <v>20.98</v>
      </c>
      <c r="G139" s="74">
        <f>N138+G138</f>
        <v>220.49</v>
      </c>
      <c r="H139" s="76">
        <f t="shared" si="44"/>
        <v>1697.79</v>
      </c>
      <c r="I139" s="77">
        <f>SUM(C139:G139)</f>
        <v>20736.09</v>
      </c>
      <c r="J139" s="94"/>
    </row>
    <row r="140" spans="1:19" ht="14.25" thickTop="1" thickBot="1" x14ac:dyDescent="0.25">
      <c r="A140" s="78" t="s">
        <v>5</v>
      </c>
      <c r="B140" s="79">
        <f>B138+B136</f>
        <v>1</v>
      </c>
      <c r="C140" s="80">
        <f>SUM(C138+C136)</f>
        <v>3461.54</v>
      </c>
      <c r="D140" s="81">
        <v>214.62</v>
      </c>
      <c r="E140" s="82">
        <v>50.19</v>
      </c>
      <c r="F140" s="82">
        <v>0</v>
      </c>
      <c r="G140" s="82">
        <v>0</v>
      </c>
      <c r="H140" s="84">
        <f t="shared" si="44"/>
        <v>264.81</v>
      </c>
      <c r="I140" s="85">
        <f>I138+I136</f>
        <v>3726.3500000000004</v>
      </c>
      <c r="J140" s="94"/>
    </row>
    <row r="141" spans="1:19" ht="13.5" thickBot="1" x14ac:dyDescent="0.25">
      <c r="A141" s="86" t="s">
        <v>14</v>
      </c>
      <c r="B141" s="87">
        <f>B139+B137</f>
        <v>0.99999999999999989</v>
      </c>
      <c r="C141" s="88">
        <f t="shared" ref="C141:G141" si="45">C139+C137</f>
        <v>38076.94</v>
      </c>
      <c r="D141" s="89">
        <f t="shared" si="45"/>
        <v>2360.8199999999997</v>
      </c>
      <c r="E141" s="90">
        <f t="shared" si="45"/>
        <v>552.09</v>
      </c>
      <c r="F141" s="90">
        <f t="shared" si="45"/>
        <v>42</v>
      </c>
      <c r="G141" s="90">
        <f t="shared" si="45"/>
        <v>441.01</v>
      </c>
      <c r="H141" s="92">
        <f t="shared" si="44"/>
        <v>3395.92</v>
      </c>
      <c r="I141" s="93">
        <f>SUM(C141:G141)</f>
        <v>41472.86</v>
      </c>
      <c r="J141" s="94"/>
    </row>
    <row r="142" spans="1:19" ht="13.5" thickTop="1" x14ac:dyDescent="0.2">
      <c r="B142" s="139"/>
      <c r="C142" s="134"/>
      <c r="D142" s="134"/>
      <c r="E142" s="134"/>
      <c r="F142" s="134"/>
      <c r="G142" s="134"/>
      <c r="H142" s="94"/>
      <c r="I142" s="94"/>
      <c r="J142" s="94"/>
    </row>
    <row r="143" spans="1:19" hidden="1" x14ac:dyDescent="0.2">
      <c r="A143" s="169" t="s">
        <v>22</v>
      </c>
      <c r="B143" s="169"/>
      <c r="C143" s="169"/>
      <c r="D143" s="38"/>
      <c r="E143" s="38"/>
      <c r="F143" s="38"/>
      <c r="G143" s="38"/>
      <c r="H143" s="38"/>
      <c r="I143" s="39" t="s">
        <v>23</v>
      </c>
      <c r="J143" s="40" t="s">
        <v>24</v>
      </c>
    </row>
    <row r="144" spans="1:19" hidden="1" x14ac:dyDescent="0.2">
      <c r="A144" s="40" t="s">
        <v>67</v>
      </c>
      <c r="B144" s="40"/>
      <c r="C144" s="40"/>
      <c r="D144" s="38"/>
      <c r="E144" s="38"/>
      <c r="F144" s="38"/>
      <c r="G144" s="38"/>
      <c r="H144" s="39" t="s">
        <v>26</v>
      </c>
      <c r="I144" s="42">
        <f>I124</f>
        <v>45416</v>
      </c>
      <c r="J144" s="43">
        <f>J124</f>
        <v>45429</v>
      </c>
      <c r="K144" s="41" t="s">
        <v>16</v>
      </c>
      <c r="L144" s="41" t="s">
        <v>18</v>
      </c>
      <c r="M144" s="41" t="s">
        <v>17</v>
      </c>
      <c r="N144" s="41" t="s">
        <v>19</v>
      </c>
      <c r="O144" s="41" t="s">
        <v>20</v>
      </c>
      <c r="R144" s="41" t="s">
        <v>6</v>
      </c>
      <c r="S144" s="41" t="s">
        <v>34</v>
      </c>
    </row>
    <row r="145" spans="1:19" hidden="1" x14ac:dyDescent="0.2">
      <c r="A145" s="39"/>
      <c r="B145" s="40"/>
      <c r="C145" s="40"/>
      <c r="D145" s="168" t="s">
        <v>45</v>
      </c>
      <c r="E145" s="168"/>
      <c r="F145" s="168"/>
      <c r="G145" s="168"/>
      <c r="H145" s="168"/>
      <c r="I145" s="154" t="s">
        <v>72</v>
      </c>
      <c r="J145" s="43">
        <f>J125</f>
        <v>45436</v>
      </c>
    </row>
    <row r="146" spans="1:19" ht="13.5" hidden="1" thickBot="1" x14ac:dyDescent="0.25">
      <c r="A146" s="44" t="s">
        <v>27</v>
      </c>
      <c r="B146" s="44" t="s">
        <v>4</v>
      </c>
      <c r="C146" s="44" t="s">
        <v>28</v>
      </c>
      <c r="D146" s="45" t="s">
        <v>7</v>
      </c>
      <c r="E146" s="44" t="s">
        <v>8</v>
      </c>
      <c r="F146" s="44" t="s">
        <v>9</v>
      </c>
      <c r="G146" s="44" t="s">
        <v>10</v>
      </c>
      <c r="H146" s="44" t="s">
        <v>11</v>
      </c>
      <c r="I146" s="44" t="s">
        <v>13</v>
      </c>
      <c r="J146" s="44" t="s">
        <v>29</v>
      </c>
    </row>
    <row r="147" spans="1:19" ht="13.5" hidden="1" thickTop="1" x14ac:dyDescent="0.2">
      <c r="A147" s="95" t="s">
        <v>47</v>
      </c>
      <c r="B147" s="96">
        <f>C147/C149</f>
        <v>1</v>
      </c>
      <c r="C147" s="97">
        <f>J147-I147</f>
        <v>1724.94</v>
      </c>
      <c r="D147" s="98">
        <v>281.10000000000002</v>
      </c>
      <c r="E147" s="99">
        <v>142.6</v>
      </c>
      <c r="F147" s="99">
        <v>33.35</v>
      </c>
      <c r="G147" s="99">
        <v>60.51</v>
      </c>
      <c r="H147" s="100">
        <v>57.5</v>
      </c>
      <c r="I147" s="101">
        <f>SUM(D147:H147)</f>
        <v>575.06000000000006</v>
      </c>
      <c r="J147" s="102">
        <v>2300</v>
      </c>
    </row>
    <row r="148" spans="1:19" ht="13.5" hidden="1" thickBot="1" x14ac:dyDescent="0.25">
      <c r="A148" s="103" t="s">
        <v>12</v>
      </c>
      <c r="B148" s="104"/>
      <c r="C148" s="105">
        <f>R148+C147</f>
        <v>1724.94</v>
      </c>
      <c r="D148" s="106">
        <f>K148+D147</f>
        <v>281.10000000000002</v>
      </c>
      <c r="E148" s="107">
        <f>L148+E147</f>
        <v>142.6</v>
      </c>
      <c r="F148" s="107">
        <f>M148+F147</f>
        <v>33.35</v>
      </c>
      <c r="G148" s="107">
        <f>N148+G147</f>
        <v>60.51</v>
      </c>
      <c r="H148" s="108">
        <f>O148+H147</f>
        <v>57.5</v>
      </c>
      <c r="I148" s="109">
        <f>SUM(D148:H148)</f>
        <v>575.06000000000006</v>
      </c>
      <c r="J148" s="110">
        <f>I148+C148</f>
        <v>2300</v>
      </c>
      <c r="K148" s="133">
        <v>0</v>
      </c>
      <c r="L148" s="134">
        <v>0</v>
      </c>
      <c r="M148" s="134">
        <v>0</v>
      </c>
      <c r="N148" s="134">
        <v>0</v>
      </c>
      <c r="O148" s="134">
        <v>0</v>
      </c>
      <c r="P148" s="94">
        <f>(K148+O148+N148+M148+L148)</f>
        <v>0</v>
      </c>
      <c r="R148" s="41">
        <v>0</v>
      </c>
    </row>
    <row r="149" spans="1:19" ht="14.25" hidden="1" thickTop="1" thickBot="1" x14ac:dyDescent="0.25">
      <c r="A149" s="111" t="s">
        <v>5</v>
      </c>
      <c r="B149" s="112">
        <f>SUM(B147:B148)</f>
        <v>1</v>
      </c>
      <c r="C149" s="113">
        <f t="shared" ref="C149:G150" si="46">C147</f>
        <v>1724.94</v>
      </c>
      <c r="D149" s="81">
        <f t="shared" si="46"/>
        <v>281.10000000000002</v>
      </c>
      <c r="E149" s="82">
        <f t="shared" si="46"/>
        <v>142.6</v>
      </c>
      <c r="F149" s="82">
        <f t="shared" si="46"/>
        <v>33.35</v>
      </c>
      <c r="G149" s="82">
        <f t="shared" si="46"/>
        <v>60.51</v>
      </c>
      <c r="H149" s="83">
        <f>H147</f>
        <v>57.5</v>
      </c>
      <c r="I149" s="84">
        <f>SUM(D149:H149)</f>
        <v>575.06000000000006</v>
      </c>
      <c r="J149" s="85">
        <f>J147</f>
        <v>2300</v>
      </c>
    </row>
    <row r="150" spans="1:19" ht="13.5" hidden="1" thickBot="1" x14ac:dyDescent="0.25">
      <c r="A150" s="114" t="s">
        <v>14</v>
      </c>
      <c r="B150" s="115">
        <f>SUM(B148:B149)</f>
        <v>1</v>
      </c>
      <c r="C150" s="136">
        <f t="shared" si="46"/>
        <v>1724.94</v>
      </c>
      <c r="D150" s="89">
        <f t="shared" si="46"/>
        <v>281.10000000000002</v>
      </c>
      <c r="E150" s="90">
        <f t="shared" si="46"/>
        <v>142.6</v>
      </c>
      <c r="F150" s="90">
        <f t="shared" si="46"/>
        <v>33.35</v>
      </c>
      <c r="G150" s="90">
        <f t="shared" si="46"/>
        <v>60.51</v>
      </c>
      <c r="H150" s="91">
        <f>H148</f>
        <v>57.5</v>
      </c>
      <c r="I150" s="92">
        <f>SUM(D150:H150)</f>
        <v>575.06000000000006</v>
      </c>
      <c r="J150" s="135">
        <f>J148</f>
        <v>2300</v>
      </c>
      <c r="K150" s="41">
        <f>J150/J149</f>
        <v>1</v>
      </c>
    </row>
    <row r="151" spans="1:19" ht="13.5" hidden="1" thickTop="1" x14ac:dyDescent="0.2">
      <c r="E151" s="94"/>
      <c r="F151" s="94"/>
      <c r="G151" s="94"/>
      <c r="H151" s="94"/>
    </row>
    <row r="152" spans="1:19" hidden="1" x14ac:dyDescent="0.2">
      <c r="D152" s="168" t="s">
        <v>59</v>
      </c>
      <c r="E152" s="168"/>
      <c r="F152" s="168"/>
      <c r="G152" s="168"/>
    </row>
    <row r="153" spans="1:19" ht="13.5" hidden="1" thickBot="1" x14ac:dyDescent="0.25">
      <c r="A153" s="44" t="s">
        <v>27</v>
      </c>
      <c r="B153" s="44" t="s">
        <v>4</v>
      </c>
      <c r="C153" s="44" t="s">
        <v>29</v>
      </c>
      <c r="D153" s="45" t="s">
        <v>60</v>
      </c>
      <c r="E153" s="44" t="s">
        <v>63</v>
      </c>
      <c r="F153" s="44" t="s">
        <v>65</v>
      </c>
      <c r="G153" s="44" t="s">
        <v>68</v>
      </c>
      <c r="H153" s="44" t="s">
        <v>13</v>
      </c>
      <c r="I153" s="44" t="s">
        <v>62</v>
      </c>
      <c r="J153" s="44"/>
      <c r="K153" s="41" t="s">
        <v>61</v>
      </c>
      <c r="L153" s="41" t="s">
        <v>64</v>
      </c>
      <c r="M153" s="41" t="s">
        <v>65</v>
      </c>
      <c r="N153" s="41" t="s">
        <v>66</v>
      </c>
    </row>
    <row r="154" spans="1:19" ht="13.5" hidden="1" thickTop="1" x14ac:dyDescent="0.2">
      <c r="A154" s="95" t="s">
        <v>47</v>
      </c>
      <c r="B154" s="96">
        <f>C154/C156</f>
        <v>1</v>
      </c>
      <c r="C154" s="97">
        <f>J147</f>
        <v>2300</v>
      </c>
      <c r="D154" s="98">
        <v>142.6</v>
      </c>
      <c r="E154" s="99">
        <v>33.35</v>
      </c>
      <c r="F154" s="99"/>
      <c r="G154" s="99"/>
      <c r="H154" s="101">
        <f>SUM(D154:G154)</f>
        <v>175.95</v>
      </c>
      <c r="I154" s="102">
        <f>J147+H154</f>
        <v>2475.9499999999998</v>
      </c>
      <c r="J154" s="94"/>
      <c r="K154" s="41">
        <v>0</v>
      </c>
      <c r="L154" s="41">
        <v>0</v>
      </c>
      <c r="M154" s="41">
        <v>0</v>
      </c>
      <c r="N154" s="41">
        <v>0</v>
      </c>
      <c r="P154" s="41">
        <f>(K154+O154+N154+M154+L154)</f>
        <v>0</v>
      </c>
    </row>
    <row r="155" spans="1:19" ht="13.5" hidden="1" thickBot="1" x14ac:dyDescent="0.25">
      <c r="A155" s="103" t="s">
        <v>12</v>
      </c>
      <c r="B155" s="104"/>
      <c r="C155" s="105">
        <f>J148</f>
        <v>2300</v>
      </c>
      <c r="D155" s="106">
        <f>D154+K154</f>
        <v>142.6</v>
      </c>
      <c r="E155" s="107">
        <f>E154+L154</f>
        <v>33.35</v>
      </c>
      <c r="F155" s="107">
        <f>F154+M154</f>
        <v>0</v>
      </c>
      <c r="G155" s="107">
        <f>G154+N154</f>
        <v>0</v>
      </c>
      <c r="H155" s="109">
        <f>SUM(D155:G155)</f>
        <v>175.95</v>
      </c>
      <c r="I155" s="110">
        <f>H155+J148</f>
        <v>2475.9499999999998</v>
      </c>
      <c r="J155" s="142"/>
      <c r="K155" s="134"/>
      <c r="L155" s="134"/>
      <c r="M155" s="134"/>
      <c r="N155" s="134"/>
      <c r="O155" s="134"/>
    </row>
    <row r="156" spans="1:19" ht="14.25" hidden="1" thickTop="1" thickBot="1" x14ac:dyDescent="0.25">
      <c r="A156" s="111" t="s">
        <v>5</v>
      </c>
      <c r="B156" s="112">
        <f>SUM(B154:B155)</f>
        <v>1</v>
      </c>
      <c r="C156" s="113">
        <f t="shared" ref="C156:G157" si="47">C154</f>
        <v>2300</v>
      </c>
      <c r="D156" s="81">
        <f t="shared" si="47"/>
        <v>142.6</v>
      </c>
      <c r="E156" s="82">
        <f t="shared" si="47"/>
        <v>33.35</v>
      </c>
      <c r="F156" s="82">
        <f t="shared" si="47"/>
        <v>0</v>
      </c>
      <c r="G156" s="82">
        <f t="shared" si="47"/>
        <v>0</v>
      </c>
      <c r="H156" s="84">
        <f>SUM(D156:G156)</f>
        <v>175.95</v>
      </c>
      <c r="I156" s="85">
        <f>I154</f>
        <v>2475.9499999999998</v>
      </c>
      <c r="J156" s="94"/>
    </row>
    <row r="157" spans="1:19" ht="13.5" hidden="1" thickBot="1" x14ac:dyDescent="0.25">
      <c r="A157" s="114" t="s">
        <v>14</v>
      </c>
      <c r="B157" s="115">
        <f>SUM(B155:B156)</f>
        <v>1</v>
      </c>
      <c r="C157" s="136">
        <f t="shared" si="47"/>
        <v>2300</v>
      </c>
      <c r="D157" s="89">
        <f t="shared" si="47"/>
        <v>142.6</v>
      </c>
      <c r="E157" s="90">
        <f t="shared" si="47"/>
        <v>33.35</v>
      </c>
      <c r="F157" s="90">
        <f t="shared" si="47"/>
        <v>0</v>
      </c>
      <c r="G157" s="90">
        <f t="shared" si="47"/>
        <v>0</v>
      </c>
      <c r="H157" s="92">
        <f>SUM(D157:G157)</f>
        <v>175.95</v>
      </c>
      <c r="I157" s="135">
        <f>I155</f>
        <v>2475.9499999999998</v>
      </c>
      <c r="J157" s="141"/>
    </row>
    <row r="158" spans="1:19" ht="13.5" hidden="1" thickTop="1" x14ac:dyDescent="0.2">
      <c r="B158" s="139"/>
      <c r="C158" s="140"/>
      <c r="D158" s="134"/>
      <c r="E158" s="134"/>
      <c r="F158" s="134"/>
      <c r="G158" s="134"/>
      <c r="H158" s="134"/>
      <c r="I158" s="94"/>
      <c r="J158" s="141"/>
    </row>
    <row r="159" spans="1:19" x14ac:dyDescent="0.2">
      <c r="A159" s="169" t="s">
        <v>22</v>
      </c>
      <c r="B159" s="169"/>
      <c r="C159" s="169"/>
      <c r="D159" s="38"/>
      <c r="E159" s="38"/>
      <c r="F159" s="38"/>
      <c r="G159" s="38"/>
      <c r="H159" s="38"/>
      <c r="I159" s="39" t="s">
        <v>23</v>
      </c>
      <c r="J159" s="40" t="s">
        <v>24</v>
      </c>
    </row>
    <row r="160" spans="1:19" x14ac:dyDescent="0.2">
      <c r="A160" s="40" t="s">
        <v>73</v>
      </c>
      <c r="B160" s="40"/>
      <c r="C160" s="40"/>
      <c r="D160" s="38"/>
      <c r="E160" s="38"/>
      <c r="F160" s="38"/>
      <c r="G160" s="38"/>
      <c r="H160" s="39" t="s">
        <v>26</v>
      </c>
      <c r="I160" s="42">
        <f>I144</f>
        <v>45416</v>
      </c>
      <c r="J160" s="43">
        <f>I160+13</f>
        <v>45429</v>
      </c>
      <c r="K160" s="41" t="s">
        <v>16</v>
      </c>
      <c r="L160" s="41" t="s">
        <v>18</v>
      </c>
      <c r="M160" s="41" t="s">
        <v>17</v>
      </c>
      <c r="N160" s="41" t="s">
        <v>19</v>
      </c>
      <c r="O160" s="41" t="s">
        <v>20</v>
      </c>
      <c r="R160" s="41" t="s">
        <v>6</v>
      </c>
      <c r="S160" s="41" t="s">
        <v>34</v>
      </c>
    </row>
    <row r="161" spans="1:19" x14ac:dyDescent="0.2">
      <c r="A161" s="39"/>
      <c r="B161" s="40"/>
      <c r="C161" s="40"/>
      <c r="D161" s="168" t="s">
        <v>45</v>
      </c>
      <c r="E161" s="168"/>
      <c r="F161" s="168"/>
      <c r="G161" s="168"/>
      <c r="H161" s="168"/>
      <c r="I161" s="154" t="s">
        <v>72</v>
      </c>
      <c r="J161" s="43">
        <f>J160+7</f>
        <v>45436</v>
      </c>
    </row>
    <row r="162" spans="1:19" ht="13.5" thickBot="1" x14ac:dyDescent="0.25">
      <c r="A162" s="44" t="s">
        <v>27</v>
      </c>
      <c r="B162" s="44" t="s">
        <v>4</v>
      </c>
      <c r="C162" s="44" t="s">
        <v>28</v>
      </c>
      <c r="D162" s="45" t="s">
        <v>7</v>
      </c>
      <c r="E162" s="44" t="s">
        <v>8</v>
      </c>
      <c r="F162" s="44" t="s">
        <v>9</v>
      </c>
      <c r="G162" s="44" t="s">
        <v>10</v>
      </c>
      <c r="H162" s="44" t="s">
        <v>11</v>
      </c>
      <c r="I162" s="44" t="s">
        <v>13</v>
      </c>
      <c r="J162" s="44" t="s">
        <v>29</v>
      </c>
    </row>
    <row r="163" spans="1:19" ht="13.5" thickTop="1" x14ac:dyDescent="0.2">
      <c r="A163" s="95" t="s">
        <v>47</v>
      </c>
      <c r="B163" s="96">
        <f>C163/C165</f>
        <v>1</v>
      </c>
      <c r="C163" s="97">
        <v>222</v>
      </c>
      <c r="D163" s="98">
        <v>0</v>
      </c>
      <c r="E163" s="99">
        <v>0</v>
      </c>
      <c r="F163" s="99">
        <v>0</v>
      </c>
      <c r="G163" s="99">
        <v>0</v>
      </c>
      <c r="H163" s="100">
        <v>0</v>
      </c>
      <c r="I163" s="101">
        <f>SUM(D163:H163)</f>
        <v>0</v>
      </c>
      <c r="J163" s="102">
        <f>C163</f>
        <v>222</v>
      </c>
    </row>
    <row r="164" spans="1:19" ht="13.5" thickBot="1" x14ac:dyDescent="0.25">
      <c r="A164" s="103" t="s">
        <v>12</v>
      </c>
      <c r="B164" s="104"/>
      <c r="C164" s="105">
        <f>R164+C163</f>
        <v>3318</v>
      </c>
      <c r="D164" s="106">
        <f>K164+D163</f>
        <v>0</v>
      </c>
      <c r="E164" s="107">
        <f>L164+E163</f>
        <v>0</v>
      </c>
      <c r="F164" s="107">
        <f>M164+F163</f>
        <v>0</v>
      </c>
      <c r="G164" s="107">
        <f>N164+G163</f>
        <v>0</v>
      </c>
      <c r="H164" s="108">
        <f>O164+H163</f>
        <v>0</v>
      </c>
      <c r="I164" s="109">
        <f>SUM(D164:H164)</f>
        <v>0</v>
      </c>
      <c r="J164" s="110">
        <f>I164+C164</f>
        <v>3318</v>
      </c>
      <c r="K164" s="133">
        <v>0</v>
      </c>
      <c r="L164" s="134">
        <v>0</v>
      </c>
      <c r="M164" s="134">
        <v>0</v>
      </c>
      <c r="N164" s="134">
        <v>0</v>
      </c>
      <c r="O164" s="134">
        <v>0</v>
      </c>
      <c r="P164" s="94">
        <f>(K164+O164+N164+M164+L164)</f>
        <v>0</v>
      </c>
      <c r="R164" s="41">
        <v>3096</v>
      </c>
    </row>
    <row r="165" spans="1:19" ht="14.25" thickTop="1" thickBot="1" x14ac:dyDescent="0.25">
      <c r="A165" s="111" t="s">
        <v>5</v>
      </c>
      <c r="B165" s="112">
        <f>SUM(B163:B164)</f>
        <v>1</v>
      </c>
      <c r="C165" s="113">
        <f t="shared" ref="C165:G166" si="48">C163</f>
        <v>222</v>
      </c>
      <c r="D165" s="81">
        <f t="shared" si="48"/>
        <v>0</v>
      </c>
      <c r="E165" s="82">
        <f t="shared" si="48"/>
        <v>0</v>
      </c>
      <c r="F165" s="82">
        <f t="shared" si="48"/>
        <v>0</v>
      </c>
      <c r="G165" s="82">
        <f t="shared" si="48"/>
        <v>0</v>
      </c>
      <c r="H165" s="83">
        <f>H163</f>
        <v>0</v>
      </c>
      <c r="I165" s="84">
        <f>SUM(D165:H165)</f>
        <v>0</v>
      </c>
      <c r="J165" s="85">
        <f>J163</f>
        <v>222</v>
      </c>
    </row>
    <row r="166" spans="1:19" ht="13.5" thickBot="1" x14ac:dyDescent="0.25">
      <c r="A166" s="114" t="s">
        <v>14</v>
      </c>
      <c r="B166" s="115">
        <f>SUM(B164:B165)</f>
        <v>1</v>
      </c>
      <c r="C166" s="136">
        <f t="shared" si="48"/>
        <v>3318</v>
      </c>
      <c r="D166" s="89">
        <f t="shared" si="48"/>
        <v>0</v>
      </c>
      <c r="E166" s="90">
        <f t="shared" si="48"/>
        <v>0</v>
      </c>
      <c r="F166" s="90">
        <f t="shared" si="48"/>
        <v>0</v>
      </c>
      <c r="G166" s="90">
        <f t="shared" si="48"/>
        <v>0</v>
      </c>
      <c r="H166" s="91">
        <f>H164</f>
        <v>0</v>
      </c>
      <c r="I166" s="92">
        <f>SUM(D166:H166)</f>
        <v>0</v>
      </c>
      <c r="J166" s="135">
        <f>J164</f>
        <v>3318</v>
      </c>
    </row>
    <row r="167" spans="1:19" ht="13.5" thickTop="1" x14ac:dyDescent="0.2">
      <c r="E167" s="94"/>
      <c r="F167" s="94"/>
      <c r="G167" s="94"/>
      <c r="H167" s="94"/>
    </row>
    <row r="168" spans="1:19" x14ac:dyDescent="0.2">
      <c r="D168" s="168" t="s">
        <v>59</v>
      </c>
      <c r="E168" s="168"/>
      <c r="F168" s="168"/>
      <c r="G168" s="168"/>
    </row>
    <row r="169" spans="1:19" ht="13.5" thickBot="1" x14ac:dyDescent="0.25">
      <c r="A169" s="44" t="s">
        <v>27</v>
      </c>
      <c r="B169" s="44" t="s">
        <v>4</v>
      </c>
      <c r="C169" s="44" t="s">
        <v>29</v>
      </c>
      <c r="D169" s="45" t="s">
        <v>60</v>
      </c>
      <c r="E169" s="44" t="s">
        <v>63</v>
      </c>
      <c r="F169" s="44" t="s">
        <v>65</v>
      </c>
      <c r="G169" s="44" t="s">
        <v>68</v>
      </c>
      <c r="H169" s="44" t="s">
        <v>13</v>
      </c>
      <c r="I169" s="44" t="s">
        <v>62</v>
      </c>
      <c r="J169" s="44"/>
      <c r="K169" s="41" t="s">
        <v>61</v>
      </c>
      <c r="L169" s="41" t="s">
        <v>64</v>
      </c>
      <c r="M169" s="41" t="s">
        <v>65</v>
      </c>
      <c r="N169" s="41" t="s">
        <v>66</v>
      </c>
    </row>
    <row r="170" spans="1:19" ht="13.5" thickTop="1" x14ac:dyDescent="0.2">
      <c r="A170" s="95" t="s">
        <v>47</v>
      </c>
      <c r="B170" s="96">
        <f>C170/C172</f>
        <v>1</v>
      </c>
      <c r="C170" s="97">
        <f>J163</f>
        <v>222</v>
      </c>
      <c r="D170" s="98">
        <v>0</v>
      </c>
      <c r="E170" s="99">
        <v>0</v>
      </c>
      <c r="F170" s="99">
        <v>0</v>
      </c>
      <c r="G170" s="99">
        <v>0</v>
      </c>
      <c r="H170" s="101">
        <f>SUM(D170:G170)</f>
        <v>0</v>
      </c>
      <c r="I170" s="102">
        <f>J163+H170</f>
        <v>222</v>
      </c>
      <c r="J170" s="94"/>
      <c r="K170" s="41">
        <v>0</v>
      </c>
      <c r="L170" s="41">
        <v>0</v>
      </c>
      <c r="M170" s="41">
        <v>0</v>
      </c>
      <c r="N170" s="41">
        <v>0</v>
      </c>
      <c r="P170" s="41">
        <f>(K170+O170+N170+M170+L170)</f>
        <v>0</v>
      </c>
    </row>
    <row r="171" spans="1:19" ht="13.5" thickBot="1" x14ac:dyDescent="0.25">
      <c r="A171" s="103" t="s">
        <v>12</v>
      </c>
      <c r="B171" s="104"/>
      <c r="C171" s="105">
        <f>J164</f>
        <v>3318</v>
      </c>
      <c r="D171" s="106">
        <f>D170+K170</f>
        <v>0</v>
      </c>
      <c r="E171" s="107">
        <f>E170+L170</f>
        <v>0</v>
      </c>
      <c r="F171" s="107">
        <f>F170+M170</f>
        <v>0</v>
      </c>
      <c r="G171" s="107">
        <f>G170+N170</f>
        <v>0</v>
      </c>
      <c r="H171" s="109">
        <f>SUM(D171:G171)</f>
        <v>0</v>
      </c>
      <c r="I171" s="110">
        <f>H171+J164</f>
        <v>3318</v>
      </c>
      <c r="J171" s="142"/>
      <c r="K171" s="134"/>
      <c r="L171" s="134"/>
      <c r="M171" s="134"/>
      <c r="N171" s="134"/>
      <c r="O171" s="134"/>
    </row>
    <row r="172" spans="1:19" ht="14.25" thickTop="1" thickBot="1" x14ac:dyDescent="0.25">
      <c r="A172" s="111" t="s">
        <v>5</v>
      </c>
      <c r="B172" s="112">
        <f>SUM(B170:B171)</f>
        <v>1</v>
      </c>
      <c r="C172" s="113">
        <f t="shared" ref="C172:G173" si="49">C170</f>
        <v>222</v>
      </c>
      <c r="D172" s="81">
        <f t="shared" si="49"/>
        <v>0</v>
      </c>
      <c r="E172" s="82">
        <f t="shared" si="49"/>
        <v>0</v>
      </c>
      <c r="F172" s="82">
        <f t="shared" si="49"/>
        <v>0</v>
      </c>
      <c r="G172" s="82">
        <f t="shared" si="49"/>
        <v>0</v>
      </c>
      <c r="H172" s="84">
        <f>SUM(D172:G172)</f>
        <v>0</v>
      </c>
      <c r="I172" s="85">
        <f>I170</f>
        <v>222</v>
      </c>
      <c r="J172" s="94"/>
    </row>
    <row r="173" spans="1:19" ht="13.5" thickBot="1" x14ac:dyDescent="0.25">
      <c r="A173" s="114" t="s">
        <v>14</v>
      </c>
      <c r="B173" s="115">
        <f>SUM(B171:B172)</f>
        <v>1</v>
      </c>
      <c r="C173" s="136">
        <f t="shared" si="49"/>
        <v>3318</v>
      </c>
      <c r="D173" s="89">
        <f t="shared" si="49"/>
        <v>0</v>
      </c>
      <c r="E173" s="90">
        <f t="shared" si="49"/>
        <v>0</v>
      </c>
      <c r="F173" s="90">
        <f t="shared" si="49"/>
        <v>0</v>
      </c>
      <c r="G173" s="90">
        <f t="shared" si="49"/>
        <v>0</v>
      </c>
      <c r="H173" s="92">
        <f>SUM(D173:G173)</f>
        <v>0</v>
      </c>
      <c r="I173" s="135">
        <f>I171</f>
        <v>3318</v>
      </c>
      <c r="J173" s="141"/>
    </row>
    <row r="174" spans="1:19" ht="13.5" thickTop="1" x14ac:dyDescent="0.2"/>
    <row r="175" spans="1:19" x14ac:dyDescent="0.2">
      <c r="A175" s="169" t="s">
        <v>22</v>
      </c>
      <c r="B175" s="169"/>
      <c r="C175" s="169"/>
      <c r="D175" s="38"/>
      <c r="E175" s="38"/>
      <c r="F175" s="38"/>
      <c r="G175" s="38"/>
      <c r="H175" s="38"/>
      <c r="I175" s="39" t="s">
        <v>23</v>
      </c>
      <c r="J175" s="40" t="s">
        <v>24</v>
      </c>
    </row>
    <row r="176" spans="1:19" x14ac:dyDescent="0.2">
      <c r="A176" s="40" t="s">
        <v>74</v>
      </c>
      <c r="B176" s="40"/>
      <c r="C176" s="40"/>
      <c r="D176" s="38"/>
      <c r="E176" s="38"/>
      <c r="F176" s="38"/>
      <c r="G176" s="38"/>
      <c r="H176" s="39" t="s">
        <v>26</v>
      </c>
      <c r="I176" s="42">
        <v>45383</v>
      </c>
      <c r="J176" s="43">
        <v>45412</v>
      </c>
      <c r="K176" s="41" t="s">
        <v>16</v>
      </c>
      <c r="L176" s="41" t="s">
        <v>18</v>
      </c>
      <c r="M176" s="41" t="s">
        <v>17</v>
      </c>
      <c r="N176" s="41" t="s">
        <v>19</v>
      </c>
      <c r="O176" s="41" t="s">
        <v>20</v>
      </c>
      <c r="R176" s="41" t="s">
        <v>6</v>
      </c>
      <c r="S176" s="41" t="s">
        <v>34</v>
      </c>
    </row>
    <row r="177" spans="1:18" x14ac:dyDescent="0.2">
      <c r="A177" s="39"/>
      <c r="B177" s="40"/>
      <c r="C177" s="40"/>
      <c r="D177" s="168" t="s">
        <v>45</v>
      </c>
      <c r="E177" s="168"/>
      <c r="F177" s="168"/>
      <c r="G177" s="168"/>
      <c r="H177" s="168"/>
      <c r="I177" s="154" t="s">
        <v>72</v>
      </c>
      <c r="J177" s="43">
        <v>45412</v>
      </c>
    </row>
    <row r="178" spans="1:18" ht="13.5" thickBot="1" x14ac:dyDescent="0.25">
      <c r="A178" s="44" t="s">
        <v>27</v>
      </c>
      <c r="B178" s="44" t="s">
        <v>4</v>
      </c>
      <c r="C178" s="44" t="s">
        <v>28</v>
      </c>
      <c r="D178" s="45" t="s">
        <v>7</v>
      </c>
      <c r="E178" s="44" t="s">
        <v>8</v>
      </c>
      <c r="F178" s="44" t="s">
        <v>9</v>
      </c>
      <c r="G178" s="44" t="s">
        <v>10</v>
      </c>
      <c r="H178" s="44" t="s">
        <v>11</v>
      </c>
      <c r="I178" s="44" t="s">
        <v>13</v>
      </c>
      <c r="J178" s="44" t="s">
        <v>29</v>
      </c>
    </row>
    <row r="179" spans="1:18" ht="13.5" thickTop="1" x14ac:dyDescent="0.2">
      <c r="A179" s="95" t="s">
        <v>75</v>
      </c>
      <c r="B179" s="96">
        <f>C179/C181</f>
        <v>1</v>
      </c>
      <c r="C179" s="97">
        <f>J179-SUM(D179:H179)</f>
        <v>383.24</v>
      </c>
      <c r="D179" s="98">
        <v>0</v>
      </c>
      <c r="E179" s="99">
        <v>26.6</v>
      </c>
      <c r="F179" s="99">
        <v>6.22</v>
      </c>
      <c r="G179" s="99">
        <v>2.21</v>
      </c>
      <c r="H179" s="100">
        <v>10.73</v>
      </c>
      <c r="I179" s="101">
        <f>SUM(D179:H179)</f>
        <v>45.760000000000005</v>
      </c>
      <c r="J179" s="102">
        <v>429</v>
      </c>
    </row>
    <row r="180" spans="1:18" ht="13.5" thickBot="1" x14ac:dyDescent="0.25">
      <c r="A180" s="103" t="s">
        <v>12</v>
      </c>
      <c r="B180" s="104"/>
      <c r="C180" s="105">
        <f>R180+C179</f>
        <v>3342.3599999999997</v>
      </c>
      <c r="D180" s="106">
        <f>K180+D179</f>
        <v>149.5</v>
      </c>
      <c r="E180" s="107">
        <f>L180+E179</f>
        <v>243.29</v>
      </c>
      <c r="F180" s="107">
        <f>M180+F179</f>
        <v>56.9</v>
      </c>
      <c r="G180" s="107">
        <f>N180+G179</f>
        <v>33.839999999999996</v>
      </c>
      <c r="H180" s="108">
        <f>O180+H179</f>
        <v>98.11</v>
      </c>
      <c r="I180" s="109">
        <f>SUM(D180:H180)</f>
        <v>581.63999999999987</v>
      </c>
      <c r="J180" s="110">
        <f>I180+C180</f>
        <v>3923.9999999999995</v>
      </c>
      <c r="K180" s="133">
        <v>149.5</v>
      </c>
      <c r="L180" s="134">
        <v>216.69</v>
      </c>
      <c r="M180" s="134">
        <v>50.68</v>
      </c>
      <c r="N180" s="134">
        <v>31.63</v>
      </c>
      <c r="O180" s="134">
        <v>87.38</v>
      </c>
      <c r="P180" s="94">
        <f>(K180+O180+N180+M180+L180)</f>
        <v>535.88</v>
      </c>
      <c r="R180" s="41">
        <v>2959.12</v>
      </c>
    </row>
    <row r="181" spans="1:18" ht="14.25" thickTop="1" thickBot="1" x14ac:dyDescent="0.25">
      <c r="A181" s="111" t="s">
        <v>5</v>
      </c>
      <c r="B181" s="112">
        <f>SUM(B179:B180)</f>
        <v>1</v>
      </c>
      <c r="C181" s="113">
        <f>C179</f>
        <v>383.24</v>
      </c>
      <c r="D181" s="81">
        <f t="shared" ref="C181:G182" si="50">D179</f>
        <v>0</v>
      </c>
      <c r="E181" s="82">
        <f t="shared" si="50"/>
        <v>26.6</v>
      </c>
      <c r="F181" s="82">
        <f t="shared" si="50"/>
        <v>6.22</v>
      </c>
      <c r="G181" s="82">
        <f t="shared" si="50"/>
        <v>2.21</v>
      </c>
      <c r="H181" s="83">
        <f>H179</f>
        <v>10.73</v>
      </c>
      <c r="I181" s="84">
        <f>SUM(D181:H181)</f>
        <v>45.760000000000005</v>
      </c>
      <c r="J181" s="85">
        <f>J179</f>
        <v>429</v>
      </c>
    </row>
    <row r="182" spans="1:18" ht="13.5" thickBot="1" x14ac:dyDescent="0.25">
      <c r="A182" s="114" t="s">
        <v>14</v>
      </c>
      <c r="B182" s="115">
        <f>SUM(B180:B181)</f>
        <v>1</v>
      </c>
      <c r="C182" s="136">
        <f t="shared" si="50"/>
        <v>3342.3599999999997</v>
      </c>
      <c r="D182" s="89">
        <f t="shared" si="50"/>
        <v>149.5</v>
      </c>
      <c r="E182" s="90">
        <f t="shared" si="50"/>
        <v>243.29</v>
      </c>
      <c r="F182" s="90">
        <f t="shared" si="50"/>
        <v>56.9</v>
      </c>
      <c r="G182" s="90">
        <f t="shared" si="50"/>
        <v>33.839999999999996</v>
      </c>
      <c r="H182" s="91">
        <f>H180</f>
        <v>98.11</v>
      </c>
      <c r="I182" s="92">
        <f>SUM(D182:H182)</f>
        <v>581.63999999999987</v>
      </c>
      <c r="J182" s="135">
        <f>J180</f>
        <v>3923.9999999999995</v>
      </c>
      <c r="K182" s="41">
        <f>J182/J181</f>
        <v>9.1468531468531467</v>
      </c>
    </row>
    <row r="183" spans="1:18" ht="13.5" thickTop="1" x14ac:dyDescent="0.2">
      <c r="E183" s="94"/>
      <c r="F183" s="94"/>
      <c r="G183" s="94"/>
      <c r="H183" s="94"/>
    </row>
    <row r="184" spans="1:18" x14ac:dyDescent="0.2">
      <c r="D184" s="168" t="s">
        <v>59</v>
      </c>
      <c r="E184" s="168"/>
      <c r="F184" s="168"/>
      <c r="G184" s="168"/>
    </row>
    <row r="185" spans="1:18" ht="13.5" thickBot="1" x14ac:dyDescent="0.25">
      <c r="A185" s="44" t="s">
        <v>27</v>
      </c>
      <c r="B185" s="44" t="s">
        <v>4</v>
      </c>
      <c r="C185" s="44" t="s">
        <v>29</v>
      </c>
      <c r="D185" s="45" t="s">
        <v>60</v>
      </c>
      <c r="E185" s="44" t="s">
        <v>63</v>
      </c>
      <c r="F185" s="44" t="s">
        <v>65</v>
      </c>
      <c r="G185" s="44" t="s">
        <v>68</v>
      </c>
      <c r="H185" s="44" t="s">
        <v>13</v>
      </c>
      <c r="I185" s="44" t="s">
        <v>62</v>
      </c>
      <c r="J185" s="44"/>
      <c r="K185" s="41" t="s">
        <v>61</v>
      </c>
      <c r="L185" s="41" t="s">
        <v>64</v>
      </c>
      <c r="M185" s="41" t="s">
        <v>65</v>
      </c>
      <c r="N185" s="41" t="s">
        <v>66</v>
      </c>
    </row>
    <row r="186" spans="1:18" ht="13.5" thickTop="1" x14ac:dyDescent="0.2">
      <c r="A186" s="95" t="s">
        <v>47</v>
      </c>
      <c r="B186" s="96">
        <f>C186/C188</f>
        <v>1</v>
      </c>
      <c r="C186" s="97">
        <f>J179</f>
        <v>429</v>
      </c>
      <c r="D186" s="98">
        <v>26.6</v>
      </c>
      <c r="E186" s="99">
        <v>6.22</v>
      </c>
      <c r="F186" s="99">
        <v>2.57</v>
      </c>
      <c r="G186" s="99">
        <v>21.02</v>
      </c>
      <c r="H186" s="101">
        <f>SUM(D186:G186)</f>
        <v>56.41</v>
      </c>
      <c r="I186" s="102">
        <f>J179+H186</f>
        <v>485.40999999999997</v>
      </c>
      <c r="J186" s="94"/>
      <c r="K186" s="41">
        <v>216.69</v>
      </c>
      <c r="L186" s="41">
        <v>50.68</v>
      </c>
      <c r="M186" s="41">
        <v>20.97</v>
      </c>
      <c r="N186" s="41">
        <v>171.25</v>
      </c>
      <c r="P186" s="41">
        <f>(K186+O186+N186+M186+L186)</f>
        <v>459.59</v>
      </c>
    </row>
    <row r="187" spans="1:18" ht="13.5" thickBot="1" x14ac:dyDescent="0.25">
      <c r="A187" s="103" t="s">
        <v>12</v>
      </c>
      <c r="B187" s="104"/>
      <c r="C187" s="105">
        <f>J180</f>
        <v>3923.9999999999995</v>
      </c>
      <c r="D187" s="106">
        <f>D186+K186</f>
        <v>243.29</v>
      </c>
      <c r="E187" s="107">
        <f>E186+L186</f>
        <v>56.9</v>
      </c>
      <c r="F187" s="107">
        <f>F186+M186</f>
        <v>23.54</v>
      </c>
      <c r="G187" s="107">
        <f>G186+N186</f>
        <v>192.27</v>
      </c>
      <c r="H187" s="109">
        <f>SUM(D187:G187)</f>
        <v>516</v>
      </c>
      <c r="I187" s="110">
        <f>H187+J180</f>
        <v>4440</v>
      </c>
      <c r="J187" s="142"/>
      <c r="K187" s="134"/>
      <c r="L187" s="134"/>
      <c r="M187" s="134"/>
      <c r="N187" s="134"/>
      <c r="O187" s="134"/>
    </row>
    <row r="188" spans="1:18" ht="14.25" thickTop="1" thickBot="1" x14ac:dyDescent="0.25">
      <c r="A188" s="111" t="s">
        <v>5</v>
      </c>
      <c r="B188" s="112">
        <f>SUM(B186:B187)</f>
        <v>1</v>
      </c>
      <c r="C188" s="113">
        <f t="shared" ref="C188:G189" si="51">C186</f>
        <v>429</v>
      </c>
      <c r="D188" s="81">
        <f t="shared" si="51"/>
        <v>26.6</v>
      </c>
      <c r="E188" s="82">
        <f t="shared" si="51"/>
        <v>6.22</v>
      </c>
      <c r="F188" s="82">
        <f t="shared" si="51"/>
        <v>2.57</v>
      </c>
      <c r="G188" s="82">
        <f t="shared" si="51"/>
        <v>21.02</v>
      </c>
      <c r="H188" s="84">
        <f>SUM(D188:G188)</f>
        <v>56.41</v>
      </c>
      <c r="I188" s="85">
        <f>I186</f>
        <v>485.40999999999997</v>
      </c>
      <c r="J188" s="94"/>
    </row>
    <row r="189" spans="1:18" ht="13.5" thickBot="1" x14ac:dyDescent="0.25">
      <c r="A189" s="114" t="s">
        <v>14</v>
      </c>
      <c r="B189" s="115">
        <f>SUM(B187:B188)</f>
        <v>1</v>
      </c>
      <c r="C189" s="136">
        <f t="shared" si="51"/>
        <v>3923.9999999999995</v>
      </c>
      <c r="D189" s="89">
        <f t="shared" si="51"/>
        <v>243.29</v>
      </c>
      <c r="E189" s="90">
        <f t="shared" si="51"/>
        <v>56.9</v>
      </c>
      <c r="F189" s="90">
        <f t="shared" si="51"/>
        <v>23.54</v>
      </c>
      <c r="G189" s="90">
        <f t="shared" si="51"/>
        <v>192.27</v>
      </c>
      <c r="H189" s="92">
        <f>SUM(D189:G189)</f>
        <v>516</v>
      </c>
      <c r="I189" s="135">
        <f>I187</f>
        <v>4440</v>
      </c>
      <c r="J189" s="141"/>
    </row>
    <row r="190" spans="1:18" ht="13.5" thickTop="1" x14ac:dyDescent="0.2"/>
  </sheetData>
  <mergeCells count="30">
    <mergeCell ref="A175:C175"/>
    <mergeCell ref="D177:H177"/>
    <mergeCell ref="D184:G184"/>
    <mergeCell ref="D96:G96"/>
    <mergeCell ref="D114:G114"/>
    <mergeCell ref="A123:C123"/>
    <mergeCell ref="D125:H125"/>
    <mergeCell ref="A103:C103"/>
    <mergeCell ref="D105:H105"/>
    <mergeCell ref="A159:C159"/>
    <mergeCell ref="D161:H161"/>
    <mergeCell ref="D168:G168"/>
    <mergeCell ref="D134:G134"/>
    <mergeCell ref="A143:C143"/>
    <mergeCell ref="D145:H145"/>
    <mergeCell ref="D152:G152"/>
    <mergeCell ref="A1:C1"/>
    <mergeCell ref="A71:C71"/>
    <mergeCell ref="A33:C33"/>
    <mergeCell ref="A17:C17"/>
    <mergeCell ref="A87:C87"/>
    <mergeCell ref="D35:H35"/>
    <mergeCell ref="D3:H3"/>
    <mergeCell ref="D19:H19"/>
    <mergeCell ref="D73:H73"/>
    <mergeCell ref="D89:H89"/>
    <mergeCell ref="D10:G10"/>
    <mergeCell ref="D26:G26"/>
    <mergeCell ref="D53:G53"/>
    <mergeCell ref="D80:G80"/>
  </mergeCells>
  <printOptions horizontalCentered="1"/>
  <pageMargins left="0.2" right="0.2" top="0.25" bottom="0.25" header="0.3" footer="0.3"/>
  <pageSetup fitToHeight="0" orientation="landscape" horizontalDpi="1200" verticalDpi="1200" r:id="rId1"/>
  <rowBreaks count="9" manualBreakCount="9">
    <brk id="16" max="16383" man="1"/>
    <brk id="32" max="16383" man="1"/>
    <brk id="70" max="16383" man="1"/>
    <brk id="86" max="16383" man="1"/>
    <brk id="102" max="16383" man="1"/>
    <brk id="122" max="16383" man="1"/>
    <brk id="142" max="16383" man="1"/>
    <brk id="157" max="16383" man="1"/>
    <brk id="17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  <col min="2" max="4" width="11.5703125" bestFit="1" customWidth="1"/>
    <col min="5" max="5" width="12" bestFit="1" customWidth="1"/>
  </cols>
  <sheetData>
    <row r="1" spans="1:5" x14ac:dyDescent="0.25">
      <c r="A1" t="s">
        <v>30</v>
      </c>
      <c r="B1" t="s">
        <v>6</v>
      </c>
      <c r="C1" t="s">
        <v>33</v>
      </c>
      <c r="D1" t="s">
        <v>34</v>
      </c>
    </row>
    <row r="2" spans="1:5" x14ac:dyDescent="0.25">
      <c r="A2" t="s">
        <v>0</v>
      </c>
      <c r="B2" s="2">
        <v>600</v>
      </c>
      <c r="C2" s="2">
        <f>B2*0.42</f>
        <v>252</v>
      </c>
      <c r="D2" s="2">
        <f>C2+B2</f>
        <v>852</v>
      </c>
    </row>
    <row r="3" spans="1:5" x14ac:dyDescent="0.25">
      <c r="A3" t="s">
        <v>2</v>
      </c>
      <c r="B3" s="2">
        <v>100</v>
      </c>
      <c r="C3" s="2">
        <f t="shared" ref="C3:C5" si="0">B3*0.42</f>
        <v>42</v>
      </c>
      <c r="D3" s="2">
        <f t="shared" ref="D3:D5" si="1">C3+B3</f>
        <v>142</v>
      </c>
    </row>
    <row r="4" spans="1:5" x14ac:dyDescent="0.25">
      <c r="A4" t="s">
        <v>31</v>
      </c>
      <c r="B4" s="2">
        <v>100</v>
      </c>
      <c r="C4" s="2">
        <f t="shared" si="0"/>
        <v>42</v>
      </c>
      <c r="D4" s="2">
        <f t="shared" si="1"/>
        <v>142</v>
      </c>
    </row>
    <row r="5" spans="1:5" x14ac:dyDescent="0.25">
      <c r="A5" t="s">
        <v>32</v>
      </c>
      <c r="B5" s="3">
        <v>500</v>
      </c>
      <c r="C5" s="3">
        <f t="shared" si="0"/>
        <v>210</v>
      </c>
      <c r="D5" s="3">
        <f t="shared" si="1"/>
        <v>710</v>
      </c>
    </row>
    <row r="6" spans="1:5" x14ac:dyDescent="0.25">
      <c r="A6" t="s">
        <v>35</v>
      </c>
      <c r="B6" s="2">
        <f>SUM(B2:B5)</f>
        <v>1300</v>
      </c>
      <c r="C6" s="2">
        <f>SUM(C2:C5)</f>
        <v>546</v>
      </c>
      <c r="D6" s="2">
        <f>SUM(D2:D5)</f>
        <v>1846</v>
      </c>
    </row>
    <row r="7" spans="1:5" x14ac:dyDescent="0.25">
      <c r="A7" t="s">
        <v>36</v>
      </c>
      <c r="B7" s="4">
        <v>52</v>
      </c>
      <c r="C7" s="4">
        <v>52</v>
      </c>
      <c r="D7" s="4">
        <v>52</v>
      </c>
    </row>
    <row r="8" spans="1:5" x14ac:dyDescent="0.25">
      <c r="A8" t="s">
        <v>37</v>
      </c>
      <c r="B8" s="2">
        <f>B7*B6</f>
        <v>67600</v>
      </c>
      <c r="C8" s="2">
        <f>C7*C6</f>
        <v>28392</v>
      </c>
      <c r="D8" s="2">
        <f>D7*D6</f>
        <v>95992</v>
      </c>
    </row>
    <row r="9" spans="1:5" x14ac:dyDescent="0.25">
      <c r="A9" t="s">
        <v>38</v>
      </c>
      <c r="B9" s="4">
        <v>12</v>
      </c>
      <c r="C9" s="5">
        <v>12</v>
      </c>
      <c r="D9" s="5">
        <v>12</v>
      </c>
    </row>
    <row r="10" spans="1:5" x14ac:dyDescent="0.25">
      <c r="B10" s="1">
        <f>B8/B9</f>
        <v>5633.333333333333</v>
      </c>
      <c r="C10" s="1">
        <f>C8/C9</f>
        <v>2366</v>
      </c>
      <c r="D10" s="1">
        <f>D8/D9</f>
        <v>7999.333333333333</v>
      </c>
    </row>
    <row r="11" spans="1:5" x14ac:dyDescent="0.25">
      <c r="B11" s="1"/>
      <c r="C11" s="1"/>
      <c r="D11" s="1"/>
    </row>
    <row r="12" spans="1:5" x14ac:dyDescent="0.25">
      <c r="A12" t="s">
        <v>0</v>
      </c>
      <c r="B12">
        <v>2660</v>
      </c>
      <c r="C12">
        <f>ROUND((C2/C6)*C16,2)</f>
        <v>1033.8499999999999</v>
      </c>
      <c r="D12">
        <f>C12+B12</f>
        <v>3693.85</v>
      </c>
      <c r="E12" s="6">
        <f>B12/$B$16</f>
        <v>0.47499999999999998</v>
      </c>
    </row>
    <row r="13" spans="1:5" x14ac:dyDescent="0.25">
      <c r="A13" t="s">
        <v>2</v>
      </c>
      <c r="B13">
        <v>420</v>
      </c>
      <c r="C13">
        <f>ROUND((C3/C6)*C16,2)</f>
        <v>172.31</v>
      </c>
      <c r="D13">
        <f t="shared" ref="D13:D16" si="2">C13+B13</f>
        <v>592.30999999999995</v>
      </c>
      <c r="E13" s="6">
        <f t="shared" ref="E13:E15" si="3">B13/$B$16</f>
        <v>7.4999999999999997E-2</v>
      </c>
    </row>
    <row r="14" spans="1:5" x14ac:dyDescent="0.25">
      <c r="A14" t="s">
        <v>31</v>
      </c>
      <c r="B14">
        <v>420</v>
      </c>
      <c r="C14">
        <f>ROUND((C4/C6)*C16,2)</f>
        <v>172.31</v>
      </c>
      <c r="D14">
        <f t="shared" si="2"/>
        <v>592.30999999999995</v>
      </c>
      <c r="E14" s="6">
        <f t="shared" si="3"/>
        <v>7.4999999999999997E-2</v>
      </c>
    </row>
    <row r="15" spans="1:5" x14ac:dyDescent="0.25">
      <c r="A15" t="s">
        <v>32</v>
      </c>
      <c r="B15">
        <v>2100</v>
      </c>
      <c r="C15">
        <f>ROUND((C5/C6)*C16,2)</f>
        <v>861.54</v>
      </c>
      <c r="D15">
        <f t="shared" si="2"/>
        <v>2961.54</v>
      </c>
      <c r="E15" s="6">
        <f t="shared" si="3"/>
        <v>0.375</v>
      </c>
    </row>
    <row r="16" spans="1:5" x14ac:dyDescent="0.25">
      <c r="B16">
        <f>SUM(B12:B15)</f>
        <v>5600</v>
      </c>
      <c r="C16">
        <f>B16*0.4</f>
        <v>2240</v>
      </c>
      <c r="D16">
        <f t="shared" si="2"/>
        <v>7840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34"/>
  <sheetViews>
    <sheetView workbookViewId="0">
      <selection activeCell="M31" sqref="M31"/>
    </sheetView>
  </sheetViews>
  <sheetFormatPr defaultRowHeight="12.75" x14ac:dyDescent="0.2"/>
  <cols>
    <col min="1" max="1" width="22.28515625" style="9" customWidth="1"/>
    <col min="2" max="2" width="11" style="9" bestFit="1" customWidth="1"/>
    <col min="3" max="3" width="11.5703125" style="9" bestFit="1" customWidth="1"/>
    <col min="4" max="4" width="13.28515625" style="9" customWidth="1"/>
    <col min="5" max="5" width="10.5703125" style="9" bestFit="1" customWidth="1"/>
    <col min="6" max="6" width="10" style="9" bestFit="1" customWidth="1"/>
    <col min="7" max="8" width="10.5703125" style="9" bestFit="1" customWidth="1"/>
    <col min="9" max="10" width="11.5703125" style="9" bestFit="1" customWidth="1"/>
    <col min="11" max="15" width="10.5703125" style="9" bestFit="1" customWidth="1"/>
    <col min="16" max="16384" width="9.140625" style="9"/>
  </cols>
  <sheetData>
    <row r="1" spans="1:19" x14ac:dyDescent="0.2">
      <c r="A1" s="170" t="s">
        <v>22</v>
      </c>
      <c r="B1" s="170"/>
      <c r="C1" s="170"/>
      <c r="D1" s="7"/>
      <c r="E1" s="7"/>
      <c r="F1" s="7"/>
      <c r="G1" s="7"/>
      <c r="H1" s="7"/>
      <c r="I1" s="8" t="s">
        <v>23</v>
      </c>
      <c r="J1" s="131" t="s">
        <v>24</v>
      </c>
    </row>
    <row r="2" spans="1:19" x14ac:dyDescent="0.2">
      <c r="A2" s="8" t="s">
        <v>25</v>
      </c>
      <c r="B2" s="131" t="s">
        <v>30</v>
      </c>
      <c r="C2" s="131"/>
      <c r="D2" s="7"/>
      <c r="E2" s="7"/>
      <c r="F2" s="7"/>
      <c r="G2" s="7"/>
      <c r="H2" s="8" t="s">
        <v>26</v>
      </c>
      <c r="I2" s="132">
        <v>45383</v>
      </c>
      <c r="J2" s="10">
        <v>45412</v>
      </c>
      <c r="K2" s="9" t="s">
        <v>16</v>
      </c>
      <c r="L2" s="9" t="s">
        <v>18</v>
      </c>
      <c r="M2" s="9" t="s">
        <v>17</v>
      </c>
      <c r="N2" s="9" t="s">
        <v>19</v>
      </c>
      <c r="O2" s="9" t="s">
        <v>20</v>
      </c>
    </row>
    <row r="3" spans="1:19" ht="13.5" thickBot="1" x14ac:dyDescent="0.25">
      <c r="A3" s="11" t="s">
        <v>27</v>
      </c>
      <c r="B3" s="11" t="s">
        <v>4</v>
      </c>
      <c r="C3" s="11" t="s">
        <v>28</v>
      </c>
      <c r="D3" s="12" t="s">
        <v>7</v>
      </c>
      <c r="E3" s="11" t="s">
        <v>8</v>
      </c>
      <c r="F3" s="11" t="s">
        <v>9</v>
      </c>
      <c r="G3" s="11" t="s">
        <v>10</v>
      </c>
      <c r="H3" s="11" t="s">
        <v>11</v>
      </c>
      <c r="I3" s="11" t="s">
        <v>13</v>
      </c>
      <c r="J3" s="11" t="s">
        <v>29</v>
      </c>
      <c r="K3" s="9" t="s">
        <v>15</v>
      </c>
      <c r="L3" s="9" t="s">
        <v>15</v>
      </c>
      <c r="M3" s="9" t="s">
        <v>15</v>
      </c>
      <c r="N3" s="9" t="s">
        <v>15</v>
      </c>
      <c r="O3" s="9" t="s">
        <v>15</v>
      </c>
    </row>
    <row r="4" spans="1:19" x14ac:dyDescent="0.2">
      <c r="A4" s="22" t="s">
        <v>0</v>
      </c>
      <c r="B4" s="16">
        <f>J4/J16</f>
        <v>0.809314819719269</v>
      </c>
      <c r="C4" s="17">
        <f>J4-I4</f>
        <v>3912.59</v>
      </c>
      <c r="D4" s="23">
        <f>ROUND(D16*$B$4,2)</f>
        <v>753.84</v>
      </c>
      <c r="E4" s="24">
        <f>ROUND(E16*$B$4,2)</f>
        <v>331.56</v>
      </c>
      <c r="F4" s="24">
        <f>ROUND(F16*$B$4,2)</f>
        <v>77.540000000000006</v>
      </c>
      <c r="G4" s="24">
        <f>ROUND(G16*$B$4,2)</f>
        <v>138.53</v>
      </c>
      <c r="H4" s="25">
        <f>ROUND(H16*$B$4,2)</f>
        <v>133.69</v>
      </c>
      <c r="I4" s="18">
        <f>SUM(D4:H4)</f>
        <v>1435.16</v>
      </c>
      <c r="J4" s="18">
        <f>4899.5+508.25-60</f>
        <v>5347.75</v>
      </c>
      <c r="K4" s="9">
        <v>3015.36</v>
      </c>
      <c r="L4" s="9">
        <v>1326.24</v>
      </c>
      <c r="M4" s="9">
        <v>310.17</v>
      </c>
      <c r="N4" s="9">
        <v>554.12</v>
      </c>
      <c r="O4" s="9">
        <v>534.76</v>
      </c>
      <c r="P4" s="9">
        <f>(O4+N4+M4+L4+K4)</f>
        <v>5740.65</v>
      </c>
      <c r="S4" s="9">
        <v>15650.35</v>
      </c>
    </row>
    <row r="5" spans="1:19" ht="13.5" thickBot="1" x14ac:dyDescent="0.25">
      <c r="A5" s="26" t="s">
        <v>12</v>
      </c>
      <c r="B5" s="13">
        <f>C5/C17</f>
        <v>0.80931599495122286</v>
      </c>
      <c r="C5" s="14">
        <f>S4+C4</f>
        <v>19562.940000000002</v>
      </c>
      <c r="D5" s="27">
        <f>K4+D4</f>
        <v>3769.2000000000003</v>
      </c>
      <c r="E5" s="28">
        <f>L4+E4</f>
        <v>1657.8</v>
      </c>
      <c r="F5" s="28">
        <f>M4+F4</f>
        <v>387.71000000000004</v>
      </c>
      <c r="G5" s="28">
        <f t="shared" ref="G5:H5" si="0">N4+G4</f>
        <v>692.65</v>
      </c>
      <c r="H5" s="29">
        <f t="shared" si="0"/>
        <v>668.45</v>
      </c>
      <c r="I5" s="15">
        <f>P4+I4</f>
        <v>7175.8099999999995</v>
      </c>
      <c r="J5" s="15">
        <f>SUM(C5:H5)</f>
        <v>26738.750000000004</v>
      </c>
    </row>
    <row r="6" spans="1:19" x14ac:dyDescent="0.2">
      <c r="A6" s="22" t="s">
        <v>1</v>
      </c>
      <c r="B6" s="16">
        <f>J6/J16</f>
        <v>0</v>
      </c>
      <c r="C6" s="17">
        <f>J6-I6</f>
        <v>0</v>
      </c>
      <c r="D6" s="23">
        <f>ROUND(D16*$B$6,2)</f>
        <v>0</v>
      </c>
      <c r="E6" s="24">
        <f>ROUND(E16*$B$6,2)</f>
        <v>0</v>
      </c>
      <c r="F6" s="24">
        <f>ROUND(F16*$B$6,2)</f>
        <v>0</v>
      </c>
      <c r="G6" s="24">
        <f>ROUND(G16*$B$6,2)</f>
        <v>0</v>
      </c>
      <c r="H6" s="25">
        <f>ROUND(H16*$B$6,2)</f>
        <v>0</v>
      </c>
      <c r="I6" s="18">
        <f>SUM(D6:H6)</f>
        <v>0</v>
      </c>
      <c r="J6" s="18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f>(O6+N6+M6+L6+K6)</f>
        <v>0</v>
      </c>
    </row>
    <row r="7" spans="1:19" ht="13.5" thickBot="1" x14ac:dyDescent="0.25">
      <c r="A7" s="26" t="s">
        <v>12</v>
      </c>
      <c r="B7" s="13">
        <f>C7/C17</f>
        <v>0</v>
      </c>
      <c r="C7" s="14">
        <f>0+C6</f>
        <v>0</v>
      </c>
      <c r="D7" s="27">
        <f>K6+D6</f>
        <v>0</v>
      </c>
      <c r="E7" s="28">
        <f>L6+E6</f>
        <v>0</v>
      </c>
      <c r="F7" s="28">
        <f t="shared" ref="F7:H7" si="1">M6+F6</f>
        <v>0</v>
      </c>
      <c r="G7" s="28">
        <f t="shared" si="1"/>
        <v>0</v>
      </c>
      <c r="H7" s="29">
        <f t="shared" si="1"/>
        <v>0</v>
      </c>
      <c r="I7" s="15">
        <f>P6+I6</f>
        <v>0</v>
      </c>
      <c r="J7" s="15">
        <f>SUM(C7:H7)</f>
        <v>0</v>
      </c>
    </row>
    <row r="8" spans="1:19" x14ac:dyDescent="0.2">
      <c r="A8" s="22" t="s">
        <v>2</v>
      </c>
      <c r="B8" s="16">
        <f>J8/J16</f>
        <v>0</v>
      </c>
      <c r="C8" s="17">
        <f>J8-I8</f>
        <v>0</v>
      </c>
      <c r="D8" s="23">
        <f>ROUND($D$16*$B$8,2)</f>
        <v>0</v>
      </c>
      <c r="E8" s="24">
        <f>ROUND($E$16*$B$8,2)</f>
        <v>0</v>
      </c>
      <c r="F8" s="24">
        <f>ROUND($F$16*$B$8,2)</f>
        <v>0</v>
      </c>
      <c r="G8" s="24">
        <f>ROUND($G$16*$B$8,2)</f>
        <v>0</v>
      </c>
      <c r="H8" s="25">
        <f>ROUND($H$16*$B$8,2)</f>
        <v>0</v>
      </c>
      <c r="I8" s="18">
        <f>SUM(D8:H8)</f>
        <v>0</v>
      </c>
      <c r="J8" s="18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f>(O8+N8+M8+L8+K8)</f>
        <v>0</v>
      </c>
    </row>
    <row r="9" spans="1:19" ht="13.5" thickBot="1" x14ac:dyDescent="0.25">
      <c r="A9" s="26" t="s">
        <v>12</v>
      </c>
      <c r="B9" s="13">
        <f>C9/C17</f>
        <v>0</v>
      </c>
      <c r="C9" s="14">
        <f>0+C8</f>
        <v>0</v>
      </c>
      <c r="D9" s="27">
        <f>K8+D8</f>
        <v>0</v>
      </c>
      <c r="E9" s="28">
        <f>L8+E8</f>
        <v>0</v>
      </c>
      <c r="F9" s="28">
        <f t="shared" ref="F9:H9" si="2">M8+F8</f>
        <v>0</v>
      </c>
      <c r="G9" s="28">
        <f t="shared" si="2"/>
        <v>0</v>
      </c>
      <c r="H9" s="29">
        <f t="shared" si="2"/>
        <v>0</v>
      </c>
      <c r="I9" s="15">
        <f>P8+I8</f>
        <v>0</v>
      </c>
      <c r="J9" s="15">
        <f>SUM(C9:H9)</f>
        <v>0</v>
      </c>
    </row>
    <row r="10" spans="1:19" x14ac:dyDescent="0.2">
      <c r="A10" s="30" t="s">
        <v>57</v>
      </c>
      <c r="B10" s="16">
        <f>J10/J16</f>
        <v>6.3561726760243659E-2</v>
      </c>
      <c r="C10" s="17">
        <f>J10-I10</f>
        <v>307.27999999999997</v>
      </c>
      <c r="D10" s="23">
        <f>ROUND($D$16*$B$10,2)</f>
        <v>59.21</v>
      </c>
      <c r="E10" s="24">
        <f>ROUND($E$16*$B$10,2)</f>
        <v>26.04</v>
      </c>
      <c r="F10" s="24">
        <f>ROUND($F$16*$B$10,2)</f>
        <v>6.09</v>
      </c>
      <c r="G10" s="24">
        <f>ROUND($G$16*$B$10,2)</f>
        <v>10.88</v>
      </c>
      <c r="H10" s="25">
        <f>ROUND($H$16*$B$10,2)</f>
        <v>10.5</v>
      </c>
      <c r="I10" s="18">
        <f>SUM(D10:H10)</f>
        <v>112.72</v>
      </c>
      <c r="J10" s="19">
        <v>420</v>
      </c>
      <c r="K10" s="9">
        <v>236.84</v>
      </c>
      <c r="L10" s="9">
        <v>104.16</v>
      </c>
      <c r="M10" s="9">
        <v>24.36</v>
      </c>
      <c r="N10" s="9">
        <v>43.52</v>
      </c>
      <c r="O10" s="9">
        <v>42</v>
      </c>
      <c r="P10" s="9">
        <f>(O10+N10+M10+L10+K10)</f>
        <v>450.88</v>
      </c>
      <c r="S10" s="9">
        <v>1229.1199999999999</v>
      </c>
    </row>
    <row r="11" spans="1:19" ht="13.5" thickBot="1" x14ac:dyDescent="0.25">
      <c r="A11" s="30" t="s">
        <v>12</v>
      </c>
      <c r="B11" s="13">
        <f>C11/C17</f>
        <v>6.3560645518672479E-2</v>
      </c>
      <c r="C11" s="14">
        <f>S10+C10</f>
        <v>1536.3999999999999</v>
      </c>
      <c r="D11" s="27">
        <f>K10+D10</f>
        <v>296.05</v>
      </c>
      <c r="E11" s="28">
        <f>L10+E10</f>
        <v>130.19999999999999</v>
      </c>
      <c r="F11" s="28">
        <f t="shared" ref="F11:H11" si="3">M10+F10</f>
        <v>30.45</v>
      </c>
      <c r="G11" s="28">
        <f t="shared" si="3"/>
        <v>54.400000000000006</v>
      </c>
      <c r="H11" s="29">
        <f t="shared" si="3"/>
        <v>52.5</v>
      </c>
      <c r="I11" s="15">
        <f>P10+I10</f>
        <v>563.6</v>
      </c>
      <c r="J11" s="19">
        <f>SUM(C11:H11)</f>
        <v>2100</v>
      </c>
    </row>
    <row r="12" spans="1:19" x14ac:dyDescent="0.2">
      <c r="A12" s="22" t="s">
        <v>3</v>
      </c>
      <c r="B12" s="16">
        <f>J12/J16</f>
        <v>6.3561726760243659E-2</v>
      </c>
      <c r="C12" s="17">
        <f>J12-I12</f>
        <v>307.29000000000013</v>
      </c>
      <c r="D12" s="23">
        <f>D16-(D10+D8+D6+D4+D14)</f>
        <v>59.199999999999932</v>
      </c>
      <c r="E12" s="23">
        <f>E16-(E8+E10+E6+E4+E14)</f>
        <v>26.039999999999964</v>
      </c>
      <c r="F12" s="23">
        <f>F16-(F8+F10+F6+F4+F14)</f>
        <v>6.0899999999999892</v>
      </c>
      <c r="G12" s="23">
        <f>G16-(G10+G8+G6+G4+G14)</f>
        <v>10.879999999999995</v>
      </c>
      <c r="H12" s="23">
        <f>H16-(H10+H8+H6+H4+H14)</f>
        <v>10.5</v>
      </c>
      <c r="I12" s="18">
        <f>SUM(D12:H12)</f>
        <v>112.70999999999988</v>
      </c>
      <c r="J12" s="18">
        <v>420</v>
      </c>
      <c r="K12" s="9">
        <v>236.8</v>
      </c>
      <c r="L12" s="9">
        <v>104.16</v>
      </c>
      <c r="M12" s="9">
        <v>24.36</v>
      </c>
      <c r="N12" s="9">
        <v>43.52</v>
      </c>
      <c r="O12" s="9">
        <v>42</v>
      </c>
      <c r="P12" s="9">
        <f>(O12+N12+M12+L12+K12)</f>
        <v>450.84000000000003</v>
      </c>
      <c r="S12" s="9">
        <v>1229.1600000000001</v>
      </c>
    </row>
    <row r="13" spans="1:19" ht="13.5" thickBot="1" x14ac:dyDescent="0.25">
      <c r="A13" s="26" t="s">
        <v>12</v>
      </c>
      <c r="B13" s="13">
        <f>C13/C17</f>
        <v>6.3562714011432153E-2</v>
      </c>
      <c r="C13" s="14">
        <f>S12+C12</f>
        <v>1536.4500000000003</v>
      </c>
      <c r="D13" s="27">
        <f>K12+D12</f>
        <v>295.99999999999994</v>
      </c>
      <c r="E13" s="28">
        <f>L12+E12</f>
        <v>130.19999999999996</v>
      </c>
      <c r="F13" s="28">
        <f t="shared" ref="F13:H13" si="4">M12+F12</f>
        <v>30.449999999999989</v>
      </c>
      <c r="G13" s="28">
        <f t="shared" si="4"/>
        <v>54.4</v>
      </c>
      <c r="H13" s="29">
        <f t="shared" si="4"/>
        <v>52.5</v>
      </c>
      <c r="I13" s="15">
        <f>P12+I12</f>
        <v>563.54999999999995</v>
      </c>
      <c r="J13" s="15">
        <f>SUM(C13:H13)</f>
        <v>2100.0000000000005</v>
      </c>
    </row>
    <row r="14" spans="1:19" x14ac:dyDescent="0.2">
      <c r="A14" s="22" t="s">
        <v>31</v>
      </c>
      <c r="B14" s="16">
        <f>J14/J16</f>
        <v>6.3561726760243659E-2</v>
      </c>
      <c r="C14" s="17">
        <f>J14-I14</f>
        <v>307.27999999999997</v>
      </c>
      <c r="D14" s="23">
        <f>ROUND($D$16*$B$14,2)</f>
        <v>59.21</v>
      </c>
      <c r="E14" s="24">
        <f>ROUND($E$16*$B$14,2)</f>
        <v>26.04</v>
      </c>
      <c r="F14" s="24">
        <f>ROUND($F$16*$B$14,2)</f>
        <v>6.09</v>
      </c>
      <c r="G14" s="24">
        <f>ROUND($G$16*$B$14,2)</f>
        <v>10.88</v>
      </c>
      <c r="H14" s="25">
        <f>ROUND($H$16*$B$14,2)</f>
        <v>10.5</v>
      </c>
      <c r="I14" s="18">
        <f>SUM(D14:H14)</f>
        <v>112.72</v>
      </c>
      <c r="J14" s="18">
        <v>420</v>
      </c>
      <c r="K14" s="9">
        <v>236.84</v>
      </c>
      <c r="L14" s="9">
        <v>104.16</v>
      </c>
      <c r="M14" s="9">
        <v>24.36</v>
      </c>
      <c r="N14" s="9">
        <v>43.52</v>
      </c>
      <c r="O14" s="9">
        <v>42</v>
      </c>
      <c r="P14" s="9">
        <f>(O14+N14+M14+L14+K14)</f>
        <v>450.88</v>
      </c>
      <c r="S14" s="9">
        <v>1229.1199999999999</v>
      </c>
    </row>
    <row r="15" spans="1:19" ht="13.5" thickBot="1" x14ac:dyDescent="0.25">
      <c r="A15" s="26" t="s">
        <v>12</v>
      </c>
      <c r="B15" s="13">
        <f>C15/C17</f>
        <v>6.3560645518672479E-2</v>
      </c>
      <c r="C15" s="14">
        <f>S14+C14</f>
        <v>1536.3999999999999</v>
      </c>
      <c r="D15" s="27">
        <f>K14+D14</f>
        <v>296.05</v>
      </c>
      <c r="E15" s="28">
        <f>L14+E14</f>
        <v>130.19999999999999</v>
      </c>
      <c r="F15" s="28">
        <f t="shared" ref="F15:H15" si="5">M14+F14</f>
        <v>30.45</v>
      </c>
      <c r="G15" s="28">
        <f t="shared" si="5"/>
        <v>54.400000000000006</v>
      </c>
      <c r="H15" s="29">
        <f t="shared" si="5"/>
        <v>52.5</v>
      </c>
      <c r="I15" s="15">
        <f>P14+I14</f>
        <v>563.6</v>
      </c>
      <c r="J15" s="15">
        <f>SUM(C15:H15)</f>
        <v>2100</v>
      </c>
      <c r="P15" s="9">
        <f>SUM(P4:P14)</f>
        <v>7093.25</v>
      </c>
      <c r="S15" s="9">
        <f>SUM(S4:S14)</f>
        <v>19337.75</v>
      </c>
    </row>
    <row r="16" spans="1:19" ht="15.75" thickBot="1" x14ac:dyDescent="0.3">
      <c r="A16" s="31" t="s">
        <v>5</v>
      </c>
      <c r="B16" s="32">
        <f>B12+B8+B6+B4+B14+B10</f>
        <v>0.99999999999999989</v>
      </c>
      <c r="C16" s="153">
        <f>SUM(C4+C6+C8+C10+C12+C14)</f>
        <v>4834.4399999999996</v>
      </c>
      <c r="D16" s="150">
        <v>931.46</v>
      </c>
      <c r="E16" s="151">
        <v>409.68</v>
      </c>
      <c r="F16" s="151">
        <v>95.81</v>
      </c>
      <c r="G16" s="151">
        <v>171.17</v>
      </c>
      <c r="H16" s="152">
        <v>165.19</v>
      </c>
      <c r="I16" s="37">
        <f>SUM(D16:H16)</f>
        <v>1773.3100000000002</v>
      </c>
      <c r="J16" s="37">
        <f>J12+J8+J6+J4+J14+J10</f>
        <v>6607.75</v>
      </c>
    </row>
    <row r="17" spans="1:16" ht="13.5" thickBot="1" x14ac:dyDescent="0.25">
      <c r="A17" s="31" t="s">
        <v>14</v>
      </c>
      <c r="B17" s="32">
        <f>B13+B9+B7+B5+B15+B11</f>
        <v>1</v>
      </c>
      <c r="C17" s="33">
        <f>C13+C9+C11+C7+C5+C15</f>
        <v>24172.190000000002</v>
      </c>
      <c r="D17" s="34">
        <f>D13+D9+D7+D5+D15+D11</f>
        <v>4657.3</v>
      </c>
      <c r="E17" s="35">
        <f>E13+E9+E7+E5+E15+E11</f>
        <v>2048.4</v>
      </c>
      <c r="F17" s="35">
        <f>F13+F9+F7+F5+F15+F11</f>
        <v>479.06</v>
      </c>
      <c r="G17" s="35">
        <f>G13+G9+G7+G5+G15+G11</f>
        <v>855.84999999999991</v>
      </c>
      <c r="H17" s="36">
        <f>H13+H9+H7+H5+H15+H11</f>
        <v>825.95</v>
      </c>
      <c r="I17" s="37">
        <f>SUM(D17:H17)</f>
        <v>8866.5600000000013</v>
      </c>
      <c r="J17" s="37">
        <f>SUM(C17:H17)</f>
        <v>33038.75</v>
      </c>
      <c r="K17" s="9">
        <f>J17/J16</f>
        <v>5</v>
      </c>
    </row>
    <row r="18" spans="1:16" x14ac:dyDescent="0.2">
      <c r="B18" s="9" t="s">
        <v>21</v>
      </c>
      <c r="C18" s="20">
        <f>C17/800</f>
        <v>30.215237500000004</v>
      </c>
      <c r="D18" s="21">
        <f>SUM(D4:D12)</f>
        <v>4937.5</v>
      </c>
      <c r="E18" s="21">
        <f>E12+E8+E6+E4</f>
        <v>357.59999999999997</v>
      </c>
      <c r="F18" s="21">
        <f t="shared" ref="F18:H18" si="6">F12+F8+F6+F4</f>
        <v>83.63</v>
      </c>
      <c r="G18" s="21">
        <f t="shared" si="6"/>
        <v>149.41</v>
      </c>
      <c r="H18" s="21">
        <f t="shared" si="6"/>
        <v>144.19</v>
      </c>
    </row>
    <row r="19" spans="1:16" x14ac:dyDescent="0.2">
      <c r="C19" s="20"/>
      <c r="D19" s="21"/>
      <c r="E19" s="21"/>
      <c r="F19" s="21"/>
      <c r="G19" s="21"/>
      <c r="H19" s="21"/>
    </row>
    <row r="20" spans="1:16" ht="13.5" thickBot="1" x14ac:dyDescent="0.25">
      <c r="A20" s="11" t="s">
        <v>27</v>
      </c>
      <c r="B20" s="11" t="s">
        <v>4</v>
      </c>
      <c r="C20" s="11" t="s">
        <v>28</v>
      </c>
      <c r="D20" s="12" t="s">
        <v>69</v>
      </c>
      <c r="E20" s="11" t="s">
        <v>70</v>
      </c>
      <c r="F20" s="11" t="s">
        <v>65</v>
      </c>
      <c r="G20" s="11" t="s">
        <v>71</v>
      </c>
      <c r="H20" s="11" t="s">
        <v>13</v>
      </c>
      <c r="I20" s="11" t="s">
        <v>29</v>
      </c>
      <c r="J20" s="11"/>
      <c r="K20" s="9" t="s">
        <v>15</v>
      </c>
      <c r="L20" s="9" t="s">
        <v>15</v>
      </c>
      <c r="M20" s="9" t="s">
        <v>15</v>
      </c>
      <c r="N20" s="9" t="s">
        <v>15</v>
      </c>
      <c r="O20" s="9" t="s">
        <v>15</v>
      </c>
    </row>
    <row r="21" spans="1:16" x14ac:dyDescent="0.2">
      <c r="A21" s="22" t="s">
        <v>0</v>
      </c>
      <c r="B21" s="16">
        <f t="shared" ref="B21:B32" si="7">B4</f>
        <v>0.809314819719269</v>
      </c>
      <c r="C21" s="17">
        <f t="shared" ref="C21:C32" si="8">J4</f>
        <v>5347.75</v>
      </c>
      <c r="D21" s="23">
        <f>ROUND(D33*$B$21,2)</f>
        <v>331.56</v>
      </c>
      <c r="E21" s="24">
        <f>ROUND(E33*$B$4,2)</f>
        <v>77.540000000000006</v>
      </c>
      <c r="F21" s="24">
        <f>ROUND(F33*$B$4,2)</f>
        <v>0</v>
      </c>
      <c r="G21" s="24">
        <f>ROUND(G33*$B$4,2)</f>
        <v>0</v>
      </c>
      <c r="H21" s="18">
        <f t="shared" ref="H21:H34" si="9">SUM(D21:G21)</f>
        <v>409.1</v>
      </c>
      <c r="I21" s="18">
        <f>H21+C21</f>
        <v>5756.85</v>
      </c>
      <c r="J21" s="21"/>
      <c r="K21" s="9">
        <v>1326.24</v>
      </c>
      <c r="L21" s="9">
        <v>310.16000000000003</v>
      </c>
      <c r="M21" s="9">
        <v>33.99</v>
      </c>
      <c r="N21" s="9">
        <v>356.91</v>
      </c>
      <c r="O21" s="9">
        <v>0</v>
      </c>
      <c r="P21" s="9">
        <f>(O21+N21+M21+L21+K21)</f>
        <v>2027.3000000000002</v>
      </c>
    </row>
    <row r="22" spans="1:16" ht="13.5" thickBot="1" x14ac:dyDescent="0.25">
      <c r="A22" s="26" t="s">
        <v>12</v>
      </c>
      <c r="B22" s="13">
        <f t="shared" si="7"/>
        <v>0.80931599495122286</v>
      </c>
      <c r="C22" s="14">
        <f t="shared" si="8"/>
        <v>26738.750000000004</v>
      </c>
      <c r="D22" s="27">
        <f>K21+D21</f>
        <v>1657.8</v>
      </c>
      <c r="E22" s="28">
        <f>L21+E21</f>
        <v>387.70000000000005</v>
      </c>
      <c r="F22" s="28">
        <f>M21+F21</f>
        <v>33.99</v>
      </c>
      <c r="G22" s="28">
        <f>N21+G21</f>
        <v>356.91</v>
      </c>
      <c r="H22" s="15">
        <f t="shared" si="9"/>
        <v>2436.3999999999996</v>
      </c>
      <c r="I22" s="15">
        <f>SUM(C22:G22)</f>
        <v>29175.150000000005</v>
      </c>
      <c r="J22" s="21"/>
    </row>
    <row r="23" spans="1:16" x14ac:dyDescent="0.2">
      <c r="A23" s="22" t="s">
        <v>1</v>
      </c>
      <c r="B23" s="16">
        <f t="shared" si="7"/>
        <v>0</v>
      </c>
      <c r="C23" s="17">
        <f t="shared" si="8"/>
        <v>0</v>
      </c>
      <c r="D23" s="23">
        <f>ROUND(D33*$B$6,2)</f>
        <v>0</v>
      </c>
      <c r="E23" s="24">
        <f>ROUND(E33*$B$6,2)</f>
        <v>0</v>
      </c>
      <c r="F23" s="24">
        <f>ROUND(F33*$B$6,2)</f>
        <v>0</v>
      </c>
      <c r="G23" s="24">
        <f>ROUND(G33*$B$6,2)</f>
        <v>0</v>
      </c>
      <c r="H23" s="18">
        <f t="shared" si="9"/>
        <v>0</v>
      </c>
      <c r="I23" s="18">
        <v>0</v>
      </c>
      <c r="J23" s="21"/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f>(O23+N23+M23+L23+K23)</f>
        <v>0</v>
      </c>
    </row>
    <row r="24" spans="1:16" ht="13.5" thickBot="1" x14ac:dyDescent="0.25">
      <c r="A24" s="26" t="s">
        <v>12</v>
      </c>
      <c r="B24" s="13">
        <f t="shared" si="7"/>
        <v>0</v>
      </c>
      <c r="C24" s="14">
        <f t="shared" si="8"/>
        <v>0</v>
      </c>
      <c r="D24" s="27">
        <f>K23+D23</f>
        <v>0</v>
      </c>
      <c r="E24" s="28">
        <f>L23+E23</f>
        <v>0</v>
      </c>
      <c r="F24" s="28">
        <f>M23+F23</f>
        <v>0</v>
      </c>
      <c r="G24" s="28">
        <f>N23+G23</f>
        <v>0</v>
      </c>
      <c r="H24" s="15">
        <f t="shared" si="9"/>
        <v>0</v>
      </c>
      <c r="I24" s="15">
        <f>SUM(C24:G24)</f>
        <v>0</v>
      </c>
      <c r="J24" s="21"/>
    </row>
    <row r="25" spans="1:16" x14ac:dyDescent="0.2">
      <c r="A25" s="22" t="s">
        <v>2</v>
      </c>
      <c r="B25" s="16">
        <f t="shared" si="7"/>
        <v>0</v>
      </c>
      <c r="C25" s="17">
        <f t="shared" si="8"/>
        <v>0</v>
      </c>
      <c r="D25" s="23">
        <f>ROUND($D$16*$B$8,2)</f>
        <v>0</v>
      </c>
      <c r="E25" s="24">
        <f>ROUND($E$16*$B$8,2)</f>
        <v>0</v>
      </c>
      <c r="F25" s="24">
        <f>ROUND($F$16*$B$8,2)</f>
        <v>0</v>
      </c>
      <c r="G25" s="24">
        <f>ROUND($G$16*$B$8,2)</f>
        <v>0</v>
      </c>
      <c r="H25" s="18">
        <f t="shared" si="9"/>
        <v>0</v>
      </c>
      <c r="I25" s="18">
        <v>0</v>
      </c>
      <c r="J25" s="21"/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f>(O25+N25+M25+L25+K25)</f>
        <v>0</v>
      </c>
    </row>
    <row r="26" spans="1:16" ht="13.5" thickBot="1" x14ac:dyDescent="0.25">
      <c r="A26" s="26" t="s">
        <v>12</v>
      </c>
      <c r="B26" s="13">
        <f t="shared" si="7"/>
        <v>0</v>
      </c>
      <c r="C26" s="14">
        <f t="shared" si="8"/>
        <v>0</v>
      </c>
      <c r="D26" s="27">
        <f>K25+D25</f>
        <v>0</v>
      </c>
      <c r="E26" s="28">
        <f>L25+E25</f>
        <v>0</v>
      </c>
      <c r="F26" s="28">
        <f>M25+F25</f>
        <v>0</v>
      </c>
      <c r="G26" s="28">
        <f>N25+G25</f>
        <v>0</v>
      </c>
      <c r="H26" s="15">
        <f t="shared" si="9"/>
        <v>0</v>
      </c>
      <c r="I26" s="15">
        <f>SUM(C26:G26)</f>
        <v>0</v>
      </c>
      <c r="J26" s="21"/>
    </row>
    <row r="27" spans="1:16" x14ac:dyDescent="0.2">
      <c r="A27" s="30" t="s">
        <v>57</v>
      </c>
      <c r="B27" s="16">
        <f t="shared" si="7"/>
        <v>6.3561726760243659E-2</v>
      </c>
      <c r="C27" s="17">
        <f t="shared" si="8"/>
        <v>420</v>
      </c>
      <c r="D27" s="23">
        <f>ROUND($D$33*$B$27,2)</f>
        <v>26.04</v>
      </c>
      <c r="E27" s="24">
        <f>ROUND($E$33*$B$10,2)</f>
        <v>6.09</v>
      </c>
      <c r="F27" s="24">
        <f>ROUND($F$33*$B$10,2)</f>
        <v>0</v>
      </c>
      <c r="G27" s="24">
        <f>ROUND($G$33*$B$10,2)</f>
        <v>0</v>
      </c>
      <c r="H27" s="18">
        <f t="shared" si="9"/>
        <v>32.129999999999995</v>
      </c>
      <c r="I27" s="19">
        <f>H27+C27</f>
        <v>452.13</v>
      </c>
      <c r="J27" s="21"/>
      <c r="K27" s="9">
        <v>104.16</v>
      </c>
      <c r="L27" s="9">
        <v>24.36</v>
      </c>
      <c r="M27" s="9">
        <v>2.67</v>
      </c>
      <c r="N27" s="9">
        <v>28.03</v>
      </c>
      <c r="O27" s="9">
        <v>0</v>
      </c>
      <c r="P27" s="9">
        <f>(O27+N27+M27+L27+K27)</f>
        <v>159.22</v>
      </c>
    </row>
    <row r="28" spans="1:16" ht="13.5" thickBot="1" x14ac:dyDescent="0.25">
      <c r="A28" s="30" t="s">
        <v>12</v>
      </c>
      <c r="B28" s="13">
        <f t="shared" si="7"/>
        <v>6.3560645518672479E-2</v>
      </c>
      <c r="C28" s="14">
        <f t="shared" si="8"/>
        <v>2100</v>
      </c>
      <c r="D28" s="27">
        <f>K27+D27</f>
        <v>130.19999999999999</v>
      </c>
      <c r="E28" s="28">
        <f>L27+E27</f>
        <v>30.45</v>
      </c>
      <c r="F28" s="28">
        <f>M27+F27</f>
        <v>2.67</v>
      </c>
      <c r="G28" s="28">
        <f>N27+G27</f>
        <v>28.03</v>
      </c>
      <c r="H28" s="15">
        <f t="shared" si="9"/>
        <v>191.34999999999997</v>
      </c>
      <c r="I28" s="19">
        <f>SUM(C28:G28)</f>
        <v>2291.35</v>
      </c>
      <c r="J28" s="21"/>
    </row>
    <row r="29" spans="1:16" x14ac:dyDescent="0.2">
      <c r="A29" s="22" t="s">
        <v>3</v>
      </c>
      <c r="B29" s="16">
        <f t="shared" si="7"/>
        <v>6.3561726760243659E-2</v>
      </c>
      <c r="C29" s="17">
        <f t="shared" si="8"/>
        <v>420</v>
      </c>
      <c r="D29" s="23">
        <f>D33-(D27+D25+D23+D21+D31)</f>
        <v>26.039999999999964</v>
      </c>
      <c r="E29" s="23">
        <f>E33-(E25+E27+E23+E21+E31)</f>
        <v>6.0899999999999892</v>
      </c>
      <c r="F29" s="23">
        <f>F33-(F25+F27+F23+F21+F31)</f>
        <v>0</v>
      </c>
      <c r="G29" s="23">
        <f>G33-(G27+G25+G23+G21+G31)</f>
        <v>0</v>
      </c>
      <c r="H29" s="18">
        <f t="shared" si="9"/>
        <v>32.129999999999953</v>
      </c>
      <c r="I29" s="18">
        <f>H29+C29</f>
        <v>452.12999999999994</v>
      </c>
      <c r="J29" s="21"/>
      <c r="K29" s="9">
        <v>104.16</v>
      </c>
      <c r="L29" s="9">
        <v>24.36</v>
      </c>
      <c r="M29" s="9">
        <v>2.67</v>
      </c>
      <c r="N29" s="9">
        <v>28.03</v>
      </c>
      <c r="O29" s="9">
        <v>0</v>
      </c>
      <c r="P29" s="9">
        <f>(O29+N29+M29+L29+K29)</f>
        <v>159.22</v>
      </c>
    </row>
    <row r="30" spans="1:16" ht="13.5" thickBot="1" x14ac:dyDescent="0.25">
      <c r="A30" s="26" t="s">
        <v>12</v>
      </c>
      <c r="B30" s="13">
        <f t="shared" si="7"/>
        <v>6.3562714011432153E-2</v>
      </c>
      <c r="C30" s="14">
        <f t="shared" si="8"/>
        <v>2100.0000000000005</v>
      </c>
      <c r="D30" s="27">
        <f>K29+D29</f>
        <v>130.19999999999996</v>
      </c>
      <c r="E30" s="28">
        <f>L29+E29</f>
        <v>30.449999999999989</v>
      </c>
      <c r="F30" s="28">
        <f>M29+F29</f>
        <v>2.67</v>
      </c>
      <c r="G30" s="28">
        <f>N29+G29</f>
        <v>28.03</v>
      </c>
      <c r="H30" s="15">
        <f t="shared" si="9"/>
        <v>191.34999999999994</v>
      </c>
      <c r="I30" s="15">
        <f>SUM(C30:G30)</f>
        <v>2291.3500000000004</v>
      </c>
      <c r="J30" s="21"/>
    </row>
    <row r="31" spans="1:16" x14ac:dyDescent="0.2">
      <c r="A31" s="22" t="s">
        <v>31</v>
      </c>
      <c r="B31" s="16">
        <f t="shared" si="7"/>
        <v>6.3561726760243659E-2</v>
      </c>
      <c r="C31" s="17">
        <f t="shared" si="8"/>
        <v>420</v>
      </c>
      <c r="D31" s="23">
        <f>ROUND($D$33*$B$14,2)</f>
        <v>26.04</v>
      </c>
      <c r="E31" s="24">
        <f>ROUND($E$33*$B$14,2)</f>
        <v>6.09</v>
      </c>
      <c r="F31" s="24">
        <f>ROUND($F$33*$B$14,2)</f>
        <v>0</v>
      </c>
      <c r="G31" s="24">
        <f>ROUND($G$33*$B$14,2)</f>
        <v>0</v>
      </c>
      <c r="H31" s="18">
        <f t="shared" si="9"/>
        <v>32.129999999999995</v>
      </c>
      <c r="I31" s="18">
        <f>H31+C31</f>
        <v>452.13</v>
      </c>
      <c r="J31" s="21"/>
      <c r="K31" s="9">
        <v>104.16</v>
      </c>
      <c r="L31" s="9">
        <v>24.36</v>
      </c>
      <c r="M31" s="9">
        <v>2.67</v>
      </c>
      <c r="N31" s="9">
        <v>28.03</v>
      </c>
      <c r="O31" s="9">
        <v>0</v>
      </c>
      <c r="P31" s="9">
        <f>(O31+N31+M31+L31+K31)</f>
        <v>159.22</v>
      </c>
    </row>
    <row r="32" spans="1:16" ht="13.5" thickBot="1" x14ac:dyDescent="0.25">
      <c r="A32" s="26" t="s">
        <v>12</v>
      </c>
      <c r="B32" s="13">
        <f t="shared" si="7"/>
        <v>6.3560645518672479E-2</v>
      </c>
      <c r="C32" s="14">
        <f t="shared" si="8"/>
        <v>2100</v>
      </c>
      <c r="D32" s="27">
        <f>K31+D31</f>
        <v>130.19999999999999</v>
      </c>
      <c r="E32" s="28">
        <f>L31+E31</f>
        <v>30.45</v>
      </c>
      <c r="F32" s="28">
        <f>M31+F31</f>
        <v>2.67</v>
      </c>
      <c r="G32" s="28">
        <f>N31+G31</f>
        <v>28.03</v>
      </c>
      <c r="H32" s="15">
        <f t="shared" si="9"/>
        <v>191.34999999999997</v>
      </c>
      <c r="I32" s="15">
        <f>SUM(C32:G32)</f>
        <v>2291.35</v>
      </c>
      <c r="J32" s="21"/>
      <c r="P32" s="9">
        <f>SUM(P21:P31)</f>
        <v>2504.9599999999996</v>
      </c>
    </row>
    <row r="33" spans="1:10" ht="13.5" thickBot="1" x14ac:dyDescent="0.25">
      <c r="A33" s="31" t="s">
        <v>5</v>
      </c>
      <c r="B33" s="32">
        <f>B29+B25+B23+B21+B31+B27</f>
        <v>0.99999999999999989</v>
      </c>
      <c r="C33" s="33">
        <f>SUM(C21+C23+C25+C27+C29+C31)</f>
        <v>6607.75</v>
      </c>
      <c r="D33" s="150">
        <v>409.68</v>
      </c>
      <c r="E33" s="151">
        <v>95.81</v>
      </c>
      <c r="F33" s="151">
        <v>0</v>
      </c>
      <c r="G33" s="151">
        <v>0</v>
      </c>
      <c r="H33" s="37">
        <f t="shared" si="9"/>
        <v>505.49</v>
      </c>
      <c r="I33" s="37">
        <f>I29+I25+I23+I21+I31+I27</f>
        <v>7113.2400000000007</v>
      </c>
      <c r="J33" s="21"/>
    </row>
    <row r="34" spans="1:10" ht="13.5" thickBot="1" x14ac:dyDescent="0.25">
      <c r="A34" s="31" t="s">
        <v>14</v>
      </c>
      <c r="B34" s="32">
        <f>B30+B26+B24+B22+B32+B28</f>
        <v>1</v>
      </c>
      <c r="C34" s="33">
        <f>C30+C26+C28+C24+C22+C32</f>
        <v>33038.75</v>
      </c>
      <c r="D34" s="34">
        <f>D30+D26+D24+D22+D32+D28</f>
        <v>2048.4</v>
      </c>
      <c r="E34" s="35">
        <f>E30+E26+E24+E22+E32+E28</f>
        <v>479.05</v>
      </c>
      <c r="F34" s="35">
        <f>F30+F26+F24+F22+F32+F28</f>
        <v>42.000000000000007</v>
      </c>
      <c r="G34" s="35">
        <f>G30+G26+G24+G22+G32+G28</f>
        <v>441</v>
      </c>
      <c r="H34" s="37">
        <f t="shared" si="9"/>
        <v>3010.4500000000003</v>
      </c>
      <c r="I34" s="37">
        <f>SUM(C34:G34)</f>
        <v>36049.200000000004</v>
      </c>
      <c r="J34" s="21"/>
    </row>
  </sheetData>
  <mergeCells count="1">
    <mergeCell ref="A1:C1"/>
  </mergeCells>
  <printOptions horizontalCentered="1"/>
  <pageMargins left="0.2" right="0.2" top="0.25" bottom="0.5" header="0.3" footer="0.3"/>
  <pageSetup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Neil</vt:lpstr>
      <vt:lpstr>Neil!Print_Area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Union Apartments</dc:creator>
  <cp:lastModifiedBy>Joshua Bett</cp:lastModifiedBy>
  <cp:lastPrinted>2024-06-07T19:19:26Z</cp:lastPrinted>
  <dcterms:created xsi:type="dcterms:W3CDTF">2022-01-07T16:02:08Z</dcterms:created>
  <dcterms:modified xsi:type="dcterms:W3CDTF">2024-06-07T19:19:36Z</dcterms:modified>
</cp:coreProperties>
</file>