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rodriguezmunoz/Desktop/"/>
    </mc:Choice>
  </mc:AlternateContent>
  <xr:revisionPtr revIDLastSave="0" documentId="13_ncr:1_{941E0D68-0134-B14A-9BAD-EA3597AE160F}" xr6:coauthVersionLast="47" xr6:coauthVersionMax="47" xr10:uidLastSave="{00000000-0000-0000-0000-000000000000}"/>
  <bookViews>
    <workbookView xWindow="0" yWindow="620" windowWidth="28800" windowHeight="15500" xr2:uid="{00000000-000D-0000-FFFF-FFFF00000000}"/>
  </bookViews>
  <sheets>
    <sheet name="spring_gait_parameters" sheetId="1" r:id="rId1"/>
    <sheet name="LA stresses + SF" sheetId="4" r:id="rId2"/>
    <sheet name="lever arm selection" sheetId="2" r:id="rId3"/>
    <sheet name="pulley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4" l="1"/>
  <c r="N3" i="4"/>
  <c r="AF6" i="1"/>
  <c r="AF4" i="1"/>
  <c r="M110" i="3"/>
  <c r="N110" i="3"/>
  <c r="M111" i="3"/>
  <c r="N111" i="3"/>
  <c r="Q5" i="3"/>
  <c r="L24" i="2"/>
  <c r="T116" i="4"/>
  <c r="U116" i="4"/>
  <c r="V116" i="4"/>
  <c r="W116" i="4"/>
  <c r="H116" i="4"/>
  <c r="T115" i="4"/>
  <c r="U115" i="4"/>
  <c r="V115" i="4"/>
  <c r="W115" i="4"/>
  <c r="R125" i="3"/>
  <c r="R124" i="3"/>
  <c r="T114" i="4"/>
  <c r="U114" i="4"/>
  <c r="V114" i="4"/>
  <c r="W114" i="4"/>
  <c r="H117" i="4"/>
  <c r="H115" i="4" s="1"/>
  <c r="E19" i="4"/>
  <c r="E18" i="4"/>
  <c r="E17" i="4"/>
  <c r="E15" i="4"/>
  <c r="E13" i="4"/>
  <c r="E12" i="4"/>
  <c r="E4" i="4" a="1"/>
  <c r="E4" i="4" s="1"/>
  <c r="B3" i="4" a="1"/>
  <c r="B3" i="4" s="1"/>
  <c r="W3" i="4" s="1"/>
  <c r="A3" i="4" a="1"/>
  <c r="AI6" i="1"/>
  <c r="AI14" i="1"/>
  <c r="AI22" i="1"/>
  <c r="AI30" i="1"/>
  <c r="AI38" i="1"/>
  <c r="AI46" i="1"/>
  <c r="AI51" i="1"/>
  <c r="AI54" i="1"/>
  <c r="AI62" i="1"/>
  <c r="AI69" i="1"/>
  <c r="AI70" i="1"/>
  <c r="AI77" i="1"/>
  <c r="AI78" i="1"/>
  <c r="AI85" i="1"/>
  <c r="AI86" i="1"/>
  <c r="AI93" i="1"/>
  <c r="AI94" i="1"/>
  <c r="AI101" i="1"/>
  <c r="AI102" i="1"/>
  <c r="AI3" i="1"/>
  <c r="J19" i="2"/>
  <c r="AI7" i="1"/>
  <c r="AF5" i="1"/>
  <c r="B19" i="3"/>
  <c r="B23" i="3"/>
  <c r="R117" i="3"/>
  <c r="R115" i="3" s="1"/>
  <c r="R116" i="3"/>
  <c r="B16" i="3"/>
  <c r="AF9" i="1"/>
  <c r="J31" i="2"/>
  <c r="J30" i="2"/>
  <c r="P3" i="2"/>
  <c r="J21" i="2"/>
  <c r="J23" i="2"/>
  <c r="J28" i="2"/>
  <c r="J26" i="2"/>
  <c r="J25" i="2"/>
  <c r="J24" i="2"/>
  <c r="C4" i="3"/>
  <c r="C6" i="3"/>
  <c r="C3" i="3"/>
  <c r="B5" i="3"/>
  <c r="C5" i="3" s="1"/>
  <c r="B4" i="3"/>
  <c r="C17" i="2"/>
  <c r="C15" i="2"/>
  <c r="C14" i="2"/>
  <c r="AI61" i="1" l="1"/>
  <c r="AI37" i="1"/>
  <c r="AI13" i="1"/>
  <c r="AI100" i="1"/>
  <c r="AI68" i="1"/>
  <c r="AI60" i="1"/>
  <c r="AI52" i="1"/>
  <c r="AI44" i="1"/>
  <c r="AI36" i="1"/>
  <c r="AI28" i="1"/>
  <c r="AI20" i="1"/>
  <c r="AI12" i="1"/>
  <c r="AI4" i="1"/>
  <c r="AI53" i="1"/>
  <c r="AI29" i="1"/>
  <c r="AI5" i="1"/>
  <c r="AI92" i="1"/>
  <c r="AI76" i="1"/>
  <c r="AI91" i="1"/>
  <c r="AI75" i="1"/>
  <c r="AI59" i="1"/>
  <c r="AI35" i="1"/>
  <c r="AI19" i="1"/>
  <c r="AI106" i="1"/>
  <c r="AI98" i="1"/>
  <c r="AI90" i="1"/>
  <c r="AI82" i="1"/>
  <c r="AI74" i="1"/>
  <c r="AI66" i="1"/>
  <c r="AI58" i="1"/>
  <c r="AI50" i="1"/>
  <c r="AI42" i="1"/>
  <c r="AI34" i="1"/>
  <c r="AI26" i="1"/>
  <c r="AI18" i="1"/>
  <c r="AI10" i="1"/>
  <c r="M7" i="4"/>
  <c r="N7" i="4" s="1"/>
  <c r="O7" i="4" s="1"/>
  <c r="AI45" i="1"/>
  <c r="AI21" i="1"/>
  <c r="AI108" i="1"/>
  <c r="AI84" i="1"/>
  <c r="AI107" i="1"/>
  <c r="AI99" i="1"/>
  <c r="AI83" i="1"/>
  <c r="AI67" i="1"/>
  <c r="AI43" i="1"/>
  <c r="AI27" i="1"/>
  <c r="AI11" i="1"/>
  <c r="AJ3" i="1"/>
  <c r="AI105" i="1"/>
  <c r="AI97" i="1"/>
  <c r="AI89" i="1"/>
  <c r="AI81" i="1"/>
  <c r="AI73" i="1"/>
  <c r="AI65" i="1"/>
  <c r="AI57" i="1"/>
  <c r="AI49" i="1"/>
  <c r="AI41" i="1"/>
  <c r="AI33" i="1"/>
  <c r="AI25" i="1"/>
  <c r="AI17" i="1"/>
  <c r="AI9" i="1"/>
  <c r="AI104" i="1"/>
  <c r="AI96" i="1"/>
  <c r="AI88" i="1"/>
  <c r="AI80" i="1"/>
  <c r="AI72" i="1"/>
  <c r="AI64" i="1"/>
  <c r="AI56" i="1"/>
  <c r="AI48" i="1"/>
  <c r="AI40" i="1"/>
  <c r="AI32" i="1"/>
  <c r="AI24" i="1"/>
  <c r="AI16" i="1"/>
  <c r="AI8" i="1"/>
  <c r="AG3" i="1"/>
  <c r="AI103" i="1"/>
  <c r="AI95" i="1"/>
  <c r="AI87" i="1"/>
  <c r="AI79" i="1"/>
  <c r="AI71" i="1"/>
  <c r="AI63" i="1"/>
  <c r="AI55" i="1"/>
  <c r="AI47" i="1"/>
  <c r="AI39" i="1"/>
  <c r="AI31" i="1"/>
  <c r="AI23" i="1"/>
  <c r="AI15" i="1"/>
  <c r="U107" i="4"/>
  <c r="V107" i="4" s="1"/>
  <c r="W96" i="4"/>
  <c r="T86" i="4"/>
  <c r="U75" i="4"/>
  <c r="V75" i="4" s="1"/>
  <c r="U67" i="4"/>
  <c r="V67" i="4" s="1"/>
  <c r="W56" i="4"/>
  <c r="T46" i="4"/>
  <c r="W32" i="4"/>
  <c r="U11" i="4"/>
  <c r="V11" i="4" s="1"/>
  <c r="U104" i="4"/>
  <c r="V104" i="4" s="1"/>
  <c r="U96" i="4"/>
  <c r="V96" i="4" s="1"/>
  <c r="W85" i="4"/>
  <c r="W77" i="4"/>
  <c r="U72" i="4"/>
  <c r="V72" i="4" s="1"/>
  <c r="W61" i="4"/>
  <c r="T59" i="4"/>
  <c r="W53" i="4"/>
  <c r="U48" i="4"/>
  <c r="V48" i="4" s="1"/>
  <c r="T43" i="4"/>
  <c r="W37" i="4"/>
  <c r="U32" i="4"/>
  <c r="V32" i="4" s="1"/>
  <c r="W29" i="4"/>
  <c r="T27" i="4"/>
  <c r="U24" i="4"/>
  <c r="V24" i="4" s="1"/>
  <c r="W21" i="4"/>
  <c r="T11" i="4"/>
  <c r="U8" i="4"/>
  <c r="V8" i="4" s="1"/>
  <c r="W5" i="4"/>
  <c r="W106" i="4"/>
  <c r="T104" i="4"/>
  <c r="U101" i="4"/>
  <c r="V101" i="4" s="1"/>
  <c r="W98" i="4"/>
  <c r="T96" i="4"/>
  <c r="U93" i="4"/>
  <c r="V93" i="4" s="1"/>
  <c r="W90" i="4"/>
  <c r="T88" i="4"/>
  <c r="U85" i="4"/>
  <c r="V85" i="4" s="1"/>
  <c r="W82" i="4"/>
  <c r="T80" i="4"/>
  <c r="U77" i="4"/>
  <c r="V77" i="4" s="1"/>
  <c r="W74" i="4"/>
  <c r="T72" i="4"/>
  <c r="U69" i="4"/>
  <c r="V69" i="4" s="1"/>
  <c r="W66" i="4"/>
  <c r="T64" i="4"/>
  <c r="U61" i="4"/>
  <c r="V61" i="4" s="1"/>
  <c r="W58" i="4"/>
  <c r="T56" i="4"/>
  <c r="U53" i="4"/>
  <c r="V53" i="4" s="1"/>
  <c r="W50" i="4"/>
  <c r="T48" i="4"/>
  <c r="U45" i="4"/>
  <c r="V45" i="4" s="1"/>
  <c r="W42" i="4"/>
  <c r="T40" i="4"/>
  <c r="U37" i="4"/>
  <c r="V37" i="4" s="1"/>
  <c r="W34" i="4"/>
  <c r="T32" i="4"/>
  <c r="U29" i="4"/>
  <c r="V29" i="4" s="1"/>
  <c r="W26" i="4"/>
  <c r="T24" i="4"/>
  <c r="U21" i="4"/>
  <c r="V21" i="4" s="1"/>
  <c r="W18" i="4"/>
  <c r="T16" i="4"/>
  <c r="U13" i="4"/>
  <c r="V13" i="4" s="1"/>
  <c r="W10" i="4"/>
  <c r="T8" i="4"/>
  <c r="U5" i="4"/>
  <c r="V5" i="4" s="1"/>
  <c r="U106" i="4"/>
  <c r="V106" i="4" s="1"/>
  <c r="W103" i="4"/>
  <c r="T101" i="4"/>
  <c r="U98" i="4"/>
  <c r="V98" i="4" s="1"/>
  <c r="W95" i="4"/>
  <c r="T93" i="4"/>
  <c r="U90" i="4"/>
  <c r="V90" i="4" s="1"/>
  <c r="W87" i="4"/>
  <c r="T85" i="4"/>
  <c r="U82" i="4"/>
  <c r="V82" i="4" s="1"/>
  <c r="W79" i="4"/>
  <c r="T77" i="4"/>
  <c r="U74" i="4"/>
  <c r="V74" i="4" s="1"/>
  <c r="W71" i="4"/>
  <c r="T69" i="4"/>
  <c r="U66" i="4"/>
  <c r="V66" i="4" s="1"/>
  <c r="W63" i="4"/>
  <c r="T61" i="4"/>
  <c r="U58" i="4"/>
  <c r="V58" i="4" s="1"/>
  <c r="W55" i="4"/>
  <c r="T53" i="4"/>
  <c r="U50" i="4"/>
  <c r="V50" i="4" s="1"/>
  <c r="W47" i="4"/>
  <c r="T45" i="4"/>
  <c r="U42" i="4"/>
  <c r="V42" i="4" s="1"/>
  <c r="W39" i="4"/>
  <c r="T37" i="4"/>
  <c r="U34" i="4"/>
  <c r="V34" i="4" s="1"/>
  <c r="W31" i="4"/>
  <c r="T29" i="4"/>
  <c r="U26" i="4"/>
  <c r="V26" i="4" s="1"/>
  <c r="W23" i="4"/>
  <c r="T21" i="4"/>
  <c r="U18" i="4"/>
  <c r="V18" i="4" s="1"/>
  <c r="W15" i="4"/>
  <c r="T13" i="4"/>
  <c r="U10" i="4"/>
  <c r="V10" i="4" s="1"/>
  <c r="W7" i="4"/>
  <c r="T5" i="4"/>
  <c r="W108" i="4"/>
  <c r="T106" i="4"/>
  <c r="U103" i="4"/>
  <c r="V103" i="4" s="1"/>
  <c r="W100" i="4"/>
  <c r="T98" i="4"/>
  <c r="U95" i="4"/>
  <c r="V95" i="4" s="1"/>
  <c r="W92" i="4"/>
  <c r="T90" i="4"/>
  <c r="U87" i="4"/>
  <c r="V87" i="4" s="1"/>
  <c r="W84" i="4"/>
  <c r="T82" i="4"/>
  <c r="U79" i="4"/>
  <c r="V79" i="4" s="1"/>
  <c r="W76" i="4"/>
  <c r="T74" i="4"/>
  <c r="U71" i="4"/>
  <c r="V71" i="4" s="1"/>
  <c r="W68" i="4"/>
  <c r="T66" i="4"/>
  <c r="U63" i="4"/>
  <c r="V63" i="4" s="1"/>
  <c r="W60" i="4"/>
  <c r="T58" i="4"/>
  <c r="U55" i="4"/>
  <c r="V55" i="4" s="1"/>
  <c r="W52" i="4"/>
  <c r="T50" i="4"/>
  <c r="U47" i="4"/>
  <c r="V47" i="4" s="1"/>
  <c r="W44" i="4"/>
  <c r="T42" i="4"/>
  <c r="U39" i="4"/>
  <c r="V39" i="4" s="1"/>
  <c r="W36" i="4"/>
  <c r="T34" i="4"/>
  <c r="U31" i="4"/>
  <c r="V31" i="4" s="1"/>
  <c r="W28" i="4"/>
  <c r="T26" i="4"/>
  <c r="U23" i="4"/>
  <c r="V23" i="4" s="1"/>
  <c r="W20" i="4"/>
  <c r="T18" i="4"/>
  <c r="U15" i="4"/>
  <c r="V15" i="4" s="1"/>
  <c r="W12" i="4"/>
  <c r="T10" i="4"/>
  <c r="U7" i="4"/>
  <c r="V7" i="4" s="1"/>
  <c r="W4" i="4"/>
  <c r="W110" i="4" s="1"/>
  <c r="W104" i="4"/>
  <c r="U91" i="4"/>
  <c r="V91" i="4" s="1"/>
  <c r="W80" i="4"/>
  <c r="T70" i="4"/>
  <c r="T62" i="4"/>
  <c r="U51" i="4"/>
  <c r="V51" i="4" s="1"/>
  <c r="W40" i="4"/>
  <c r="U35" i="4"/>
  <c r="V35" i="4" s="1"/>
  <c r="W24" i="4"/>
  <c r="U19" i="4"/>
  <c r="V19" i="4" s="1"/>
  <c r="T6" i="4"/>
  <c r="W101" i="4"/>
  <c r="U88" i="4"/>
  <c r="V88" i="4" s="1"/>
  <c r="T67" i="4"/>
  <c r="T19" i="4"/>
  <c r="U108" i="4"/>
  <c r="V108" i="4" s="1"/>
  <c r="W105" i="4"/>
  <c r="T103" i="4"/>
  <c r="U100" i="4"/>
  <c r="V100" i="4" s="1"/>
  <c r="W97" i="4"/>
  <c r="T95" i="4"/>
  <c r="U92" i="4"/>
  <c r="V92" i="4" s="1"/>
  <c r="W89" i="4"/>
  <c r="T87" i="4"/>
  <c r="U84" i="4"/>
  <c r="V84" i="4" s="1"/>
  <c r="W81" i="4"/>
  <c r="T79" i="4"/>
  <c r="U76" i="4"/>
  <c r="V76" i="4" s="1"/>
  <c r="W73" i="4"/>
  <c r="T71" i="4"/>
  <c r="U68" i="4"/>
  <c r="V68" i="4" s="1"/>
  <c r="W65" i="4"/>
  <c r="T63" i="4"/>
  <c r="U60" i="4"/>
  <c r="V60" i="4" s="1"/>
  <c r="W57" i="4"/>
  <c r="T55" i="4"/>
  <c r="U52" i="4"/>
  <c r="V52" i="4" s="1"/>
  <c r="W49" i="4"/>
  <c r="T47" i="4"/>
  <c r="U44" i="4"/>
  <c r="V44" i="4" s="1"/>
  <c r="W41" i="4"/>
  <c r="T39" i="4"/>
  <c r="U36" i="4"/>
  <c r="V36" i="4" s="1"/>
  <c r="W33" i="4"/>
  <c r="T31" i="4"/>
  <c r="U28" i="4"/>
  <c r="V28" i="4" s="1"/>
  <c r="W25" i="4"/>
  <c r="T23" i="4"/>
  <c r="U20" i="4"/>
  <c r="V20" i="4" s="1"/>
  <c r="W17" i="4"/>
  <c r="T15" i="4"/>
  <c r="U12" i="4"/>
  <c r="V12" i="4" s="1"/>
  <c r="W9" i="4"/>
  <c r="T7" i="4"/>
  <c r="U4" i="4"/>
  <c r="V4" i="4" s="1"/>
  <c r="T102" i="4"/>
  <c r="T94" i="4"/>
  <c r="U83" i="4"/>
  <c r="V83" i="4" s="1"/>
  <c r="W72" i="4"/>
  <c r="U59" i="4"/>
  <c r="V59" i="4" s="1"/>
  <c r="W48" i="4"/>
  <c r="T38" i="4"/>
  <c r="T30" i="4"/>
  <c r="T22" i="4"/>
  <c r="W16" i="4"/>
  <c r="W8" i="4"/>
  <c r="T107" i="4"/>
  <c r="T91" i="4"/>
  <c r="W69" i="4"/>
  <c r="U16" i="4"/>
  <c r="V16" i="4" s="1"/>
  <c r="T108" i="4"/>
  <c r="U105" i="4"/>
  <c r="V105" i="4" s="1"/>
  <c r="W102" i="4"/>
  <c r="T100" i="4"/>
  <c r="U97" i="4"/>
  <c r="V97" i="4" s="1"/>
  <c r="W94" i="4"/>
  <c r="T92" i="4"/>
  <c r="U89" i="4"/>
  <c r="V89" i="4" s="1"/>
  <c r="W86" i="4"/>
  <c r="T84" i="4"/>
  <c r="U81" i="4"/>
  <c r="V81" i="4" s="1"/>
  <c r="W78" i="4"/>
  <c r="T76" i="4"/>
  <c r="U73" i="4"/>
  <c r="V73" i="4" s="1"/>
  <c r="W70" i="4"/>
  <c r="T68" i="4"/>
  <c r="U65" i="4"/>
  <c r="V65" i="4" s="1"/>
  <c r="W62" i="4"/>
  <c r="T60" i="4"/>
  <c r="U57" i="4"/>
  <c r="V57" i="4" s="1"/>
  <c r="W54" i="4"/>
  <c r="T52" i="4"/>
  <c r="U49" i="4"/>
  <c r="V49" i="4" s="1"/>
  <c r="W46" i="4"/>
  <c r="T44" i="4"/>
  <c r="U41" i="4"/>
  <c r="V41" i="4" s="1"/>
  <c r="W38" i="4"/>
  <c r="T36" i="4"/>
  <c r="U33" i="4"/>
  <c r="V33" i="4" s="1"/>
  <c r="W30" i="4"/>
  <c r="T28" i="4"/>
  <c r="U25" i="4"/>
  <c r="V25" i="4" s="1"/>
  <c r="W22" i="4"/>
  <c r="T20" i="4"/>
  <c r="U17" i="4"/>
  <c r="V17" i="4" s="1"/>
  <c r="W14" i="4"/>
  <c r="T12" i="4"/>
  <c r="U9" i="4"/>
  <c r="V9" i="4" s="1"/>
  <c r="W6" i="4"/>
  <c r="T4" i="4"/>
  <c r="U99" i="4"/>
  <c r="V99" i="4" s="1"/>
  <c r="W88" i="4"/>
  <c r="T78" i="4"/>
  <c r="W64" i="4"/>
  <c r="T54" i="4"/>
  <c r="U43" i="4"/>
  <c r="V43" i="4" s="1"/>
  <c r="U27" i="4"/>
  <c r="V27" i="4" s="1"/>
  <c r="T14" i="4"/>
  <c r="T99" i="4"/>
  <c r="W93" i="4"/>
  <c r="T83" i="4"/>
  <c r="U80" i="4"/>
  <c r="V80" i="4" s="1"/>
  <c r="T75" i="4"/>
  <c r="U64" i="4"/>
  <c r="V64" i="4" s="1"/>
  <c r="U56" i="4"/>
  <c r="V56" i="4" s="1"/>
  <c r="T51" i="4"/>
  <c r="W45" i="4"/>
  <c r="U40" i="4"/>
  <c r="V40" i="4" s="1"/>
  <c r="T35" i="4"/>
  <c r="W13" i="4"/>
  <c r="W107" i="4"/>
  <c r="T105" i="4"/>
  <c r="U102" i="4"/>
  <c r="V102" i="4" s="1"/>
  <c r="W99" i="4"/>
  <c r="T97" i="4"/>
  <c r="U94" i="4"/>
  <c r="V94" i="4" s="1"/>
  <c r="W91" i="4"/>
  <c r="T89" i="4"/>
  <c r="U86" i="4"/>
  <c r="V86" i="4" s="1"/>
  <c r="W83" i="4"/>
  <c r="T81" i="4"/>
  <c r="U78" i="4"/>
  <c r="V78" i="4" s="1"/>
  <c r="W75" i="4"/>
  <c r="T73" i="4"/>
  <c r="U70" i="4"/>
  <c r="V70" i="4" s="1"/>
  <c r="W67" i="4"/>
  <c r="T65" i="4"/>
  <c r="U62" i="4"/>
  <c r="V62" i="4" s="1"/>
  <c r="W59" i="4"/>
  <c r="T57" i="4"/>
  <c r="U54" i="4"/>
  <c r="V54" i="4" s="1"/>
  <c r="W51" i="4"/>
  <c r="T49" i="4"/>
  <c r="U46" i="4"/>
  <c r="V46" i="4" s="1"/>
  <c r="W43" i="4"/>
  <c r="T41" i="4"/>
  <c r="U38" i="4"/>
  <c r="V38" i="4" s="1"/>
  <c r="W35" i="4"/>
  <c r="T33" i="4"/>
  <c r="U30" i="4"/>
  <c r="V30" i="4" s="1"/>
  <c r="W27" i="4"/>
  <c r="T25" i="4"/>
  <c r="U22" i="4"/>
  <c r="V22" i="4" s="1"/>
  <c r="W19" i="4"/>
  <c r="T17" i="4"/>
  <c r="U14" i="4"/>
  <c r="V14" i="4" s="1"/>
  <c r="W11" i="4"/>
  <c r="T9" i="4"/>
  <c r="U6" i="4"/>
  <c r="V6" i="4" s="1"/>
  <c r="G50" i="4"/>
  <c r="J50" i="4" s="1"/>
  <c r="G91" i="4"/>
  <c r="H91" i="4" s="1"/>
  <c r="I16" i="4"/>
  <c r="K16" i="4" s="1"/>
  <c r="I14" i="4"/>
  <c r="K14" i="4" s="1"/>
  <c r="I48" i="4"/>
  <c r="K48" i="4" s="1"/>
  <c r="I73" i="4"/>
  <c r="K73" i="4" s="1"/>
  <c r="P86" i="4"/>
  <c r="I25" i="4"/>
  <c r="K25" i="4" s="1"/>
  <c r="G63" i="4"/>
  <c r="J63" i="4" s="1"/>
  <c r="P38" i="4"/>
  <c r="I17" i="4"/>
  <c r="K17" i="4" s="1"/>
  <c r="I28" i="4"/>
  <c r="K28" i="4" s="1"/>
  <c r="I38" i="4"/>
  <c r="K38" i="4" s="1"/>
  <c r="I51" i="4"/>
  <c r="I64" i="4"/>
  <c r="K64" i="4" s="1"/>
  <c r="G79" i="4"/>
  <c r="H79" i="4" s="1"/>
  <c r="I95" i="4"/>
  <c r="K95" i="4" s="1"/>
  <c r="P70" i="4"/>
  <c r="M27" i="4"/>
  <c r="N27" i="4" s="1"/>
  <c r="O27" i="4" s="1"/>
  <c r="G38" i="4"/>
  <c r="H38" i="4" s="1"/>
  <c r="M74" i="4"/>
  <c r="N74" i="4" s="1"/>
  <c r="O74" i="4" s="1"/>
  <c r="I10" i="4"/>
  <c r="K10" i="4" s="1"/>
  <c r="G18" i="4"/>
  <c r="J18" i="4" s="1"/>
  <c r="I29" i="4"/>
  <c r="I40" i="4"/>
  <c r="K40" i="4" s="1"/>
  <c r="G54" i="4"/>
  <c r="H54" i="4" s="1"/>
  <c r="I67" i="4"/>
  <c r="K67" i="4" s="1"/>
  <c r="I79" i="4"/>
  <c r="K79" i="4" s="1"/>
  <c r="G97" i="4"/>
  <c r="J97" i="4" s="1"/>
  <c r="P105" i="4"/>
  <c r="M67" i="4"/>
  <c r="N67" i="4" s="1"/>
  <c r="O67" i="4" s="1"/>
  <c r="M19" i="4"/>
  <c r="N19" i="4" s="1"/>
  <c r="O19" i="4" s="1"/>
  <c r="I24" i="4"/>
  <c r="K24" i="4" s="1"/>
  <c r="I60" i="4"/>
  <c r="K60" i="4" s="1"/>
  <c r="I106" i="4"/>
  <c r="K106" i="4" s="1"/>
  <c r="I7" i="4"/>
  <c r="K7" i="4" s="1"/>
  <c r="I35" i="4"/>
  <c r="K35" i="4" s="1"/>
  <c r="I76" i="4"/>
  <c r="M83" i="4"/>
  <c r="N83" i="4" s="1"/>
  <c r="O83" i="4" s="1"/>
  <c r="G28" i="4"/>
  <c r="J28" i="4" s="1"/>
  <c r="I50" i="4"/>
  <c r="K50" i="4" s="1"/>
  <c r="I77" i="4"/>
  <c r="K77" i="4" s="1"/>
  <c r="I92" i="4"/>
  <c r="K92" i="4" s="1"/>
  <c r="I9" i="4"/>
  <c r="K9" i="4" s="1"/>
  <c r="I4" i="4"/>
  <c r="K4" i="4" s="1"/>
  <c r="I11" i="4"/>
  <c r="K11" i="4" s="1"/>
  <c r="I18" i="4"/>
  <c r="K18" i="4" s="1"/>
  <c r="I31" i="4"/>
  <c r="K31" i="4" s="1"/>
  <c r="I45" i="4"/>
  <c r="K45" i="4" s="1"/>
  <c r="I54" i="4"/>
  <c r="K54" i="4" s="1"/>
  <c r="I69" i="4"/>
  <c r="K69" i="4" s="1"/>
  <c r="I82" i="4"/>
  <c r="K82" i="4" s="1"/>
  <c r="I97" i="4"/>
  <c r="K97" i="4" s="1"/>
  <c r="M103" i="4"/>
  <c r="N103" i="4" s="1"/>
  <c r="O103" i="4" s="1"/>
  <c r="M58" i="4"/>
  <c r="N58" i="4" s="1"/>
  <c r="O58" i="4" s="1"/>
  <c r="I34" i="4"/>
  <c r="K34" i="4" s="1"/>
  <c r="I88" i="4"/>
  <c r="K88" i="4" s="1"/>
  <c r="M42" i="4"/>
  <c r="N42" i="4" s="1"/>
  <c r="O42" i="4" s="1"/>
  <c r="I15" i="4"/>
  <c r="K15" i="4" s="1"/>
  <c r="I8" i="4"/>
  <c r="K8" i="4" s="1"/>
  <c r="I63" i="4"/>
  <c r="K63" i="4" s="1"/>
  <c r="M35" i="4"/>
  <c r="N35" i="4" s="1"/>
  <c r="O35" i="4" s="1"/>
  <c r="I5" i="4"/>
  <c r="K5" i="4" s="1"/>
  <c r="I12" i="4"/>
  <c r="K12" i="4" s="1"/>
  <c r="I19" i="4"/>
  <c r="K19" i="4" s="1"/>
  <c r="I32" i="4"/>
  <c r="K32" i="4" s="1"/>
  <c r="G47" i="4"/>
  <c r="H47" i="4" s="1"/>
  <c r="I56" i="4"/>
  <c r="K56" i="4" s="1"/>
  <c r="I70" i="4"/>
  <c r="K70" i="4" s="1"/>
  <c r="I85" i="4"/>
  <c r="K85" i="4" s="1"/>
  <c r="I100" i="4"/>
  <c r="K100" i="4" s="1"/>
  <c r="P98" i="4"/>
  <c r="P54" i="4"/>
  <c r="I6" i="4"/>
  <c r="K6" i="4" s="1"/>
  <c r="I13" i="4"/>
  <c r="K13" i="4" s="1"/>
  <c r="I21" i="4"/>
  <c r="K21" i="4" s="1"/>
  <c r="G34" i="4"/>
  <c r="J34" i="4" s="1"/>
  <c r="I47" i="4"/>
  <c r="K47" i="4" s="1"/>
  <c r="I57" i="4"/>
  <c r="K57" i="4" s="1"/>
  <c r="I72" i="4"/>
  <c r="K72" i="4" s="1"/>
  <c r="I86" i="4"/>
  <c r="K86" i="4" s="1"/>
  <c r="I103" i="4"/>
  <c r="K103" i="4" s="1"/>
  <c r="M90" i="4"/>
  <c r="N90" i="4" s="1"/>
  <c r="O90" i="4" s="1"/>
  <c r="M51" i="4"/>
  <c r="N51" i="4" s="1"/>
  <c r="O51" i="4" s="1"/>
  <c r="U3" i="4"/>
  <c r="T3" i="4"/>
  <c r="G7" i="4"/>
  <c r="H7" i="4" s="1"/>
  <c r="G22" i="4"/>
  <c r="G76" i="4"/>
  <c r="J76" i="4" s="1"/>
  <c r="G104" i="4"/>
  <c r="P107" i="4"/>
  <c r="M89" i="4"/>
  <c r="N89" i="4" s="1"/>
  <c r="O89" i="4" s="1"/>
  <c r="M64" i="4"/>
  <c r="N64" i="4" s="1"/>
  <c r="O64" i="4" s="1"/>
  <c r="M57" i="4"/>
  <c r="N57" i="4" s="1"/>
  <c r="O57" i="4" s="1"/>
  <c r="P44" i="4"/>
  <c r="G19" i="4"/>
  <c r="G29" i="4"/>
  <c r="J29" i="4" s="1"/>
  <c r="G32" i="4"/>
  <c r="G35" i="4"/>
  <c r="G41" i="4"/>
  <c r="J41" i="4" s="1"/>
  <c r="G45" i="4"/>
  <c r="J45" i="4" s="1"/>
  <c r="G48" i="4"/>
  <c r="G51" i="4"/>
  <c r="G57" i="4"/>
  <c r="J57" i="4" s="1"/>
  <c r="G67" i="4"/>
  <c r="G73" i="4"/>
  <c r="J73" i="4" s="1"/>
  <c r="K76" i="4"/>
  <c r="G92" i="4"/>
  <c r="J92" i="4" s="1"/>
  <c r="I101" i="4"/>
  <c r="K101" i="4" s="1"/>
  <c r="I107" i="4"/>
  <c r="K107" i="4" s="1"/>
  <c r="M107" i="4"/>
  <c r="N107" i="4" s="1"/>
  <c r="O107" i="4" s="1"/>
  <c r="P102" i="4"/>
  <c r="M98" i="4"/>
  <c r="N98" i="4" s="1"/>
  <c r="O98" i="4" s="1"/>
  <c r="M95" i="4"/>
  <c r="N95" i="4" s="1"/>
  <c r="O95" i="4" s="1"/>
  <c r="M86" i="4"/>
  <c r="N86" i="4" s="1"/>
  <c r="O86" i="4" s="1"/>
  <c r="P82" i="4"/>
  <c r="M79" i="4"/>
  <c r="N79" i="4" s="1"/>
  <c r="O79" i="4" s="1"/>
  <c r="M70" i="4"/>
  <c r="N70" i="4" s="1"/>
  <c r="O70" i="4" s="1"/>
  <c r="P66" i="4"/>
  <c r="M63" i="4"/>
  <c r="N63" i="4" s="1"/>
  <c r="O63" i="4" s="1"/>
  <c r="M54" i="4"/>
  <c r="N54" i="4" s="1"/>
  <c r="O54" i="4" s="1"/>
  <c r="P50" i="4"/>
  <c r="M47" i="4"/>
  <c r="N47" i="4" s="1"/>
  <c r="O47" i="4" s="1"/>
  <c r="M38" i="4"/>
  <c r="N38" i="4" s="1"/>
  <c r="O38" i="4" s="1"/>
  <c r="P34" i="4"/>
  <c r="M31" i="4"/>
  <c r="N31" i="4" s="1"/>
  <c r="O31" i="4" s="1"/>
  <c r="M15" i="4"/>
  <c r="N15" i="4" s="1"/>
  <c r="O15" i="4" s="1"/>
  <c r="G4" i="4"/>
  <c r="H4" i="4" s="1"/>
  <c r="P100" i="4"/>
  <c r="P92" i="4"/>
  <c r="P76" i="4"/>
  <c r="P60" i="4"/>
  <c r="M48" i="4"/>
  <c r="N48" i="4" s="1"/>
  <c r="O48" i="4" s="1"/>
  <c r="K29" i="4"/>
  <c r="K51" i="4"/>
  <c r="G61" i="4"/>
  <c r="J61" i="4" s="1"/>
  <c r="G77" i="4"/>
  <c r="J77" i="4" s="1"/>
  <c r="G80" i="4"/>
  <c r="G83" i="4"/>
  <c r="G89" i="4"/>
  <c r="J89" i="4" s="1"/>
  <c r="G98" i="4"/>
  <c r="J98" i="4" s="1"/>
  <c r="G102" i="4"/>
  <c r="I104" i="4"/>
  <c r="K104" i="4" s="1"/>
  <c r="G108" i="4"/>
  <c r="J108" i="4" s="1"/>
  <c r="P104" i="4"/>
  <c r="M100" i="4"/>
  <c r="N100" i="4" s="1"/>
  <c r="O100" i="4" s="1"/>
  <c r="M92" i="4"/>
  <c r="N92" i="4" s="1"/>
  <c r="O92" i="4" s="1"/>
  <c r="P88" i="4"/>
  <c r="M85" i="4"/>
  <c r="N85" i="4" s="1"/>
  <c r="O85" i="4" s="1"/>
  <c r="M76" i="4"/>
  <c r="N76" i="4" s="1"/>
  <c r="O76" i="4" s="1"/>
  <c r="P72" i="4"/>
  <c r="M69" i="4"/>
  <c r="N69" i="4" s="1"/>
  <c r="O69" i="4" s="1"/>
  <c r="M60" i="4"/>
  <c r="N60" i="4" s="1"/>
  <c r="O60" i="4" s="1"/>
  <c r="P56" i="4"/>
  <c r="M53" i="4"/>
  <c r="N53" i="4" s="1"/>
  <c r="O53" i="4" s="1"/>
  <c r="M44" i="4"/>
  <c r="N44" i="4" s="1"/>
  <c r="O44" i="4" s="1"/>
  <c r="P40" i="4"/>
  <c r="M37" i="4"/>
  <c r="N37" i="4" s="1"/>
  <c r="O37" i="4" s="1"/>
  <c r="M25" i="4"/>
  <c r="N25" i="4" s="1"/>
  <c r="O25" i="4" s="1"/>
  <c r="M13" i="4"/>
  <c r="N13" i="4" s="1"/>
  <c r="O13" i="4" s="1"/>
  <c r="G16" i="4"/>
  <c r="G66" i="4"/>
  <c r="J66" i="4" s="1"/>
  <c r="M17" i="4"/>
  <c r="N17" i="4" s="1"/>
  <c r="O17" i="4" s="1"/>
  <c r="G10" i="4"/>
  <c r="H10" i="4" s="1"/>
  <c r="G62" i="4"/>
  <c r="G71" i="4"/>
  <c r="G87" i="4"/>
  <c r="I89" i="4"/>
  <c r="K89" i="4" s="1"/>
  <c r="G93" i="4"/>
  <c r="J93" i="4" s="1"/>
  <c r="G96" i="4"/>
  <c r="I98" i="4"/>
  <c r="K98" i="4" s="1"/>
  <c r="I102" i="4"/>
  <c r="K102" i="4" s="1"/>
  <c r="G105" i="4"/>
  <c r="J105" i="4" s="1"/>
  <c r="I108" i="4"/>
  <c r="K108" i="4" s="1"/>
  <c r="P106" i="4"/>
  <c r="M102" i="4"/>
  <c r="N102" i="4" s="1"/>
  <c r="O102" i="4" s="1"/>
  <c r="P97" i="4"/>
  <c r="P94" i="4"/>
  <c r="M91" i="4"/>
  <c r="N91" i="4" s="1"/>
  <c r="O91" i="4" s="1"/>
  <c r="M82" i="4"/>
  <c r="N82" i="4" s="1"/>
  <c r="O82" i="4" s="1"/>
  <c r="P78" i="4"/>
  <c r="M75" i="4"/>
  <c r="N75" i="4" s="1"/>
  <c r="O75" i="4" s="1"/>
  <c r="M66" i="4"/>
  <c r="N66" i="4" s="1"/>
  <c r="O66" i="4" s="1"/>
  <c r="P62" i="4"/>
  <c r="M59" i="4"/>
  <c r="N59" i="4" s="1"/>
  <c r="O59" i="4" s="1"/>
  <c r="M50" i="4"/>
  <c r="N50" i="4" s="1"/>
  <c r="O50" i="4" s="1"/>
  <c r="P46" i="4"/>
  <c r="M43" i="4"/>
  <c r="N43" i="4" s="1"/>
  <c r="O43" i="4" s="1"/>
  <c r="M34" i="4"/>
  <c r="N34" i="4" s="1"/>
  <c r="O34" i="4" s="1"/>
  <c r="M11" i="4"/>
  <c r="N11" i="4" s="1"/>
  <c r="O11" i="4" s="1"/>
  <c r="G95" i="4"/>
  <c r="M105" i="4"/>
  <c r="N105" i="4" s="1"/>
  <c r="O105" i="4" s="1"/>
  <c r="M41" i="4"/>
  <c r="N41" i="4" s="1"/>
  <c r="O41" i="4" s="1"/>
  <c r="G8" i="4"/>
  <c r="G11" i="4"/>
  <c r="G26" i="4"/>
  <c r="J26" i="4" s="1"/>
  <c r="G55" i="4"/>
  <c r="G6" i="4"/>
  <c r="G17" i="4"/>
  <c r="J17" i="4" s="1"/>
  <c r="G20" i="4"/>
  <c r="J20" i="4" s="1"/>
  <c r="I23" i="4"/>
  <c r="K23" i="4" s="1"/>
  <c r="I26" i="4"/>
  <c r="K26" i="4" s="1"/>
  <c r="I30" i="4"/>
  <c r="K30" i="4" s="1"/>
  <c r="I36" i="4"/>
  <c r="K36" i="4" s="1"/>
  <c r="I39" i="4"/>
  <c r="K39" i="4" s="1"/>
  <c r="I42" i="4"/>
  <c r="K42" i="4" s="1"/>
  <c r="I46" i="4"/>
  <c r="K46" i="4" s="1"/>
  <c r="G52" i="4"/>
  <c r="J52" i="4" s="1"/>
  <c r="I58" i="4"/>
  <c r="K58" i="4" s="1"/>
  <c r="I62" i="4"/>
  <c r="K62" i="4" s="1"/>
  <c r="G68" i="4"/>
  <c r="J68" i="4" s="1"/>
  <c r="G74" i="4"/>
  <c r="J74" i="4" s="1"/>
  <c r="G78" i="4"/>
  <c r="G84" i="4"/>
  <c r="J84" i="4" s="1"/>
  <c r="I93" i="4"/>
  <c r="K93" i="4" s="1"/>
  <c r="G99" i="4"/>
  <c r="I105" i="4"/>
  <c r="K105" i="4" s="1"/>
  <c r="P108" i="4"/>
  <c r="M104" i="4"/>
  <c r="N104" i="4" s="1"/>
  <c r="O104" i="4" s="1"/>
  <c r="P99" i="4"/>
  <c r="M97" i="4"/>
  <c r="N97" i="4" s="1"/>
  <c r="O97" i="4" s="1"/>
  <c r="M88" i="4"/>
  <c r="N88" i="4" s="1"/>
  <c r="O88" i="4" s="1"/>
  <c r="P84" i="4"/>
  <c r="M81" i="4"/>
  <c r="N81" i="4" s="1"/>
  <c r="O81" i="4" s="1"/>
  <c r="M72" i="4"/>
  <c r="N72" i="4" s="1"/>
  <c r="O72" i="4" s="1"/>
  <c r="P68" i="4"/>
  <c r="M65" i="4"/>
  <c r="N65" i="4" s="1"/>
  <c r="O65" i="4" s="1"/>
  <c r="M56" i="4"/>
  <c r="N56" i="4" s="1"/>
  <c r="O56" i="4" s="1"/>
  <c r="P52" i="4"/>
  <c r="M49" i="4"/>
  <c r="N49" i="4" s="1"/>
  <c r="O49" i="4" s="1"/>
  <c r="M40" i="4"/>
  <c r="N40" i="4" s="1"/>
  <c r="O40" i="4" s="1"/>
  <c r="P36" i="4"/>
  <c r="M33" i="4"/>
  <c r="N33" i="4" s="1"/>
  <c r="O33" i="4" s="1"/>
  <c r="M29" i="4"/>
  <c r="N29" i="4" s="1"/>
  <c r="O29" i="4" s="1"/>
  <c r="M9" i="4"/>
  <c r="N9" i="4" s="1"/>
  <c r="O9" i="4" s="1"/>
  <c r="G44" i="4"/>
  <c r="J44" i="4" s="1"/>
  <c r="G86" i="4"/>
  <c r="G101" i="4"/>
  <c r="J101" i="4" s="1"/>
  <c r="M80" i="4"/>
  <c r="N80" i="4" s="1"/>
  <c r="O80" i="4" s="1"/>
  <c r="G5" i="4"/>
  <c r="J5" i="4" s="1"/>
  <c r="G14" i="4"/>
  <c r="G23" i="4"/>
  <c r="J23" i="4" s="1"/>
  <c r="G30" i="4"/>
  <c r="G42" i="4"/>
  <c r="J42" i="4" s="1"/>
  <c r="I20" i="4"/>
  <c r="K20" i="4" s="1"/>
  <c r="G24" i="4"/>
  <c r="G27" i="4"/>
  <c r="I33" i="4"/>
  <c r="K33" i="4" s="1"/>
  <c r="G37" i="4"/>
  <c r="J37" i="4" s="1"/>
  <c r="G40" i="4"/>
  <c r="G43" i="4"/>
  <c r="G49" i="4"/>
  <c r="J49" i="4" s="1"/>
  <c r="I52" i="4"/>
  <c r="K52" i="4" s="1"/>
  <c r="G56" i="4"/>
  <c r="G59" i="4"/>
  <c r="G65" i="4"/>
  <c r="J65" i="4" s="1"/>
  <c r="I68" i="4"/>
  <c r="K68" i="4" s="1"/>
  <c r="I71" i="4"/>
  <c r="K71" i="4" s="1"/>
  <c r="I74" i="4"/>
  <c r="K74" i="4" s="1"/>
  <c r="G81" i="4"/>
  <c r="J81" i="4" s="1"/>
  <c r="I84" i="4"/>
  <c r="K84" i="4" s="1"/>
  <c r="I87" i="4"/>
  <c r="K87" i="4" s="1"/>
  <c r="G90" i="4"/>
  <c r="J90" i="4" s="1"/>
  <c r="G94" i="4"/>
  <c r="I96" i="4"/>
  <c r="K96" i="4" s="1"/>
  <c r="G103" i="4"/>
  <c r="M106" i="4"/>
  <c r="N106" i="4" s="1"/>
  <c r="O106" i="4" s="1"/>
  <c r="P101" i="4"/>
  <c r="M99" i="4"/>
  <c r="N99" i="4" s="1"/>
  <c r="O99" i="4" s="1"/>
  <c r="M94" i="4"/>
  <c r="N94" i="4" s="1"/>
  <c r="O94" i="4" s="1"/>
  <c r="P90" i="4"/>
  <c r="M87" i="4"/>
  <c r="N87" i="4" s="1"/>
  <c r="O87" i="4" s="1"/>
  <c r="M78" i="4"/>
  <c r="N78" i="4" s="1"/>
  <c r="O78" i="4" s="1"/>
  <c r="P74" i="4"/>
  <c r="M71" i="4"/>
  <c r="N71" i="4" s="1"/>
  <c r="O71" i="4" s="1"/>
  <c r="M62" i="4"/>
  <c r="N62" i="4" s="1"/>
  <c r="O62" i="4" s="1"/>
  <c r="P58" i="4"/>
  <c r="M55" i="4"/>
  <c r="N55" i="4" s="1"/>
  <c r="O55" i="4" s="1"/>
  <c r="M46" i="4"/>
  <c r="N46" i="4" s="1"/>
  <c r="O46" i="4" s="1"/>
  <c r="P42" i="4"/>
  <c r="M39" i="4"/>
  <c r="N39" i="4" s="1"/>
  <c r="O39" i="4" s="1"/>
  <c r="M23" i="4"/>
  <c r="N23" i="4" s="1"/>
  <c r="O23" i="4" s="1"/>
  <c r="G13" i="4"/>
  <c r="J13" i="4" s="1"/>
  <c r="G25" i="4"/>
  <c r="J25" i="4" s="1"/>
  <c r="G60" i="4"/>
  <c r="J60" i="4" s="1"/>
  <c r="G82" i="4"/>
  <c r="J82" i="4" s="1"/>
  <c r="J91" i="4"/>
  <c r="G107" i="4"/>
  <c r="M96" i="4"/>
  <c r="N96" i="4" s="1"/>
  <c r="O96" i="4" s="1"/>
  <c r="M73" i="4"/>
  <c r="N73" i="4" s="1"/>
  <c r="O73" i="4" s="1"/>
  <c r="M32" i="4"/>
  <c r="N32" i="4" s="1"/>
  <c r="O32" i="4" s="1"/>
  <c r="G46" i="4"/>
  <c r="A3" i="4"/>
  <c r="I99" i="4"/>
  <c r="K99" i="4" s="1"/>
  <c r="I91" i="4"/>
  <c r="K91" i="4" s="1"/>
  <c r="I83" i="4"/>
  <c r="K83" i="4" s="1"/>
  <c r="I80" i="4"/>
  <c r="K80" i="4" s="1"/>
  <c r="I78" i="4"/>
  <c r="K78" i="4" s="1"/>
  <c r="G75" i="4"/>
  <c r="G70" i="4"/>
  <c r="I66" i="4"/>
  <c r="K66" i="4" s="1"/>
  <c r="G64" i="4"/>
  <c r="I61" i="4"/>
  <c r="K61" i="4" s="1"/>
  <c r="G58" i="4"/>
  <c r="J58" i="4" s="1"/>
  <c r="I55" i="4"/>
  <c r="K55" i="4" s="1"/>
  <c r="G53" i="4"/>
  <c r="J53" i="4" s="1"/>
  <c r="I44" i="4"/>
  <c r="K44" i="4" s="1"/>
  <c r="I41" i="4"/>
  <c r="K41" i="4" s="1"/>
  <c r="G39" i="4"/>
  <c r="G36" i="4"/>
  <c r="J36" i="4" s="1"/>
  <c r="G33" i="4"/>
  <c r="J33" i="4" s="1"/>
  <c r="I22" i="4"/>
  <c r="K22" i="4" s="1"/>
  <c r="P5" i="4"/>
  <c r="P7" i="4"/>
  <c r="P9" i="4"/>
  <c r="P11" i="4"/>
  <c r="P13" i="4"/>
  <c r="P15" i="4"/>
  <c r="P17" i="4"/>
  <c r="P19" i="4"/>
  <c r="P21" i="4"/>
  <c r="P23" i="4"/>
  <c r="P25" i="4"/>
  <c r="P27" i="4"/>
  <c r="P29" i="4"/>
  <c r="P31" i="4"/>
  <c r="P33" i="4"/>
  <c r="P35" i="4"/>
  <c r="P37" i="4"/>
  <c r="P39" i="4"/>
  <c r="P41" i="4"/>
  <c r="P43" i="4"/>
  <c r="P45" i="4"/>
  <c r="P47" i="4"/>
  <c r="P49" i="4"/>
  <c r="P51" i="4"/>
  <c r="P53" i="4"/>
  <c r="P55" i="4"/>
  <c r="P57" i="4"/>
  <c r="P59" i="4"/>
  <c r="P61" i="4"/>
  <c r="P63" i="4"/>
  <c r="P65" i="4"/>
  <c r="P67" i="4"/>
  <c r="P69" i="4"/>
  <c r="P71" i="4"/>
  <c r="P73" i="4"/>
  <c r="P75" i="4"/>
  <c r="P77" i="4"/>
  <c r="P79" i="4"/>
  <c r="P81" i="4"/>
  <c r="P83" i="4"/>
  <c r="P85" i="4"/>
  <c r="P87" i="4"/>
  <c r="P89" i="4"/>
  <c r="P91" i="4"/>
  <c r="P93" i="4"/>
  <c r="P95" i="4"/>
  <c r="M4" i="4"/>
  <c r="N4" i="4" s="1"/>
  <c r="O4" i="4" s="1"/>
  <c r="M6" i="4"/>
  <c r="N6" i="4" s="1"/>
  <c r="O6" i="4" s="1"/>
  <c r="M8" i="4"/>
  <c r="N8" i="4" s="1"/>
  <c r="O8" i="4" s="1"/>
  <c r="M10" i="4"/>
  <c r="N10" i="4" s="1"/>
  <c r="O10" i="4" s="1"/>
  <c r="M12" i="4"/>
  <c r="N12" i="4" s="1"/>
  <c r="O12" i="4" s="1"/>
  <c r="M14" i="4"/>
  <c r="N14" i="4" s="1"/>
  <c r="O14" i="4" s="1"/>
  <c r="M16" i="4"/>
  <c r="N16" i="4" s="1"/>
  <c r="O16" i="4" s="1"/>
  <c r="M18" i="4"/>
  <c r="N18" i="4" s="1"/>
  <c r="O18" i="4" s="1"/>
  <c r="M20" i="4"/>
  <c r="N20" i="4" s="1"/>
  <c r="O20" i="4" s="1"/>
  <c r="M22" i="4"/>
  <c r="N22" i="4" s="1"/>
  <c r="O22" i="4" s="1"/>
  <c r="M24" i="4"/>
  <c r="N24" i="4" s="1"/>
  <c r="O24" i="4" s="1"/>
  <c r="M26" i="4"/>
  <c r="N26" i="4" s="1"/>
  <c r="O26" i="4" s="1"/>
  <c r="M28" i="4"/>
  <c r="N28" i="4" s="1"/>
  <c r="O28" i="4" s="1"/>
  <c r="M30" i="4"/>
  <c r="N30" i="4" s="1"/>
  <c r="O30" i="4" s="1"/>
  <c r="P4" i="4"/>
  <c r="P6" i="4"/>
  <c r="P8" i="4"/>
  <c r="P10" i="4"/>
  <c r="P12" i="4"/>
  <c r="P14" i="4"/>
  <c r="P16" i="4"/>
  <c r="P18" i="4"/>
  <c r="P20" i="4"/>
  <c r="P22" i="4"/>
  <c r="P24" i="4"/>
  <c r="P26" i="4"/>
  <c r="P28" i="4"/>
  <c r="P30" i="4"/>
  <c r="G9" i="4"/>
  <c r="J9" i="4" s="1"/>
  <c r="G12" i="4"/>
  <c r="J12" i="4" s="1"/>
  <c r="G15" i="4"/>
  <c r="H15" i="4" s="1"/>
  <c r="G21" i="4"/>
  <c r="J21" i="4" s="1"/>
  <c r="I27" i="4"/>
  <c r="K27" i="4" s="1"/>
  <c r="G31" i="4"/>
  <c r="I37" i="4"/>
  <c r="K37" i="4" s="1"/>
  <c r="I43" i="4"/>
  <c r="K43" i="4" s="1"/>
  <c r="I49" i="4"/>
  <c r="K49" i="4" s="1"/>
  <c r="I53" i="4"/>
  <c r="K53" i="4" s="1"/>
  <c r="I59" i="4"/>
  <c r="K59" i="4" s="1"/>
  <c r="I65" i="4"/>
  <c r="K65" i="4" s="1"/>
  <c r="G69" i="4"/>
  <c r="J69" i="4" s="1"/>
  <c r="G72" i="4"/>
  <c r="I75" i="4"/>
  <c r="K75" i="4" s="1"/>
  <c r="I81" i="4"/>
  <c r="K81" i="4" s="1"/>
  <c r="G85" i="4"/>
  <c r="J85" i="4" s="1"/>
  <c r="G88" i="4"/>
  <c r="I90" i="4"/>
  <c r="K90" i="4" s="1"/>
  <c r="I94" i="4"/>
  <c r="K94" i="4" s="1"/>
  <c r="G100" i="4"/>
  <c r="J100" i="4" s="1"/>
  <c r="G106" i="4"/>
  <c r="J106" i="4" s="1"/>
  <c r="M108" i="4"/>
  <c r="N108" i="4" s="1"/>
  <c r="O108" i="4" s="1"/>
  <c r="P103" i="4"/>
  <c r="M101" i="4"/>
  <c r="N101" i="4" s="1"/>
  <c r="O101" i="4" s="1"/>
  <c r="P96" i="4"/>
  <c r="M93" i="4"/>
  <c r="N93" i="4" s="1"/>
  <c r="O93" i="4" s="1"/>
  <c r="M84" i="4"/>
  <c r="N84" i="4" s="1"/>
  <c r="O84" i="4" s="1"/>
  <c r="P80" i="4"/>
  <c r="M77" i="4"/>
  <c r="N77" i="4" s="1"/>
  <c r="O77" i="4" s="1"/>
  <c r="M68" i="4"/>
  <c r="N68" i="4" s="1"/>
  <c r="O68" i="4" s="1"/>
  <c r="P64" i="4"/>
  <c r="M61" i="4"/>
  <c r="N61" i="4" s="1"/>
  <c r="O61" i="4" s="1"/>
  <c r="M52" i="4"/>
  <c r="N52" i="4" s="1"/>
  <c r="O52" i="4" s="1"/>
  <c r="P48" i="4"/>
  <c r="M45" i="4"/>
  <c r="N45" i="4" s="1"/>
  <c r="O45" i="4" s="1"/>
  <c r="M36" i="4"/>
  <c r="N36" i="4" s="1"/>
  <c r="O36" i="4" s="1"/>
  <c r="P32" i="4"/>
  <c r="M21" i="4"/>
  <c r="N21" i="4" s="1"/>
  <c r="O21" i="4" s="1"/>
  <c r="M5" i="4"/>
  <c r="N5" i="4" s="1"/>
  <c r="O5" i="4" s="1"/>
  <c r="H61" i="4"/>
  <c r="H18" i="4"/>
  <c r="H82" i="4"/>
  <c r="H23" i="4"/>
  <c r="H28" i="4"/>
  <c r="H57" i="4"/>
  <c r="H89" i="4"/>
  <c r="H97" i="4"/>
  <c r="B8" i="3"/>
  <c r="C8" i="3" s="1"/>
  <c r="B11" i="3" s="1"/>
  <c r="B12" i="3" s="1"/>
  <c r="J5" i="2"/>
  <c r="B22" i="2"/>
  <c r="B20" i="2"/>
  <c r="B21" i="2" s="1"/>
  <c r="B10" i="2"/>
  <c r="C5" i="2"/>
  <c r="C4" i="2"/>
  <c r="I33" i="1"/>
  <c r="L33" i="1" s="1"/>
  <c r="M33" i="1" s="1"/>
  <c r="I34" i="1"/>
  <c r="L34" i="1" s="1"/>
  <c r="M34" i="1" s="1"/>
  <c r="I35" i="1"/>
  <c r="L35" i="1" s="1"/>
  <c r="M35" i="1" s="1"/>
  <c r="I36" i="1"/>
  <c r="L36" i="1" s="1"/>
  <c r="M36" i="1" s="1"/>
  <c r="I37" i="1"/>
  <c r="L37" i="1" s="1"/>
  <c r="M37" i="1" s="1"/>
  <c r="I38" i="1"/>
  <c r="L38" i="1" s="1"/>
  <c r="M38" i="1" s="1"/>
  <c r="I39" i="1"/>
  <c r="L39" i="1" s="1"/>
  <c r="M39" i="1" s="1"/>
  <c r="I40" i="1"/>
  <c r="L40" i="1" s="1"/>
  <c r="M40" i="1" s="1"/>
  <c r="I41" i="1"/>
  <c r="L41" i="1" s="1"/>
  <c r="M41" i="1" s="1"/>
  <c r="I42" i="1"/>
  <c r="L42" i="1" s="1"/>
  <c r="M42" i="1" s="1"/>
  <c r="I43" i="1"/>
  <c r="L43" i="1" s="1"/>
  <c r="M43" i="1" s="1"/>
  <c r="I44" i="1"/>
  <c r="L44" i="1" s="1"/>
  <c r="M44" i="1" s="1"/>
  <c r="I45" i="1"/>
  <c r="L45" i="1" s="1"/>
  <c r="M45" i="1" s="1"/>
  <c r="I46" i="1"/>
  <c r="L46" i="1" s="1"/>
  <c r="M46" i="1" s="1"/>
  <c r="I47" i="1"/>
  <c r="L47" i="1" s="1"/>
  <c r="M47" i="1" s="1"/>
  <c r="I48" i="1"/>
  <c r="L48" i="1" s="1"/>
  <c r="M48" i="1" s="1"/>
  <c r="I49" i="1"/>
  <c r="L49" i="1" s="1"/>
  <c r="M49" i="1" s="1"/>
  <c r="I50" i="1"/>
  <c r="L50" i="1" s="1"/>
  <c r="M50" i="1" s="1"/>
  <c r="I51" i="1"/>
  <c r="L51" i="1" s="1"/>
  <c r="M51" i="1" s="1"/>
  <c r="I52" i="1"/>
  <c r="L52" i="1" s="1"/>
  <c r="M52" i="1" s="1"/>
  <c r="I53" i="1"/>
  <c r="L53" i="1" s="1"/>
  <c r="M53" i="1" s="1"/>
  <c r="I54" i="1"/>
  <c r="L54" i="1" s="1"/>
  <c r="M54" i="1" s="1"/>
  <c r="I55" i="1"/>
  <c r="L55" i="1" s="1"/>
  <c r="M55" i="1" s="1"/>
  <c r="I56" i="1"/>
  <c r="L56" i="1" s="1"/>
  <c r="M56" i="1" s="1"/>
  <c r="I57" i="1"/>
  <c r="L57" i="1" s="1"/>
  <c r="M57" i="1" s="1"/>
  <c r="I58" i="1"/>
  <c r="L58" i="1" s="1"/>
  <c r="M58" i="1" s="1"/>
  <c r="I59" i="1"/>
  <c r="L59" i="1" s="1"/>
  <c r="M59" i="1" s="1"/>
  <c r="I60" i="1"/>
  <c r="L60" i="1" s="1"/>
  <c r="M60" i="1" s="1"/>
  <c r="I61" i="1"/>
  <c r="L61" i="1" s="1"/>
  <c r="M61" i="1" s="1"/>
  <c r="I62" i="1"/>
  <c r="L62" i="1" s="1"/>
  <c r="M62" i="1" s="1"/>
  <c r="I63" i="1"/>
  <c r="L63" i="1" s="1"/>
  <c r="M63" i="1" s="1"/>
  <c r="I64" i="1"/>
  <c r="L64" i="1" s="1"/>
  <c r="M64" i="1" s="1"/>
  <c r="I65" i="1"/>
  <c r="L65" i="1" s="1"/>
  <c r="M65" i="1" s="1"/>
  <c r="I66" i="1"/>
  <c r="L66" i="1" s="1"/>
  <c r="M66" i="1" s="1"/>
  <c r="I67" i="1"/>
  <c r="L67" i="1" s="1"/>
  <c r="M67" i="1" s="1"/>
  <c r="I68" i="1"/>
  <c r="L68" i="1" s="1"/>
  <c r="M68" i="1" s="1"/>
  <c r="I69" i="1"/>
  <c r="L69" i="1" s="1"/>
  <c r="M69" i="1" s="1"/>
  <c r="I70" i="1"/>
  <c r="L70" i="1" s="1"/>
  <c r="M70" i="1" s="1"/>
  <c r="I71" i="1"/>
  <c r="L71" i="1" s="1"/>
  <c r="M71" i="1" s="1"/>
  <c r="I72" i="1"/>
  <c r="L72" i="1" s="1"/>
  <c r="M72" i="1" s="1"/>
  <c r="I73" i="1"/>
  <c r="L73" i="1" s="1"/>
  <c r="M73" i="1" s="1"/>
  <c r="I74" i="1"/>
  <c r="L74" i="1" s="1"/>
  <c r="M74" i="1" s="1"/>
  <c r="I75" i="1"/>
  <c r="L75" i="1" s="1"/>
  <c r="M75" i="1" s="1"/>
  <c r="I76" i="1"/>
  <c r="L76" i="1" s="1"/>
  <c r="M76" i="1" s="1"/>
  <c r="I77" i="1"/>
  <c r="L77" i="1" s="1"/>
  <c r="M77" i="1" s="1"/>
  <c r="I78" i="1"/>
  <c r="L78" i="1" s="1"/>
  <c r="M78" i="1" s="1"/>
  <c r="I79" i="1"/>
  <c r="L79" i="1" s="1"/>
  <c r="M79" i="1" s="1"/>
  <c r="I80" i="1"/>
  <c r="L80" i="1" s="1"/>
  <c r="M80" i="1" s="1"/>
  <c r="I81" i="1"/>
  <c r="L81" i="1" s="1"/>
  <c r="M81" i="1" s="1"/>
  <c r="I82" i="1"/>
  <c r="L82" i="1" s="1"/>
  <c r="M82" i="1" s="1"/>
  <c r="I83" i="1"/>
  <c r="L83" i="1" s="1"/>
  <c r="M83" i="1" s="1"/>
  <c r="I84" i="1"/>
  <c r="L84" i="1" s="1"/>
  <c r="M84" i="1" s="1"/>
  <c r="I85" i="1"/>
  <c r="L85" i="1" s="1"/>
  <c r="M85" i="1" s="1"/>
  <c r="I86" i="1"/>
  <c r="L86" i="1" s="1"/>
  <c r="M86" i="1" s="1"/>
  <c r="I87" i="1"/>
  <c r="L87" i="1" s="1"/>
  <c r="M87" i="1" s="1"/>
  <c r="I88" i="1"/>
  <c r="L88" i="1" s="1"/>
  <c r="M88" i="1" s="1"/>
  <c r="I89" i="1"/>
  <c r="L89" i="1" s="1"/>
  <c r="M89" i="1" s="1"/>
  <c r="I90" i="1"/>
  <c r="L90" i="1" s="1"/>
  <c r="M90" i="1" s="1"/>
  <c r="I91" i="1"/>
  <c r="L91" i="1" s="1"/>
  <c r="M91" i="1" s="1"/>
  <c r="I92" i="1"/>
  <c r="L92" i="1" s="1"/>
  <c r="M92" i="1" s="1"/>
  <c r="I93" i="1"/>
  <c r="L93" i="1" s="1"/>
  <c r="M93" i="1" s="1"/>
  <c r="I94" i="1"/>
  <c r="L94" i="1" s="1"/>
  <c r="M94" i="1" s="1"/>
  <c r="I95" i="1"/>
  <c r="L95" i="1" s="1"/>
  <c r="M95" i="1" s="1"/>
  <c r="I96" i="1"/>
  <c r="L96" i="1" s="1"/>
  <c r="M96" i="1" s="1"/>
  <c r="I97" i="1"/>
  <c r="L97" i="1" s="1"/>
  <c r="M97" i="1" s="1"/>
  <c r="I98" i="1"/>
  <c r="L98" i="1" s="1"/>
  <c r="M98" i="1" s="1"/>
  <c r="I99" i="1"/>
  <c r="L99" i="1" s="1"/>
  <c r="M99" i="1" s="1"/>
  <c r="I100" i="1"/>
  <c r="L100" i="1" s="1"/>
  <c r="M100" i="1" s="1"/>
  <c r="I101" i="1"/>
  <c r="L101" i="1" s="1"/>
  <c r="M101" i="1" s="1"/>
  <c r="I102" i="1"/>
  <c r="L102" i="1" s="1"/>
  <c r="M102" i="1" s="1"/>
  <c r="I103" i="1"/>
  <c r="L103" i="1" s="1"/>
  <c r="M103" i="1" s="1"/>
  <c r="I104" i="1"/>
  <c r="L104" i="1" s="1"/>
  <c r="M104" i="1" s="1"/>
  <c r="I105" i="1"/>
  <c r="L105" i="1" s="1"/>
  <c r="M105" i="1" s="1"/>
  <c r="I106" i="1"/>
  <c r="L106" i="1" s="1"/>
  <c r="M106" i="1" s="1"/>
  <c r="I107" i="1"/>
  <c r="L107" i="1" s="1"/>
  <c r="M107" i="1" s="1"/>
  <c r="I108" i="1"/>
  <c r="L108" i="1" s="1"/>
  <c r="M108" i="1" s="1"/>
  <c r="I4" i="1"/>
  <c r="L4" i="1" s="1"/>
  <c r="M4" i="1" s="1"/>
  <c r="N4" i="1" s="1"/>
  <c r="P4" i="1" s="1"/>
  <c r="Q4" i="1" s="1"/>
  <c r="I5" i="1"/>
  <c r="L5" i="1" s="1"/>
  <c r="M5" i="1" s="1"/>
  <c r="I6" i="1"/>
  <c r="L6" i="1" s="1"/>
  <c r="M6" i="1" s="1"/>
  <c r="I7" i="1"/>
  <c r="L7" i="1" s="1"/>
  <c r="M7" i="1" s="1"/>
  <c r="I8" i="1"/>
  <c r="L8" i="1" s="1"/>
  <c r="M8" i="1" s="1"/>
  <c r="I9" i="1"/>
  <c r="L9" i="1" s="1"/>
  <c r="M9" i="1" s="1"/>
  <c r="I10" i="1"/>
  <c r="L10" i="1" s="1"/>
  <c r="M10" i="1" s="1"/>
  <c r="I11" i="1"/>
  <c r="L11" i="1" s="1"/>
  <c r="M11" i="1" s="1"/>
  <c r="I12" i="1"/>
  <c r="L12" i="1" s="1"/>
  <c r="M12" i="1" s="1"/>
  <c r="I13" i="1"/>
  <c r="L13" i="1" s="1"/>
  <c r="M13" i="1" s="1"/>
  <c r="I14" i="1"/>
  <c r="L14" i="1" s="1"/>
  <c r="M14" i="1" s="1"/>
  <c r="I15" i="1"/>
  <c r="L15" i="1" s="1"/>
  <c r="M15" i="1" s="1"/>
  <c r="I16" i="1"/>
  <c r="L16" i="1" s="1"/>
  <c r="M16" i="1" s="1"/>
  <c r="I17" i="1"/>
  <c r="L17" i="1" s="1"/>
  <c r="M17" i="1" s="1"/>
  <c r="I18" i="1"/>
  <c r="L18" i="1" s="1"/>
  <c r="M18" i="1" s="1"/>
  <c r="I19" i="1"/>
  <c r="L19" i="1" s="1"/>
  <c r="M19" i="1" s="1"/>
  <c r="I20" i="1"/>
  <c r="L20" i="1" s="1"/>
  <c r="M20" i="1" s="1"/>
  <c r="I21" i="1"/>
  <c r="L21" i="1" s="1"/>
  <c r="M21" i="1" s="1"/>
  <c r="I22" i="1"/>
  <c r="L22" i="1" s="1"/>
  <c r="M22" i="1" s="1"/>
  <c r="I23" i="1"/>
  <c r="L23" i="1" s="1"/>
  <c r="M23" i="1" s="1"/>
  <c r="I24" i="1"/>
  <c r="L24" i="1" s="1"/>
  <c r="M24" i="1" s="1"/>
  <c r="I25" i="1"/>
  <c r="L25" i="1" s="1"/>
  <c r="M25" i="1" s="1"/>
  <c r="I26" i="1"/>
  <c r="L26" i="1" s="1"/>
  <c r="M26" i="1" s="1"/>
  <c r="I27" i="1"/>
  <c r="L27" i="1" s="1"/>
  <c r="M27" i="1" s="1"/>
  <c r="I28" i="1"/>
  <c r="L28" i="1" s="1"/>
  <c r="M28" i="1" s="1"/>
  <c r="I29" i="1"/>
  <c r="L29" i="1" s="1"/>
  <c r="M29" i="1" s="1"/>
  <c r="I30" i="1"/>
  <c r="L30" i="1" s="1"/>
  <c r="M30" i="1" s="1"/>
  <c r="I31" i="1"/>
  <c r="L31" i="1" s="1"/>
  <c r="M31" i="1" s="1"/>
  <c r="I32" i="1"/>
  <c r="L32" i="1" s="1"/>
  <c r="M32" i="1" s="1"/>
  <c r="I3" i="1"/>
  <c r="H41" i="4" l="1"/>
  <c r="H92" i="4"/>
  <c r="J10" i="4"/>
  <c r="H98" i="4"/>
  <c r="J79" i="4"/>
  <c r="H9" i="4"/>
  <c r="H66" i="4"/>
  <c r="H84" i="4"/>
  <c r="H34" i="4"/>
  <c r="H68" i="4"/>
  <c r="H101" i="4"/>
  <c r="J38" i="4"/>
  <c r="Q67" i="4"/>
  <c r="R67" i="4"/>
  <c r="Q19" i="4"/>
  <c r="R19" i="4"/>
  <c r="Q36" i="4"/>
  <c r="R36" i="4"/>
  <c r="Q62" i="4"/>
  <c r="R62" i="4"/>
  <c r="Q104" i="4"/>
  <c r="R104" i="4"/>
  <c r="Q60" i="4"/>
  <c r="R60" i="4"/>
  <c r="Q82" i="4"/>
  <c r="R82" i="4"/>
  <c r="T110" i="4"/>
  <c r="T111" i="4"/>
  <c r="Q70" i="4"/>
  <c r="R70" i="4"/>
  <c r="Q38" i="4"/>
  <c r="R38" i="4"/>
  <c r="Q32" i="4"/>
  <c r="R32" i="4"/>
  <c r="Q26" i="4"/>
  <c r="R26" i="4"/>
  <c r="Q35" i="4"/>
  <c r="R35" i="4"/>
  <c r="Q22" i="4"/>
  <c r="R22" i="4"/>
  <c r="Q47" i="4"/>
  <c r="R47" i="4"/>
  <c r="Q90" i="4"/>
  <c r="R90" i="4"/>
  <c r="Q106" i="4"/>
  <c r="R106" i="4"/>
  <c r="V3" i="4"/>
  <c r="U111" i="4"/>
  <c r="U110" i="4"/>
  <c r="Q54" i="4"/>
  <c r="R54" i="4"/>
  <c r="Q56" i="4"/>
  <c r="R56" i="4"/>
  <c r="Q24" i="4"/>
  <c r="R24" i="4"/>
  <c r="Q81" i="4"/>
  <c r="R81" i="4"/>
  <c r="Q79" i="4"/>
  <c r="R79" i="4"/>
  <c r="Q76" i="4"/>
  <c r="R76" i="4"/>
  <c r="H36" i="4"/>
  <c r="Q48" i="4"/>
  <c r="R48" i="4"/>
  <c r="Q20" i="4"/>
  <c r="R20" i="4"/>
  <c r="Q4" i="4"/>
  <c r="R4" i="4"/>
  <c r="Q93" i="4"/>
  <c r="R93" i="4"/>
  <c r="Q77" i="4"/>
  <c r="R77" i="4"/>
  <c r="Q61" i="4"/>
  <c r="R61" i="4"/>
  <c r="Q45" i="4"/>
  <c r="R45" i="4"/>
  <c r="Q29" i="4"/>
  <c r="R29" i="4"/>
  <c r="Q13" i="4"/>
  <c r="R13" i="4"/>
  <c r="Q72" i="4"/>
  <c r="R72" i="4"/>
  <c r="Q92" i="4"/>
  <c r="R92" i="4"/>
  <c r="Q50" i="4"/>
  <c r="R50" i="4"/>
  <c r="Q98" i="4"/>
  <c r="R98" i="4"/>
  <c r="Q34" i="4"/>
  <c r="R34" i="4"/>
  <c r="Q80" i="4"/>
  <c r="R80" i="4"/>
  <c r="Q49" i="4"/>
  <c r="R49" i="4"/>
  <c r="Q33" i="4"/>
  <c r="R33" i="4"/>
  <c r="Q17" i="4"/>
  <c r="R17" i="4"/>
  <c r="Q95" i="4"/>
  <c r="R95" i="4"/>
  <c r="Q31" i="4"/>
  <c r="R31" i="4"/>
  <c r="Q84" i="4"/>
  <c r="R84" i="4"/>
  <c r="Q18" i="4"/>
  <c r="R18" i="4"/>
  <c r="Q91" i="4"/>
  <c r="R91" i="4"/>
  <c r="Q75" i="4"/>
  <c r="R75" i="4"/>
  <c r="Q59" i="4"/>
  <c r="R59" i="4"/>
  <c r="Q43" i="4"/>
  <c r="R43" i="4"/>
  <c r="Q11" i="4"/>
  <c r="R11" i="4"/>
  <c r="Q58" i="4"/>
  <c r="R58" i="4"/>
  <c r="Q52" i="4"/>
  <c r="R52" i="4"/>
  <c r="Q78" i="4"/>
  <c r="R78" i="4"/>
  <c r="Q100" i="4"/>
  <c r="R100" i="4"/>
  <c r="Q107" i="4"/>
  <c r="R107" i="4"/>
  <c r="Q86" i="4"/>
  <c r="R86" i="4"/>
  <c r="Q83" i="4"/>
  <c r="R83" i="4"/>
  <c r="Q42" i="4"/>
  <c r="R42" i="4"/>
  <c r="Q6" i="4"/>
  <c r="R6" i="4"/>
  <c r="Q63" i="4"/>
  <c r="R63" i="4"/>
  <c r="Q15" i="4"/>
  <c r="R15" i="4"/>
  <c r="H33" i="4"/>
  <c r="H77" i="4"/>
  <c r="Q96" i="4"/>
  <c r="R96" i="4"/>
  <c r="Q27" i="4"/>
  <c r="R27" i="4"/>
  <c r="H17" i="4"/>
  <c r="Q16" i="4"/>
  <c r="R16" i="4"/>
  <c r="Q89" i="4"/>
  <c r="R89" i="4"/>
  <c r="Q73" i="4"/>
  <c r="R73" i="4"/>
  <c r="Q57" i="4"/>
  <c r="R57" i="4"/>
  <c r="Q41" i="4"/>
  <c r="R41" i="4"/>
  <c r="Q25" i="4"/>
  <c r="R25" i="4"/>
  <c r="Q9" i="4"/>
  <c r="R9" i="4"/>
  <c r="Q101" i="4"/>
  <c r="R101" i="4"/>
  <c r="Q99" i="4"/>
  <c r="R99" i="4"/>
  <c r="Q40" i="4"/>
  <c r="R40" i="4"/>
  <c r="Q102" i="4"/>
  <c r="R102" i="4"/>
  <c r="J54" i="4"/>
  <c r="Q105" i="4"/>
  <c r="R105" i="4"/>
  <c r="Q10" i="4"/>
  <c r="R10" i="4"/>
  <c r="Q44" i="4"/>
  <c r="R44" i="4"/>
  <c r="Q8" i="4"/>
  <c r="R8" i="4"/>
  <c r="Q65" i="4"/>
  <c r="R65" i="4"/>
  <c r="Q71" i="4"/>
  <c r="R71" i="4"/>
  <c r="Q55" i="4"/>
  <c r="R55" i="4"/>
  <c r="Q39" i="4"/>
  <c r="R39" i="4"/>
  <c r="Q7" i="4"/>
  <c r="R7" i="4"/>
  <c r="Q46" i="4"/>
  <c r="R46" i="4"/>
  <c r="Q88" i="4"/>
  <c r="R88" i="4"/>
  <c r="Q66" i="4"/>
  <c r="R66" i="4"/>
  <c r="W111" i="4"/>
  <c r="Q51" i="4"/>
  <c r="R51" i="4"/>
  <c r="Q97" i="4"/>
  <c r="R97" i="4"/>
  <c r="Q64" i="4"/>
  <c r="R64" i="4"/>
  <c r="Q103" i="4"/>
  <c r="R103" i="4"/>
  <c r="Q30" i="4"/>
  <c r="R30" i="4"/>
  <c r="Q14" i="4"/>
  <c r="R14" i="4"/>
  <c r="Q87" i="4"/>
  <c r="R87" i="4"/>
  <c r="Q23" i="4"/>
  <c r="R23" i="4"/>
  <c r="J7" i="4"/>
  <c r="Q28" i="4"/>
  <c r="R28" i="4"/>
  <c r="Q12" i="4"/>
  <c r="R12" i="4"/>
  <c r="Q85" i="4"/>
  <c r="R85" i="4"/>
  <c r="Q69" i="4"/>
  <c r="R69" i="4"/>
  <c r="Q53" i="4"/>
  <c r="R53" i="4"/>
  <c r="Q37" i="4"/>
  <c r="R37" i="4"/>
  <c r="Q21" i="4"/>
  <c r="R21" i="4"/>
  <c r="Q5" i="4"/>
  <c r="R5" i="4"/>
  <c r="Q74" i="4"/>
  <c r="R74" i="4"/>
  <c r="Q68" i="4"/>
  <c r="R68" i="4"/>
  <c r="Q108" i="4"/>
  <c r="R108" i="4"/>
  <c r="Q94" i="4"/>
  <c r="R94" i="4"/>
  <c r="H58" i="4"/>
  <c r="H60" i="4"/>
  <c r="H50" i="4"/>
  <c r="H63" i="4"/>
  <c r="H105" i="4"/>
  <c r="H93" i="4"/>
  <c r="H85" i="4"/>
  <c r="J47" i="4"/>
  <c r="H74" i="4"/>
  <c r="H25" i="4"/>
  <c r="H73" i="4"/>
  <c r="H106" i="4"/>
  <c r="H45" i="4"/>
  <c r="H81" i="4"/>
  <c r="H42" i="4"/>
  <c r="H100" i="4"/>
  <c r="J4" i="4"/>
  <c r="H49" i="4"/>
  <c r="H26" i="4"/>
  <c r="H13" i="4"/>
  <c r="H83" i="4"/>
  <c r="J83" i="4"/>
  <c r="J32" i="4"/>
  <c r="H32" i="4"/>
  <c r="J64" i="4"/>
  <c r="H64" i="4"/>
  <c r="J39" i="4"/>
  <c r="H39" i="4"/>
  <c r="M3" i="4"/>
  <c r="I3" i="4"/>
  <c r="P3" i="4"/>
  <c r="G3" i="4"/>
  <c r="H59" i="4"/>
  <c r="J59" i="4"/>
  <c r="H27" i="4"/>
  <c r="J27" i="4"/>
  <c r="J8" i="4"/>
  <c r="H8" i="4"/>
  <c r="J96" i="4"/>
  <c r="H96" i="4"/>
  <c r="H19" i="4"/>
  <c r="J19" i="4"/>
  <c r="H22" i="4"/>
  <c r="J22" i="4"/>
  <c r="H94" i="4"/>
  <c r="J94" i="4"/>
  <c r="H99" i="4"/>
  <c r="J99" i="4"/>
  <c r="H5" i="4"/>
  <c r="H70" i="4"/>
  <c r="J70" i="4"/>
  <c r="H46" i="4"/>
  <c r="J46" i="4"/>
  <c r="H56" i="4"/>
  <c r="J56" i="4"/>
  <c r="J24" i="4"/>
  <c r="H24" i="4"/>
  <c r="H102" i="4"/>
  <c r="J102" i="4"/>
  <c r="H51" i="4"/>
  <c r="J51" i="4"/>
  <c r="H11" i="4"/>
  <c r="J11" i="4"/>
  <c r="J104" i="4"/>
  <c r="H104" i="4"/>
  <c r="J80" i="4"/>
  <c r="H80" i="4"/>
  <c r="H20" i="4"/>
  <c r="J88" i="4"/>
  <c r="H88" i="4"/>
  <c r="H75" i="4"/>
  <c r="J75" i="4"/>
  <c r="H86" i="4"/>
  <c r="J86" i="4"/>
  <c r="H78" i="4"/>
  <c r="J78" i="4"/>
  <c r="J48" i="4"/>
  <c r="H48" i="4"/>
  <c r="H14" i="4"/>
  <c r="J14" i="4"/>
  <c r="H37" i="4"/>
  <c r="H65" i="4"/>
  <c r="H6" i="4"/>
  <c r="J6" i="4"/>
  <c r="J95" i="4"/>
  <c r="H95" i="4"/>
  <c r="J87" i="4"/>
  <c r="H87" i="4"/>
  <c r="H16" i="4"/>
  <c r="J16" i="4"/>
  <c r="H107" i="4"/>
  <c r="J107" i="4"/>
  <c r="H76" i="4"/>
  <c r="H21" i="4"/>
  <c r="H69" i="4"/>
  <c r="H30" i="4"/>
  <c r="J30" i="4"/>
  <c r="J55" i="4"/>
  <c r="H55" i="4"/>
  <c r="H62" i="4"/>
  <c r="J62" i="4"/>
  <c r="H29" i="4"/>
  <c r="J15" i="4"/>
  <c r="H12" i="4"/>
  <c r="H52" i="4"/>
  <c r="H43" i="4"/>
  <c r="J43" i="4"/>
  <c r="H108" i="4"/>
  <c r="H44" i="4"/>
  <c r="H90" i="4"/>
  <c r="H53" i="4"/>
  <c r="H72" i="4"/>
  <c r="J72" i="4"/>
  <c r="J31" i="4"/>
  <c r="H31" i="4"/>
  <c r="J103" i="4"/>
  <c r="H103" i="4"/>
  <c r="H40" i="4"/>
  <c r="J40" i="4"/>
  <c r="J71" i="4"/>
  <c r="H71" i="4"/>
  <c r="H67" i="4"/>
  <c r="J67" i="4"/>
  <c r="H35" i="4"/>
  <c r="J35" i="4"/>
  <c r="L3" i="1"/>
  <c r="M3" i="1" s="1"/>
  <c r="N3" i="1" s="1"/>
  <c r="P3" i="1" s="1"/>
  <c r="Q3" i="1" s="1"/>
  <c r="C6" i="2"/>
  <c r="C7" i="2" s="1"/>
  <c r="B13" i="2" s="1"/>
  <c r="O13" i="1"/>
  <c r="R13" i="1" s="1"/>
  <c r="N29" i="1"/>
  <c r="P29" i="1" s="1"/>
  <c r="Q29" i="1" s="1"/>
  <c r="N70" i="1"/>
  <c r="P70" i="1" s="1"/>
  <c r="Q70" i="1" s="1"/>
  <c r="N19" i="1"/>
  <c r="P19" i="1" s="1"/>
  <c r="Q19" i="1" s="1"/>
  <c r="O38" i="1"/>
  <c r="R38" i="1" s="1"/>
  <c r="N93" i="1"/>
  <c r="P93" i="1" s="1"/>
  <c r="Q93" i="1" s="1"/>
  <c r="N77" i="1"/>
  <c r="P77" i="1" s="1"/>
  <c r="Q77" i="1" s="1"/>
  <c r="O27" i="1"/>
  <c r="R27" i="1" s="1"/>
  <c r="O11" i="1"/>
  <c r="R11" i="1" s="1"/>
  <c r="O68" i="1"/>
  <c r="R68" i="1" s="1"/>
  <c r="N36" i="1"/>
  <c r="P36" i="1" s="1"/>
  <c r="Q36" i="1" s="1"/>
  <c r="N26" i="1"/>
  <c r="P26" i="1" s="1"/>
  <c r="Q26" i="1" s="1"/>
  <c r="N10" i="1"/>
  <c r="P10" i="1" s="1"/>
  <c r="Q10" i="1" s="1"/>
  <c r="N99" i="1"/>
  <c r="P99" i="1" s="1"/>
  <c r="Q99" i="1" s="1"/>
  <c r="N83" i="1"/>
  <c r="P83" i="1" s="1"/>
  <c r="Q83" i="1" s="1"/>
  <c r="O67" i="1"/>
  <c r="R67" i="1" s="1"/>
  <c r="N51" i="1"/>
  <c r="P51" i="1" s="1"/>
  <c r="Q51" i="1" s="1"/>
  <c r="N35" i="1"/>
  <c r="P35" i="1" s="1"/>
  <c r="Q35" i="1" s="1"/>
  <c r="O17" i="1"/>
  <c r="R17" i="1" s="1"/>
  <c r="N106" i="1"/>
  <c r="P106" i="1" s="1"/>
  <c r="Q106" i="1" s="1"/>
  <c r="N90" i="1"/>
  <c r="P90" i="1" s="1"/>
  <c r="Q90" i="1" s="1"/>
  <c r="N74" i="1"/>
  <c r="P74" i="1" s="1"/>
  <c r="Q74" i="1" s="1"/>
  <c r="N58" i="1"/>
  <c r="P58" i="1" s="1"/>
  <c r="Q58" i="1" s="1"/>
  <c r="N42" i="1"/>
  <c r="P42" i="1" s="1"/>
  <c r="Q42" i="1" s="1"/>
  <c r="O24" i="1"/>
  <c r="R24" i="1" s="1"/>
  <c r="O8" i="1"/>
  <c r="R8" i="1" s="1"/>
  <c r="O97" i="1"/>
  <c r="R97" i="1" s="1"/>
  <c r="O81" i="1"/>
  <c r="R81" i="1" s="1"/>
  <c r="O65" i="1"/>
  <c r="R65" i="1" s="1"/>
  <c r="O49" i="1"/>
  <c r="R49" i="1" s="1"/>
  <c r="O33" i="1"/>
  <c r="R33" i="1" s="1"/>
  <c r="O31" i="1"/>
  <c r="R31" i="1" s="1"/>
  <c r="O15" i="1"/>
  <c r="R15" i="1" s="1"/>
  <c r="O104" i="1"/>
  <c r="R104" i="1" s="1"/>
  <c r="O88" i="1"/>
  <c r="R88" i="1" s="1"/>
  <c r="O72" i="1"/>
  <c r="R72" i="1" s="1"/>
  <c r="O56" i="1"/>
  <c r="R56" i="1" s="1"/>
  <c r="O40" i="1"/>
  <c r="R40" i="1" s="1"/>
  <c r="O95" i="1"/>
  <c r="R95" i="1" s="1"/>
  <c r="O79" i="1"/>
  <c r="R79" i="1" s="1"/>
  <c r="O63" i="1"/>
  <c r="R63" i="1" s="1"/>
  <c r="O47" i="1"/>
  <c r="R47" i="1" s="1"/>
  <c r="O107" i="1"/>
  <c r="R107" i="1" s="1"/>
  <c r="O93" i="1"/>
  <c r="R93" i="1" s="1"/>
  <c r="O84" i="1"/>
  <c r="R84" i="1" s="1"/>
  <c r="N49" i="1"/>
  <c r="P49" i="1" s="1"/>
  <c r="Q49" i="1" s="1"/>
  <c r="O43" i="1"/>
  <c r="R43" i="1" s="1"/>
  <c r="O6" i="1"/>
  <c r="R6" i="1" s="1"/>
  <c r="O98" i="1"/>
  <c r="R98" i="1" s="1"/>
  <c r="N63" i="1"/>
  <c r="P63" i="1" s="1"/>
  <c r="Q63" i="1" s="1"/>
  <c r="N56" i="1"/>
  <c r="P56" i="1" s="1"/>
  <c r="Q56" i="1" s="1"/>
  <c r="O34" i="1"/>
  <c r="R34" i="1" s="1"/>
  <c r="N6" i="1"/>
  <c r="P6" i="1" s="1"/>
  <c r="Q6" i="1" s="1"/>
  <c r="N97" i="1"/>
  <c r="P97" i="1" s="1"/>
  <c r="Q97" i="1" s="1"/>
  <c r="O91" i="1"/>
  <c r="R91" i="1" s="1"/>
  <c r="O77" i="1"/>
  <c r="R77" i="1" s="1"/>
  <c r="N33" i="1"/>
  <c r="P33" i="1" s="1"/>
  <c r="Q33" i="1" s="1"/>
  <c r="N104" i="1"/>
  <c r="P104" i="1" s="1"/>
  <c r="Q104" i="1" s="1"/>
  <c r="O82" i="1"/>
  <c r="R82" i="1" s="1"/>
  <c r="N67" i="1"/>
  <c r="P67" i="1" s="1"/>
  <c r="Q67" i="1" s="1"/>
  <c r="N47" i="1"/>
  <c r="P47" i="1" s="1"/>
  <c r="Q47" i="1" s="1"/>
  <c r="N40" i="1"/>
  <c r="P40" i="1" s="1"/>
  <c r="Q40" i="1" s="1"/>
  <c r="N24" i="1"/>
  <c r="O18" i="1"/>
  <c r="R18" i="1" s="1"/>
  <c r="N81" i="1"/>
  <c r="P81" i="1" s="1"/>
  <c r="Q81" i="1" s="1"/>
  <c r="O75" i="1"/>
  <c r="R75" i="1" s="1"/>
  <c r="O61" i="1"/>
  <c r="R61" i="1" s="1"/>
  <c r="O52" i="1"/>
  <c r="R52" i="1" s="1"/>
  <c r="N17" i="1"/>
  <c r="P17" i="1" s="1"/>
  <c r="Q17" i="1" s="1"/>
  <c r="N95" i="1"/>
  <c r="P95" i="1" s="1"/>
  <c r="Q95" i="1" s="1"/>
  <c r="N88" i="1"/>
  <c r="P88" i="1" s="1"/>
  <c r="Q88" i="1" s="1"/>
  <c r="N31" i="1"/>
  <c r="P31" i="1" s="1"/>
  <c r="Q31" i="1" s="1"/>
  <c r="N8" i="1"/>
  <c r="P8" i="1" s="1"/>
  <c r="Q8" i="1" s="1"/>
  <c r="O100" i="1"/>
  <c r="R100" i="1" s="1"/>
  <c r="N65" i="1"/>
  <c r="O59" i="1"/>
  <c r="R59" i="1" s="1"/>
  <c r="O45" i="1"/>
  <c r="R45" i="1" s="1"/>
  <c r="O36" i="1"/>
  <c r="R36" i="1" s="1"/>
  <c r="O22" i="1"/>
  <c r="R22" i="1" s="1"/>
  <c r="N79" i="1"/>
  <c r="P79" i="1" s="1"/>
  <c r="Q79" i="1" s="1"/>
  <c r="N72" i="1"/>
  <c r="P72" i="1" s="1"/>
  <c r="Q72" i="1" s="1"/>
  <c r="O50" i="1"/>
  <c r="R50" i="1" s="1"/>
  <c r="N22" i="1"/>
  <c r="P22" i="1" s="1"/>
  <c r="Q22" i="1" s="1"/>
  <c r="N15" i="1"/>
  <c r="P15" i="1" s="1"/>
  <c r="Q15" i="1" s="1"/>
  <c r="O29" i="1"/>
  <c r="R29" i="1" s="1"/>
  <c r="N45" i="1"/>
  <c r="P45" i="1" s="1"/>
  <c r="Q45" i="1" s="1"/>
  <c r="N38" i="1"/>
  <c r="P38" i="1" s="1"/>
  <c r="Q38" i="1" s="1"/>
  <c r="O20" i="1"/>
  <c r="R20" i="1" s="1"/>
  <c r="N13" i="1"/>
  <c r="P13" i="1" s="1"/>
  <c r="Q13" i="1" s="1"/>
  <c r="N100" i="1"/>
  <c r="P100" i="1" s="1"/>
  <c r="Q100" i="1" s="1"/>
  <c r="N84" i="1"/>
  <c r="P84" i="1" s="1"/>
  <c r="Q84" i="1" s="1"/>
  <c r="N107" i="1"/>
  <c r="P107" i="1" s="1"/>
  <c r="Q107" i="1" s="1"/>
  <c r="O105" i="1"/>
  <c r="R105" i="1" s="1"/>
  <c r="O103" i="1"/>
  <c r="R103" i="1" s="1"/>
  <c r="N98" i="1"/>
  <c r="P98" i="1" s="1"/>
  <c r="Q98" i="1" s="1"/>
  <c r="O96" i="1"/>
  <c r="R96" i="1" s="1"/>
  <c r="N91" i="1"/>
  <c r="P91" i="1" s="1"/>
  <c r="Q91" i="1" s="1"/>
  <c r="O89" i="1"/>
  <c r="R89" i="1" s="1"/>
  <c r="O87" i="1"/>
  <c r="R87" i="1" s="1"/>
  <c r="N82" i="1"/>
  <c r="P82" i="1" s="1"/>
  <c r="Q82" i="1" s="1"/>
  <c r="O80" i="1"/>
  <c r="R80" i="1" s="1"/>
  <c r="N75" i="1"/>
  <c r="P75" i="1" s="1"/>
  <c r="Q75" i="1" s="1"/>
  <c r="O73" i="1"/>
  <c r="R73" i="1" s="1"/>
  <c r="O71" i="1"/>
  <c r="R71" i="1" s="1"/>
  <c r="N68" i="1"/>
  <c r="P68" i="1" s="1"/>
  <c r="Q68" i="1" s="1"/>
  <c r="O66" i="1"/>
  <c r="R66" i="1" s="1"/>
  <c r="O64" i="1"/>
  <c r="R64" i="1" s="1"/>
  <c r="N59" i="1"/>
  <c r="P59" i="1" s="1"/>
  <c r="Q59" i="1" s="1"/>
  <c r="O57" i="1"/>
  <c r="R57" i="1" s="1"/>
  <c r="O55" i="1"/>
  <c r="R55" i="1" s="1"/>
  <c r="N50" i="1"/>
  <c r="P50" i="1" s="1"/>
  <c r="Q50" i="1" s="1"/>
  <c r="O48" i="1"/>
  <c r="R48" i="1" s="1"/>
  <c r="N43" i="1"/>
  <c r="P43" i="1" s="1"/>
  <c r="Q43" i="1" s="1"/>
  <c r="O41" i="1"/>
  <c r="R41" i="1" s="1"/>
  <c r="O39" i="1"/>
  <c r="R39" i="1" s="1"/>
  <c r="N34" i="1"/>
  <c r="P34" i="1" s="1"/>
  <c r="Q34" i="1" s="1"/>
  <c r="O32" i="1"/>
  <c r="R32" i="1" s="1"/>
  <c r="N27" i="1"/>
  <c r="P27" i="1" s="1"/>
  <c r="Q27" i="1" s="1"/>
  <c r="O25" i="1"/>
  <c r="R25" i="1" s="1"/>
  <c r="O23" i="1"/>
  <c r="R23" i="1" s="1"/>
  <c r="N18" i="1"/>
  <c r="P18" i="1" s="1"/>
  <c r="Q18" i="1" s="1"/>
  <c r="O16" i="1"/>
  <c r="R16" i="1" s="1"/>
  <c r="N11" i="1"/>
  <c r="P11" i="1" s="1"/>
  <c r="Q11" i="1" s="1"/>
  <c r="O9" i="1"/>
  <c r="R9" i="1" s="1"/>
  <c r="O7" i="1"/>
  <c r="R7" i="1" s="1"/>
  <c r="O102" i="1"/>
  <c r="R102" i="1" s="1"/>
  <c r="O70" i="1"/>
  <c r="R70" i="1" s="1"/>
  <c r="O54" i="1"/>
  <c r="R54" i="1" s="1"/>
  <c r="N61" i="1"/>
  <c r="P61" i="1" s="1"/>
  <c r="Q61" i="1" s="1"/>
  <c r="N54" i="1"/>
  <c r="P54" i="1" s="1"/>
  <c r="Q54" i="1" s="1"/>
  <c r="N52" i="1"/>
  <c r="P52" i="1" s="1"/>
  <c r="Q52" i="1" s="1"/>
  <c r="N20" i="1"/>
  <c r="P20" i="1" s="1"/>
  <c r="Q20" i="1" s="1"/>
  <c r="N105" i="1"/>
  <c r="P105" i="1" s="1"/>
  <c r="Q105" i="1" s="1"/>
  <c r="N103" i="1"/>
  <c r="P103" i="1" s="1"/>
  <c r="Q103" i="1" s="1"/>
  <c r="O101" i="1"/>
  <c r="R101" i="1" s="1"/>
  <c r="N96" i="1"/>
  <c r="P96" i="1" s="1"/>
  <c r="Q96" i="1" s="1"/>
  <c r="O94" i="1"/>
  <c r="R94" i="1" s="1"/>
  <c r="N89" i="1"/>
  <c r="P89" i="1" s="1"/>
  <c r="Q89" i="1" s="1"/>
  <c r="N87" i="1"/>
  <c r="P87" i="1" s="1"/>
  <c r="Q87" i="1" s="1"/>
  <c r="O85" i="1"/>
  <c r="R85" i="1" s="1"/>
  <c r="N80" i="1"/>
  <c r="P80" i="1" s="1"/>
  <c r="Q80" i="1" s="1"/>
  <c r="O78" i="1"/>
  <c r="R78" i="1" s="1"/>
  <c r="N73" i="1"/>
  <c r="P73" i="1" s="1"/>
  <c r="Q73" i="1" s="1"/>
  <c r="N71" i="1"/>
  <c r="P71" i="1" s="1"/>
  <c r="Q71" i="1" s="1"/>
  <c r="N66" i="1"/>
  <c r="P66" i="1" s="1"/>
  <c r="Q66" i="1" s="1"/>
  <c r="N64" i="1"/>
  <c r="P64" i="1" s="1"/>
  <c r="Q64" i="1" s="1"/>
  <c r="O62" i="1"/>
  <c r="R62" i="1" s="1"/>
  <c r="N57" i="1"/>
  <c r="P57" i="1" s="1"/>
  <c r="Q57" i="1" s="1"/>
  <c r="N55" i="1"/>
  <c r="P55" i="1" s="1"/>
  <c r="Q55" i="1" s="1"/>
  <c r="O53" i="1"/>
  <c r="R53" i="1" s="1"/>
  <c r="N48" i="1"/>
  <c r="P48" i="1" s="1"/>
  <c r="Q48" i="1" s="1"/>
  <c r="O46" i="1"/>
  <c r="R46" i="1" s="1"/>
  <c r="N41" i="1"/>
  <c r="P41" i="1" s="1"/>
  <c r="Q41" i="1" s="1"/>
  <c r="N39" i="1"/>
  <c r="P39" i="1" s="1"/>
  <c r="Q39" i="1" s="1"/>
  <c r="O37" i="1"/>
  <c r="R37" i="1" s="1"/>
  <c r="N32" i="1"/>
  <c r="P32" i="1" s="1"/>
  <c r="Q32" i="1" s="1"/>
  <c r="O30" i="1"/>
  <c r="R30" i="1" s="1"/>
  <c r="N25" i="1"/>
  <c r="P25" i="1" s="1"/>
  <c r="Q25" i="1" s="1"/>
  <c r="N23" i="1"/>
  <c r="P23" i="1" s="1"/>
  <c r="Q23" i="1" s="1"/>
  <c r="O21" i="1"/>
  <c r="R21" i="1" s="1"/>
  <c r="N16" i="1"/>
  <c r="P16" i="1" s="1"/>
  <c r="Q16" i="1" s="1"/>
  <c r="O14" i="1"/>
  <c r="R14" i="1" s="1"/>
  <c r="N9" i="1"/>
  <c r="P9" i="1" s="1"/>
  <c r="Q9" i="1" s="1"/>
  <c r="N7" i="1"/>
  <c r="P7" i="1" s="1"/>
  <c r="Q7" i="1" s="1"/>
  <c r="O5" i="1"/>
  <c r="R5" i="1" s="1"/>
  <c r="O86" i="1"/>
  <c r="R86" i="1" s="1"/>
  <c r="N102" i="1"/>
  <c r="P102" i="1" s="1"/>
  <c r="Q102" i="1" s="1"/>
  <c r="N86" i="1"/>
  <c r="P86" i="1" s="1"/>
  <c r="Q86" i="1" s="1"/>
  <c r="O108" i="1"/>
  <c r="R108" i="1" s="1"/>
  <c r="N101" i="1"/>
  <c r="P101" i="1" s="1"/>
  <c r="Q101" i="1" s="1"/>
  <c r="N94" i="1"/>
  <c r="P94" i="1" s="1"/>
  <c r="Q94" i="1" s="1"/>
  <c r="O92" i="1"/>
  <c r="R92" i="1" s="1"/>
  <c r="N85" i="1"/>
  <c r="P85" i="1" s="1"/>
  <c r="Q85" i="1" s="1"/>
  <c r="N78" i="1"/>
  <c r="P78" i="1" s="1"/>
  <c r="Q78" i="1" s="1"/>
  <c r="O76" i="1"/>
  <c r="R76" i="1" s="1"/>
  <c r="O69" i="1"/>
  <c r="R69" i="1" s="1"/>
  <c r="N62" i="1"/>
  <c r="P62" i="1" s="1"/>
  <c r="Q62" i="1" s="1"/>
  <c r="O60" i="1"/>
  <c r="R60" i="1" s="1"/>
  <c r="N53" i="1"/>
  <c r="P53" i="1" s="1"/>
  <c r="Q53" i="1" s="1"/>
  <c r="N46" i="1"/>
  <c r="P46" i="1" s="1"/>
  <c r="Q46" i="1" s="1"/>
  <c r="O44" i="1"/>
  <c r="R44" i="1" s="1"/>
  <c r="N37" i="1"/>
  <c r="P37" i="1" s="1"/>
  <c r="Q37" i="1" s="1"/>
  <c r="N30" i="1"/>
  <c r="P30" i="1" s="1"/>
  <c r="Q30" i="1" s="1"/>
  <c r="O28" i="1"/>
  <c r="R28" i="1" s="1"/>
  <c r="N21" i="1"/>
  <c r="P21" i="1" s="1"/>
  <c r="Q21" i="1" s="1"/>
  <c r="N14" i="1"/>
  <c r="P14" i="1" s="1"/>
  <c r="Q14" i="1" s="1"/>
  <c r="O12" i="1"/>
  <c r="R12" i="1" s="1"/>
  <c r="N5" i="1"/>
  <c r="P5" i="1" s="1"/>
  <c r="Q5" i="1" s="1"/>
  <c r="N108" i="1"/>
  <c r="P108" i="1" s="1"/>
  <c r="Q108" i="1" s="1"/>
  <c r="O106" i="1"/>
  <c r="R106" i="1" s="1"/>
  <c r="O99" i="1"/>
  <c r="R99" i="1" s="1"/>
  <c r="N92" i="1"/>
  <c r="P92" i="1" s="1"/>
  <c r="Q92" i="1" s="1"/>
  <c r="O90" i="1"/>
  <c r="R90" i="1" s="1"/>
  <c r="O83" i="1"/>
  <c r="R83" i="1" s="1"/>
  <c r="N76" i="1"/>
  <c r="P76" i="1" s="1"/>
  <c r="Q76" i="1" s="1"/>
  <c r="O74" i="1"/>
  <c r="R74" i="1" s="1"/>
  <c r="N69" i="1"/>
  <c r="P69" i="1" s="1"/>
  <c r="Q69" i="1" s="1"/>
  <c r="N60" i="1"/>
  <c r="P60" i="1" s="1"/>
  <c r="Q60" i="1" s="1"/>
  <c r="O58" i="1"/>
  <c r="R58" i="1" s="1"/>
  <c r="O51" i="1"/>
  <c r="R51" i="1" s="1"/>
  <c r="N44" i="1"/>
  <c r="P44" i="1" s="1"/>
  <c r="Q44" i="1" s="1"/>
  <c r="O42" i="1"/>
  <c r="R42" i="1" s="1"/>
  <c r="O35" i="1"/>
  <c r="R35" i="1" s="1"/>
  <c r="N28" i="1"/>
  <c r="P28" i="1" s="1"/>
  <c r="Q28" i="1" s="1"/>
  <c r="O26" i="1"/>
  <c r="R26" i="1" s="1"/>
  <c r="O19" i="1"/>
  <c r="R19" i="1" s="1"/>
  <c r="N12" i="1"/>
  <c r="P12" i="1" s="1"/>
  <c r="Q12" i="1" s="1"/>
  <c r="O10" i="1"/>
  <c r="R10" i="1" s="1"/>
  <c r="O4" i="1"/>
  <c r="R4" i="1" s="1"/>
  <c r="G111" i="4" l="1"/>
  <c r="G110" i="4"/>
  <c r="P110" i="4"/>
  <c r="P111" i="4"/>
  <c r="R3" i="4"/>
  <c r="K3" i="4"/>
  <c r="I110" i="4"/>
  <c r="I111" i="4"/>
  <c r="M110" i="4"/>
  <c r="M111" i="4"/>
  <c r="V111" i="4"/>
  <c r="V110" i="4"/>
  <c r="J3" i="4"/>
  <c r="H3" i="4"/>
  <c r="P65" i="1"/>
  <c r="Q65" i="1" s="1"/>
  <c r="S65" i="1" s="1"/>
  <c r="P24" i="1"/>
  <c r="Q24" i="1" s="1"/>
  <c r="S24" i="1" s="1"/>
  <c r="S98" i="1"/>
  <c r="W98" i="1" s="1"/>
  <c r="S72" i="1"/>
  <c r="S11" i="1"/>
  <c r="S81" i="1"/>
  <c r="S18" i="1"/>
  <c r="S27" i="1"/>
  <c r="S82" i="1"/>
  <c r="S13" i="1"/>
  <c r="L110" i="1"/>
  <c r="S40" i="1"/>
  <c r="L111" i="1"/>
  <c r="O3" i="1"/>
  <c r="M110" i="1"/>
  <c r="M111" i="1"/>
  <c r="S59" i="1"/>
  <c r="S104" i="1"/>
  <c r="S95" i="1"/>
  <c r="S20" i="1"/>
  <c r="S45" i="1"/>
  <c r="S8" i="1"/>
  <c r="S17" i="1"/>
  <c r="S97" i="1"/>
  <c r="S56" i="1"/>
  <c r="S43" i="1"/>
  <c r="C13" i="2"/>
  <c r="B16" i="2"/>
  <c r="C16" i="2" s="1"/>
  <c r="S31" i="1"/>
  <c r="S67" i="1"/>
  <c r="S49" i="1"/>
  <c r="S38" i="1"/>
  <c r="S33" i="1"/>
  <c r="S68" i="1"/>
  <c r="S15" i="1"/>
  <c r="S50" i="1"/>
  <c r="S107" i="1"/>
  <c r="S32" i="1"/>
  <c r="S100" i="1"/>
  <c r="S63" i="1"/>
  <c r="S88" i="1"/>
  <c r="S26" i="1"/>
  <c r="S53" i="1"/>
  <c r="S21" i="1"/>
  <c r="S29" i="1"/>
  <c r="S37" i="1"/>
  <c r="S4" i="1"/>
  <c r="S76" i="1"/>
  <c r="S91" i="1"/>
  <c r="S61" i="1"/>
  <c r="S77" i="1"/>
  <c r="S93" i="1"/>
  <c r="S89" i="1"/>
  <c r="S34" i="1"/>
  <c r="S36" i="1"/>
  <c r="S84" i="1"/>
  <c r="S51" i="1"/>
  <c r="S60" i="1"/>
  <c r="S52" i="1"/>
  <c r="S10" i="1"/>
  <c r="S106" i="1"/>
  <c r="S64" i="1"/>
  <c r="S99" i="1"/>
  <c r="S78" i="1"/>
  <c r="S66" i="1"/>
  <c r="S108" i="1"/>
  <c r="S90" i="1"/>
  <c r="S75" i="1"/>
  <c r="S80" i="1"/>
  <c r="S105" i="1"/>
  <c r="S73" i="1"/>
  <c r="S48" i="1"/>
  <c r="S62" i="1"/>
  <c r="S96" i="1"/>
  <c r="S54" i="1"/>
  <c r="S57" i="1"/>
  <c r="S92" i="1"/>
  <c r="S16" i="1"/>
  <c r="S5" i="1"/>
  <c r="S44" i="1"/>
  <c r="S101" i="1"/>
  <c r="S28" i="1"/>
  <c r="S58" i="1"/>
  <c r="S74" i="1"/>
  <c r="S69" i="1"/>
  <c r="S46" i="1"/>
  <c r="S19" i="1"/>
  <c r="S94" i="1"/>
  <c r="S83" i="1"/>
  <c r="S9" i="1"/>
  <c r="S85" i="1"/>
  <c r="S86" i="1"/>
  <c r="S12" i="1"/>
  <c r="S41" i="1"/>
  <c r="S25" i="1"/>
  <c r="S35" i="1"/>
  <c r="S42" i="1"/>
  <c r="S79" i="1"/>
  <c r="T98" i="1"/>
  <c r="U98" i="1" s="1"/>
  <c r="V98" i="1" s="1"/>
  <c r="X98" i="1" s="1"/>
  <c r="H110" i="4" l="1"/>
  <c r="H111" i="4"/>
  <c r="J110" i="4"/>
  <c r="J111" i="4"/>
  <c r="R110" i="4"/>
  <c r="R111" i="4"/>
  <c r="Q110" i="4"/>
  <c r="Q111" i="4"/>
  <c r="K110" i="4"/>
  <c r="K111" i="4"/>
  <c r="O3" i="4"/>
  <c r="N111" i="4"/>
  <c r="N110" i="4"/>
  <c r="T44" i="1"/>
  <c r="U44" i="1" s="1"/>
  <c r="V44" i="1" s="1"/>
  <c r="X44" i="1" s="1"/>
  <c r="W44" i="1"/>
  <c r="T48" i="1"/>
  <c r="U48" i="1" s="1"/>
  <c r="V48" i="1" s="1"/>
  <c r="X48" i="1" s="1"/>
  <c r="W48" i="1"/>
  <c r="T19" i="1"/>
  <c r="U19" i="1" s="1"/>
  <c r="V19" i="1" s="1"/>
  <c r="X19" i="1" s="1"/>
  <c r="W19" i="1"/>
  <c r="T46" i="1"/>
  <c r="U46" i="1" s="1"/>
  <c r="V46" i="1" s="1"/>
  <c r="X46" i="1" s="1"/>
  <c r="W46" i="1"/>
  <c r="T78" i="1"/>
  <c r="U78" i="1" s="1"/>
  <c r="V78" i="1" s="1"/>
  <c r="X78" i="1" s="1"/>
  <c r="W78" i="1"/>
  <c r="T63" i="1"/>
  <c r="U63" i="1" s="1"/>
  <c r="V63" i="1" s="1"/>
  <c r="X63" i="1" s="1"/>
  <c r="W63" i="1"/>
  <c r="T27" i="1"/>
  <c r="U27" i="1" s="1"/>
  <c r="V27" i="1" s="1"/>
  <c r="X27" i="1" s="1"/>
  <c r="W27" i="1"/>
  <c r="T5" i="1"/>
  <c r="U5" i="1" s="1"/>
  <c r="V5" i="1" s="1"/>
  <c r="X5" i="1" s="1"/>
  <c r="W5" i="1"/>
  <c r="T99" i="1"/>
  <c r="U99" i="1" s="1"/>
  <c r="V99" i="1" s="1"/>
  <c r="X99" i="1" s="1"/>
  <c r="W99" i="1"/>
  <c r="T4" i="1"/>
  <c r="U4" i="1" s="1"/>
  <c r="V4" i="1" s="1"/>
  <c r="X4" i="1" s="1"/>
  <c r="W4" i="1"/>
  <c r="T49" i="1"/>
  <c r="U49" i="1" s="1"/>
  <c r="V49" i="1" s="1"/>
  <c r="X49" i="1" s="1"/>
  <c r="W49" i="1"/>
  <c r="T18" i="1"/>
  <c r="U18" i="1" s="1"/>
  <c r="V18" i="1" s="1"/>
  <c r="X18" i="1" s="1"/>
  <c r="W18" i="1"/>
  <c r="T16" i="1"/>
  <c r="U16" i="1" s="1"/>
  <c r="V16" i="1" s="1"/>
  <c r="X16" i="1" s="1"/>
  <c r="W16" i="1"/>
  <c r="T34" i="1"/>
  <c r="U34" i="1" s="1"/>
  <c r="V34" i="1" s="1"/>
  <c r="X34" i="1" s="1"/>
  <c r="W34" i="1"/>
  <c r="T32" i="1"/>
  <c r="U32" i="1" s="1"/>
  <c r="V32" i="1" s="1"/>
  <c r="X32" i="1" s="1"/>
  <c r="W32" i="1"/>
  <c r="T8" i="1"/>
  <c r="U8" i="1" s="1"/>
  <c r="V8" i="1" s="1"/>
  <c r="X8" i="1" s="1"/>
  <c r="W8" i="1"/>
  <c r="T81" i="1"/>
  <c r="U81" i="1" s="1"/>
  <c r="V81" i="1" s="1"/>
  <c r="X81" i="1" s="1"/>
  <c r="W81" i="1"/>
  <c r="T69" i="1"/>
  <c r="U69" i="1" s="1"/>
  <c r="V69" i="1" s="1"/>
  <c r="X69" i="1" s="1"/>
  <c r="W69" i="1"/>
  <c r="T80" i="1"/>
  <c r="U80" i="1" s="1"/>
  <c r="V80" i="1" s="1"/>
  <c r="X80" i="1" s="1"/>
  <c r="W80" i="1"/>
  <c r="T89" i="1"/>
  <c r="U89" i="1" s="1"/>
  <c r="V89" i="1" s="1"/>
  <c r="X89" i="1" s="1"/>
  <c r="W89" i="1"/>
  <c r="T29" i="1"/>
  <c r="U29" i="1" s="1"/>
  <c r="V29" i="1" s="1"/>
  <c r="X29" i="1" s="1"/>
  <c r="W29" i="1"/>
  <c r="T31" i="1"/>
  <c r="U31" i="1" s="1"/>
  <c r="V31" i="1" s="1"/>
  <c r="X31" i="1" s="1"/>
  <c r="W31" i="1"/>
  <c r="T45" i="1"/>
  <c r="U45" i="1" s="1"/>
  <c r="V45" i="1" s="1"/>
  <c r="X45" i="1" s="1"/>
  <c r="W45" i="1"/>
  <c r="T11" i="1"/>
  <c r="U11" i="1" s="1"/>
  <c r="V11" i="1" s="1"/>
  <c r="X11" i="1" s="1"/>
  <c r="W11" i="1"/>
  <c r="T74" i="1"/>
  <c r="U74" i="1" s="1"/>
  <c r="V74" i="1" s="1"/>
  <c r="X74" i="1" s="1"/>
  <c r="W74" i="1"/>
  <c r="T10" i="1"/>
  <c r="U10" i="1" s="1"/>
  <c r="V10" i="1" s="1"/>
  <c r="X10" i="1" s="1"/>
  <c r="W10" i="1"/>
  <c r="T21" i="1"/>
  <c r="U21" i="1" s="1"/>
  <c r="V21" i="1" s="1"/>
  <c r="X21" i="1" s="1"/>
  <c r="W21" i="1"/>
  <c r="T20" i="1"/>
  <c r="U20" i="1" s="1"/>
  <c r="V20" i="1" s="1"/>
  <c r="X20" i="1" s="1"/>
  <c r="W20" i="1"/>
  <c r="T40" i="1"/>
  <c r="U40" i="1" s="1"/>
  <c r="V40" i="1" s="1"/>
  <c r="X40" i="1" s="1"/>
  <c r="W40" i="1"/>
  <c r="T58" i="1"/>
  <c r="U58" i="1" s="1"/>
  <c r="V58" i="1" s="1"/>
  <c r="X58" i="1" s="1"/>
  <c r="W58" i="1"/>
  <c r="T35" i="1"/>
  <c r="U35" i="1" s="1"/>
  <c r="V35" i="1" s="1"/>
  <c r="X35" i="1" s="1"/>
  <c r="W35" i="1"/>
  <c r="T76" i="1"/>
  <c r="U76" i="1" s="1"/>
  <c r="V76" i="1" s="1"/>
  <c r="X76" i="1" s="1"/>
  <c r="W76" i="1"/>
  <c r="T97" i="1"/>
  <c r="U97" i="1" s="1"/>
  <c r="V97" i="1" s="1"/>
  <c r="X97" i="1" s="1"/>
  <c r="W97" i="1"/>
  <c r="T25" i="1"/>
  <c r="U25" i="1" s="1"/>
  <c r="V25" i="1" s="1"/>
  <c r="X25" i="1" s="1"/>
  <c r="W25" i="1"/>
  <c r="T73" i="1"/>
  <c r="U73" i="1" s="1"/>
  <c r="V73" i="1" s="1"/>
  <c r="X73" i="1" s="1"/>
  <c r="W73" i="1"/>
  <c r="T36" i="1"/>
  <c r="U36" i="1" s="1"/>
  <c r="V36" i="1" s="1"/>
  <c r="X36" i="1" s="1"/>
  <c r="W36" i="1"/>
  <c r="T100" i="1"/>
  <c r="U100" i="1" s="1"/>
  <c r="V100" i="1" s="1"/>
  <c r="X100" i="1" s="1"/>
  <c r="W100" i="1"/>
  <c r="T17" i="1"/>
  <c r="U17" i="1" s="1"/>
  <c r="V17" i="1" s="1"/>
  <c r="X17" i="1" s="1"/>
  <c r="W17" i="1"/>
  <c r="T41" i="1"/>
  <c r="U41" i="1" s="1"/>
  <c r="V41" i="1" s="1"/>
  <c r="X41" i="1" s="1"/>
  <c r="W41" i="1"/>
  <c r="T105" i="1"/>
  <c r="U105" i="1" s="1"/>
  <c r="V105" i="1" s="1"/>
  <c r="X105" i="1" s="1"/>
  <c r="W105" i="1"/>
  <c r="T37" i="1"/>
  <c r="U37" i="1" s="1"/>
  <c r="V37" i="1" s="1"/>
  <c r="X37" i="1" s="1"/>
  <c r="W37" i="1"/>
  <c r="T67" i="1"/>
  <c r="U67" i="1" s="1"/>
  <c r="V67" i="1" s="1"/>
  <c r="X67" i="1" s="1"/>
  <c r="W67" i="1"/>
  <c r="T12" i="1"/>
  <c r="U12" i="1" s="1"/>
  <c r="V12" i="1" s="1"/>
  <c r="X12" i="1" s="1"/>
  <c r="W12" i="1"/>
  <c r="T92" i="1"/>
  <c r="U92" i="1" s="1"/>
  <c r="V92" i="1" s="1"/>
  <c r="X92" i="1" s="1"/>
  <c r="W92" i="1"/>
  <c r="T106" i="1"/>
  <c r="U106" i="1" s="1"/>
  <c r="V106" i="1" s="1"/>
  <c r="X106" i="1" s="1"/>
  <c r="W106" i="1"/>
  <c r="T107" i="1"/>
  <c r="U107" i="1" s="1"/>
  <c r="V107" i="1" s="1"/>
  <c r="X107" i="1" s="1"/>
  <c r="W107" i="1"/>
  <c r="Z98" i="1"/>
  <c r="AB98" i="1" s="1"/>
  <c r="Y98" i="1"/>
  <c r="T54" i="1"/>
  <c r="U54" i="1" s="1"/>
  <c r="V54" i="1" s="1"/>
  <c r="X54" i="1" s="1"/>
  <c r="W54" i="1"/>
  <c r="T52" i="1"/>
  <c r="U52" i="1" s="1"/>
  <c r="V52" i="1" s="1"/>
  <c r="X52" i="1" s="1"/>
  <c r="W52" i="1"/>
  <c r="T53" i="1"/>
  <c r="U53" i="1" s="1"/>
  <c r="V53" i="1" s="1"/>
  <c r="X53" i="1" s="1"/>
  <c r="W53" i="1"/>
  <c r="T79" i="1"/>
  <c r="U79" i="1" s="1"/>
  <c r="V79" i="1" s="1"/>
  <c r="X79" i="1" s="1"/>
  <c r="W79" i="1"/>
  <c r="T9" i="1"/>
  <c r="U9" i="1" s="1"/>
  <c r="V9" i="1" s="1"/>
  <c r="X9" i="1" s="1"/>
  <c r="W9" i="1"/>
  <c r="T28" i="1"/>
  <c r="U28" i="1" s="1"/>
  <c r="V28" i="1" s="1"/>
  <c r="X28" i="1" s="1"/>
  <c r="W28" i="1"/>
  <c r="T96" i="1"/>
  <c r="U96" i="1" s="1"/>
  <c r="V96" i="1" s="1"/>
  <c r="X96" i="1" s="1"/>
  <c r="W96" i="1"/>
  <c r="T108" i="1"/>
  <c r="U108" i="1" s="1"/>
  <c r="V108" i="1" s="1"/>
  <c r="X108" i="1" s="1"/>
  <c r="W108" i="1"/>
  <c r="T60" i="1"/>
  <c r="U60" i="1" s="1"/>
  <c r="V60" i="1" s="1"/>
  <c r="X60" i="1" s="1"/>
  <c r="W60" i="1"/>
  <c r="T61" i="1"/>
  <c r="U61" i="1" s="1"/>
  <c r="V61" i="1" s="1"/>
  <c r="X61" i="1" s="1"/>
  <c r="W61" i="1"/>
  <c r="T26" i="1"/>
  <c r="U26" i="1" s="1"/>
  <c r="V26" i="1" s="1"/>
  <c r="X26" i="1" s="1"/>
  <c r="W26" i="1"/>
  <c r="T68" i="1"/>
  <c r="U68" i="1" s="1"/>
  <c r="V68" i="1" s="1"/>
  <c r="X68" i="1" s="1"/>
  <c r="W68" i="1"/>
  <c r="T43" i="1"/>
  <c r="U43" i="1" s="1"/>
  <c r="V43" i="1" s="1"/>
  <c r="X43" i="1" s="1"/>
  <c r="W43" i="1"/>
  <c r="T104" i="1"/>
  <c r="U104" i="1" s="1"/>
  <c r="V104" i="1" s="1"/>
  <c r="X104" i="1" s="1"/>
  <c r="W104" i="1"/>
  <c r="T13" i="1"/>
  <c r="U13" i="1" s="1"/>
  <c r="V13" i="1" s="1"/>
  <c r="X13" i="1" s="1"/>
  <c r="W13" i="1"/>
  <c r="T24" i="1"/>
  <c r="U24" i="1" s="1"/>
  <c r="V24" i="1" s="1"/>
  <c r="X24" i="1" s="1"/>
  <c r="W24" i="1"/>
  <c r="T94" i="1"/>
  <c r="U94" i="1" s="1"/>
  <c r="V94" i="1" s="1"/>
  <c r="X94" i="1" s="1"/>
  <c r="W94" i="1"/>
  <c r="T84" i="1"/>
  <c r="U84" i="1" s="1"/>
  <c r="V84" i="1" s="1"/>
  <c r="X84" i="1" s="1"/>
  <c r="W84" i="1"/>
  <c r="T38" i="1"/>
  <c r="U38" i="1" s="1"/>
  <c r="V38" i="1" s="1"/>
  <c r="X38" i="1" s="1"/>
  <c r="W38" i="1"/>
  <c r="T64" i="1"/>
  <c r="U64" i="1" s="1"/>
  <c r="V64" i="1" s="1"/>
  <c r="X64" i="1" s="1"/>
  <c r="W64" i="1"/>
  <c r="T86" i="1"/>
  <c r="U86" i="1" s="1"/>
  <c r="V86" i="1" s="1"/>
  <c r="X86" i="1" s="1"/>
  <c r="W86" i="1"/>
  <c r="T57" i="1"/>
  <c r="U57" i="1" s="1"/>
  <c r="V57" i="1" s="1"/>
  <c r="X57" i="1" s="1"/>
  <c r="W57" i="1"/>
  <c r="T75" i="1"/>
  <c r="U75" i="1" s="1"/>
  <c r="V75" i="1" s="1"/>
  <c r="X75" i="1" s="1"/>
  <c r="W75" i="1"/>
  <c r="T93" i="1"/>
  <c r="U93" i="1" s="1"/>
  <c r="V93" i="1" s="1"/>
  <c r="X93" i="1" s="1"/>
  <c r="W93" i="1"/>
  <c r="T50" i="1"/>
  <c r="U50" i="1" s="1"/>
  <c r="V50" i="1" s="1"/>
  <c r="X50" i="1" s="1"/>
  <c r="W50" i="1"/>
  <c r="T72" i="1"/>
  <c r="U72" i="1" s="1"/>
  <c r="V72" i="1" s="1"/>
  <c r="X72" i="1" s="1"/>
  <c r="W72" i="1"/>
  <c r="T85" i="1"/>
  <c r="U85" i="1" s="1"/>
  <c r="V85" i="1" s="1"/>
  <c r="X85" i="1" s="1"/>
  <c r="W85" i="1"/>
  <c r="T90" i="1"/>
  <c r="U90" i="1" s="1"/>
  <c r="V90" i="1" s="1"/>
  <c r="X90" i="1" s="1"/>
  <c r="W90" i="1"/>
  <c r="T77" i="1"/>
  <c r="U77" i="1" s="1"/>
  <c r="V77" i="1" s="1"/>
  <c r="X77" i="1" s="1"/>
  <c r="W77" i="1"/>
  <c r="T15" i="1"/>
  <c r="U15" i="1" s="1"/>
  <c r="V15" i="1" s="1"/>
  <c r="X15" i="1" s="1"/>
  <c r="W15" i="1"/>
  <c r="T95" i="1"/>
  <c r="U95" i="1" s="1"/>
  <c r="V95" i="1" s="1"/>
  <c r="X95" i="1" s="1"/>
  <c r="W95" i="1"/>
  <c r="T42" i="1"/>
  <c r="U42" i="1" s="1"/>
  <c r="V42" i="1" s="1"/>
  <c r="X42" i="1" s="1"/>
  <c r="W42" i="1"/>
  <c r="T83" i="1"/>
  <c r="U83" i="1" s="1"/>
  <c r="V83" i="1" s="1"/>
  <c r="X83" i="1" s="1"/>
  <c r="W83" i="1"/>
  <c r="T101" i="1"/>
  <c r="U101" i="1" s="1"/>
  <c r="V101" i="1" s="1"/>
  <c r="X101" i="1" s="1"/>
  <c r="W101" i="1"/>
  <c r="T62" i="1"/>
  <c r="U62" i="1" s="1"/>
  <c r="V62" i="1" s="1"/>
  <c r="X62" i="1" s="1"/>
  <c r="W62" i="1"/>
  <c r="T66" i="1"/>
  <c r="U66" i="1" s="1"/>
  <c r="V66" i="1" s="1"/>
  <c r="X66" i="1" s="1"/>
  <c r="W66" i="1"/>
  <c r="T51" i="1"/>
  <c r="U51" i="1" s="1"/>
  <c r="V51" i="1" s="1"/>
  <c r="X51" i="1" s="1"/>
  <c r="W51" i="1"/>
  <c r="T91" i="1"/>
  <c r="U91" i="1" s="1"/>
  <c r="V91" i="1" s="1"/>
  <c r="X91" i="1" s="1"/>
  <c r="W91" i="1"/>
  <c r="T88" i="1"/>
  <c r="U88" i="1" s="1"/>
  <c r="V88" i="1" s="1"/>
  <c r="X88" i="1" s="1"/>
  <c r="W88" i="1"/>
  <c r="T33" i="1"/>
  <c r="U33" i="1" s="1"/>
  <c r="V33" i="1" s="1"/>
  <c r="X33" i="1" s="1"/>
  <c r="W33" i="1"/>
  <c r="T56" i="1"/>
  <c r="U56" i="1" s="1"/>
  <c r="V56" i="1" s="1"/>
  <c r="X56" i="1" s="1"/>
  <c r="W56" i="1"/>
  <c r="T59" i="1"/>
  <c r="U59" i="1" s="1"/>
  <c r="V59" i="1" s="1"/>
  <c r="X59" i="1" s="1"/>
  <c r="W59" i="1"/>
  <c r="T82" i="1"/>
  <c r="U82" i="1" s="1"/>
  <c r="V82" i="1" s="1"/>
  <c r="X82" i="1" s="1"/>
  <c r="W82" i="1"/>
  <c r="T65" i="1"/>
  <c r="U65" i="1" s="1"/>
  <c r="V65" i="1" s="1"/>
  <c r="X65" i="1" s="1"/>
  <c r="W65" i="1"/>
  <c r="R3" i="1"/>
  <c r="S3" i="1" s="1"/>
  <c r="N111" i="1"/>
  <c r="N110" i="1"/>
  <c r="O111" i="1"/>
  <c r="O110" i="1"/>
  <c r="P110" i="1"/>
  <c r="S39" i="1"/>
  <c r="S23" i="1"/>
  <c r="S55" i="1"/>
  <c r="S71" i="1"/>
  <c r="S47" i="1"/>
  <c r="S7" i="1"/>
  <c r="S30" i="1"/>
  <c r="S102" i="1"/>
  <c r="S103" i="1"/>
  <c r="S22" i="1"/>
  <c r="S6" i="1"/>
  <c r="S14" i="1"/>
  <c r="S70" i="1"/>
  <c r="S87" i="1"/>
  <c r="R114" i="4" l="1"/>
  <c r="R115" i="4" s="1"/>
  <c r="R116" i="4" s="1"/>
  <c r="Q114" i="4"/>
  <c r="Q115" i="4" s="1"/>
  <c r="Q116" i="4" s="1"/>
  <c r="N114" i="4"/>
  <c r="N115" i="4"/>
  <c r="N116" i="4" s="1"/>
  <c r="O110" i="4"/>
  <c r="O111" i="4"/>
  <c r="AG98" i="1"/>
  <c r="Y51" i="1"/>
  <c r="Z51" i="1"/>
  <c r="AB51" i="1" s="1"/>
  <c r="Z77" i="1"/>
  <c r="AB77" i="1" s="1"/>
  <c r="Y77" i="1"/>
  <c r="Y86" i="1"/>
  <c r="Z86" i="1"/>
  <c r="AB86" i="1" s="1"/>
  <c r="Y43" i="1"/>
  <c r="Z43" i="1"/>
  <c r="AB43" i="1" s="1"/>
  <c r="Z9" i="1"/>
  <c r="AB9" i="1" s="1"/>
  <c r="Y9" i="1"/>
  <c r="Y92" i="1"/>
  <c r="Z92" i="1"/>
  <c r="AB92" i="1" s="1"/>
  <c r="Z105" i="1"/>
  <c r="AB105" i="1" s="1"/>
  <c r="Y105" i="1"/>
  <c r="Y36" i="1"/>
  <c r="Z36" i="1"/>
  <c r="AB36" i="1" s="1"/>
  <c r="Y76" i="1"/>
  <c r="Z76" i="1"/>
  <c r="AB76" i="1" s="1"/>
  <c r="Y20" i="1"/>
  <c r="Z20" i="1"/>
  <c r="AB20" i="1" s="1"/>
  <c r="Y11" i="1"/>
  <c r="Z11" i="1"/>
  <c r="AB11" i="1" s="1"/>
  <c r="Z89" i="1"/>
  <c r="AB89" i="1" s="1"/>
  <c r="Y89" i="1"/>
  <c r="Y8" i="1"/>
  <c r="Z8" i="1"/>
  <c r="AB8" i="1" s="1"/>
  <c r="Z18" i="1"/>
  <c r="AB18" i="1" s="1"/>
  <c r="Y18" i="1"/>
  <c r="Z5" i="1"/>
  <c r="AB5" i="1" s="1"/>
  <c r="Y5" i="1"/>
  <c r="Z46" i="1"/>
  <c r="AB46" i="1" s="1"/>
  <c r="Y46" i="1"/>
  <c r="Y56" i="1"/>
  <c r="Z56" i="1"/>
  <c r="AB56" i="1" s="1"/>
  <c r="Y83" i="1"/>
  <c r="Z83" i="1"/>
  <c r="AB83" i="1" s="1"/>
  <c r="Z50" i="1"/>
  <c r="AB50" i="1" s="1"/>
  <c r="Y50" i="1"/>
  <c r="Y94" i="1"/>
  <c r="Z94" i="1"/>
  <c r="AB94" i="1" s="1"/>
  <c r="Y60" i="1"/>
  <c r="Z60" i="1"/>
  <c r="AB60" i="1" s="1"/>
  <c r="Y54" i="1"/>
  <c r="Z54" i="1"/>
  <c r="AB54" i="1" s="1"/>
  <c r="T87" i="1"/>
  <c r="U87" i="1" s="1"/>
  <c r="V87" i="1" s="1"/>
  <c r="X87" i="1" s="1"/>
  <c r="W87" i="1"/>
  <c r="T7" i="1"/>
  <c r="U7" i="1" s="1"/>
  <c r="V7" i="1" s="1"/>
  <c r="X7" i="1" s="1"/>
  <c r="W7" i="1"/>
  <c r="T70" i="1"/>
  <c r="U70" i="1" s="1"/>
  <c r="V70" i="1" s="1"/>
  <c r="X70" i="1" s="1"/>
  <c r="W70" i="1"/>
  <c r="T47" i="1"/>
  <c r="U47" i="1" s="1"/>
  <c r="V47" i="1" s="1"/>
  <c r="X47" i="1" s="1"/>
  <c r="W47" i="1"/>
  <c r="R111" i="1"/>
  <c r="AH98" i="1"/>
  <c r="Z65" i="1"/>
  <c r="AB65" i="1" s="1"/>
  <c r="Y65" i="1"/>
  <c r="Z33" i="1"/>
  <c r="AB33" i="1" s="1"/>
  <c r="Y33" i="1"/>
  <c r="Z66" i="1"/>
  <c r="AB66" i="1" s="1"/>
  <c r="Y66" i="1"/>
  <c r="Y42" i="1"/>
  <c r="Z42" i="1"/>
  <c r="AB42" i="1" s="1"/>
  <c r="Z90" i="1"/>
  <c r="AB90" i="1" s="1"/>
  <c r="Y90" i="1"/>
  <c r="Z93" i="1"/>
  <c r="AB93" i="1" s="1"/>
  <c r="Y93" i="1"/>
  <c r="Y64" i="1"/>
  <c r="Z64" i="1"/>
  <c r="AB64" i="1" s="1"/>
  <c r="Y24" i="1"/>
  <c r="Z24" i="1"/>
  <c r="AB24" i="1" s="1"/>
  <c r="Y68" i="1"/>
  <c r="Z68" i="1"/>
  <c r="AB68" i="1" s="1"/>
  <c r="Y108" i="1"/>
  <c r="Z108" i="1"/>
  <c r="AB108" i="1" s="1"/>
  <c r="Y79" i="1"/>
  <c r="Z79" i="1"/>
  <c r="AB79" i="1" s="1"/>
  <c r="Y12" i="1"/>
  <c r="Z12" i="1"/>
  <c r="AB12" i="1" s="1"/>
  <c r="Z41" i="1"/>
  <c r="AB41" i="1" s="1"/>
  <c r="Y41" i="1"/>
  <c r="Z73" i="1"/>
  <c r="AB73" i="1" s="1"/>
  <c r="Y73" i="1"/>
  <c r="Y35" i="1"/>
  <c r="Z35" i="1"/>
  <c r="AB35" i="1" s="1"/>
  <c r="Z21" i="1"/>
  <c r="AB21" i="1" s="1"/>
  <c r="Y21" i="1"/>
  <c r="Z45" i="1"/>
  <c r="AB45" i="1" s="1"/>
  <c r="Y45" i="1"/>
  <c r="Y80" i="1"/>
  <c r="Z80" i="1"/>
  <c r="AB80" i="1" s="1"/>
  <c r="Y32" i="1"/>
  <c r="Z32" i="1"/>
  <c r="AB32" i="1" s="1"/>
  <c r="Z49" i="1"/>
  <c r="AB49" i="1" s="1"/>
  <c r="Y49" i="1"/>
  <c r="Y27" i="1"/>
  <c r="Z27" i="1"/>
  <c r="AB27" i="1" s="1"/>
  <c r="Y19" i="1"/>
  <c r="Z19" i="1"/>
  <c r="AB19" i="1" s="1"/>
  <c r="AJ98" i="1"/>
  <c r="Y95" i="1"/>
  <c r="Z95" i="1"/>
  <c r="AB95" i="1" s="1"/>
  <c r="Z13" i="1"/>
  <c r="AB13" i="1" s="1"/>
  <c r="Y13" i="1"/>
  <c r="Z26" i="1"/>
  <c r="AB26" i="1" s="1"/>
  <c r="Y26" i="1"/>
  <c r="Y96" i="1"/>
  <c r="Z96" i="1"/>
  <c r="AB96" i="1" s="1"/>
  <c r="Z53" i="1"/>
  <c r="AB53" i="1" s="1"/>
  <c r="Y53" i="1"/>
  <c r="T71" i="1"/>
  <c r="U71" i="1" s="1"/>
  <c r="V71" i="1" s="1"/>
  <c r="X71" i="1" s="1"/>
  <c r="W71" i="1"/>
  <c r="T6" i="1"/>
  <c r="U6" i="1" s="1"/>
  <c r="V6" i="1" s="1"/>
  <c r="X6" i="1" s="1"/>
  <c r="W6" i="1"/>
  <c r="Z82" i="1"/>
  <c r="AB82" i="1" s="1"/>
  <c r="Y82" i="1"/>
  <c r="Z85" i="1"/>
  <c r="AB85" i="1" s="1"/>
  <c r="Y85" i="1"/>
  <c r="T22" i="1"/>
  <c r="U22" i="1" s="1"/>
  <c r="V22" i="1" s="1"/>
  <c r="X22" i="1" s="1"/>
  <c r="W22" i="1"/>
  <c r="T23" i="1"/>
  <c r="U23" i="1" s="1"/>
  <c r="V23" i="1" s="1"/>
  <c r="X23" i="1" s="1"/>
  <c r="W23" i="1"/>
  <c r="T3" i="1"/>
  <c r="U3" i="1" s="1"/>
  <c r="W3" i="1"/>
  <c r="Y107" i="1"/>
  <c r="Z107" i="1"/>
  <c r="AB107" i="1" s="1"/>
  <c r="Y67" i="1"/>
  <c r="Z67" i="1"/>
  <c r="AB67" i="1" s="1"/>
  <c r="Z17" i="1"/>
  <c r="AB17" i="1" s="1"/>
  <c r="Y17" i="1"/>
  <c r="Z25" i="1"/>
  <c r="AB25" i="1" s="1"/>
  <c r="Y25" i="1"/>
  <c r="Z58" i="1"/>
  <c r="AB58" i="1" s="1"/>
  <c r="Y58" i="1"/>
  <c r="Y10" i="1"/>
  <c r="Z10" i="1"/>
  <c r="AB10" i="1" s="1"/>
  <c r="Y31" i="1"/>
  <c r="Z31" i="1"/>
  <c r="AB31" i="1" s="1"/>
  <c r="Z69" i="1"/>
  <c r="AB69" i="1" s="1"/>
  <c r="Y69" i="1"/>
  <c r="Z34" i="1"/>
  <c r="AB34" i="1" s="1"/>
  <c r="Y34" i="1"/>
  <c r="Y4" i="1"/>
  <c r="Z4" i="1"/>
  <c r="AB4" i="1" s="1"/>
  <c r="Y63" i="1"/>
  <c r="Z63" i="1"/>
  <c r="AB63" i="1" s="1"/>
  <c r="Y48" i="1"/>
  <c r="Z48" i="1"/>
  <c r="AB48" i="1" s="1"/>
  <c r="T55" i="1"/>
  <c r="U55" i="1" s="1"/>
  <c r="V55" i="1" s="1"/>
  <c r="X55" i="1" s="1"/>
  <c r="W55" i="1"/>
  <c r="Y62" i="1"/>
  <c r="Z62" i="1"/>
  <c r="AB62" i="1" s="1"/>
  <c r="Y75" i="1"/>
  <c r="Z75" i="1"/>
  <c r="AB75" i="1" s="1"/>
  <c r="T103" i="1"/>
  <c r="U103" i="1" s="1"/>
  <c r="V103" i="1" s="1"/>
  <c r="X103" i="1" s="1"/>
  <c r="W103" i="1"/>
  <c r="T39" i="1"/>
  <c r="U39" i="1" s="1"/>
  <c r="V39" i="1" s="1"/>
  <c r="X39" i="1" s="1"/>
  <c r="W39" i="1"/>
  <c r="Y59" i="1"/>
  <c r="Z59" i="1"/>
  <c r="AB59" i="1" s="1"/>
  <c r="Y91" i="1"/>
  <c r="Z91" i="1"/>
  <c r="AB91" i="1" s="1"/>
  <c r="Z101" i="1"/>
  <c r="AB101" i="1" s="1"/>
  <c r="Y101" i="1"/>
  <c r="AB15" i="1"/>
  <c r="Y15" i="1"/>
  <c r="Z15" i="1"/>
  <c r="Y72" i="1"/>
  <c r="Z72" i="1"/>
  <c r="AB72" i="1" s="1"/>
  <c r="Z57" i="1"/>
  <c r="AB57" i="1" s="1"/>
  <c r="Y57" i="1"/>
  <c r="Y84" i="1"/>
  <c r="Z84" i="1"/>
  <c r="AB84" i="1" s="1"/>
  <c r="Y104" i="1"/>
  <c r="Z104" i="1"/>
  <c r="AB104" i="1" s="1"/>
  <c r="Z61" i="1"/>
  <c r="AB61" i="1" s="1"/>
  <c r="Y61" i="1"/>
  <c r="Y28" i="1"/>
  <c r="Z28" i="1"/>
  <c r="AB28" i="1" s="1"/>
  <c r="Y52" i="1"/>
  <c r="Z52" i="1"/>
  <c r="AB52" i="1" s="1"/>
  <c r="T30" i="1"/>
  <c r="U30" i="1" s="1"/>
  <c r="V30" i="1" s="1"/>
  <c r="X30" i="1" s="1"/>
  <c r="W30" i="1"/>
  <c r="T14" i="1"/>
  <c r="U14" i="1" s="1"/>
  <c r="V14" i="1" s="1"/>
  <c r="X14" i="1" s="1"/>
  <c r="W14" i="1"/>
  <c r="Y88" i="1"/>
  <c r="Z88" i="1"/>
  <c r="AB88" i="1" s="1"/>
  <c r="Z38" i="1"/>
  <c r="AB38" i="1" s="1"/>
  <c r="Y38" i="1"/>
  <c r="T102" i="1"/>
  <c r="U102" i="1" s="1"/>
  <c r="V102" i="1" s="1"/>
  <c r="X102" i="1" s="1"/>
  <c r="W102" i="1"/>
  <c r="Y106" i="1"/>
  <c r="Z106" i="1"/>
  <c r="AB106" i="1" s="1"/>
  <c r="Z37" i="1"/>
  <c r="AB37" i="1" s="1"/>
  <c r="Y37" i="1"/>
  <c r="Y100" i="1"/>
  <c r="Z100" i="1"/>
  <c r="AB100" i="1" s="1"/>
  <c r="Z97" i="1"/>
  <c r="AB97" i="1" s="1"/>
  <c r="Y97" i="1"/>
  <c r="Y40" i="1"/>
  <c r="Z40" i="1"/>
  <c r="AB40" i="1" s="1"/>
  <c r="Z74" i="1"/>
  <c r="AB74" i="1" s="1"/>
  <c r="Y74" i="1"/>
  <c r="Z29" i="1"/>
  <c r="AB29" i="1" s="1"/>
  <c r="Y29" i="1"/>
  <c r="Z81" i="1"/>
  <c r="AB81" i="1" s="1"/>
  <c r="Y81" i="1"/>
  <c r="Y16" i="1"/>
  <c r="Z16" i="1"/>
  <c r="AB16" i="1" s="1"/>
  <c r="Y99" i="1"/>
  <c r="Z99" i="1"/>
  <c r="AB99" i="1" s="1"/>
  <c r="Y78" i="1"/>
  <c r="Z78" i="1"/>
  <c r="AB78" i="1" s="1"/>
  <c r="Y44" i="1"/>
  <c r="Z44" i="1"/>
  <c r="AB44" i="1" s="1"/>
  <c r="AH90" i="1"/>
  <c r="AG90" i="1"/>
  <c r="AG86" i="1"/>
  <c r="AJ4" i="1"/>
  <c r="AH4" i="1"/>
  <c r="AG10" i="1"/>
  <c r="AG81" i="1"/>
  <c r="AH12" i="1"/>
  <c r="AJ76" i="1"/>
  <c r="AG21" i="1"/>
  <c r="AH21" i="1"/>
  <c r="AG44" i="1"/>
  <c r="AH62" i="1"/>
  <c r="AG11" i="1"/>
  <c r="AJ11" i="1"/>
  <c r="AH49" i="1"/>
  <c r="AG49" i="1"/>
  <c r="AG13" i="1"/>
  <c r="AJ104" i="1"/>
  <c r="AG65" i="1"/>
  <c r="AG105" i="1"/>
  <c r="AH105" i="1"/>
  <c r="AJ105" i="1"/>
  <c r="AG97" i="1"/>
  <c r="AH97" i="1"/>
  <c r="AJ97" i="1"/>
  <c r="AH46" i="1"/>
  <c r="R110" i="1"/>
  <c r="P111" i="1"/>
  <c r="Q111" i="1"/>
  <c r="Q110" i="1"/>
  <c r="O114" i="4" l="1"/>
  <c r="O115" i="4" s="1"/>
  <c r="O116" i="4" s="1"/>
  <c r="AG62" i="1"/>
  <c r="AH16" i="1"/>
  <c r="AG67" i="1"/>
  <c r="AG18" i="1"/>
  <c r="AG104" i="1"/>
  <c r="AH41" i="1"/>
  <c r="AG40" i="1"/>
  <c r="AG61" i="1"/>
  <c r="AJ59" i="1"/>
  <c r="AH59" i="1"/>
  <c r="AJ81" i="1"/>
  <c r="AH40" i="1"/>
  <c r="AG76" i="1"/>
  <c r="AJ93" i="1"/>
  <c r="AH51" i="1"/>
  <c r="AG72" i="1"/>
  <c r="AJ65" i="1"/>
  <c r="AG68" i="1"/>
  <c r="AJ10" i="1"/>
  <c r="AH45" i="1"/>
  <c r="AH61" i="1"/>
  <c r="AJ72" i="1"/>
  <c r="AG41" i="1"/>
  <c r="AG45" i="1"/>
  <c r="AJ44" i="1"/>
  <c r="AJ8" i="1"/>
  <c r="AG91" i="1"/>
  <c r="AJ56" i="1"/>
  <c r="AJ36" i="1"/>
  <c r="AG56" i="1"/>
  <c r="AG82" i="1"/>
  <c r="AH108" i="1"/>
  <c r="AH26" i="1"/>
  <c r="AG31" i="1"/>
  <c r="AG59" i="1"/>
  <c r="AH76" i="1"/>
  <c r="AH82" i="1"/>
  <c r="AJ61" i="1"/>
  <c r="AH31" i="1"/>
  <c r="AJ51" i="1"/>
  <c r="AG33" i="1"/>
  <c r="AH44" i="1"/>
  <c r="AJ41" i="1"/>
  <c r="AG60" i="1"/>
  <c r="AJ63" i="1"/>
  <c r="AH48" i="1"/>
  <c r="AH101" i="1"/>
  <c r="AJ25" i="1"/>
  <c r="AH20" i="1"/>
  <c r="AJ82" i="1"/>
  <c r="AG101" i="1"/>
  <c r="AJ60" i="1"/>
  <c r="AJ9" i="1"/>
  <c r="AG17" i="1"/>
  <c r="AG94" i="1"/>
  <c r="AJ68" i="1"/>
  <c r="AH27" i="1"/>
  <c r="AG26" i="1"/>
  <c r="AG63" i="1"/>
  <c r="AG106" i="1"/>
  <c r="AH94" i="1"/>
  <c r="AJ73" i="1"/>
  <c r="AJ62" i="1"/>
  <c r="AG27" i="1"/>
  <c r="AH77" i="1"/>
  <c r="AH37" i="1"/>
  <c r="AJ45" i="1"/>
  <c r="AJ19" i="1"/>
  <c r="AG9" i="1"/>
  <c r="AH17" i="1"/>
  <c r="AH65" i="1"/>
  <c r="AH104" i="1"/>
  <c r="AJ94" i="1"/>
  <c r="AJ80" i="1"/>
  <c r="AG77" i="1"/>
  <c r="AJ26" i="1"/>
  <c r="AH10" i="1"/>
  <c r="AJ67" i="1"/>
  <c r="AG19" i="1"/>
  <c r="AH88" i="1"/>
  <c r="AG75" i="1"/>
  <c r="AH57" i="1"/>
  <c r="AG108" i="1"/>
  <c r="AJ69" i="1"/>
  <c r="AH60" i="1"/>
  <c r="AJ79" i="1"/>
  <c r="AG88" i="1"/>
  <c r="AJ88" i="1"/>
  <c r="AJ64" i="1"/>
  <c r="AH28" i="1"/>
  <c r="AG28" i="1"/>
  <c r="AH25" i="1"/>
  <c r="AH81" i="1"/>
  <c r="AG37" i="1"/>
  <c r="AH63" i="1"/>
  <c r="AH92" i="1"/>
  <c r="AH35" i="1"/>
  <c r="AH78" i="1"/>
  <c r="AH66" i="1"/>
  <c r="AJ18" i="1"/>
  <c r="AG20" i="1"/>
  <c r="AG48" i="1"/>
  <c r="AJ48" i="1"/>
  <c r="AG78" i="1"/>
  <c r="AH96" i="1"/>
  <c r="AG35" i="1"/>
  <c r="AH52" i="1"/>
  <c r="AH85" i="1"/>
  <c r="AH32" i="1"/>
  <c r="AJ92" i="1"/>
  <c r="AJ83" i="1"/>
  <c r="AG34" i="1"/>
  <c r="AJ35" i="1"/>
  <c r="AJ40" i="1"/>
  <c r="AG100" i="1"/>
  <c r="AH93" i="1"/>
  <c r="AJ27" i="1"/>
  <c r="AG16" i="1"/>
  <c r="AG25" i="1"/>
  <c r="AH69" i="1"/>
  <c r="AJ96" i="1"/>
  <c r="AJ66" i="1"/>
  <c r="AG66" i="1"/>
  <c r="AJ28" i="1"/>
  <c r="AH106" i="1"/>
  <c r="AH73" i="1"/>
  <c r="AJ75" i="1"/>
  <c r="AG51" i="1"/>
  <c r="AJ91" i="1"/>
  <c r="AG69" i="1"/>
  <c r="AG79" i="1"/>
  <c r="AG92" i="1"/>
  <c r="AJ20" i="1"/>
  <c r="AG32" i="1"/>
  <c r="AG52" i="1"/>
  <c r="AJ78" i="1"/>
  <c r="AG96" i="1"/>
  <c r="AJ57" i="1"/>
  <c r="AH83" i="1"/>
  <c r="AJ33" i="1"/>
  <c r="AG73" i="1"/>
  <c r="AH64" i="1"/>
  <c r="AH8" i="1"/>
  <c r="AG93" i="1"/>
  <c r="AH80" i="1"/>
  <c r="AJ108" i="1"/>
  <c r="AJ77" i="1"/>
  <c r="AJ16" i="1"/>
  <c r="AJ34" i="1"/>
  <c r="AJ37" i="1"/>
  <c r="AH36" i="1"/>
  <c r="AJ106" i="1"/>
  <c r="AH9" i="1"/>
  <c r="AJ17" i="1"/>
  <c r="AH72" i="1"/>
  <c r="AG57" i="1"/>
  <c r="AH56" i="1"/>
  <c r="AJ31" i="1"/>
  <c r="AG83" i="1"/>
  <c r="AH68" i="1"/>
  <c r="AG64" i="1"/>
  <c r="AH79" i="1"/>
  <c r="AG8" i="1"/>
  <c r="AH75" i="1"/>
  <c r="AH33" i="1"/>
  <c r="AH58" i="1"/>
  <c r="AG80" i="1"/>
  <c r="AJ101" i="1"/>
  <c r="AH91" i="1"/>
  <c r="AG36" i="1"/>
  <c r="AH19" i="1"/>
  <c r="AH18" i="1"/>
  <c r="AJ90" i="1"/>
  <c r="AJ107" i="1"/>
  <c r="AH107" i="1"/>
  <c r="AG107" i="1"/>
  <c r="AG50" i="1"/>
  <c r="AJ50" i="1"/>
  <c r="AH50" i="1"/>
  <c r="AG38" i="1"/>
  <c r="AH38" i="1"/>
  <c r="AJ38" i="1"/>
  <c r="AG99" i="1"/>
  <c r="AH99" i="1"/>
  <c r="AJ99" i="1"/>
  <c r="AJ74" i="1"/>
  <c r="AH74" i="1"/>
  <c r="AG74" i="1"/>
  <c r="Z30" i="1"/>
  <c r="AB30" i="1" s="1"/>
  <c r="Y30" i="1"/>
  <c r="AG46" i="1"/>
  <c r="AH15" i="1"/>
  <c r="AJ15" i="1"/>
  <c r="AG15" i="1"/>
  <c r="Y39" i="1"/>
  <c r="Z39" i="1"/>
  <c r="AB39" i="1" s="1"/>
  <c r="Y55" i="1"/>
  <c r="Z55" i="1"/>
  <c r="AB55" i="1" s="1"/>
  <c r="Y87" i="1"/>
  <c r="Z87" i="1"/>
  <c r="AB87" i="1" s="1"/>
  <c r="AJ89" i="1"/>
  <c r="AH89" i="1"/>
  <c r="AJ100" i="1"/>
  <c r="AJ32" i="1"/>
  <c r="AG85" i="1"/>
  <c r="AG58" i="1"/>
  <c r="AJ24" i="1"/>
  <c r="AJ12" i="1"/>
  <c r="AH54" i="1"/>
  <c r="AH86" i="1"/>
  <c r="Y103" i="1"/>
  <c r="Z103" i="1"/>
  <c r="AB103" i="1" s="1"/>
  <c r="Y47" i="1"/>
  <c r="Z47" i="1"/>
  <c r="AB47" i="1" s="1"/>
  <c r="Z22" i="1"/>
  <c r="AB22" i="1" s="1"/>
  <c r="Y22" i="1"/>
  <c r="AG12" i="1"/>
  <c r="AG89" i="1"/>
  <c r="AH29" i="1"/>
  <c r="AJ52" i="1"/>
  <c r="AJ53" i="1"/>
  <c r="AH84" i="1"/>
  <c r="AJ5" i="1"/>
  <c r="AH24" i="1"/>
  <c r="AJ43" i="1"/>
  <c r="AG29" i="1"/>
  <c r="AJ13" i="1"/>
  <c r="AJ58" i="1"/>
  <c r="AH53" i="1"/>
  <c r="AG84" i="1"/>
  <c r="AG42" i="1"/>
  <c r="AH43" i="1"/>
  <c r="AG54" i="1"/>
  <c r="AJ86" i="1"/>
  <c r="AH95" i="1"/>
  <c r="Y70" i="1"/>
  <c r="Z70" i="1"/>
  <c r="AB70" i="1" s="1"/>
  <c r="Y71" i="1"/>
  <c r="Z71" i="1"/>
  <c r="AB71" i="1" s="1"/>
  <c r="AJ42" i="1"/>
  <c r="AG24" i="1"/>
  <c r="AJ49" i="1"/>
  <c r="AG53" i="1"/>
  <c r="AG43" i="1"/>
  <c r="AJ54" i="1"/>
  <c r="AH5" i="1"/>
  <c r="AJ95" i="1"/>
  <c r="Z14" i="1"/>
  <c r="AB14" i="1" s="1"/>
  <c r="Y14" i="1"/>
  <c r="Y23" i="1"/>
  <c r="Z23" i="1"/>
  <c r="AB23" i="1" s="1"/>
  <c r="Z6" i="1"/>
  <c r="AB6" i="1" s="1"/>
  <c r="Y6" i="1"/>
  <c r="AJ46" i="1"/>
  <c r="AJ29" i="1"/>
  <c r="AH100" i="1"/>
  <c r="AH13" i="1"/>
  <c r="AJ85" i="1"/>
  <c r="AH11" i="1"/>
  <c r="AJ21" i="1"/>
  <c r="AJ84" i="1"/>
  <c r="AH42" i="1"/>
  <c r="AH34" i="1"/>
  <c r="AG4" i="1"/>
  <c r="AH67" i="1"/>
  <c r="AG5" i="1"/>
  <c r="AG95" i="1"/>
  <c r="Z102" i="1"/>
  <c r="AB102" i="1" s="1"/>
  <c r="Y102" i="1"/>
  <c r="Y7" i="1"/>
  <c r="Z7" i="1"/>
  <c r="AB7" i="1" s="1"/>
  <c r="S111" i="1"/>
  <c r="S110" i="1"/>
  <c r="AH70" i="1" l="1"/>
  <c r="AH23" i="1"/>
  <c r="AH55" i="1"/>
  <c r="AJ103" i="1"/>
  <c r="AG103" i="1"/>
  <c r="AG23" i="1"/>
  <c r="AG87" i="1"/>
  <c r="AH22" i="1"/>
  <c r="AH7" i="1"/>
  <c r="AG7" i="1"/>
  <c r="AG22" i="1"/>
  <c r="AH39" i="1"/>
  <c r="AG30" i="1"/>
  <c r="AH102" i="1"/>
  <c r="AG39" i="1"/>
  <c r="AH71" i="1"/>
  <c r="AJ30" i="1"/>
  <c r="AG102" i="1"/>
  <c r="AJ39" i="1"/>
  <c r="AJ47" i="1"/>
  <c r="AH6" i="1"/>
  <c r="AJ55" i="1"/>
  <c r="AJ102" i="1"/>
  <c r="AJ71" i="1"/>
  <c r="AH14" i="1"/>
  <c r="AG14" i="1"/>
  <c r="AG71" i="1"/>
  <c r="AG70" i="1"/>
  <c r="AJ22" i="1"/>
  <c r="AH47" i="1"/>
  <c r="AH87" i="1"/>
  <c r="AJ70" i="1"/>
  <c r="AJ23" i="1"/>
  <c r="AG6" i="1"/>
  <c r="AG55" i="1"/>
  <c r="AJ14" i="1"/>
  <c r="AG47" i="1"/>
  <c r="AJ7" i="1"/>
  <c r="AJ6" i="1"/>
  <c r="AH30" i="1"/>
  <c r="AJ87" i="1"/>
  <c r="AH103" i="1"/>
  <c r="U111" i="1"/>
  <c r="U110" i="1"/>
  <c r="T111" i="1"/>
  <c r="T110" i="1"/>
  <c r="V3" i="1"/>
  <c r="X3" i="1" s="1"/>
  <c r="Z3" i="1" l="1"/>
  <c r="AB3" i="1" s="1"/>
  <c r="Y3" i="1"/>
  <c r="E3" i="3" s="1" a="1"/>
  <c r="V111" i="1"/>
  <c r="V110" i="1"/>
  <c r="W6" i="3" l="1"/>
  <c r="W10" i="3"/>
  <c r="W14" i="3"/>
  <c r="W18" i="3"/>
  <c r="W22" i="3"/>
  <c r="W26" i="3"/>
  <c r="W30" i="3"/>
  <c r="W34" i="3"/>
  <c r="W38" i="3"/>
  <c r="W42" i="3"/>
  <c r="W46" i="3"/>
  <c r="W50" i="3"/>
  <c r="W54" i="3"/>
  <c r="W58" i="3"/>
  <c r="W62" i="3"/>
  <c r="W66" i="3"/>
  <c r="W70" i="3"/>
  <c r="W74" i="3"/>
  <c r="W78" i="3"/>
  <c r="W82" i="3"/>
  <c r="W86" i="3"/>
  <c r="W90" i="3"/>
  <c r="W94" i="3"/>
  <c r="W98" i="3"/>
  <c r="W102" i="3"/>
  <c r="W106" i="3"/>
  <c r="X6" i="3"/>
  <c r="X10" i="3"/>
  <c r="X14" i="3"/>
  <c r="X18" i="3"/>
  <c r="X22" i="3"/>
  <c r="X26" i="3"/>
  <c r="X30" i="3"/>
  <c r="X34" i="3"/>
  <c r="X38" i="3"/>
  <c r="X42" i="3"/>
  <c r="X46" i="3"/>
  <c r="X50" i="3"/>
  <c r="X54" i="3"/>
  <c r="X58" i="3"/>
  <c r="X62" i="3"/>
  <c r="X66" i="3"/>
  <c r="X70" i="3"/>
  <c r="X74" i="3"/>
  <c r="X78" i="3"/>
  <c r="X82" i="3"/>
  <c r="X86" i="3"/>
  <c r="X90" i="3"/>
  <c r="X94" i="3"/>
  <c r="X98" i="3"/>
  <c r="X102" i="3"/>
  <c r="X106" i="3"/>
  <c r="W7" i="3"/>
  <c r="W11" i="3"/>
  <c r="W19" i="3"/>
  <c r="W23" i="3"/>
  <c r="W27" i="3"/>
  <c r="W31" i="3"/>
  <c r="W35" i="3"/>
  <c r="W39" i="3"/>
  <c r="W47" i="3"/>
  <c r="W51" i="3"/>
  <c r="W55" i="3"/>
  <c r="W63" i="3"/>
  <c r="W75" i="3"/>
  <c r="W83" i="3"/>
  <c r="W91" i="3"/>
  <c r="W99" i="3"/>
  <c r="W107" i="3"/>
  <c r="X7" i="3"/>
  <c r="X19" i="3"/>
  <c r="X23" i="3"/>
  <c r="X35" i="3"/>
  <c r="X43" i="3"/>
  <c r="X55" i="3"/>
  <c r="X63" i="3"/>
  <c r="X71" i="3"/>
  <c r="X83" i="3"/>
  <c r="X95" i="3"/>
  <c r="X107" i="3"/>
  <c r="W12" i="3"/>
  <c r="W36" i="3"/>
  <c r="W48" i="3"/>
  <c r="W60" i="3"/>
  <c r="W67" i="3"/>
  <c r="W79" i="3"/>
  <c r="W95" i="3"/>
  <c r="X15" i="3"/>
  <c r="X27" i="3"/>
  <c r="X47" i="3"/>
  <c r="X59" i="3"/>
  <c r="X75" i="3"/>
  <c r="X91" i="3"/>
  <c r="X103" i="3"/>
  <c r="W8" i="3"/>
  <c r="W24" i="3"/>
  <c r="W32" i="3"/>
  <c r="W44" i="3"/>
  <c r="W56" i="3"/>
  <c r="W68" i="3"/>
  <c r="W15" i="3"/>
  <c r="W43" i="3"/>
  <c r="W59" i="3"/>
  <c r="W71" i="3"/>
  <c r="W87" i="3"/>
  <c r="W103" i="3"/>
  <c r="X11" i="3"/>
  <c r="X31" i="3"/>
  <c r="X39" i="3"/>
  <c r="X51" i="3"/>
  <c r="X67" i="3"/>
  <c r="X79" i="3"/>
  <c r="X87" i="3"/>
  <c r="X99" i="3"/>
  <c r="W16" i="3"/>
  <c r="W20" i="3"/>
  <c r="W28" i="3"/>
  <c r="W40" i="3"/>
  <c r="W52" i="3"/>
  <c r="W64" i="3"/>
  <c r="W4" i="3"/>
  <c r="X4" i="3"/>
  <c r="W5" i="3"/>
  <c r="X5" i="3"/>
  <c r="W17" i="3"/>
  <c r="X28" i="3"/>
  <c r="X37" i="3"/>
  <c r="W49" i="3"/>
  <c r="X60" i="3"/>
  <c r="X69" i="3"/>
  <c r="X77" i="3"/>
  <c r="X85" i="3"/>
  <c r="X93" i="3"/>
  <c r="X101" i="3"/>
  <c r="X8" i="3"/>
  <c r="X17" i="3"/>
  <c r="W29" i="3"/>
  <c r="X40" i="3"/>
  <c r="X49" i="3"/>
  <c r="W61" i="3"/>
  <c r="W72" i="3"/>
  <c r="W80" i="3"/>
  <c r="W88" i="3"/>
  <c r="W96" i="3"/>
  <c r="W104" i="3"/>
  <c r="W9" i="3"/>
  <c r="X20" i="3"/>
  <c r="X29" i="3"/>
  <c r="W41" i="3"/>
  <c r="X52" i="3"/>
  <c r="X61" i="3"/>
  <c r="X72" i="3"/>
  <c r="X80" i="3"/>
  <c r="X88" i="3"/>
  <c r="X96" i="3"/>
  <c r="X104" i="3"/>
  <c r="X9" i="3"/>
  <c r="W21" i="3"/>
  <c r="X32" i="3"/>
  <c r="X41" i="3"/>
  <c r="W53" i="3"/>
  <c r="X64" i="3"/>
  <c r="W73" i="3"/>
  <c r="W81" i="3"/>
  <c r="W89" i="3"/>
  <c r="W97" i="3"/>
  <c r="W105" i="3"/>
  <c r="X12" i="3"/>
  <c r="X21" i="3"/>
  <c r="W33" i="3"/>
  <c r="X44" i="3"/>
  <c r="X53" i="3"/>
  <c r="W65" i="3"/>
  <c r="X73" i="3"/>
  <c r="X81" i="3"/>
  <c r="X89" i="3"/>
  <c r="X97" i="3"/>
  <c r="X105" i="3"/>
  <c r="W13" i="3"/>
  <c r="X24" i="3"/>
  <c r="X33" i="3"/>
  <c r="W45" i="3"/>
  <c r="X56" i="3"/>
  <c r="X65" i="3"/>
  <c r="W76" i="3"/>
  <c r="W84" i="3"/>
  <c r="W92" i="3"/>
  <c r="W100" i="3"/>
  <c r="W108" i="3"/>
  <c r="X36" i="3"/>
  <c r="X84" i="3"/>
  <c r="X108" i="3"/>
  <c r="X25" i="3"/>
  <c r="W37" i="3"/>
  <c r="X57" i="3"/>
  <c r="W69" i="3"/>
  <c r="W85" i="3"/>
  <c r="W93" i="3"/>
  <c r="W25" i="3"/>
  <c r="X45" i="3"/>
  <c r="X68" i="3"/>
  <c r="X92" i="3"/>
  <c r="X13" i="3"/>
  <c r="W57" i="3"/>
  <c r="X76" i="3"/>
  <c r="X100" i="3"/>
  <c r="X16" i="3"/>
  <c r="X48" i="3"/>
  <c r="W77" i="3"/>
  <c r="W101" i="3"/>
  <c r="E3" i="3"/>
  <c r="S11" i="3"/>
  <c r="T11" i="3" s="1"/>
  <c r="U11" i="3" s="1"/>
  <c r="S16" i="3"/>
  <c r="T16" i="3" s="1"/>
  <c r="U16" i="3" s="1"/>
  <c r="S27" i="3"/>
  <c r="T27" i="3" s="1"/>
  <c r="U27" i="3" s="1"/>
  <c r="S32" i="3"/>
  <c r="T32" i="3" s="1"/>
  <c r="U32" i="3" s="1"/>
  <c r="S43" i="3"/>
  <c r="T43" i="3" s="1"/>
  <c r="U43" i="3" s="1"/>
  <c r="S48" i="3"/>
  <c r="T48" i="3" s="1"/>
  <c r="U48" i="3" s="1"/>
  <c r="S59" i="3"/>
  <c r="T59" i="3" s="1"/>
  <c r="U59" i="3" s="1"/>
  <c r="S64" i="3"/>
  <c r="T64" i="3" s="1"/>
  <c r="U64" i="3" s="1"/>
  <c r="S75" i="3"/>
  <c r="T75" i="3" s="1"/>
  <c r="U75" i="3" s="1"/>
  <c r="S80" i="3"/>
  <c r="T80" i="3" s="1"/>
  <c r="U80" i="3" s="1"/>
  <c r="S91" i="3"/>
  <c r="T91" i="3" s="1"/>
  <c r="U91" i="3" s="1"/>
  <c r="S96" i="3"/>
  <c r="T96" i="3" s="1"/>
  <c r="U96" i="3" s="1"/>
  <c r="S107" i="3"/>
  <c r="T107" i="3" s="1"/>
  <c r="U107" i="3" s="1"/>
  <c r="M4" i="3"/>
  <c r="O4" i="3" s="1"/>
  <c r="Q4" i="3" s="1"/>
  <c r="M8" i="3"/>
  <c r="O8" i="3" s="1"/>
  <c r="Q8" i="3" s="1"/>
  <c r="M12" i="3"/>
  <c r="O12" i="3" s="1"/>
  <c r="Q12" i="3" s="1"/>
  <c r="M16" i="3"/>
  <c r="O16" i="3" s="1"/>
  <c r="Q16" i="3" s="1"/>
  <c r="M20" i="3"/>
  <c r="O20" i="3" s="1"/>
  <c r="M24" i="3"/>
  <c r="O24" i="3" s="1"/>
  <c r="Q24" i="3" s="1"/>
  <c r="M28" i="3"/>
  <c r="O28" i="3" s="1"/>
  <c r="Q28" i="3" s="1"/>
  <c r="M32" i="3"/>
  <c r="O32" i="3" s="1"/>
  <c r="Q32" i="3" s="1"/>
  <c r="M36" i="3"/>
  <c r="O36" i="3" s="1"/>
  <c r="Q36" i="3" s="1"/>
  <c r="M40" i="3"/>
  <c r="O40" i="3" s="1"/>
  <c r="Q40" i="3" s="1"/>
  <c r="M44" i="3"/>
  <c r="O44" i="3" s="1"/>
  <c r="Q44" i="3" s="1"/>
  <c r="M48" i="3"/>
  <c r="O48" i="3" s="1"/>
  <c r="Q48" i="3" s="1"/>
  <c r="M52" i="3"/>
  <c r="O52" i="3" s="1"/>
  <c r="Q52" i="3" s="1"/>
  <c r="M56" i="3"/>
  <c r="O56" i="3" s="1"/>
  <c r="Q56" i="3" s="1"/>
  <c r="M60" i="3"/>
  <c r="O60" i="3" s="1"/>
  <c r="Q60" i="3" s="1"/>
  <c r="M64" i="3"/>
  <c r="O64" i="3" s="1"/>
  <c r="Q64" i="3" s="1"/>
  <c r="M68" i="3"/>
  <c r="O68" i="3" s="1"/>
  <c r="Q68" i="3" s="1"/>
  <c r="M72" i="3"/>
  <c r="O72" i="3" s="1"/>
  <c r="Q72" i="3" s="1"/>
  <c r="M76" i="3"/>
  <c r="O76" i="3" s="1"/>
  <c r="Q76" i="3" s="1"/>
  <c r="M80" i="3"/>
  <c r="O80" i="3" s="1"/>
  <c r="Q80" i="3" s="1"/>
  <c r="M84" i="3"/>
  <c r="O84" i="3" s="1"/>
  <c r="Q84" i="3" s="1"/>
  <c r="M88" i="3"/>
  <c r="O88" i="3" s="1"/>
  <c r="Q88" i="3" s="1"/>
  <c r="M92" i="3"/>
  <c r="O92" i="3" s="1"/>
  <c r="Q92" i="3" s="1"/>
  <c r="M96" i="3"/>
  <c r="O96" i="3" s="1"/>
  <c r="Q96" i="3" s="1"/>
  <c r="M100" i="3"/>
  <c r="O100" i="3" s="1"/>
  <c r="Q100" i="3" s="1"/>
  <c r="M104" i="3"/>
  <c r="O104" i="3" s="1"/>
  <c r="Q104" i="3" s="1"/>
  <c r="M108" i="3"/>
  <c r="O108" i="3" s="1"/>
  <c r="Q108" i="3" s="1"/>
  <c r="N8" i="3"/>
  <c r="P8" i="3" s="1"/>
  <c r="N20" i="3"/>
  <c r="P20" i="3" s="1"/>
  <c r="N28" i="3"/>
  <c r="P28" i="3" s="1"/>
  <c r="N36" i="3"/>
  <c r="P36" i="3" s="1"/>
  <c r="N44" i="3"/>
  <c r="P44" i="3" s="1"/>
  <c r="N48" i="3"/>
  <c r="P48" i="3" s="1"/>
  <c r="N56" i="3"/>
  <c r="P56" i="3" s="1"/>
  <c r="S6" i="3"/>
  <c r="T6" i="3" s="1"/>
  <c r="U6" i="3" s="1"/>
  <c r="S17" i="3"/>
  <c r="T17" i="3" s="1"/>
  <c r="U17" i="3" s="1"/>
  <c r="S22" i="3"/>
  <c r="T22" i="3" s="1"/>
  <c r="U22" i="3" s="1"/>
  <c r="S33" i="3"/>
  <c r="T33" i="3" s="1"/>
  <c r="U33" i="3" s="1"/>
  <c r="S38" i="3"/>
  <c r="T38" i="3" s="1"/>
  <c r="U38" i="3" s="1"/>
  <c r="S49" i="3"/>
  <c r="T49" i="3" s="1"/>
  <c r="U49" i="3" s="1"/>
  <c r="S54" i="3"/>
  <c r="T54" i="3" s="1"/>
  <c r="U54" i="3" s="1"/>
  <c r="S65" i="3"/>
  <c r="T65" i="3" s="1"/>
  <c r="U65" i="3" s="1"/>
  <c r="S70" i="3"/>
  <c r="T70" i="3" s="1"/>
  <c r="U70" i="3" s="1"/>
  <c r="S81" i="3"/>
  <c r="T81" i="3" s="1"/>
  <c r="U81" i="3" s="1"/>
  <c r="S86" i="3"/>
  <c r="T86" i="3" s="1"/>
  <c r="U86" i="3" s="1"/>
  <c r="S97" i="3"/>
  <c r="T97" i="3" s="1"/>
  <c r="U97" i="3" s="1"/>
  <c r="S102" i="3"/>
  <c r="T102" i="3" s="1"/>
  <c r="U102" i="3" s="1"/>
  <c r="N4" i="3"/>
  <c r="P4" i="3" s="1"/>
  <c r="N12" i="3"/>
  <c r="P12" i="3" s="1"/>
  <c r="N16" i="3"/>
  <c r="P16" i="3" s="1"/>
  <c r="N24" i="3"/>
  <c r="P24" i="3" s="1"/>
  <c r="N32" i="3"/>
  <c r="P32" i="3" s="1"/>
  <c r="N40" i="3"/>
  <c r="P40" i="3" s="1"/>
  <c r="N52" i="3"/>
  <c r="P52" i="3" s="1"/>
  <c r="N64" i="3"/>
  <c r="P64" i="3" s="1"/>
  <c r="N68" i="3"/>
  <c r="P68" i="3" s="1"/>
  <c r="S7" i="3"/>
  <c r="T7" i="3" s="1"/>
  <c r="U7" i="3" s="1"/>
  <c r="S12" i="3"/>
  <c r="T12" i="3" s="1"/>
  <c r="U12" i="3" s="1"/>
  <c r="S23" i="3"/>
  <c r="T23" i="3" s="1"/>
  <c r="U23" i="3" s="1"/>
  <c r="S28" i="3"/>
  <c r="T28" i="3" s="1"/>
  <c r="U28" i="3" s="1"/>
  <c r="S39" i="3"/>
  <c r="T39" i="3" s="1"/>
  <c r="U39" i="3" s="1"/>
  <c r="S44" i="3"/>
  <c r="T44" i="3" s="1"/>
  <c r="U44" i="3" s="1"/>
  <c r="S55" i="3"/>
  <c r="T55" i="3" s="1"/>
  <c r="U55" i="3" s="1"/>
  <c r="S60" i="3"/>
  <c r="T60" i="3" s="1"/>
  <c r="U60" i="3" s="1"/>
  <c r="S71" i="3"/>
  <c r="T71" i="3" s="1"/>
  <c r="U71" i="3" s="1"/>
  <c r="S76" i="3"/>
  <c r="T76" i="3" s="1"/>
  <c r="U76" i="3" s="1"/>
  <c r="S8" i="3"/>
  <c r="T8" i="3" s="1"/>
  <c r="U8" i="3" s="1"/>
  <c r="S19" i="3"/>
  <c r="T19" i="3" s="1"/>
  <c r="U19" i="3" s="1"/>
  <c r="S24" i="3"/>
  <c r="T24" i="3" s="1"/>
  <c r="U24" i="3" s="1"/>
  <c r="S35" i="3"/>
  <c r="T35" i="3" s="1"/>
  <c r="U35" i="3" s="1"/>
  <c r="S40" i="3"/>
  <c r="T40" i="3" s="1"/>
  <c r="U40" i="3" s="1"/>
  <c r="S51" i="3"/>
  <c r="T51" i="3" s="1"/>
  <c r="U51" i="3" s="1"/>
  <c r="S56" i="3"/>
  <c r="T56" i="3" s="1"/>
  <c r="U56" i="3" s="1"/>
  <c r="S67" i="3"/>
  <c r="T67" i="3" s="1"/>
  <c r="U67" i="3" s="1"/>
  <c r="S72" i="3"/>
  <c r="T72" i="3" s="1"/>
  <c r="U72" i="3" s="1"/>
  <c r="S83" i="3"/>
  <c r="T83" i="3" s="1"/>
  <c r="U83" i="3" s="1"/>
  <c r="S88" i="3"/>
  <c r="T88" i="3" s="1"/>
  <c r="U88" i="3" s="1"/>
  <c r="S99" i="3"/>
  <c r="T99" i="3" s="1"/>
  <c r="U99" i="3" s="1"/>
  <c r="S104" i="3"/>
  <c r="T104" i="3" s="1"/>
  <c r="U104" i="3" s="1"/>
  <c r="S9" i="3"/>
  <c r="T9" i="3" s="1"/>
  <c r="U9" i="3" s="1"/>
  <c r="S14" i="3"/>
  <c r="T14" i="3" s="1"/>
  <c r="U14" i="3" s="1"/>
  <c r="S25" i="3"/>
  <c r="T25" i="3" s="1"/>
  <c r="U25" i="3" s="1"/>
  <c r="S30" i="3"/>
  <c r="T30" i="3" s="1"/>
  <c r="U30" i="3" s="1"/>
  <c r="S41" i="3"/>
  <c r="T41" i="3" s="1"/>
  <c r="U41" i="3" s="1"/>
  <c r="S46" i="3"/>
  <c r="T46" i="3" s="1"/>
  <c r="U46" i="3" s="1"/>
  <c r="S57" i="3"/>
  <c r="T57" i="3" s="1"/>
  <c r="U57" i="3" s="1"/>
  <c r="S62" i="3"/>
  <c r="T62" i="3" s="1"/>
  <c r="U62" i="3" s="1"/>
  <c r="S73" i="3"/>
  <c r="T73" i="3" s="1"/>
  <c r="U73" i="3" s="1"/>
  <c r="S78" i="3"/>
  <c r="T78" i="3" s="1"/>
  <c r="U78" i="3" s="1"/>
  <c r="S89" i="3"/>
  <c r="T89" i="3" s="1"/>
  <c r="U89" i="3" s="1"/>
  <c r="S94" i="3"/>
  <c r="T94" i="3" s="1"/>
  <c r="U94" i="3" s="1"/>
  <c r="S105" i="3"/>
  <c r="T105" i="3" s="1"/>
  <c r="U105" i="3" s="1"/>
  <c r="N6" i="3"/>
  <c r="P6" i="3" s="1"/>
  <c r="N10" i="3"/>
  <c r="P10" i="3" s="1"/>
  <c r="N14" i="3"/>
  <c r="P14" i="3" s="1"/>
  <c r="N18" i="3"/>
  <c r="P18" i="3" s="1"/>
  <c r="N22" i="3"/>
  <c r="P22" i="3" s="1"/>
  <c r="N26" i="3"/>
  <c r="P26" i="3" s="1"/>
  <c r="N30" i="3"/>
  <c r="P30" i="3" s="1"/>
  <c r="N34" i="3"/>
  <c r="P34" i="3" s="1"/>
  <c r="N38" i="3"/>
  <c r="P38" i="3" s="1"/>
  <c r="N42" i="3"/>
  <c r="P42" i="3" s="1"/>
  <c r="N46" i="3"/>
  <c r="P46" i="3" s="1"/>
  <c r="S31" i="3"/>
  <c r="T31" i="3" s="1"/>
  <c r="U31" i="3" s="1"/>
  <c r="S45" i="3"/>
  <c r="T45" i="3" s="1"/>
  <c r="U45" i="3" s="1"/>
  <c r="S58" i="3"/>
  <c r="T58" i="3" s="1"/>
  <c r="U58" i="3" s="1"/>
  <c r="S85" i="3"/>
  <c r="T85" i="3" s="1"/>
  <c r="U85" i="3" s="1"/>
  <c r="S106" i="3"/>
  <c r="T106" i="3" s="1"/>
  <c r="U106" i="3" s="1"/>
  <c r="N7" i="3"/>
  <c r="P7" i="3" s="1"/>
  <c r="M14" i="3"/>
  <c r="O14" i="3" s="1"/>
  <c r="Q14" i="3" s="1"/>
  <c r="M21" i="3"/>
  <c r="O21" i="3" s="1"/>
  <c r="Q21" i="3" s="1"/>
  <c r="M27" i="3"/>
  <c r="O27" i="3" s="1"/>
  <c r="Q27" i="3" s="1"/>
  <c r="N33" i="3"/>
  <c r="P33" i="3" s="1"/>
  <c r="N39" i="3"/>
  <c r="P39" i="3" s="1"/>
  <c r="M46" i="3"/>
  <c r="O46" i="3" s="1"/>
  <c r="Q46" i="3" s="1"/>
  <c r="N51" i="3"/>
  <c r="P51" i="3" s="1"/>
  <c r="N57" i="3"/>
  <c r="P57" i="3" s="1"/>
  <c r="M62" i="3"/>
  <c r="O62" i="3" s="1"/>
  <c r="Q62" i="3" s="1"/>
  <c r="M67" i="3"/>
  <c r="O67" i="3" s="1"/>
  <c r="Q67" i="3" s="1"/>
  <c r="N72" i="3"/>
  <c r="P72" i="3" s="1"/>
  <c r="M77" i="3"/>
  <c r="O77" i="3" s="1"/>
  <c r="Q77" i="3" s="1"/>
  <c r="N81" i="3"/>
  <c r="P81" i="3" s="1"/>
  <c r="M86" i="3"/>
  <c r="O86" i="3" s="1"/>
  <c r="Q86" i="3" s="1"/>
  <c r="N90" i="3"/>
  <c r="P90" i="3" s="1"/>
  <c r="M95" i="3"/>
  <c r="O95" i="3" s="1"/>
  <c r="Q95" i="3" s="1"/>
  <c r="N99" i="3"/>
  <c r="P99" i="3" s="1"/>
  <c r="N104" i="3"/>
  <c r="P104" i="3" s="1"/>
  <c r="S87" i="3"/>
  <c r="T87" i="3" s="1"/>
  <c r="U87" i="3" s="1"/>
  <c r="M9" i="3"/>
  <c r="O9" i="3" s="1"/>
  <c r="Q9" i="3" s="1"/>
  <c r="M15" i="3"/>
  <c r="O15" i="3" s="1"/>
  <c r="Q15" i="3" s="1"/>
  <c r="N21" i="3"/>
  <c r="P21" i="3" s="1"/>
  <c r="N27" i="3"/>
  <c r="P27" i="3" s="1"/>
  <c r="M34" i="3"/>
  <c r="O34" i="3" s="1"/>
  <c r="Q34" i="3" s="1"/>
  <c r="M41" i="3"/>
  <c r="O41" i="3" s="1"/>
  <c r="Q41" i="3" s="1"/>
  <c r="M47" i="3"/>
  <c r="O47" i="3" s="1"/>
  <c r="Q47" i="3" s="1"/>
  <c r="M53" i="3"/>
  <c r="O53" i="3" s="1"/>
  <c r="Q53" i="3" s="1"/>
  <c r="M58" i="3"/>
  <c r="O58" i="3" s="1"/>
  <c r="Q58" i="3" s="1"/>
  <c r="N62" i="3"/>
  <c r="P62" i="3" s="1"/>
  <c r="N67" i="3"/>
  <c r="P67" i="3" s="1"/>
  <c r="M73" i="3"/>
  <c r="O73" i="3" s="1"/>
  <c r="Q73" i="3" s="1"/>
  <c r="N77" i="3"/>
  <c r="P77" i="3" s="1"/>
  <c r="M82" i="3"/>
  <c r="O82" i="3" s="1"/>
  <c r="Q82" i="3" s="1"/>
  <c r="N86" i="3"/>
  <c r="P86" i="3" s="1"/>
  <c r="M91" i="3"/>
  <c r="O91" i="3" s="1"/>
  <c r="Q91" i="3" s="1"/>
  <c r="N95" i="3"/>
  <c r="P95" i="3" s="1"/>
  <c r="N100" i="3"/>
  <c r="P100" i="3" s="1"/>
  <c r="M105" i="3"/>
  <c r="O105" i="3" s="1"/>
  <c r="Q105" i="3" s="1"/>
  <c r="N41" i="3"/>
  <c r="P41" i="3" s="1"/>
  <c r="M69" i="3"/>
  <c r="O69" i="3" s="1"/>
  <c r="Q69" i="3" s="1"/>
  <c r="N82" i="3"/>
  <c r="P82" i="3" s="1"/>
  <c r="N91" i="3"/>
  <c r="P91" i="3" s="1"/>
  <c r="M101" i="3"/>
  <c r="O101" i="3" s="1"/>
  <c r="Q101" i="3" s="1"/>
  <c r="S4" i="3"/>
  <c r="T4" i="3" s="1"/>
  <c r="U4" i="3" s="1"/>
  <c r="S18" i="3"/>
  <c r="T18" i="3" s="1"/>
  <c r="U18" i="3" s="1"/>
  <c r="S47" i="3"/>
  <c r="T47" i="3" s="1"/>
  <c r="U47" i="3" s="1"/>
  <c r="S61" i="3"/>
  <c r="T61" i="3" s="1"/>
  <c r="U61" i="3" s="1"/>
  <c r="S74" i="3"/>
  <c r="T74" i="3" s="1"/>
  <c r="U74" i="3" s="1"/>
  <c r="S108" i="3"/>
  <c r="T108" i="3" s="1"/>
  <c r="U108" i="3" s="1"/>
  <c r="S5" i="3"/>
  <c r="T5" i="3" s="1"/>
  <c r="U5" i="3" s="1"/>
  <c r="S20" i="3"/>
  <c r="T20" i="3" s="1"/>
  <c r="S34" i="3"/>
  <c r="T34" i="3" s="1"/>
  <c r="U34" i="3" s="1"/>
  <c r="S63" i="3"/>
  <c r="T63" i="3" s="1"/>
  <c r="U63" i="3" s="1"/>
  <c r="S77" i="3"/>
  <c r="T77" i="3" s="1"/>
  <c r="U77" i="3" s="1"/>
  <c r="S98" i="3"/>
  <c r="T98" i="3" s="1"/>
  <c r="U98" i="3" s="1"/>
  <c r="N9" i="3"/>
  <c r="P9" i="3" s="1"/>
  <c r="N15" i="3"/>
  <c r="P15" i="3" s="1"/>
  <c r="M22" i="3"/>
  <c r="O22" i="3" s="1"/>
  <c r="Q22" i="3" s="1"/>
  <c r="M29" i="3"/>
  <c r="O29" i="3" s="1"/>
  <c r="Q29" i="3" s="1"/>
  <c r="M35" i="3"/>
  <c r="O35" i="3" s="1"/>
  <c r="Q35" i="3" s="1"/>
  <c r="N47" i="3"/>
  <c r="P47" i="3" s="1"/>
  <c r="N53" i="3"/>
  <c r="P53" i="3" s="1"/>
  <c r="N58" i="3"/>
  <c r="P58" i="3" s="1"/>
  <c r="M63" i="3"/>
  <c r="O63" i="3" s="1"/>
  <c r="Q63" i="3" s="1"/>
  <c r="N73" i="3"/>
  <c r="P73" i="3" s="1"/>
  <c r="M78" i="3"/>
  <c r="O78" i="3" s="1"/>
  <c r="Q78" i="3" s="1"/>
  <c r="M87" i="3"/>
  <c r="O87" i="3" s="1"/>
  <c r="Q87" i="3" s="1"/>
  <c r="N96" i="3"/>
  <c r="P96" i="3" s="1"/>
  <c r="N105" i="3"/>
  <c r="P105" i="3" s="1"/>
  <c r="S21" i="3"/>
  <c r="T21" i="3" s="1"/>
  <c r="U21" i="3" s="1"/>
  <c r="S36" i="3"/>
  <c r="T36" i="3" s="1"/>
  <c r="U36" i="3" s="1"/>
  <c r="S50" i="3"/>
  <c r="T50" i="3" s="1"/>
  <c r="U50" i="3" s="1"/>
  <c r="S79" i="3"/>
  <c r="T79" i="3" s="1"/>
  <c r="U79" i="3" s="1"/>
  <c r="S100" i="3"/>
  <c r="T100" i="3" s="1"/>
  <c r="U100" i="3" s="1"/>
  <c r="S37" i="3"/>
  <c r="T37" i="3" s="1"/>
  <c r="U37" i="3" s="1"/>
  <c r="S52" i="3"/>
  <c r="T52" i="3" s="1"/>
  <c r="U52" i="3" s="1"/>
  <c r="S66" i="3"/>
  <c r="T66" i="3" s="1"/>
  <c r="U66" i="3" s="1"/>
  <c r="S90" i="3"/>
  <c r="T90" i="3" s="1"/>
  <c r="U90" i="3" s="1"/>
  <c r="S101" i="3"/>
  <c r="T101" i="3" s="1"/>
  <c r="U101" i="3" s="1"/>
  <c r="M5" i="3"/>
  <c r="O5" i="3" s="1"/>
  <c r="M11" i="3"/>
  <c r="O11" i="3" s="1"/>
  <c r="Q11" i="3" s="1"/>
  <c r="N17" i="3"/>
  <c r="P17" i="3" s="1"/>
  <c r="N23" i="3"/>
  <c r="P23" i="3" s="1"/>
  <c r="M30" i="3"/>
  <c r="O30" i="3" s="1"/>
  <c r="Q30" i="3" s="1"/>
  <c r="M37" i="3"/>
  <c r="O37" i="3" s="1"/>
  <c r="Q37" i="3" s="1"/>
  <c r="M43" i="3"/>
  <c r="O43" i="3" s="1"/>
  <c r="Q43" i="3" s="1"/>
  <c r="N49" i="3"/>
  <c r="P49" i="3" s="1"/>
  <c r="N54" i="3"/>
  <c r="P54" i="3" s="1"/>
  <c r="N59" i="3"/>
  <c r="P59" i="3" s="1"/>
  <c r="M65" i="3"/>
  <c r="O65" i="3" s="1"/>
  <c r="Q65" i="3" s="1"/>
  <c r="M70" i="3"/>
  <c r="O70" i="3" s="1"/>
  <c r="Q70" i="3" s="1"/>
  <c r="N74" i="3"/>
  <c r="P74" i="3" s="1"/>
  <c r="M79" i="3"/>
  <c r="O79" i="3" s="1"/>
  <c r="Q79" i="3" s="1"/>
  <c r="N83" i="3"/>
  <c r="P83" i="3" s="1"/>
  <c r="N88" i="3"/>
  <c r="P88" i="3" s="1"/>
  <c r="M93" i="3"/>
  <c r="O93" i="3" s="1"/>
  <c r="Q93" i="3" s="1"/>
  <c r="N97" i="3"/>
  <c r="P97" i="3" s="1"/>
  <c r="M102" i="3"/>
  <c r="O102" i="3" s="1"/>
  <c r="Q102" i="3" s="1"/>
  <c r="N106" i="3"/>
  <c r="P106" i="3" s="1"/>
  <c r="N5" i="3"/>
  <c r="P5" i="3" s="1"/>
  <c r="M18" i="3"/>
  <c r="O18" i="3" s="1"/>
  <c r="Q18" i="3" s="1"/>
  <c r="M31" i="3"/>
  <c r="O31" i="3" s="1"/>
  <c r="Q31" i="3" s="1"/>
  <c r="N43" i="3"/>
  <c r="P43" i="3" s="1"/>
  <c r="M50" i="3"/>
  <c r="O50" i="3" s="1"/>
  <c r="Q50" i="3" s="1"/>
  <c r="N60" i="3"/>
  <c r="P60" i="3" s="1"/>
  <c r="N70" i="3"/>
  <c r="P70" i="3" s="1"/>
  <c r="M75" i="3"/>
  <c r="O75" i="3" s="1"/>
  <c r="Q75" i="3" s="1"/>
  <c r="N84" i="3"/>
  <c r="P84" i="3" s="1"/>
  <c r="N93" i="3"/>
  <c r="P93" i="3" s="1"/>
  <c r="N102" i="3"/>
  <c r="P102" i="3" s="1"/>
  <c r="M107" i="3"/>
  <c r="O107" i="3" s="1"/>
  <c r="Q107" i="3" s="1"/>
  <c r="S26" i="3"/>
  <c r="T26" i="3" s="1"/>
  <c r="U26" i="3" s="1"/>
  <c r="S93" i="3"/>
  <c r="T93" i="3" s="1"/>
  <c r="U93" i="3" s="1"/>
  <c r="M13" i="3"/>
  <c r="O13" i="3" s="1"/>
  <c r="Q13" i="3" s="1"/>
  <c r="M38" i="3"/>
  <c r="O38" i="3" s="1"/>
  <c r="Q38" i="3" s="1"/>
  <c r="N50" i="3"/>
  <c r="P50" i="3" s="1"/>
  <c r="M61" i="3"/>
  <c r="O61" i="3" s="1"/>
  <c r="Q61" i="3" s="1"/>
  <c r="N75" i="3"/>
  <c r="P75" i="3" s="1"/>
  <c r="M85" i="3"/>
  <c r="O85" i="3" s="1"/>
  <c r="Q85" i="3" s="1"/>
  <c r="N98" i="3"/>
  <c r="P98" i="3" s="1"/>
  <c r="S29" i="3"/>
  <c r="T29" i="3" s="1"/>
  <c r="U29" i="3" s="1"/>
  <c r="M7" i="3"/>
  <c r="O7" i="3" s="1"/>
  <c r="Q7" i="3" s="1"/>
  <c r="S10" i="3"/>
  <c r="T10" i="3" s="1"/>
  <c r="U10" i="3" s="1"/>
  <c r="S53" i="3"/>
  <c r="T53" i="3" s="1"/>
  <c r="U53" i="3" s="1"/>
  <c r="S68" i="3"/>
  <c r="T68" i="3" s="1"/>
  <c r="U68" i="3" s="1"/>
  <c r="S92" i="3"/>
  <c r="T92" i="3" s="1"/>
  <c r="U92" i="3" s="1"/>
  <c r="S103" i="3"/>
  <c r="T103" i="3" s="1"/>
  <c r="U103" i="3" s="1"/>
  <c r="N11" i="3"/>
  <c r="P11" i="3" s="1"/>
  <c r="M25" i="3"/>
  <c r="O25" i="3" s="1"/>
  <c r="Q25" i="3" s="1"/>
  <c r="N37" i="3"/>
  <c r="P37" i="3" s="1"/>
  <c r="M55" i="3"/>
  <c r="O55" i="3" s="1"/>
  <c r="Q55" i="3" s="1"/>
  <c r="N65" i="3"/>
  <c r="P65" i="3" s="1"/>
  <c r="N79" i="3"/>
  <c r="P79" i="3" s="1"/>
  <c r="M89" i="3"/>
  <c r="O89" i="3" s="1"/>
  <c r="Q89" i="3" s="1"/>
  <c r="M98" i="3"/>
  <c r="O98" i="3" s="1"/>
  <c r="Q98" i="3" s="1"/>
  <c r="S69" i="3"/>
  <c r="T69" i="3" s="1"/>
  <c r="U69" i="3" s="1"/>
  <c r="S82" i="3"/>
  <c r="T82" i="3" s="1"/>
  <c r="U82" i="3" s="1"/>
  <c r="M6" i="3"/>
  <c r="O6" i="3" s="1"/>
  <c r="Q6" i="3" s="1"/>
  <c r="N25" i="3"/>
  <c r="P25" i="3" s="1"/>
  <c r="N31" i="3"/>
  <c r="P31" i="3" s="1"/>
  <c r="M45" i="3"/>
  <c r="O45" i="3" s="1"/>
  <c r="Q45" i="3" s="1"/>
  <c r="N55" i="3"/>
  <c r="P55" i="3" s="1"/>
  <c r="M66" i="3"/>
  <c r="O66" i="3" s="1"/>
  <c r="Q66" i="3" s="1"/>
  <c r="N80" i="3"/>
  <c r="P80" i="3" s="1"/>
  <c r="M94" i="3"/>
  <c r="O94" i="3" s="1"/>
  <c r="Q94" i="3" s="1"/>
  <c r="N107" i="3"/>
  <c r="P107" i="3" s="1"/>
  <c r="S95" i="3"/>
  <c r="T95" i="3" s="1"/>
  <c r="U95" i="3" s="1"/>
  <c r="N13" i="3"/>
  <c r="P13" i="3" s="1"/>
  <c r="M26" i="3"/>
  <c r="O26" i="3" s="1"/>
  <c r="Q26" i="3" s="1"/>
  <c r="M33" i="3"/>
  <c r="O33" i="3" s="1"/>
  <c r="Q33" i="3" s="1"/>
  <c r="S13" i="3"/>
  <c r="T13" i="3" s="1"/>
  <c r="U13" i="3" s="1"/>
  <c r="M19" i="3"/>
  <c r="O19" i="3" s="1"/>
  <c r="Q19" i="3" s="1"/>
  <c r="M71" i="3"/>
  <c r="O71" i="3" s="1"/>
  <c r="Q71" i="3" s="1"/>
  <c r="N89" i="3"/>
  <c r="P89" i="3" s="1"/>
  <c r="M103" i="3"/>
  <c r="O103" i="3" s="1"/>
  <c r="Q103" i="3" s="1"/>
  <c r="S42" i="3"/>
  <c r="T42" i="3" s="1"/>
  <c r="U42" i="3" s="1"/>
  <c r="S84" i="3"/>
  <c r="T84" i="3" s="1"/>
  <c r="U84" i="3" s="1"/>
  <c r="S15" i="3"/>
  <c r="T15" i="3" s="1"/>
  <c r="U15" i="3" s="1"/>
  <c r="M23" i="3"/>
  <c r="O23" i="3" s="1"/>
  <c r="Q23" i="3" s="1"/>
  <c r="M54" i="3"/>
  <c r="O54" i="3" s="1"/>
  <c r="Q54" i="3" s="1"/>
  <c r="M74" i="3"/>
  <c r="O74" i="3" s="1"/>
  <c r="Q74" i="3" s="1"/>
  <c r="N92" i="3"/>
  <c r="P92" i="3" s="1"/>
  <c r="N45" i="3"/>
  <c r="P45" i="3" s="1"/>
  <c r="N85" i="3"/>
  <c r="P85" i="3" s="1"/>
  <c r="M17" i="3"/>
  <c r="O17" i="3" s="1"/>
  <c r="Q17" i="3" s="1"/>
  <c r="N87" i="3"/>
  <c r="P87" i="3" s="1"/>
  <c r="N19" i="3"/>
  <c r="P19" i="3" s="1"/>
  <c r="N71" i="3"/>
  <c r="P71" i="3" s="1"/>
  <c r="N108" i="3"/>
  <c r="P108" i="3" s="1"/>
  <c r="N29" i="3"/>
  <c r="P29" i="3" s="1"/>
  <c r="M57" i="3"/>
  <c r="O57" i="3" s="1"/>
  <c r="Q57" i="3" s="1"/>
  <c r="N76" i="3"/>
  <c r="P76" i="3" s="1"/>
  <c r="N94" i="3"/>
  <c r="P94" i="3" s="1"/>
  <c r="N35" i="3"/>
  <c r="P35" i="3" s="1"/>
  <c r="M59" i="3"/>
  <c r="O59" i="3" s="1"/>
  <c r="Q59" i="3" s="1"/>
  <c r="N78" i="3"/>
  <c r="P78" i="3" s="1"/>
  <c r="M97" i="3"/>
  <c r="O97" i="3" s="1"/>
  <c r="Q97" i="3" s="1"/>
  <c r="M39" i="3"/>
  <c r="O39" i="3" s="1"/>
  <c r="Q39" i="3" s="1"/>
  <c r="N61" i="3"/>
  <c r="P61" i="3" s="1"/>
  <c r="M81" i="3"/>
  <c r="O81" i="3" s="1"/>
  <c r="Q81" i="3" s="1"/>
  <c r="M99" i="3"/>
  <c r="O99" i="3" s="1"/>
  <c r="Q99" i="3" s="1"/>
  <c r="M42" i="3"/>
  <c r="O42" i="3" s="1"/>
  <c r="Q42" i="3" s="1"/>
  <c r="N63" i="3"/>
  <c r="P63" i="3" s="1"/>
  <c r="M83" i="3"/>
  <c r="O83" i="3" s="1"/>
  <c r="Q83" i="3" s="1"/>
  <c r="N101" i="3"/>
  <c r="P101" i="3" s="1"/>
  <c r="M10" i="3"/>
  <c r="O10" i="3" s="1"/>
  <c r="Q10" i="3" s="1"/>
  <c r="N66" i="3"/>
  <c r="P66" i="3" s="1"/>
  <c r="N103" i="3"/>
  <c r="P103" i="3" s="1"/>
  <c r="M49" i="3"/>
  <c r="O49" i="3" s="1"/>
  <c r="Q49" i="3" s="1"/>
  <c r="N69" i="3"/>
  <c r="P69" i="3" s="1"/>
  <c r="M106" i="3"/>
  <c r="O106" i="3" s="1"/>
  <c r="Q106" i="3" s="1"/>
  <c r="M51" i="3"/>
  <c r="O51" i="3" s="1"/>
  <c r="Q51" i="3" s="1"/>
  <c r="M90" i="3"/>
  <c r="O90" i="3" s="1"/>
  <c r="Q90" i="3" s="1"/>
  <c r="J51" i="3"/>
  <c r="J105" i="3"/>
  <c r="J17" i="3"/>
  <c r="J40" i="3"/>
  <c r="J71" i="3"/>
  <c r="J7" i="3"/>
  <c r="J46" i="3"/>
  <c r="J43" i="3"/>
  <c r="J77" i="3"/>
  <c r="J13" i="3"/>
  <c r="J50" i="3"/>
  <c r="J92" i="3"/>
  <c r="J28" i="3"/>
  <c r="I71" i="3"/>
  <c r="I78" i="3"/>
  <c r="I75" i="3"/>
  <c r="I94" i="3"/>
  <c r="I101" i="3"/>
  <c r="I51" i="3"/>
  <c r="I46" i="3"/>
  <c r="I85" i="3"/>
  <c r="I45" i="3"/>
  <c r="I13" i="3"/>
  <c r="I84" i="3"/>
  <c r="I52" i="3"/>
  <c r="I20" i="3"/>
  <c r="J19" i="3"/>
  <c r="J97" i="3"/>
  <c r="J104" i="3"/>
  <c r="J32" i="3"/>
  <c r="J63" i="3"/>
  <c r="J102" i="3"/>
  <c r="J38" i="3"/>
  <c r="J27" i="3"/>
  <c r="J69" i="3"/>
  <c r="J5" i="3"/>
  <c r="J18" i="3"/>
  <c r="J84" i="3"/>
  <c r="J20" i="3"/>
  <c r="I59" i="3"/>
  <c r="I66" i="3"/>
  <c r="I63" i="3"/>
  <c r="I86" i="3"/>
  <c r="I89" i="3"/>
  <c r="I39" i="3"/>
  <c r="I38" i="3"/>
  <c r="I81" i="3"/>
  <c r="I41" i="3"/>
  <c r="I9" i="3"/>
  <c r="I80" i="3"/>
  <c r="I48" i="3"/>
  <c r="I16" i="3"/>
  <c r="J9" i="3"/>
  <c r="J98" i="3"/>
  <c r="J81" i="3"/>
  <c r="J88" i="3"/>
  <c r="J24" i="3"/>
  <c r="J55" i="3"/>
  <c r="J94" i="3"/>
  <c r="J30" i="3"/>
  <c r="J82" i="3"/>
  <c r="J61" i="3"/>
  <c r="J99" i="3"/>
  <c r="J89" i="3"/>
  <c r="J76" i="3"/>
  <c r="J12" i="3"/>
  <c r="I47" i="3"/>
  <c r="I54" i="3"/>
  <c r="I55" i="3"/>
  <c r="I74" i="3"/>
  <c r="I77" i="3"/>
  <c r="I27" i="3"/>
  <c r="I30" i="3"/>
  <c r="I73" i="3"/>
  <c r="I37" i="3"/>
  <c r="I108" i="3"/>
  <c r="I76" i="3"/>
  <c r="I44" i="3"/>
  <c r="I12" i="3"/>
  <c r="J75" i="3"/>
  <c r="J74" i="3"/>
  <c r="J73" i="3"/>
  <c r="J80" i="3"/>
  <c r="J16" i="3"/>
  <c r="J47" i="3"/>
  <c r="J86" i="3"/>
  <c r="J22" i="3"/>
  <c r="J26" i="3"/>
  <c r="J53" i="3"/>
  <c r="J59" i="3"/>
  <c r="J65" i="3"/>
  <c r="J68" i="3"/>
  <c r="J4" i="3"/>
  <c r="I31" i="3"/>
  <c r="I42" i="3"/>
  <c r="I43" i="3"/>
  <c r="I62" i="3"/>
  <c r="I61" i="3"/>
  <c r="I7" i="3"/>
  <c r="I18" i="3"/>
  <c r="I69" i="3"/>
  <c r="I33" i="3"/>
  <c r="I104" i="3"/>
  <c r="I72" i="3"/>
  <c r="I40" i="3"/>
  <c r="I8" i="3"/>
  <c r="J11" i="3"/>
  <c r="J58" i="3"/>
  <c r="J57" i="3"/>
  <c r="J72" i="3"/>
  <c r="J103" i="3"/>
  <c r="J39" i="3"/>
  <c r="J78" i="3"/>
  <c r="J14" i="3"/>
  <c r="J3" i="3"/>
  <c r="J45" i="3"/>
  <c r="J35" i="3"/>
  <c r="J25" i="3"/>
  <c r="J60" i="3"/>
  <c r="I107" i="3"/>
  <c r="I19" i="3"/>
  <c r="I26" i="3"/>
  <c r="I35" i="3"/>
  <c r="I50" i="3"/>
  <c r="I5" i="3"/>
  <c r="I102" i="3"/>
  <c r="I14" i="3"/>
  <c r="I65" i="3"/>
  <c r="I29" i="3"/>
  <c r="I100" i="3"/>
  <c r="I68" i="3"/>
  <c r="I36" i="3"/>
  <c r="I4" i="3"/>
  <c r="J8" i="3"/>
  <c r="J42" i="3"/>
  <c r="J49" i="3"/>
  <c r="J64" i="3"/>
  <c r="J95" i="3"/>
  <c r="J31" i="3"/>
  <c r="J70" i="3"/>
  <c r="J6" i="3"/>
  <c r="J101" i="3"/>
  <c r="J37" i="3"/>
  <c r="J106" i="3"/>
  <c r="J96" i="3"/>
  <c r="J52" i="3"/>
  <c r="I99" i="3"/>
  <c r="I11" i="3"/>
  <c r="I6" i="3"/>
  <c r="I23" i="3"/>
  <c r="I34" i="3"/>
  <c r="I103" i="3"/>
  <c r="I82" i="3"/>
  <c r="I105" i="3"/>
  <c r="I57" i="3"/>
  <c r="I25" i="3"/>
  <c r="I96" i="3"/>
  <c r="I64" i="3"/>
  <c r="I32" i="3"/>
  <c r="I3" i="3"/>
  <c r="J107" i="3"/>
  <c r="J34" i="3"/>
  <c r="J41" i="3"/>
  <c r="J56" i="3"/>
  <c r="J87" i="3"/>
  <c r="J23" i="3"/>
  <c r="J62" i="3"/>
  <c r="J91" i="3"/>
  <c r="J93" i="3"/>
  <c r="J29" i="3"/>
  <c r="J90" i="3"/>
  <c r="J108" i="3"/>
  <c r="J44" i="3"/>
  <c r="I91" i="3"/>
  <c r="I98" i="3"/>
  <c r="I95" i="3"/>
  <c r="I15" i="3"/>
  <c r="I22" i="3"/>
  <c r="I83" i="3"/>
  <c r="I70" i="3"/>
  <c r="I97" i="3"/>
  <c r="I53" i="3"/>
  <c r="I21" i="3"/>
  <c r="I92" i="3"/>
  <c r="I60" i="3"/>
  <c r="I28" i="3"/>
  <c r="J83" i="3"/>
  <c r="J10" i="3"/>
  <c r="J33" i="3"/>
  <c r="J48" i="3"/>
  <c r="J79" i="3"/>
  <c r="J15" i="3"/>
  <c r="J54" i="3"/>
  <c r="J67" i="3"/>
  <c r="J85" i="3"/>
  <c r="J21" i="3"/>
  <c r="J66" i="3"/>
  <c r="J100" i="3"/>
  <c r="J36" i="3"/>
  <c r="I79" i="3"/>
  <c r="I90" i="3"/>
  <c r="I87" i="3"/>
  <c r="I106" i="3"/>
  <c r="I10" i="3"/>
  <c r="I67" i="3"/>
  <c r="I58" i="3"/>
  <c r="I93" i="3"/>
  <c r="I49" i="3"/>
  <c r="I17" i="3"/>
  <c r="I88" i="3"/>
  <c r="I56" i="3"/>
  <c r="I24" i="3"/>
  <c r="X111" i="1"/>
  <c r="X110" i="1"/>
  <c r="W3" i="3" l="1"/>
  <c r="X3" i="3"/>
  <c r="S3" i="3"/>
  <c r="N3" i="3"/>
  <c r="P3" i="3" s="1"/>
  <c r="M3" i="3"/>
  <c r="O3" i="3" s="1"/>
  <c r="Z111" i="1"/>
  <c r="Z110" i="1"/>
  <c r="Y111" i="1"/>
  <c r="Y110" i="1"/>
  <c r="X110" i="3" l="1"/>
  <c r="X111" i="3"/>
  <c r="W110" i="3"/>
  <c r="W111" i="3"/>
  <c r="O110" i="3"/>
  <c r="Q3" i="3"/>
  <c r="O111" i="3"/>
  <c r="P110" i="3"/>
  <c r="P111" i="3"/>
  <c r="Q111" i="3"/>
  <c r="Q110" i="3"/>
  <c r="S111" i="3"/>
  <c r="S110" i="3"/>
  <c r="T3" i="3"/>
  <c r="AB110" i="1"/>
  <c r="AB111" i="1"/>
  <c r="AJ110" i="1"/>
  <c r="AI111" i="1"/>
  <c r="AH3" i="1"/>
  <c r="AH111" i="1" s="1"/>
  <c r="AG110" i="1"/>
  <c r="U3" i="3" l="1"/>
  <c r="T111" i="3"/>
  <c r="T110" i="3"/>
  <c r="AJ111" i="1"/>
  <c r="AI110" i="1"/>
  <c r="AH110" i="1"/>
  <c r="AG111" i="1"/>
  <c r="U111" i="3" l="1"/>
  <c r="U110" i="3"/>
  <c r="R127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<sst xmlns="http://schemas.openxmlformats.org/spreadsheetml/2006/main" count="886" uniqueCount="839">
  <si>
    <t>thigh_length</t>
  </si>
  <si>
    <t>spring_length</t>
  </si>
  <si>
    <t>spring_force</t>
  </si>
  <si>
    <t>spring_x_force</t>
  </si>
  <si>
    <t>spring_y_force</t>
  </si>
  <si>
    <t>thigh_angle</t>
  </si>
  <si>
    <t>cable_thigh_angle</t>
  </si>
  <si>
    <t>peak flex</t>
  </si>
  <si>
    <t>peak ext</t>
  </si>
  <si>
    <t>age range</t>
  </si>
  <si>
    <t>min</t>
  </si>
  <si>
    <t>max</t>
  </si>
  <si>
    <t>stride length (m)</t>
  </si>
  <si>
    <t>waist circumference (cm):</t>
  </si>
  <si>
    <t>waist radius (cm)</t>
  </si>
  <si>
    <t>1/4 stride (cm)</t>
  </si>
  <si>
    <t>AVG (m):</t>
  </si>
  <si>
    <t>rads</t>
  </si>
  <si>
    <t>height</t>
  </si>
  <si>
    <t>thigh length</t>
  </si>
  <si>
    <t>hip to spring attachment</t>
  </si>
  <si>
    <t>waist to hip height</t>
  </si>
  <si>
    <t>LA to cable angle (rad)</t>
  </si>
  <si>
    <t>degrees</t>
  </si>
  <si>
    <t xml:space="preserve">pulley theta_0 </t>
  </si>
  <si>
    <t>pulley reaction force (N)</t>
  </si>
  <si>
    <t>x-direction</t>
  </si>
  <si>
    <t>y-direction</t>
  </si>
  <si>
    <t>PLUS pulley extra length (cm)</t>
  </si>
  <si>
    <t>MAX</t>
  </si>
  <si>
    <t>MIN</t>
  </si>
  <si>
    <t>INPUTS + PARAMETERS</t>
  </si>
  <si>
    <t>material selection</t>
  </si>
  <si>
    <t>E (Gpa)</t>
  </si>
  <si>
    <t>E (Mpa)</t>
  </si>
  <si>
    <t>yield strength (mpa)</t>
  </si>
  <si>
    <t>UTS (mpa)</t>
  </si>
  <si>
    <t>LA cross section</t>
  </si>
  <si>
    <t>h (mm)</t>
  </si>
  <si>
    <t>b (mm)</t>
  </si>
  <si>
    <t>moment of inertia</t>
  </si>
  <si>
    <t>(doesnt change with LA lenght, it is dependant on pulley dimensions)</t>
  </si>
  <si>
    <t>mm^4</t>
  </si>
  <si>
    <t>hip to SPRING height (cm)</t>
  </si>
  <si>
    <t>total height from waist to SPRING (cm)</t>
  </si>
  <si>
    <t>(7/8 down from hip)</t>
  </si>
  <si>
    <t>31.427949344492713</t>
  </si>
  <si>
    <t>27.025441719813426</t>
  </si>
  <si>
    <t>37.22888047263169</t>
  </si>
  <si>
    <t>22.986255692084555</t>
  </si>
  <si>
    <t>29.285176975794556</t>
  </si>
  <si>
    <t>1.696493178660846</t>
  </si>
  <si>
    <t>0.5397754837324762</t>
  </si>
  <si>
    <t>31.772632877997378</t>
  </si>
  <si>
    <t>26.720528675734357</t>
  </si>
  <si>
    <t>35.70431525223634</t>
  </si>
  <si>
    <t>20.80383803774897</t>
  </si>
  <si>
    <t>29.017209557953464</t>
  </si>
  <si>
    <t>1.6429334807899174</t>
  </si>
  <si>
    <t>0.5498731528490903</t>
  </si>
  <si>
    <t>31.45259448757764</t>
  </si>
  <si>
    <t>25.946305621837332</t>
  </si>
  <si>
    <t>31.83319998275122</t>
  </si>
  <si>
    <t>17.921189098391977</t>
  </si>
  <si>
    <t>26.309382403270302</t>
  </si>
  <si>
    <t>1.5990966570073473</t>
  </si>
  <si>
    <t>0.5696766506375415</t>
  </si>
  <si>
    <t>31.68911485037093</t>
  </si>
  <si>
    <t>25.531410901255793</t>
  </si>
  <si>
    <t>29.758726379843523</t>
  </si>
  <si>
    <t>15.711727556315715</t>
  </si>
  <si>
    <t>25.272977920033565</t>
  </si>
  <si>
    <t>1.5468110283718912</t>
  </si>
  <si>
    <t>0.5801942811150034</t>
  </si>
  <si>
    <t>31.30546917073757</t>
  </si>
  <si>
    <t>24.424712156188193</t>
  </si>
  <si>
    <t>24.225232654505522</t>
  </si>
  <si>
    <t>11.995635913585513</t>
  </si>
  <si>
    <t>21.046772108654054</t>
  </si>
  <si>
    <t>0.6075927215567889</t>
  </si>
  <si>
    <t>31.62606045652857</t>
  </si>
  <si>
    <t>24.047721593838197</t>
  </si>
  <si>
    <t>22.340279842755546</t>
  </si>
  <si>
    <t>10.172738735871253</t>
  </si>
  <si>
    <t>19.889783560017296</t>
  </si>
  <si>
    <t>1.4293017226740306</t>
  </si>
  <si>
    <t>0.6142645401769793</t>
  </si>
  <si>
    <t>31.74578082202421</t>
  </si>
  <si>
    <t>23.283033402073702</t>
  </si>
  <si>
    <t>18.51683888393307</t>
  </si>
  <si>
    <t>7.533149876477694</t>
  </si>
  <si>
    <t>16.91522909073536</t>
  </si>
  <si>
    <t>1.3610450384429165</t>
  </si>
  <si>
    <t>31.205539572325936</t>
  </si>
  <si>
    <t>22.20960969967727</t>
  </si>
  <si>
    <t>13.149720371950906</t>
  </si>
  <si>
    <t>5.066284903776264</t>
  </si>
  <si>
    <t>12.134574699356769</t>
  </si>
  <si>
    <t>1.3112054117851104</t>
  </si>
  <si>
    <t>0.6550988990847875</t>
  </si>
  <si>
    <t>31.398882145707034</t>
  </si>
  <si>
    <t>21.88437270938315</t>
  </si>
  <si>
    <t>11.52353542048031</t>
  </si>
  <si>
    <t>4.081131440036859</t>
  </si>
  <si>
    <t>10.776652298195717</t>
  </si>
  <si>
    <t>1.2744281901833192</t>
  </si>
  <si>
    <t>0.6583797624635301</t>
  </si>
  <si>
    <t>32.02923664404134</t>
  </si>
  <si>
    <t>21.914239248634956</t>
  </si>
  <si>
    <t>11.672868116739341</t>
  </si>
  <si>
    <t>3.6324957253335683</t>
  </si>
  <si>
    <t>11.093278364677559</t>
  </si>
  <si>
    <t>1.2387775709342415</t>
  </si>
  <si>
    <t>0.6484651382318016</t>
  </si>
  <si>
    <t>31.598360716973914</t>
  </si>
  <si>
    <t>20.99671650016942</t>
  </si>
  <si>
    <t>7.085254374411658</t>
  </si>
  <si>
    <t>2.0532725122549853</t>
  </si>
  <si>
    <t>6.781216818575973</t>
  </si>
  <si>
    <t>1.1955790400645312</t>
  </si>
  <si>
    <t>31.764894144322287</t>
  </si>
  <si>
    <t>20.80780592082514</t>
  </si>
  <si>
    <t>6.1407014776902535</t>
  </si>
  <si>
    <t>1.636352783615433</t>
  </si>
  <si>
    <t>5.918662366249767</t>
  </si>
  <si>
    <t>1.1718157609614148</t>
  </si>
  <si>
    <t>0.6687160802181351</t>
  </si>
  <si>
    <t>31.312471956075274</t>
  </si>
  <si>
    <t>20.075876227774867</t>
  </si>
  <si>
    <t>2.481053012438892</t>
  </si>
  <si>
    <t>0.6391901638794667</t>
  </si>
  <si>
    <t>1.1437195143673278</t>
  </si>
  <si>
    <t>0.6876439429267305</t>
  </si>
  <si>
    <t>31.488871049943974</t>
  </si>
  <si>
    <t>20.180834920380683</t>
  </si>
  <si>
    <t>3.0058464754679726</t>
  </si>
  <si>
    <t>1.1413828862397808</t>
  </si>
  <si>
    <t>19.713687574547233</t>
  </si>
  <si>
    <t>0.6701097463007244</t>
  </si>
  <si>
    <t>0.1673762563397052</t>
  </si>
  <si>
    <t>0.6488699876715878</t>
  </si>
  <si>
    <t>1.126970859088436</t>
  </si>
  <si>
    <t>0.6962727258184018</t>
  </si>
  <si>
    <t>31.24482037074306</t>
  </si>
  <si>
    <t>19.698675667523325</t>
  </si>
  <si>
    <t>0.5950502111811851</t>
  </si>
  <si>
    <t>0.14315763668609327</t>
  </si>
  <si>
    <t>0.5775730645426823</t>
  </si>
  <si>
    <t>1.1197446734336014</t>
  </si>
  <si>
    <t>0.6940158016930358</t>
  </si>
  <si>
    <t>19.584203426170056</t>
  </si>
  <si>
    <t>0.022689004414839786</t>
  </si>
  <si>
    <t>1.117924162727814</t>
  </si>
  <si>
    <t>0.6981473023837967</t>
  </si>
  <si>
    <t>31.247030258890213</t>
  </si>
  <si>
    <t>19.579665625287088</t>
  </si>
  <si>
    <t>1.1108698970657558</t>
  </si>
  <si>
    <t>0.6954429139234477</t>
  </si>
  <si>
    <t>31.367403462830648</t>
  </si>
  <si>
    <t>19.943507481896898</t>
  </si>
  <si>
    <t>1.819209283049048</t>
  </si>
  <si>
    <t>0.44689568896776677</t>
  </si>
  <si>
    <t>1.7634643911102532</t>
  </si>
  <si>
    <t>1.1308179988232165</t>
  </si>
  <si>
    <t>0.6881724390442585</t>
  </si>
  <si>
    <t>30.97119306710672</t>
  </si>
  <si>
    <t>19.740787583609073</t>
  </si>
  <si>
    <t>0.8056097916099247</t>
  </si>
  <si>
    <t>0.2126574524534704</t>
  </si>
  <si>
    <t>0.7770353558582688</t>
  </si>
  <si>
    <t>1.1383434492781066</t>
  </si>
  <si>
    <t>0.6995895850990042</t>
  </si>
  <si>
    <t>30.879821890678063</t>
  </si>
  <si>
    <t>19.89667214721856</t>
  </si>
  <si>
    <t>1.5850326096573575</t>
  </si>
  <si>
    <t>0.44358348671412084</t>
  </si>
  <si>
    <t>1.5216970999485266</t>
  </si>
  <si>
    <t>0.6993383445177814</t>
  </si>
  <si>
    <t>20.278405767132544</t>
  </si>
  <si>
    <t>3.4937007092272765</t>
  </si>
  <si>
    <t>1.0155648710601124</t>
  </si>
  <si>
    <t>3.3428390087355133</t>
  </si>
  <si>
    <t>1.1750879126206342</t>
  </si>
  <si>
    <t>31.06697442622954</t>
  </si>
  <si>
    <t>20.552708191761763</t>
  </si>
  <si>
    <t>4.865212832373373</t>
  </si>
  <si>
    <t>1.4760805142002633</t>
  </si>
  <si>
    <t>4.635890660907441</t>
  </si>
  <si>
    <t>1.1933383561766249</t>
  </si>
  <si>
    <t>0.6857113949178237</t>
  </si>
  <si>
    <t>31.504006094463595</t>
  </si>
  <si>
    <t>21.025501303838723</t>
  </si>
  <si>
    <t>7.229178392758175</t>
  </si>
  <si>
    <t>2.156906347372309</t>
  </si>
  <si>
    <t>6.899911248921012</t>
  </si>
  <si>
    <t>1.2032578622001049</t>
  </si>
  <si>
    <t>0.6705136534209117</t>
  </si>
  <si>
    <t>31.08395084283849</t>
  </si>
  <si>
    <t>20.85756627812736</t>
  </si>
  <si>
    <t>6.389503264201366</t>
  </si>
  <si>
    <t>2.0404977332881766</t>
  </si>
  <si>
    <t>6.054925347490729</t>
  </si>
  <si>
    <t>1.2152638409274374</t>
  </si>
  <si>
    <t>0.6805776064385674</t>
  </si>
  <si>
    <t>30.75008943076426</t>
  </si>
  <si>
    <t>20.664995264450265</t>
  </si>
  <si>
    <t>5.426648195815886</t>
  </si>
  <si>
    <t>5.117609407460238</t>
  </si>
  <si>
    <t>1.2202471521316214</t>
  </si>
  <si>
    <t>0.6896575787738162</t>
  </si>
  <si>
    <t>31.238975655421232</t>
  </si>
  <si>
    <t>21.12025278719076</t>
  </si>
  <si>
    <t>7.702935809518365</t>
  </si>
  <si>
    <t>2.487519747092035</t>
  </si>
  <si>
    <t>7.290230832654583</t>
  </si>
  <si>
    <t>1.2259636028507397</t>
  </si>
  <si>
    <t>0.6736579163247813</t>
  </si>
  <si>
    <t>30.83683673790164</t>
  </si>
  <si>
    <t>20.63126508234443</t>
  </si>
  <si>
    <t>5.257997285286713</t>
  </si>
  <si>
    <t>1.706399056215868</t>
  </si>
  <si>
    <t>4.973403031429087</t>
  </si>
  <si>
    <t>1.212632936150837</t>
  </si>
  <si>
    <t>0.6886824442644888</t>
  </si>
  <si>
    <t>31.076140365238405</t>
  </si>
  <si>
    <t>7.214638271128564</t>
  </si>
  <si>
    <t>6.812633148441916</t>
  </si>
  <si>
    <t>1.2281836595648814</t>
  </si>
  <si>
    <t>0.6780111048099171</t>
  </si>
  <si>
    <t>30.867005037742153</t>
  </si>
  <si>
    <t>20.946036839881472</t>
  </si>
  <si>
    <t>2.321646264116103</t>
  </si>
  <si>
    <t>6.4252794512082545</t>
  </si>
  <si>
    <t>1.2347024938171445</t>
  </si>
  <si>
    <t>0.6828263276033448</t>
  </si>
  <si>
    <t>30.825992279243824</t>
  </si>
  <si>
    <t>21.137571311846138</t>
  </si>
  <si>
    <t>7.789528432795247</t>
  </si>
  <si>
    <t>2.751693675964175</t>
  </si>
  <si>
    <t>7.287313299082478</t>
  </si>
  <si>
    <t>1.251712979899762</t>
  </si>
  <si>
    <t>0.6801320198112888</t>
  </si>
  <si>
    <t>30.90851015497188</t>
  </si>
  <si>
    <t>21.439826946986084</t>
  </si>
  <si>
    <t>3.3852715316419886</t>
  </si>
  <si>
    <t>8.662848274423268</t>
  </si>
  <si>
    <t>1.2699187126581726</t>
  </si>
  <si>
    <t>0.6734109025537462</t>
  </si>
  <si>
    <t>30.88272170648176</t>
  </si>
  <si>
    <t>21.469274647161736</t>
  </si>
  <si>
    <t>3.470944049430592</t>
  </si>
  <si>
    <t>8.787383216548255</t>
  </si>
  <si>
    <t>1.2737257956903563</t>
  </si>
  <si>
    <t>0.6732520264213815</t>
  </si>
  <si>
    <t>31.063472117585306</t>
  </si>
  <si>
    <t>21.355873361901985</t>
  </si>
  <si>
    <t>8.881038683074483</t>
  </si>
  <si>
    <t>3.0952329367515006</t>
  </si>
  <si>
    <t>8.324204536021085</t>
  </si>
  <si>
    <t>1.2542376223992495</t>
  </si>
  <si>
    <t>0.6725519442649062</t>
  </si>
  <si>
    <t>31.70856824266905</t>
  </si>
  <si>
    <t>21.728221710132182</t>
  </si>
  <si>
    <t>10.742780424225469</t>
  </si>
  <si>
    <t>3.475986086800053</t>
  </si>
  <si>
    <t>10.164883273677784</t>
  </si>
  <si>
    <t>1.2439595491274558</t>
  </si>
  <si>
    <t>0.6563313651325802</t>
  </si>
  <si>
    <t>31.26122998219999</t>
  </si>
  <si>
    <t>21.595545695838737</t>
  </si>
  <si>
    <t>10.079400352758245</t>
  </si>
  <si>
    <t>3.5059760179443606</t>
  </si>
  <si>
    <t>9.449997017607046</t>
  </si>
  <si>
    <t>1.2606790361148223</t>
  </si>
  <si>
    <t>0.6653790312818024</t>
  </si>
  <si>
    <t>31.074764681329448</t>
  </si>
  <si>
    <t>21.70137092750124</t>
  </si>
  <si>
    <t>10.608526511070764</t>
  </si>
  <si>
    <t>3.889846341903519</t>
  </si>
  <si>
    <t>9.869646912249245</t>
  </si>
  <si>
    <t>1.279986821250155</t>
  </si>
  <si>
    <t>0.6662385126842327</t>
  </si>
  <si>
    <t>31.636474203046077</t>
  </si>
  <si>
    <t>22.705445066482778</t>
  </si>
  <si>
    <t>15.628897205978447</t>
  </si>
  <si>
    <t>5.983582042140671</t>
  </si>
  <si>
    <t>14.438115313987922</t>
  </si>
  <si>
    <t>1.3229811180541202</t>
  </si>
  <si>
    <t>0.6406986575496258</t>
  </si>
  <si>
    <t>16.154238072726557</t>
  </si>
  <si>
    <t>6.409478627026426</t>
  </si>
  <si>
    <t>14.828283496076667</t>
  </si>
  <si>
    <t>1.3386700307042179</t>
  </si>
  <si>
    <t>0.6401190315624312</t>
  </si>
  <si>
    <t>32.016478569636604</t>
  </si>
  <si>
    <t>23.733370115134164</t>
  </si>
  <si>
    <t>20.76852244923538</t>
  </si>
  <si>
    <t>8.580363669383894</t>
  </si>
  <si>
    <t>18.913193385187782</t>
  </si>
  <si>
    <t>0.6176012109883195</t>
  </si>
  <si>
    <t>31.69212678253071</t>
  </si>
  <si>
    <t>23.901847705373058</t>
  </si>
  <si>
    <t>21.610910400429848</t>
  </si>
  <si>
    <t>9.582398432381922</t>
  </si>
  <si>
    <t>19.37031462363199</t>
  </si>
  <si>
    <t>1.4133250417076606</t>
  </si>
  <si>
    <t>0.6168659213416052</t>
  </si>
  <si>
    <t>31.94037100598551</t>
  </si>
  <si>
    <t>24.476496160643688</t>
  </si>
  <si>
    <t>24.484152676782998</t>
  </si>
  <si>
    <t>11.207754255601337</t>
  </si>
  <si>
    <t>21.768325081321027</t>
  </si>
  <si>
    <t>1.443024002511771</t>
  </si>
  <si>
    <t>0.6032412927396513</t>
  </si>
  <si>
    <t>32.05223861136692</t>
  </si>
  <si>
    <t>25.11320387814532</t>
  </si>
  <si>
    <t>27.66769126429116</t>
  </si>
  <si>
    <t>13.39264368723183</t>
  </si>
  <si>
    <t>24.210291922299962</t>
  </si>
  <si>
    <t>1.4870850876641877</t>
  </si>
  <si>
    <t>0.5889924529029362</t>
  </si>
  <si>
    <t>30.90554966345041</t>
  </si>
  <si>
    <t>24.134453317864196</t>
  </si>
  <si>
    <t>22.77393846288554</t>
  </si>
  <si>
    <t>11.506522942889035</t>
  </si>
  <si>
    <t>19.653300050527534</t>
  </si>
  <si>
    <t>1.4842962468218441</t>
  </si>
  <si>
    <t>0.6161712353058562</t>
  </si>
  <si>
    <t>31.710919255045262</t>
  </si>
  <si>
    <t>25.30860895930962</t>
  </si>
  <si>
    <t>28.644716670112658</t>
  </si>
  <si>
    <t>14.760579614251025</t>
  </si>
  <si>
    <t>1.5266331418011008</t>
  </si>
  <si>
    <t>0.5855191047693751</t>
  </si>
  <si>
    <t>31.95239740614153</t>
  </si>
  <si>
    <t>25.705774714980762</t>
  </si>
  <si>
    <t>30.63054544846837</t>
  </si>
  <si>
    <t>15.953546143538551</t>
  </si>
  <si>
    <t>26.147938349259444</t>
  </si>
  <si>
    <t>1.542938788882605</t>
  </si>
  <si>
    <t>31.430268850265985</t>
  </si>
  <si>
    <t>25.64640917893548</t>
  </si>
  <si>
    <t>30.333717768241968</t>
  </si>
  <si>
    <t>16.663572043414973</t>
  </si>
  <si>
    <t>25.346790731713497</t>
  </si>
  <si>
    <t>1.5749324789166403</t>
  </si>
  <si>
    <t>0.5774399028416245</t>
  </si>
  <si>
    <t>31.30654244722659</t>
  </si>
  <si>
    <t>25.732561239511394</t>
  </si>
  <si>
    <t>30.76447807112153</t>
  </si>
  <si>
    <t>17.25839760598302</t>
  </si>
  <si>
    <t>25.46764266794862</t>
  </si>
  <si>
    <t>1.5912407623179796</t>
  </si>
  <si>
    <t>0.5751302337065678</t>
  </si>
  <si>
    <t>31.726432197774773</t>
  </si>
  <si>
    <t>26.404226441739535</t>
  </si>
  <si>
    <t>34.122804082262235</t>
  </si>
  <si>
    <t>19.43771497286987</t>
  </si>
  <si>
    <t>28.04533820566125</t>
  </si>
  <si>
    <t>1.618724252435091</t>
  </si>
  <si>
    <t>0.5581398810373349</t>
  </si>
  <si>
    <t>31.61774343624162</t>
  </si>
  <si>
    <t>26.455477281254694</t>
  </si>
  <si>
    <t>34.379058279838034</t>
  </si>
  <si>
    <t>19.890124290160845</t>
  </si>
  <si>
    <t>28.04108778079862</t>
  </si>
  <si>
    <t>1.6312422468859085</t>
  </si>
  <si>
    <t>0.5565082011849393</t>
  </si>
  <si>
    <t>31.56627630874444</t>
  </si>
  <si>
    <t>26.77974070206389</t>
  </si>
  <si>
    <t>36.000375383884005</t>
  </si>
  <si>
    <t>21.511433036396998</t>
  </si>
  <si>
    <t>28.86668107873105</t>
  </si>
  <si>
    <t>1.663750708867383</t>
  </si>
  <si>
    <t>0.5474672479053603</t>
  </si>
  <si>
    <t>31.79034444607356</t>
  </si>
  <si>
    <t>38.495740210120566</t>
  </si>
  <si>
    <t>23.45177992454625</t>
  </si>
  <si>
    <t>1.6912496634743317</t>
  </si>
  <si>
    <t>0.5346037889025158</t>
  </si>
  <si>
    <t>31.368680240010093</t>
  </si>
  <si>
    <t>27.16045076639863</t>
  </si>
  <si>
    <t>37.903925705557704</t>
  </si>
  <si>
    <t>23.77775905975613</t>
  </si>
  <si>
    <t>29.518227554997665</t>
  </si>
  <si>
    <t>1.713459802874031</t>
  </si>
  <si>
    <t>0.5354391253826608</t>
  </si>
  <si>
    <t>31.22768323138942</t>
  </si>
  <si>
    <t>27.308965093799088</t>
  </si>
  <si>
    <t>24.824145678892968</t>
  </si>
  <si>
    <t>29.619479201390366</t>
  </si>
  <si>
    <t>1.738419334486189</t>
  </si>
  <si>
    <t>0.5299229897081866</t>
  </si>
  <si>
    <t>31.286554620155925</t>
  </si>
  <si>
    <t>27.709237224162067</t>
  </si>
  <si>
    <t>40.64785799437489</t>
  </si>
  <si>
    <t>26.75516730866998</t>
  </si>
  <si>
    <t>30.600806881779178</t>
  </si>
  <si>
    <t>1.7712633995463445</t>
  </si>
  <si>
    <t>0.5179826618871475</t>
  </si>
  <si>
    <t>27.74746120910164</t>
  </si>
  <si>
    <t>40.83897791907276</t>
  </si>
  <si>
    <t>27.461174070477206</t>
  </si>
  <si>
    <t>30.227570794648102</t>
  </si>
  <si>
    <t>1.7938305329545703</t>
  </si>
  <si>
    <t>0.5144468263759115</t>
  </si>
  <si>
    <t>31.330917637375386</t>
  </si>
  <si>
    <t>28.177679172856923</t>
  </si>
  <si>
    <t>42.990067737849174</t>
  </si>
  <si>
    <t>29.14990834069142</t>
  </si>
  <si>
    <t>31.597923473452315</t>
  </si>
  <si>
    <t>1.8125237248284227</t>
  </si>
  <si>
    <t>0.5033945741595535</t>
  </si>
  <si>
    <t>30.92348783691775</t>
  </si>
  <si>
    <t>27.986988074708133</t>
  </si>
  <si>
    <t>42.036612247105225</t>
  </si>
  <si>
    <t>29.046597034072548</t>
  </si>
  <si>
    <t>30.38703621536139</t>
  </si>
  <si>
    <t>1.8287948831567098</t>
  </si>
  <si>
    <t>0.5048498839187068</t>
  </si>
  <si>
    <t>30.865440220414804</t>
  </si>
  <si>
    <t>28.029141488602765</t>
  </si>
  <si>
    <t>42.24737931657838</t>
  </si>
  <si>
    <t>29.406020664967787</t>
  </si>
  <si>
    <t>30.333595365046033</t>
  </si>
  <si>
    <t>1.838014504645224</t>
  </si>
  <si>
    <t>0.5026542719490795</t>
  </si>
  <si>
    <t>31.128854781376077</t>
  </si>
  <si>
    <t>28.407973015576722</t>
  </si>
  <si>
    <t>44.141536951448174</t>
  </si>
  <si>
    <t>30.88731967537465</t>
  </si>
  <si>
    <t>31.53488176142854</t>
  </si>
  <si>
    <t>1.8527143622465627</t>
  </si>
  <si>
    <t>0.49310659348394625</t>
  </si>
  <si>
    <t>31.16245176490451</t>
  </si>
  <si>
    <t>28.474542172898907</t>
  </si>
  <si>
    <t>44.47438273805909</t>
  </si>
  <si>
    <t>31.17943591320487</t>
  </si>
  <si>
    <t>31.71456283895017</t>
  </si>
  <si>
    <t>1.8564131442825351</t>
  </si>
  <si>
    <t>0.4912731571506862</t>
  </si>
  <si>
    <t>30.80761756449206</t>
  </si>
  <si>
    <t>28.195717813407526</t>
  </si>
  <si>
    <t>43.08026094060219</t>
  </si>
  <si>
    <t>30.451148562666745</t>
  </si>
  <si>
    <t>30.47353661662482</t>
  </si>
  <si>
    <t>1.859796964201692</t>
  </si>
  <si>
    <t>0.49603005502409026</t>
  </si>
  <si>
    <t>31.23133842793164</t>
  </si>
  <si>
    <t>28.738228054181704</t>
  </si>
  <si>
    <t>45.792812144473075</t>
  </si>
  <si>
    <t>32.501517514316035</t>
  </si>
  <si>
    <t>32.25884380081854</t>
  </si>
  <si>
    <t>1.8768519673503423</t>
  </si>
  <si>
    <t>0.4830897622444622</t>
  </si>
  <si>
    <t>28.474542172898904</t>
  </si>
  <si>
    <t>44.47438273805908</t>
  </si>
  <si>
    <t>31.714562838950147</t>
  </si>
  <si>
    <t>0.4912731571506864</t>
  </si>
  <si>
    <t>31.58098320192074</t>
  </si>
  <si>
    <t>28.718629951646463</t>
  </si>
  <si>
    <t>45.69482163179687</t>
  </si>
  <si>
    <t>31.539481656931613</t>
  </si>
  <si>
    <t>33.06475193879134</t>
  </si>
  <si>
    <t>1.8439635885550116</t>
  </si>
  <si>
    <t>0.4886258390362739</t>
  </si>
  <si>
    <t>31.38903152376639</t>
  </si>
  <si>
    <t>28.482971703174506</t>
  </si>
  <si>
    <t>44.516530389437094</t>
  </si>
  <si>
    <t>32.248170771191276</t>
  </si>
  <si>
    <t>1.837411615561708</t>
  </si>
  <si>
    <t>0.49400448067246294</t>
  </si>
  <si>
    <t>31.394171433563912</t>
  </si>
  <si>
    <t>28.315724826439382</t>
  </si>
  <si>
    <t>43.68029600576147</t>
  </si>
  <si>
    <t>29.754295478131542</t>
  </si>
  <si>
    <t>31.97890179088366</t>
  </si>
  <si>
    <t>1.8205648179755156</t>
  </si>
  <si>
    <t>0.49960943970924265</t>
  </si>
  <si>
    <t>31.72101196368111</t>
  </si>
  <si>
    <t>28.14667674809387</t>
  </si>
  <si>
    <t>42.83505561403391</t>
  </si>
  <si>
    <t>28.069081867831418</t>
  </si>
  <si>
    <t>32.35689466797387</t>
  </si>
  <si>
    <t>1.7768475386001983</t>
  </si>
  <si>
    <t>0.5085059338667798</t>
  </si>
  <si>
    <t>31.40011624182305</t>
  </si>
  <si>
    <t>39.79227486056756</t>
  </si>
  <si>
    <t>25.616714933340162</t>
  </si>
  <si>
    <t>30.450107628757966</t>
  </si>
  <si>
    <t>1.7458928414990789</t>
  </si>
  <si>
    <t>0.5243065444681803</t>
  </si>
  <si>
    <t>31.547006197102125</t>
  </si>
  <si>
    <t>27.122378918694487</t>
  </si>
  <si>
    <t>23.208870528487612</t>
  </si>
  <si>
    <t>29.726443185411814</t>
  </si>
  <si>
    <t>1.6960163049673171</t>
  </si>
  <si>
    <t>0.5376714032395817</t>
  </si>
  <si>
    <t>31.44679633921395</t>
  </si>
  <si>
    <t>26.68176465513583</t>
  </si>
  <si>
    <t>35.51049514924371</t>
  </si>
  <si>
    <t>21.291935155072043</t>
  </si>
  <si>
    <t>28.419161899969325</t>
  </si>
  <si>
    <t>1.6641049093019085</t>
  </si>
  <si>
    <t>31.580945204347508</t>
  </si>
  <si>
    <t>26.148444969312973</t>
  </si>
  <si>
    <t>32.84389672012942</t>
  </si>
  <si>
    <t>18.57185542589419</t>
  </si>
  <si>
    <t>27.088885872294796</t>
  </si>
  <si>
    <t>1.607218742158379</t>
  </si>
  <si>
    <t>0.5645664503324969</t>
  </si>
  <si>
    <t>31.44259849312713</t>
  </si>
  <si>
    <t>25.27430679148701</t>
  </si>
  <si>
    <t>28.47320583099961</t>
  </si>
  <si>
    <t>15.088177442430457</t>
  </si>
  <si>
    <t>24.146849727453123</t>
  </si>
  <si>
    <t>1.5424869971412236</t>
  </si>
  <si>
    <t>0.5868013202976079</t>
  </si>
  <si>
    <t>31.52328821680885</t>
  </si>
  <si>
    <t>24.808717284886875</t>
  </si>
  <si>
    <t>26.145258297998932</t>
  </si>
  <si>
    <t>13.106446292177836</t>
  </si>
  <si>
    <t>22.622899837539393</t>
  </si>
  <si>
    <t>1.4980875746773203</t>
  </si>
  <si>
    <t>31.041064736893286</t>
  </si>
  <si>
    <t>23.747556152958158</t>
  </si>
  <si>
    <t>20.839452638355347</t>
  </si>
  <si>
    <t>9.941912545750442</t>
  </si>
  <si>
    <t>18.315052858206705</t>
  </si>
  <si>
    <t>1.4435243740966182</t>
  </si>
  <si>
    <t>31.415946587680587</t>
  </si>
  <si>
    <t>23.141690431458986</t>
  </si>
  <si>
    <t>17.81012403085949</t>
  </si>
  <si>
    <t>7.500833396874078</t>
  </si>
  <si>
    <t>16.15357596159244</t>
  </si>
  <si>
    <t>1.370841311829368</t>
  </si>
  <si>
    <t>0.6346740607377535</t>
  </si>
  <si>
    <t>31.57608272094561</t>
  </si>
  <si>
    <t>22.756143200338588</t>
  </si>
  <si>
    <t>6.189585299584621</t>
  </si>
  <si>
    <t>14.626663270865723</t>
  </si>
  <si>
    <t>1.3306567073163202</t>
  </si>
  <si>
    <t>0.6404603914041258</t>
  </si>
  <si>
    <t>31.725221827435654</t>
  </si>
  <si>
    <t>22.240736578277076</t>
  </si>
  <si>
    <t>13.30535476494994</t>
  </si>
  <si>
    <t>4.671955896930701</t>
  </si>
  <si>
    <t>12.458141655893566</t>
  </si>
  <si>
    <t>1.2818454143420892</t>
  </si>
  <si>
    <t>0.6477323339285481</t>
  </si>
  <si>
    <t>21.72822171013218</t>
  </si>
  <si>
    <t>10.742780424225451</t>
  </si>
  <si>
    <t>3.4759860868000407</t>
  </si>
  <si>
    <t>10.16488327367777</t>
  </si>
  <si>
    <t>0.6563313651325795</t>
  </si>
  <si>
    <t>31.960671144392453</t>
  </si>
  <si>
    <t>21.628542957400192</t>
  </si>
  <si>
    <t>10.244386660565521</t>
  </si>
  <si>
    <t>3.0706607177525993</t>
  </si>
  <si>
    <t>9.773356680671379</t>
  </si>
  <si>
    <t>1.2214372294912361</t>
  </si>
  <si>
    <t>0.6537800541045167</t>
  </si>
  <si>
    <t>31.636943594475113</t>
  </si>
  <si>
    <t>20.97416644648138</t>
  </si>
  <si>
    <t>1.9917284705919844</t>
  </si>
  <si>
    <t>1.1916399518468996</t>
  </si>
  <si>
    <t>0.6688458846899081</t>
  </si>
  <si>
    <t>31.59467834936764</t>
  </si>
  <si>
    <t>20.704063112920885</t>
  </si>
  <si>
    <t>5.621987438168983</t>
  </si>
  <si>
    <t>1.535444937362474</t>
  </si>
  <si>
    <t>1.1740087643740187</t>
  </si>
  <si>
    <t>31.680167297538066</t>
  </si>
  <si>
    <t>20.545113436134532</t>
  </si>
  <si>
    <t>4.827239054237218</t>
  </si>
  <si>
    <t>1.2425253788713255</t>
  </si>
  <si>
    <t>1.1572833497249138</t>
  </si>
  <si>
    <t>0.6738422734268277</t>
  </si>
  <si>
    <t>31.31225478945903</t>
  </si>
  <si>
    <t>19.951875157857938</t>
  </si>
  <si>
    <t>1.8610476628542472</t>
  </si>
  <si>
    <t>0.46593481475999665</t>
  </si>
  <si>
    <t>1.8017777753679345</t>
  </si>
  <si>
    <t>1.1345743299496804</t>
  </si>
  <si>
    <t>0.6892756979145369</t>
  </si>
  <si>
    <t>31.305632081144772</t>
  </si>
  <si>
    <t>19.820836614535544</t>
  </si>
  <si>
    <t>1.2058549462422796</t>
  </si>
  <si>
    <t>0.2931849136298058</t>
  </si>
  <si>
    <t>1.1696703628787277</t>
  </si>
  <si>
    <t>1.1252921761065937</t>
  </si>
  <si>
    <t>0.6911001456228181</t>
  </si>
  <si>
    <t>31.080220398188953</t>
  </si>
  <si>
    <t>19.600672482502958</t>
  </si>
  <si>
    <t>0.1050342860793485</t>
  </si>
  <si>
    <t>0.025991777195027863</t>
  </si>
  <si>
    <t>0.10176752316157868</t>
  </si>
  <si>
    <t>1.1218260347662066</t>
  </si>
  <si>
    <t>0.6990280601454346</t>
  </si>
  <si>
    <t>31.189543119449503</t>
  </si>
  <si>
    <t>19.586366972312895</t>
  </si>
  <si>
    <t>0.033506735129034126</t>
  </si>
  <si>
    <t>1.1146048458144875</t>
  </si>
  <si>
    <t>0.6966956784581835</t>
  </si>
  <si>
    <t>31.75633007763964</t>
  </si>
  <si>
    <t>20.14361929977619</t>
  </si>
  <si>
    <t>2.8197683724455125</t>
  </si>
  <si>
    <t>0.6420604626985937</t>
  </si>
  <si>
    <t>2.7456970037648514</t>
  </si>
  <si>
    <t>1.123344484654477</t>
  </si>
  <si>
    <t>0.6771665324590106</t>
  </si>
  <si>
    <t>31.47601626635746</t>
  </si>
  <si>
    <t>20.049571521066774</t>
  </si>
  <si>
    <t>2.349529478898429</t>
  </si>
  <si>
    <t>0.5723952942458685</t>
  </si>
  <si>
    <t>2.2787392126651764</t>
  </si>
  <si>
    <t>1.132441787709425</t>
  </si>
  <si>
    <t>0.6844523893368784</t>
  </si>
  <si>
    <t>31.25266388645934</t>
  </si>
  <si>
    <t>19.951223267887467</t>
  </si>
  <si>
    <t>1.8577882130018963</t>
  </si>
  <si>
    <t>0.4734827622516956</t>
  </si>
  <si>
    <t>1.7964384537799463</t>
  </si>
  <si>
    <t>1.1379192461307446</t>
  </si>
  <si>
    <t>0.6905838178567925</t>
  </si>
  <si>
    <t>31.714618080626487</t>
  </si>
  <si>
    <t>20.819306152057525</t>
  </si>
  <si>
    <t>6.198202633852183</t>
  </si>
  <si>
    <t>1.6790959562561272</t>
  </si>
  <si>
    <t>5.966435507065879</t>
  </si>
  <si>
    <t>1.1755928759922103</t>
  </si>
  <si>
    <t>0.6695317997592665</t>
  </si>
  <si>
    <t>31.468142620752175</t>
  </si>
  <si>
    <t>20.872917559694667</t>
  </si>
  <si>
    <t>6.466259672037893</t>
  </si>
  <si>
    <t>1.8897030445906553</t>
  </si>
  <si>
    <t>6.1839741711530785</t>
  </si>
  <si>
    <t>1.1939486138657105</t>
  </si>
  <si>
    <t>0.6734165026779504</t>
  </si>
  <si>
    <t>31.666417542879717</t>
  </si>
  <si>
    <t>21.115988553594452</t>
  </si>
  <si>
    <t>7.681614641536818</t>
  </si>
  <si>
    <t>2.240523992092033</t>
  </si>
  <si>
    <t>7.347602040253188</t>
  </si>
  <si>
    <t>1.2004936771005055</t>
  </si>
  <si>
    <t>0.6662786737653899</t>
  </si>
  <si>
    <t>31.29341464270078</t>
  </si>
  <si>
    <t>20.94037011698586</t>
  </si>
  <si>
    <t>6.8035224584938625</t>
  </si>
  <si>
    <t>2.1012848617088187</t>
  </si>
  <si>
    <t>6.4708979108917895</t>
  </si>
  <si>
    <t>1.2092205622960515</t>
  </si>
  <si>
    <t>31.451742400064248</t>
  </si>
  <si>
    <t>21.03058628374526</t>
  </si>
  <si>
    <t>7.2546032922908665</t>
  </si>
  <si>
    <t>2.194261756425811</t>
  </si>
  <si>
    <t>6.914801824550332</t>
  </si>
  <si>
    <t>1.2067041825343088</t>
  </si>
  <si>
    <t>0.6713696096550295</t>
  </si>
  <si>
    <t>20.696064297216775</t>
  </si>
  <si>
    <t>5.581993359648436</t>
  </si>
  <si>
    <t>1.7266041563631547</t>
  </si>
  <si>
    <t>5.308247164025873</t>
  </si>
  <si>
    <t>1.2023526670803113</t>
  </si>
  <si>
    <t>0.6829181440035474</t>
  </si>
  <si>
    <t>30.975706610180826</t>
  </si>
  <si>
    <t>20.582052766790945</t>
  </si>
  <si>
    <t>5.011935707519282</t>
  </si>
  <si>
    <t>1.5622960618242643</t>
  </si>
  <si>
    <t>4.762219078488011</t>
  </si>
  <si>
    <t>1.2008411168276403</t>
  </si>
  <si>
    <t>0.6869527485444553</t>
  </si>
  <si>
    <t>31.004252934073406</t>
  </si>
  <si>
    <t>20.728193122862375</t>
  </si>
  <si>
    <t>5.742637487876436</t>
  </si>
  <si>
    <t>1.8253228103286263</t>
  </si>
  <si>
    <t>5.4448215723986575</t>
  </si>
  <si>
    <t>1.2101759040413802</t>
  </si>
  <si>
    <t>0.6840861309204265</t>
  </si>
  <si>
    <t>30.88161265219159</t>
  </si>
  <si>
    <t>20.787208617415928</t>
  </si>
  <si>
    <t>6.037714960644198</t>
  </si>
  <si>
    <t>1.992368007571295</t>
  </si>
  <si>
    <t>1.221803998565304</t>
  </si>
  <si>
    <t>0.6852822303557782</t>
  </si>
  <si>
    <t>31.076140365238423</t>
  </si>
  <si>
    <t>21.022593279512822</t>
  </si>
  <si>
    <t>7.2146382711286705</t>
  </si>
  <si>
    <t>2.3746652328240963</t>
  </si>
  <si>
    <t>6.812633148442016</t>
  </si>
  <si>
    <t>0.6780111048099173</t>
  </si>
  <si>
    <t>30.548774116157258</t>
  </si>
  <si>
    <t>20.597536856513333</t>
  </si>
  <si>
    <t>5.089356156131224</t>
  </si>
  <si>
    <t>1.7473051906658574</t>
  </si>
  <si>
    <t>4.780007390645221</t>
  </si>
  <si>
    <t>1.2268916008717432</t>
  </si>
  <si>
    <t>0.6943599432952401</t>
  </si>
  <si>
    <t>31.28316000662338</t>
  </si>
  <si>
    <t>21.102932756772525</t>
  </si>
  <si>
    <t>7.616335657427182</t>
  </si>
  <si>
    <t>2.4279286460940144</t>
  </si>
  <si>
    <t>7.218984093075205</t>
  </si>
  <si>
    <t>1.222052633632687</t>
  </si>
  <si>
    <t>0.6731848022283566</t>
  </si>
  <si>
    <t>31.415042575174073</t>
  </si>
  <si>
    <t>21.054931892831835</t>
  </si>
  <si>
    <t>7.376331337723734</t>
  </si>
  <si>
    <t>2.2610042455066406</t>
  </si>
  <si>
    <t>7.0212622658383985</t>
  </si>
  <si>
    <t>1.2106844256157023</t>
  </si>
  <si>
    <t>31.806925346534218</t>
  </si>
  <si>
    <t>21.536752076650462</t>
  </si>
  <si>
    <t>9.785432256816868</t>
  </si>
  <si>
    <t>2.9904932783785703</t>
  </si>
  <si>
    <t>1.2236906900619315</t>
  </si>
  <si>
    <t>0.6576811442191646</t>
  </si>
  <si>
    <t>31.543818728873017</t>
  </si>
  <si>
    <t>21.63204480317518</t>
  </si>
  <si>
    <t>10.26189588944046</t>
  </si>
  <si>
    <t>3.385225163350679</t>
  </si>
  <si>
    <t>9.687453630295856</t>
  </si>
  <si>
    <t>1.2465395119319804</t>
  </si>
  <si>
    <t>0.6604364662070699</t>
  </si>
  <si>
    <t>31.472802544419185</t>
  </si>
  <si>
    <t>21.843235594527865</t>
  </si>
  <si>
    <t>11.317849846203885</t>
  </si>
  <si>
    <t>3.9239040611445786</t>
  </si>
  <si>
    <t>10.615870292168719</t>
  </si>
  <si>
    <t>1.266831053994595</t>
  </si>
  <si>
    <t>0.6580163851129781</t>
  </si>
  <si>
    <t>slope at right support (bolts midpoint)</t>
  </si>
  <si>
    <t>slope at left support (pin equivalent force)</t>
  </si>
  <si>
    <t>slope at load</t>
  </si>
  <si>
    <t>lengths (mm)</t>
  </si>
  <si>
    <t>b - bolt to load</t>
  </si>
  <si>
    <t>maximum deflection (mm)</t>
  </si>
  <si>
    <t>cross sectional area</t>
  </si>
  <si>
    <t>mm^2</t>
  </si>
  <si>
    <t>Al alloy 1100</t>
  </si>
  <si>
    <t>WRC thickness</t>
  </si>
  <si>
    <t>Pin length</t>
  </si>
  <si>
    <t>LA ONLY:</t>
  </si>
  <si>
    <t>L - total LA (center of pulley)</t>
  </si>
  <si>
    <t>mm</t>
  </si>
  <si>
    <t>total length (waist to end of LA):</t>
  </si>
  <si>
    <t>cm</t>
  </si>
  <si>
    <t>LA to pulley center</t>
  </si>
  <si>
    <t>thigh angle degrees (from x)</t>
  </si>
  <si>
    <t>centerline (y-axis) to thigh angle (deg)</t>
  </si>
  <si>
    <t>length of LA exposed past spring (cm)</t>
  </si>
  <si>
    <t>centerline to SPRING distance x-axis (cm)</t>
  </si>
  <si>
    <t>Pulley assembly:</t>
  </si>
  <si>
    <t>Pulley</t>
  </si>
  <si>
    <t>shaft</t>
  </si>
  <si>
    <t>volume mm^3</t>
  </si>
  <si>
    <t>enclosure (sides)</t>
  </si>
  <si>
    <t>enclosure (top)</t>
  </si>
  <si>
    <t>total</t>
  </si>
  <si>
    <t>m^3</t>
  </si>
  <si>
    <t>density (kg/m3)</t>
  </si>
  <si>
    <t>mass (kg):</t>
  </si>
  <si>
    <t>a - pin (eq force pt) to bolt</t>
  </si>
  <si>
    <t>equivalent force pt</t>
  </si>
  <si>
    <t>y-direction + pulley weight</t>
  </si>
  <si>
    <t>weight force (N)</t>
  </si>
  <si>
    <t>mm^3</t>
  </si>
  <si>
    <t>volume (LA only)</t>
  </si>
  <si>
    <t>volume (dowel pin)</t>
  </si>
  <si>
    <t>center of mass (x direction - dowel pin starts at x=0)</t>
  </si>
  <si>
    <t>TOTAL Vol (LA+pin)</t>
  </si>
  <si>
    <t>mass (kg)</t>
  </si>
  <si>
    <t>weight F (N)</t>
  </si>
  <si>
    <t>pulley reaction to LA angle (rad)</t>
  </si>
  <si>
    <t>pulley force (N)</t>
  </si>
  <si>
    <t>reaction forces (at each side of mounting)</t>
  </si>
  <si>
    <t>max V [N]</t>
  </si>
  <si>
    <t>min V [N]</t>
  </si>
  <si>
    <t>safety factor</t>
  </si>
  <si>
    <t>MAX shear stress [N/mm2 = Mpa]</t>
  </si>
  <si>
    <t>TRASNVERSE shear from max load - shaft</t>
  </si>
  <si>
    <t>internal bending moment - shaft</t>
  </si>
  <si>
    <t>shaft:</t>
  </si>
  <si>
    <t>mm2</t>
  </si>
  <si>
    <t>diameter</t>
  </si>
  <si>
    <t>length</t>
  </si>
  <si>
    <t>M max [N*mm]</t>
  </si>
  <si>
    <t>bending stress (Mpa)</t>
  </si>
  <si>
    <t>MIN shear stress [N/mm2 = Mpa]</t>
  </si>
  <si>
    <t>fatigue</t>
  </si>
  <si>
    <t>Sn=</t>
  </si>
  <si>
    <t>Sn'</t>
  </si>
  <si>
    <t>C Reliability</t>
  </si>
  <si>
    <t>C Load</t>
  </si>
  <si>
    <t>C Gradient</t>
  </si>
  <si>
    <t>C Surface</t>
  </si>
  <si>
    <t>C Temp</t>
  </si>
  <si>
    <t>bending</t>
  </si>
  <si>
    <t>under 10mm diameter</t>
  </si>
  <si>
    <t>machined / cold drawn</t>
  </si>
  <si>
    <t>95% reliability</t>
  </si>
  <si>
    <t>&gt; 840 F</t>
  </si>
  <si>
    <t>stress mean</t>
  </si>
  <si>
    <t>stress amplitude</t>
  </si>
  <si>
    <t>modified goodman</t>
  </si>
  <si>
    <t>Su</t>
  </si>
  <si>
    <t>deflection - concentrated center load</t>
  </si>
  <si>
    <t>slope at ends (theta)</t>
  </si>
  <si>
    <t>I</t>
  </si>
  <si>
    <t>mm4</t>
  </si>
  <si>
    <t>max deflection (at center) mm</t>
  </si>
  <si>
    <t>DEFLECTION - overhung beam</t>
  </si>
  <si>
    <t>distributed load length</t>
  </si>
  <si>
    <t>Fx - axial load</t>
  </si>
  <si>
    <t>Fy - radial load</t>
  </si>
  <si>
    <t>LA cross sectional area mm2</t>
  </si>
  <si>
    <t>pin cross sectional area mm2</t>
  </si>
  <si>
    <t>PIN max shear stress [Mpa]</t>
  </si>
  <si>
    <t>V pin / La before bolt [N]</t>
  </si>
  <si>
    <t>V LA after bolt [N]</t>
  </si>
  <si>
    <t>LA (before bolt) max shear stress [Mpa]</t>
  </si>
  <si>
    <t>LA (after bolt) max shear stress [Mpa]</t>
  </si>
  <si>
    <t>transverse shear force (V)</t>
  </si>
  <si>
    <t>M max pin [N*mm]</t>
  </si>
  <si>
    <t>pin diameter mm</t>
  </si>
  <si>
    <t>pin bending stress [Mpa]</t>
  </si>
  <si>
    <t>M max LA [N*mm]</t>
  </si>
  <si>
    <t>LA moment of inertia mm4</t>
  </si>
  <si>
    <t>LA bending stress [Mpa]</t>
  </si>
  <si>
    <t>internal bending moment (M)</t>
  </si>
  <si>
    <t>axial stress</t>
  </si>
  <si>
    <t>LA ideal axial stress [Mpa]</t>
  </si>
  <si>
    <t>PIN ideal stress [Mpa]</t>
  </si>
  <si>
    <t>max stress at fillet [Mpa]</t>
  </si>
  <si>
    <t>bolt diameter d (mm)</t>
  </si>
  <si>
    <t>LA h (mm)</t>
  </si>
  <si>
    <t>LA b (mm)</t>
  </si>
  <si>
    <t>stress at bolt hole [Mpa]</t>
  </si>
  <si>
    <t>bending / axial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</si>
</sst>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14" fillId="0" borderId="0" xfId="0" applyFont="1"/>
    <xf numFmtId="0" fontId="16" fillId="0" borderId="0" xfId="0" applyFont="1"/>
    <xf numFmtId="0" fontId="16" fillId="0" borderId="0" xfId="0" applyFont="1" applyAlignment="1">
      <alignment wrapText="1"/>
    </xf>
    <xf numFmtId="0" fontId="18" fillId="0" borderId="0" xfId="0" applyFont="1"/>
    <xf numFmtId="0" fontId="0" fillId="0" borderId="0" xfId="0" quotePrefix="1"/>
    <xf numFmtId="0" fontId="14" fillId="33" borderId="0" xfId="0" applyFont="1" applyFill="1"/>
    <xf numFmtId="0" fontId="18" fillId="33" borderId="0" xfId="0" applyFont="1" applyFill="1" applyAlignment="1">
      <alignment horizontal="center"/>
    </xf>
    <xf numFmtId="0" fontId="18" fillId="33" borderId="0" xfId="0" applyFont="1" applyFill="1" applyAlignment="1">
      <alignment horizontal="center" wrapText="1"/>
    </xf>
    <xf numFmtId="0" fontId="0" fillId="0" borderId="0" xfId="0" applyFill="1"/>
    <xf numFmtId="0" fontId="18" fillId="33" borderId="0" xfId="0" applyFont="1" applyFill="1" applyAlignment="1">
      <alignment wrapText="1"/>
    </xf>
    <xf numFmtId="0" fontId="18" fillId="33" borderId="0" xfId="0" applyFont="1" applyFill="1" applyAlignment="1">
      <alignment horizontal="center"/>
    </xf>
    <xf numFmtId="0" fontId="16" fillId="0" borderId="0" xfId="0" applyFont="1" applyFill="1"/>
    <xf numFmtId="0" fontId="14" fillId="0" borderId="0" xfId="0" applyFont="1" applyFill="1"/>
    <xf numFmtId="0" fontId="16" fillId="34" borderId="0" xfId="0" applyFont="1" applyFill="1"/>
    <xf numFmtId="0" fontId="14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1"/>
  <sheetViews>
    <sheetView tabSelected="1" topLeftCell="W1" workbookViewId="0">
      <selection activeCell="AH119" sqref="AH119"/>
    </sheetView>
  </sheetViews>
  <sheetFormatPr baseColWidth="10" defaultRowHeight="16" x14ac:dyDescent="0.2"/>
  <cols>
    <col min="9" max="9" width="10.83203125" style="4"/>
    <col min="31" max="31" width="13.33203125" customWidth="1"/>
    <col min="33" max="33" width="12.1640625" bestFit="1" customWidth="1"/>
  </cols>
  <sheetData>
    <row r="1" spans="1:36" x14ac:dyDescent="0.2">
      <c r="AG1" s="9" t="s">
        <v>811</v>
      </c>
      <c r="AH1" s="9"/>
      <c r="AI1" s="9"/>
      <c r="AJ1" s="9"/>
    </row>
    <row r="2" spans="1:36" s="1" customFormat="1" ht="85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s="5" t="s">
        <v>748</v>
      </c>
      <c r="L2" s="1" t="s">
        <v>749</v>
      </c>
      <c r="M2" s="1" t="s">
        <v>17</v>
      </c>
      <c r="N2" s="1" t="s">
        <v>751</v>
      </c>
      <c r="O2" s="1" t="s">
        <v>43</v>
      </c>
      <c r="P2" s="1" t="s">
        <v>750</v>
      </c>
      <c r="Q2" s="1" t="s">
        <v>28</v>
      </c>
      <c r="R2" s="1" t="s">
        <v>44</v>
      </c>
      <c r="S2" s="1" t="s">
        <v>22</v>
      </c>
      <c r="T2" s="1" t="s">
        <v>23</v>
      </c>
      <c r="U2" s="1" t="s">
        <v>24</v>
      </c>
      <c r="V2" s="1" t="s">
        <v>17</v>
      </c>
      <c r="W2" s="1" t="s">
        <v>773</v>
      </c>
      <c r="X2" s="5" t="s">
        <v>25</v>
      </c>
      <c r="Y2" s="5" t="s">
        <v>26</v>
      </c>
      <c r="Z2" s="5" t="s">
        <v>27</v>
      </c>
      <c r="AA2" s="5"/>
      <c r="AB2" s="5" t="s">
        <v>764</v>
      </c>
      <c r="AC2" s="5"/>
      <c r="AG2" s="1" t="s">
        <v>732</v>
      </c>
      <c r="AH2" s="1" t="s">
        <v>731</v>
      </c>
      <c r="AI2" s="1" t="s">
        <v>733</v>
      </c>
      <c r="AJ2" s="1" t="s">
        <v>736</v>
      </c>
    </row>
    <row r="3" spans="1:36" x14ac:dyDescent="0.2">
      <c r="A3">
        <v>1</v>
      </c>
      <c r="B3" s="7" t="s">
        <v>46</v>
      </c>
      <c r="C3" s="7" t="s">
        <v>47</v>
      </c>
      <c r="D3" s="7" t="s">
        <v>48</v>
      </c>
      <c r="E3" s="7" t="s">
        <v>49</v>
      </c>
      <c r="F3" s="7" t="s">
        <v>50</v>
      </c>
      <c r="G3" s="7" t="s">
        <v>51</v>
      </c>
      <c r="H3" s="7" t="s">
        <v>52</v>
      </c>
      <c r="I3" s="4">
        <f t="shared" ref="I3:I34" si="0">DEGREES(G3)</f>
        <v>97.201899109999658</v>
      </c>
      <c r="L3">
        <f>90-I3</f>
        <v>-7.2018991099996583</v>
      </c>
      <c r="M3">
        <f>RADIANS(L3)</f>
        <v>-0.12569685186594332</v>
      </c>
      <c r="N3">
        <f>'lever arm selection'!$B$21*SIN(M3)</f>
        <v>-4.6521250782336434</v>
      </c>
      <c r="O3">
        <f>'lever arm selection'!$B$21*COS(M3)</f>
        <v>36.815548194399142</v>
      </c>
      <c r="P3">
        <f>'lever arm selection'!$C$7-N3</f>
        <v>34.817125078233644</v>
      </c>
      <c r="Q3">
        <f>P3+0.8</f>
        <v>35.617125078233641</v>
      </c>
      <c r="R3">
        <f>O3+'lever arm selection'!$B$22</f>
        <v>54.125548194399144</v>
      </c>
      <c r="S3">
        <f t="shared" ref="S3:S34" si="1">ATAN(R3/Q3)</f>
        <v>0.98878532910084993</v>
      </c>
      <c r="T3">
        <f>DEGREES(S3)</f>
        <v>56.653226201932839</v>
      </c>
      <c r="U3">
        <f>90-(T3/2)</f>
        <v>61.673386899033581</v>
      </c>
      <c r="V3">
        <f>RADIANS(U3)</f>
        <v>1.0764036622444717</v>
      </c>
      <c r="W3">
        <f>S3/2</f>
        <v>0.49439266455042497</v>
      </c>
      <c r="X3">
        <f t="shared" ref="X3:X34" si="2">2*D3*SIN(V3)</f>
        <v>65.541969080362463</v>
      </c>
      <c r="Y3">
        <f>X3*COS(W3)</f>
        <v>57.693780425242196</v>
      </c>
      <c r="Z3">
        <f>X3*SIN(W3)</f>
        <v>31.099476059495434</v>
      </c>
      <c r="AB3">
        <f>Z3+pulley!$B$12</f>
        <v>31.211365284478241</v>
      </c>
      <c r="AE3" t="s">
        <v>734</v>
      </c>
      <c r="AG3">
        <f>AB3*$AF$5*$AF$6/(6*'lever arm selection'!$J$5*'lever arm selection'!$J$19)</f>
        <v>3.0109692569841928E-4</v>
      </c>
      <c r="AH3">
        <f>AB3*$AF$5*$AF$6/(3*'lever arm selection'!$J$5*'lever arm selection'!$J$19)</f>
        <v>6.0219385139683855E-4</v>
      </c>
      <c r="AI3">
        <f>(AB3*$AF$6/(6*'lever arm selection'!$J$5*'lever arm selection'!$J$19))*(2*$AF$4+$AF$6)</f>
        <v>2.0071287807315709E-3</v>
      </c>
      <c r="AJ3">
        <f>AB3*($AF$6^2)*$AF$4/(3*'lever arm selection'!$J$5*'lever arm selection'!$J$19)</f>
        <v>0.10770308970208309</v>
      </c>
    </row>
    <row r="4" spans="1:36" x14ac:dyDescent="0.2">
      <c r="A4">
        <v>2</v>
      </c>
      <c r="B4" s="7" t="s">
        <v>53</v>
      </c>
      <c r="C4" s="7" t="s">
        <v>54</v>
      </c>
      <c r="D4" s="7" t="s">
        <v>55</v>
      </c>
      <c r="E4" s="7" t="s">
        <v>56</v>
      </c>
      <c r="F4" s="7" t="s">
        <v>57</v>
      </c>
      <c r="G4" s="7" t="s">
        <v>58</v>
      </c>
      <c r="H4" s="7" t="s">
        <v>59</v>
      </c>
      <c r="I4" s="4">
        <f t="shared" si="0"/>
        <v>94.133154469999553</v>
      </c>
      <c r="L4">
        <f t="shared" ref="L4:L34" si="3">90-I4</f>
        <v>-4.1331544699995533</v>
      </c>
      <c r="M4">
        <f t="shared" ref="M4:M67" si="4">RADIANS(L4)</f>
        <v>-7.2137153995013401E-2</v>
      </c>
      <c r="N4">
        <f>'lever arm selection'!$B$21*SIN(M4)</f>
        <v>-2.6745670061275391</v>
      </c>
      <c r="O4">
        <f>'lever arm selection'!$B$21*COS(M4)</f>
        <v>37.011802819200668</v>
      </c>
      <c r="P4">
        <f>'lever arm selection'!$C$7-N4</f>
        <v>32.839567006127538</v>
      </c>
      <c r="Q4">
        <f t="shared" ref="Q4:Q67" si="5">P4+0.8</f>
        <v>33.639567006127535</v>
      </c>
      <c r="R4">
        <f>O4+'lever arm selection'!$B$22</f>
        <v>54.32180281920067</v>
      </c>
      <c r="S4">
        <f t="shared" si="1"/>
        <v>1.01633201237407</v>
      </c>
      <c r="T4">
        <f t="shared" ref="T4:T67" si="6">DEGREES(S4)</f>
        <v>58.231534893071967</v>
      </c>
      <c r="U4">
        <f t="shared" ref="U4:U67" si="7">90-(T4/2)</f>
        <v>60.884232553464017</v>
      </c>
      <c r="V4">
        <f t="shared" ref="V4:V67" si="8">RADIANS(U4)</f>
        <v>1.0626303206078616</v>
      </c>
      <c r="W4">
        <f t="shared" ref="W4:W67" si="9">S4/2</f>
        <v>0.508166006187035</v>
      </c>
      <c r="X4">
        <f t="shared" si="2"/>
        <v>62.385318375480161</v>
      </c>
      <c r="Y4">
        <f t="shared" ref="Y4:Y67" si="10">X4*COS(W4)</f>
        <v>54.502206824513401</v>
      </c>
      <c r="Z4">
        <f t="shared" ref="Z4:Z67" si="11">X4*SIN(W4)</f>
        <v>30.355187366708627</v>
      </c>
      <c r="AB4">
        <f>Z4+pulley!$B$12</f>
        <v>30.467076591691434</v>
      </c>
      <c r="AE4" t="s">
        <v>743</v>
      </c>
      <c r="AF4" s="8">
        <f>'lever arm selection'!C16+'lever arm selection'!C15+'lever arm selection'!C17-AF9</f>
        <v>114.99083066403961</v>
      </c>
      <c r="AG4">
        <f>AB4*$AF$5*$AF$6/(6*'lever arm selection'!$J$5*'lever arm selection'!$J$19)</f>
        <v>2.9391675157954949E-4</v>
      </c>
      <c r="AH4">
        <f>AB4*$AF$5*$AF$6/(3*'lever arm selection'!$J$5*'lever arm selection'!$J$19)</f>
        <v>5.8783350315909897E-4</v>
      </c>
      <c r="AI4">
        <f>(AB4*$AF$6/(6*'lever arm selection'!$J$5*'lever arm selection'!$J$19))*(2*$AF$4+$AF$6)</f>
        <v>1.9592653424343556E-3</v>
      </c>
      <c r="AJ4">
        <f>AB4*($AF$6^2)*$AF$4/(3*'lever arm selection'!$J$5*'lever arm selection'!$J$19)</f>
        <v>0.10513472426491559</v>
      </c>
    </row>
    <row r="5" spans="1:36" x14ac:dyDescent="0.2">
      <c r="A5">
        <v>3</v>
      </c>
      <c r="B5" s="7" t="s">
        <v>60</v>
      </c>
      <c r="C5" s="7" t="s">
        <v>61</v>
      </c>
      <c r="D5" s="7" t="s">
        <v>62</v>
      </c>
      <c r="E5" s="7" t="s">
        <v>63</v>
      </c>
      <c r="F5" s="7" t="s">
        <v>64</v>
      </c>
      <c r="G5" s="7" t="s">
        <v>65</v>
      </c>
      <c r="H5" s="7" t="s">
        <v>66</v>
      </c>
      <c r="I5" s="4">
        <f t="shared" si="0"/>
        <v>91.621489479999582</v>
      </c>
      <c r="L5">
        <f t="shared" si="3"/>
        <v>-1.6214894799995818</v>
      </c>
      <c r="M5">
        <f t="shared" si="4"/>
        <v>-2.8300330212443447E-2</v>
      </c>
      <c r="N5">
        <f>'lever arm selection'!$B$21*SIN(M5)</f>
        <v>-1.0500373202761417</v>
      </c>
      <c r="O5">
        <f>'lever arm selection'!$B$21*COS(M5)</f>
        <v>37.093453306799084</v>
      </c>
      <c r="P5">
        <f>'lever arm selection'!$C$7-N5</f>
        <v>31.215037320276146</v>
      </c>
      <c r="Q5">
        <f t="shared" si="5"/>
        <v>32.015037320276143</v>
      </c>
      <c r="R5">
        <f>O5+'lever arm selection'!$B$22</f>
        <v>54.403453306799079</v>
      </c>
      <c r="S5">
        <f t="shared" si="1"/>
        <v>1.038894669365839</v>
      </c>
      <c r="T5">
        <f t="shared" si="6"/>
        <v>59.524279913301669</v>
      </c>
      <c r="U5">
        <f t="shared" si="7"/>
        <v>60.237860043349166</v>
      </c>
      <c r="V5">
        <f t="shared" si="8"/>
        <v>1.0513489921119772</v>
      </c>
      <c r="W5">
        <f t="shared" si="9"/>
        <v>0.51944733468291948</v>
      </c>
      <c r="X5">
        <f t="shared" si="2"/>
        <v>55.268397881743269</v>
      </c>
      <c r="Y5">
        <f t="shared" si="10"/>
        <v>47.978145553538674</v>
      </c>
      <c r="Z5">
        <f t="shared" si="11"/>
        <v>27.435257492105681</v>
      </c>
      <c r="AB5">
        <f>Z5+pulley!$B$12</f>
        <v>27.547146717088488</v>
      </c>
      <c r="AE5" t="s">
        <v>762</v>
      </c>
      <c r="AF5" s="8">
        <f>60-AF9</f>
        <v>45</v>
      </c>
      <c r="AG5">
        <f>AB5*$AF$5*$AF$6/(6*'lever arm selection'!$J$5*'lever arm selection'!$J$19)</f>
        <v>2.6574810530327956E-4</v>
      </c>
      <c r="AH5">
        <f>AB5*$AF$5*$AF$6/(3*'lever arm selection'!$J$5*'lever arm selection'!$J$19)</f>
        <v>5.3149621060655911E-4</v>
      </c>
      <c r="AI5">
        <f>(AB5*$AF$6/(6*'lever arm selection'!$J$5*'lever arm selection'!$J$19))*(2*$AF$4+$AF$6)</f>
        <v>1.7714915864446394E-3</v>
      </c>
      <c r="AJ5">
        <f>AB5*($AF$6^2)*$AF$4/(3*'lever arm selection'!$J$5*'lever arm selection'!$J$19)</f>
        <v>9.505873219145923E-2</v>
      </c>
    </row>
    <row r="6" spans="1:36" x14ac:dyDescent="0.2">
      <c r="A6">
        <v>4</v>
      </c>
      <c r="B6" s="7" t="s">
        <v>67</v>
      </c>
      <c r="C6" s="7" t="s">
        <v>68</v>
      </c>
      <c r="D6" s="7" t="s">
        <v>69</v>
      </c>
      <c r="E6" s="7" t="s">
        <v>70</v>
      </c>
      <c r="F6" s="7" t="s">
        <v>71</v>
      </c>
      <c r="G6" s="7" t="s">
        <v>72</v>
      </c>
      <c r="H6" s="7" t="s">
        <v>73</v>
      </c>
      <c r="I6" s="4">
        <f t="shared" si="0"/>
        <v>88.625743629999945</v>
      </c>
      <c r="L6">
        <f t="shared" si="3"/>
        <v>1.3742563700000545</v>
      </c>
      <c r="M6">
        <f t="shared" si="4"/>
        <v>2.3985298423006379E-2</v>
      </c>
      <c r="N6">
        <f>'lever arm selection'!$B$21*SIN(M6)</f>
        <v>0.88996861121182103</v>
      </c>
      <c r="O6">
        <f>'lever arm selection'!$B$21*COS(M6)</f>
        <v>37.097638906926598</v>
      </c>
      <c r="P6">
        <f>'lever arm selection'!$C$7-N6</f>
        <v>29.275031388788182</v>
      </c>
      <c r="Q6">
        <f t="shared" si="5"/>
        <v>30.075031388788183</v>
      </c>
      <c r="R6">
        <f>O6+'lever arm selection'!$B$22</f>
        <v>54.407638906926593</v>
      </c>
      <c r="S6">
        <f t="shared" si="1"/>
        <v>1.0658272231521555</v>
      </c>
      <c r="T6">
        <f t="shared" si="6"/>
        <v>61.067401576766692</v>
      </c>
      <c r="U6">
        <f t="shared" si="7"/>
        <v>59.466299211616658</v>
      </c>
      <c r="V6">
        <f t="shared" si="8"/>
        <v>1.0378827152188188</v>
      </c>
      <c r="W6">
        <f t="shared" si="9"/>
        <v>0.53291361157607775</v>
      </c>
      <c r="X6">
        <f t="shared" si="2"/>
        <v>51.264196306515046</v>
      </c>
      <c r="Y6">
        <f t="shared" si="10"/>
        <v>44.155414942975312</v>
      </c>
      <c r="Z6">
        <f t="shared" si="11"/>
        <v>26.044522536736643</v>
      </c>
      <c r="AB6">
        <f>Z6+pulley!$B$12</f>
        <v>26.15641176171945</v>
      </c>
      <c r="AE6" t="s">
        <v>735</v>
      </c>
      <c r="AF6" s="8">
        <f>AF4-AF5</f>
        <v>69.990830664039606</v>
      </c>
      <c r="AG6">
        <f>AB6*$AF$5*$AF$6/(6*'lever arm selection'!$J$5*'lever arm selection'!$J$19)</f>
        <v>2.5233164576342115E-4</v>
      </c>
      <c r="AH6">
        <f>AB6*$AF$5*$AF$6/(3*'lever arm selection'!$J$5*'lever arm selection'!$J$19)</f>
        <v>5.046632915268423E-4</v>
      </c>
      <c r="AI6">
        <f>(AB6*$AF$6/(6*'lever arm selection'!$J$5*'lever arm selection'!$J$19))*(2*$AF$4+$AF$6)</f>
        <v>1.6820567241805778E-3</v>
      </c>
      <c r="AJ6">
        <f>AB6*($AF$6^2)*$AF$4/(3*'lever arm selection'!$J$5*'lever arm selection'!$J$19)</f>
        <v>9.0259632559492015E-2</v>
      </c>
    </row>
    <row r="7" spans="1:36" x14ac:dyDescent="0.2">
      <c r="A7">
        <v>5</v>
      </c>
      <c r="B7" s="7" t="s">
        <v>74</v>
      </c>
      <c r="C7" s="7" t="s">
        <v>75</v>
      </c>
      <c r="D7" s="7" t="s">
        <v>76</v>
      </c>
      <c r="E7" s="7" t="s">
        <v>77</v>
      </c>
      <c r="F7" s="7" t="s">
        <v>78</v>
      </c>
      <c r="G7">
        <v>1.4812354037459601</v>
      </c>
      <c r="H7" s="7" t="s">
        <v>79</v>
      </c>
      <c r="I7" s="4">
        <f t="shared" si="0"/>
        <v>84.868537099999998</v>
      </c>
      <c r="L7">
        <f t="shared" si="3"/>
        <v>5.1314629000000025</v>
      </c>
      <c r="M7">
        <f t="shared" si="4"/>
        <v>8.9560923048936578E-2</v>
      </c>
      <c r="N7">
        <f>'lever arm selection'!$B$21*SIN(M7)</f>
        <v>3.3190135087570405</v>
      </c>
      <c r="O7">
        <f>'lever arm selection'!$B$21*COS(M7)</f>
        <v>36.959586116816091</v>
      </c>
      <c r="P7">
        <f>'lever arm selection'!$C$7-N7</f>
        <v>26.845986491242961</v>
      </c>
      <c r="Q7">
        <f t="shared" si="5"/>
        <v>27.645986491242962</v>
      </c>
      <c r="R7">
        <f>O7+'lever arm selection'!$B$22</f>
        <v>54.269586116816086</v>
      </c>
      <c r="S7">
        <f t="shared" si="1"/>
        <v>1.0996415292821282</v>
      </c>
      <c r="T7">
        <f t="shared" si="6"/>
        <v>63.004818605177476</v>
      </c>
      <c r="U7">
        <f t="shared" si="7"/>
        <v>58.497590697411262</v>
      </c>
      <c r="V7">
        <f t="shared" si="8"/>
        <v>1.0209755621538326</v>
      </c>
      <c r="W7">
        <f t="shared" si="9"/>
        <v>0.54982076464106411</v>
      </c>
      <c r="X7">
        <f t="shared" si="2"/>
        <v>41.309748152624721</v>
      </c>
      <c r="Y7">
        <f t="shared" si="10"/>
        <v>35.221442798319238</v>
      </c>
      <c r="Z7">
        <f t="shared" si="11"/>
        <v>21.585765208535179</v>
      </c>
      <c r="AB7">
        <f>Z7+pulley!$B$12</f>
        <v>21.697654433517986</v>
      </c>
      <c r="AG7">
        <f>AB7*$AF$5*$AF$6/(6*'lever arm selection'!$J$5*'lever arm selection'!$J$19)</f>
        <v>2.0931788741865531E-4</v>
      </c>
      <c r="AH7">
        <f>AB7*$AF$5*$AF$6/(3*'lever arm selection'!$J$5*'lever arm selection'!$J$19)</f>
        <v>4.1863577483731062E-4</v>
      </c>
      <c r="AI7">
        <f>(AB7*$AF$6/(6*'lever arm selection'!$J$5*'lever arm selection'!$J$19))*(2*$AF$4+$AF$6)</f>
        <v>1.3953246290555514E-3</v>
      </c>
      <c r="AJ7">
        <f>AB7*($AF$6^2)*$AF$4/(3*'lever arm selection'!$J$5*'lever arm selection'!$J$19)</f>
        <v>7.487350843124306E-2</v>
      </c>
    </row>
    <row r="8" spans="1:36" x14ac:dyDescent="0.2">
      <c r="A8">
        <v>6</v>
      </c>
      <c r="B8" s="7" t="s">
        <v>80</v>
      </c>
      <c r="C8" s="7" t="s">
        <v>81</v>
      </c>
      <c r="D8" s="7" t="s">
        <v>82</v>
      </c>
      <c r="E8" s="7" t="s">
        <v>83</v>
      </c>
      <c r="F8" s="7" t="s">
        <v>84</v>
      </c>
      <c r="G8" s="7" t="s">
        <v>85</v>
      </c>
      <c r="H8" s="7" t="s">
        <v>86</v>
      </c>
      <c r="I8" s="4">
        <f t="shared" si="0"/>
        <v>81.892956359999971</v>
      </c>
      <c r="L8">
        <f t="shared" si="3"/>
        <v>8.107043640000029</v>
      </c>
      <c r="M8">
        <f t="shared" si="4"/>
        <v>0.14149460412086637</v>
      </c>
      <c r="N8">
        <f>'lever arm selection'!$B$21*SIN(M8)</f>
        <v>5.2331232953923781</v>
      </c>
      <c r="O8">
        <f>'lever arm selection'!$B$21*COS(M8)</f>
        <v>36.737464218055088</v>
      </c>
      <c r="P8">
        <f>'lever arm selection'!$C$7-N8</f>
        <v>24.931876704607625</v>
      </c>
      <c r="Q8">
        <f t="shared" si="5"/>
        <v>25.731876704607625</v>
      </c>
      <c r="R8">
        <f>O8+'lever arm selection'!$B$22</f>
        <v>54.047464218055083</v>
      </c>
      <c r="S8">
        <f t="shared" si="1"/>
        <v>1.1264526970208661</v>
      </c>
      <c r="T8">
        <f t="shared" si="6"/>
        <v>64.540985360424472</v>
      </c>
      <c r="U8">
        <f t="shared" si="7"/>
        <v>57.729507319787764</v>
      </c>
      <c r="V8">
        <f t="shared" si="8"/>
        <v>1.0075699782844636</v>
      </c>
      <c r="W8">
        <f t="shared" si="9"/>
        <v>0.56322634851043307</v>
      </c>
      <c r="X8">
        <f t="shared" si="2"/>
        <v>37.779062485941182</v>
      </c>
      <c r="Y8">
        <f t="shared" si="10"/>
        <v>31.943591852084143</v>
      </c>
      <c r="Z8">
        <f t="shared" si="11"/>
        <v>20.1708825266549</v>
      </c>
      <c r="AB8">
        <f>Z8+pulley!$B$12</f>
        <v>20.282771751637707</v>
      </c>
      <c r="AE8" t="s">
        <v>812</v>
      </c>
      <c r="AF8">
        <v>30</v>
      </c>
      <c r="AG8">
        <f>AB8*$AF$5*$AF$6/(6*'lever arm selection'!$J$5*'lever arm selection'!$J$19)</f>
        <v>1.9566847407658826E-4</v>
      </c>
      <c r="AH8">
        <f>AB8*$AF$5*$AF$6/(3*'lever arm selection'!$J$5*'lever arm selection'!$J$19)</f>
        <v>3.9133694815317652E-4</v>
      </c>
      <c r="AI8">
        <f>(AB8*$AF$6/(6*'lever arm selection'!$J$5*'lever arm selection'!$J$19))*(2*$AF$4+$AF$6)</f>
        <v>1.304336883845544E-3</v>
      </c>
      <c r="AJ8">
        <f>AB8*($AF$6^2)*$AF$4/(3*'lever arm selection'!$J$5*'lever arm selection'!$J$19)</f>
        <v>6.9991080667653388E-2</v>
      </c>
    </row>
    <row r="9" spans="1:36" x14ac:dyDescent="0.2">
      <c r="A9">
        <v>7</v>
      </c>
      <c r="B9" s="7" t="s">
        <v>87</v>
      </c>
      <c r="C9" s="7" t="s">
        <v>88</v>
      </c>
      <c r="D9" s="7" t="s">
        <v>89</v>
      </c>
      <c r="E9" s="7" t="s">
        <v>90</v>
      </c>
      <c r="F9" s="7" t="s">
        <v>91</v>
      </c>
      <c r="G9" s="7" t="s">
        <v>92</v>
      </c>
      <c r="H9">
        <v>0.62872921092658496</v>
      </c>
      <c r="I9" s="4">
        <f t="shared" si="0"/>
        <v>77.982136429999628</v>
      </c>
      <c r="L9">
        <f t="shared" si="3"/>
        <v>12.017863570000372</v>
      </c>
      <c r="M9">
        <f t="shared" si="4"/>
        <v>0.20975128835198653</v>
      </c>
      <c r="N9">
        <f>'lever arm selection'!$B$21*SIN(M9)</f>
        <v>7.726568357101657</v>
      </c>
      <c r="O9">
        <f>'lever arm selection'!$B$21*COS(M9)</f>
        <v>36.294999628332988</v>
      </c>
      <c r="P9">
        <f>'lever arm selection'!$C$7-N9</f>
        <v>22.438431642898344</v>
      </c>
      <c r="Q9">
        <f t="shared" si="5"/>
        <v>23.238431642898345</v>
      </c>
      <c r="R9">
        <f>O9+'lever arm selection'!$B$22</f>
        <v>53.60499962833299</v>
      </c>
      <c r="S9">
        <f t="shared" si="1"/>
        <v>1.1617377562254889</v>
      </c>
      <c r="T9">
        <f t="shared" si="6"/>
        <v>66.562670332718596</v>
      </c>
      <c r="U9">
        <f t="shared" si="7"/>
        <v>56.718664833640702</v>
      </c>
      <c r="V9">
        <f t="shared" si="8"/>
        <v>0.9899274486821521</v>
      </c>
      <c r="W9">
        <f t="shared" si="9"/>
        <v>0.58086887811274446</v>
      </c>
      <c r="X9">
        <f t="shared" si="2"/>
        <v>30.959642372540927</v>
      </c>
      <c r="Y9">
        <f t="shared" si="10"/>
        <v>25.881832796723156</v>
      </c>
      <c r="Z9">
        <f t="shared" si="11"/>
        <v>16.989119662834124</v>
      </c>
      <c r="AB9">
        <f>Z9+pulley!$B$12</f>
        <v>17.101008887816931</v>
      </c>
      <c r="AE9" t="s">
        <v>763</v>
      </c>
      <c r="AF9">
        <f>AF8/2</f>
        <v>15</v>
      </c>
      <c r="AG9">
        <f>AB9*$AF$5*$AF$6/(6*'lever arm selection'!$J$5*'lever arm selection'!$J$19)</f>
        <v>1.6497391753073065E-4</v>
      </c>
      <c r="AH9">
        <f>AB9*$AF$5*$AF$6/(3*'lever arm selection'!$J$5*'lever arm selection'!$J$19)</f>
        <v>3.2994783506146131E-4</v>
      </c>
      <c r="AI9">
        <f>(AB9*$AF$6/(6*'lever arm selection'!$J$5*'lever arm selection'!$J$19))*(2*$AF$4+$AF$6)</f>
        <v>1.0997252701199015E-3</v>
      </c>
      <c r="AJ9">
        <f>AB9*($AF$6^2)*$AF$4/(3*'lever arm selection'!$J$5*'lever arm selection'!$J$19)</f>
        <v>5.9011564455869227E-2</v>
      </c>
    </row>
    <row r="10" spans="1:36" x14ac:dyDescent="0.2">
      <c r="A10">
        <v>8</v>
      </c>
      <c r="B10" s="7" t="s">
        <v>93</v>
      </c>
      <c r="C10" s="7" t="s">
        <v>94</v>
      </c>
      <c r="D10" s="7" t="s">
        <v>95</v>
      </c>
      <c r="E10" s="7" t="s">
        <v>96</v>
      </c>
      <c r="F10" s="7" t="s">
        <v>97</v>
      </c>
      <c r="G10" s="7" t="s">
        <v>98</v>
      </c>
      <c r="H10" s="7" t="s">
        <v>99</v>
      </c>
      <c r="I10" s="4">
        <f t="shared" si="0"/>
        <v>75.12653616999998</v>
      </c>
      <c r="L10">
        <f t="shared" si="3"/>
        <v>14.87346383000002</v>
      </c>
      <c r="M10">
        <f t="shared" si="4"/>
        <v>0.25959091500978648</v>
      </c>
      <c r="N10">
        <f>'lever arm selection'!$B$21*SIN(M10)</f>
        <v>9.5251544211717292</v>
      </c>
      <c r="O10">
        <f>'lever arm selection'!$B$21*COS(M10)</f>
        <v>35.865000904091566</v>
      </c>
      <c r="P10">
        <f>'lever arm selection'!$C$7-N10</f>
        <v>20.639845578828272</v>
      </c>
      <c r="Q10">
        <f t="shared" si="5"/>
        <v>21.439845578828272</v>
      </c>
      <c r="R10">
        <f>O10+'lever arm selection'!$B$22</f>
        <v>53.175000904091561</v>
      </c>
      <c r="S10">
        <f t="shared" si="1"/>
        <v>1.1875394686166956</v>
      </c>
      <c r="T10">
        <f t="shared" si="6"/>
        <v>68.040999556945138</v>
      </c>
      <c r="U10">
        <f t="shared" si="7"/>
        <v>55.979500221527431</v>
      </c>
      <c r="V10">
        <f t="shared" si="8"/>
        <v>0.97702659248654877</v>
      </c>
      <c r="W10">
        <f t="shared" si="9"/>
        <v>0.59376973430834779</v>
      </c>
      <c r="X10">
        <f t="shared" si="2"/>
        <v>21.797961314042183</v>
      </c>
      <c r="Y10">
        <f t="shared" si="10"/>
        <v>18.066966597327955</v>
      </c>
      <c r="Z10">
        <f t="shared" si="11"/>
        <v>12.195730212640637</v>
      </c>
      <c r="AB10">
        <f>Z10+pulley!$B$12</f>
        <v>12.307619437623446</v>
      </c>
      <c r="AG10">
        <f>AB10*$AF$5*$AF$6/(6*'lever arm selection'!$J$5*'lever arm selection'!$J$19)</f>
        <v>1.1873195361874979E-4</v>
      </c>
      <c r="AH10">
        <f>AB10*$AF$5*$AF$6/(3*'lever arm selection'!$J$5*'lever arm selection'!$J$19)</f>
        <v>2.3746390723749958E-4</v>
      </c>
      <c r="AI10">
        <f>(AB10*$AF$6/(6*'lever arm selection'!$J$5*'lever arm selection'!$J$19))*(2*$AF$4+$AF$6)</f>
        <v>7.9147377791353437E-4</v>
      </c>
      <c r="AJ10">
        <f>AB10*($AF$6^2)*$AF$4/(3*'lever arm selection'!$J$5*'lever arm selection'!$J$19)</f>
        <v>4.2470703483409596E-2</v>
      </c>
    </row>
    <row r="11" spans="1:36" x14ac:dyDescent="0.2">
      <c r="A11">
        <v>9</v>
      </c>
      <c r="B11" s="7" t="s">
        <v>100</v>
      </c>
      <c r="C11" s="7" t="s">
        <v>101</v>
      </c>
      <c r="D11" s="7" t="s">
        <v>102</v>
      </c>
      <c r="E11" s="7" t="s">
        <v>103</v>
      </c>
      <c r="F11" s="7" t="s">
        <v>104</v>
      </c>
      <c r="G11" s="7" t="s">
        <v>105</v>
      </c>
      <c r="H11" s="7" t="s">
        <v>106</v>
      </c>
      <c r="I11" s="4">
        <f t="shared" si="0"/>
        <v>73.019356589999475</v>
      </c>
      <c r="L11">
        <f t="shared" si="3"/>
        <v>16.980643410000525</v>
      </c>
      <c r="M11">
        <f t="shared" si="4"/>
        <v>0.29636813661158656</v>
      </c>
      <c r="N11">
        <f>'lever arm selection'!$B$21*SIN(M11)</f>
        <v>10.837431220633221</v>
      </c>
      <c r="O11">
        <f>'lever arm selection'!$B$21*COS(M11)</f>
        <v>35.490519031647047</v>
      </c>
      <c r="P11">
        <f>'lever arm selection'!$C$7-N11</f>
        <v>19.327568779366782</v>
      </c>
      <c r="Q11">
        <f t="shared" si="5"/>
        <v>20.127568779366783</v>
      </c>
      <c r="R11">
        <f>O11+'lever arm selection'!$B$22</f>
        <v>52.800519031647042</v>
      </c>
      <c r="S11">
        <f t="shared" si="1"/>
        <v>1.2066009698257598</v>
      </c>
      <c r="T11">
        <f t="shared" si="6"/>
        <v>69.133143127408033</v>
      </c>
      <c r="U11">
        <f t="shared" si="7"/>
        <v>55.433428436295983</v>
      </c>
      <c r="V11">
        <f t="shared" si="8"/>
        <v>0.96749584188201665</v>
      </c>
      <c r="W11">
        <f t="shared" si="9"/>
        <v>0.60330048491287991</v>
      </c>
      <c r="X11">
        <f t="shared" si="2"/>
        <v>18.978514477461164</v>
      </c>
      <c r="Y11">
        <f t="shared" si="10"/>
        <v>15.62819042197167</v>
      </c>
      <c r="Z11">
        <f t="shared" si="11"/>
        <v>10.767714516358426</v>
      </c>
      <c r="AB11">
        <f>Z11+pulley!$B$12</f>
        <v>10.879603741341235</v>
      </c>
      <c r="AG11">
        <f>AB11*$AF$5*$AF$6/(6*'lever arm selection'!$J$5*'lever arm selection'!$J$19)</f>
        <v>1.0495584571444448E-4</v>
      </c>
      <c r="AH11">
        <f>AB11*$AF$5*$AF$6/(3*'lever arm selection'!$J$5*'lever arm selection'!$J$19)</f>
        <v>2.0991169142888896E-4</v>
      </c>
      <c r="AI11">
        <f>(AB11*$AF$6/(6*'lever arm selection'!$J$5*'lever arm selection'!$J$19))*(2*$AF$4+$AF$6)</f>
        <v>6.996414797356056E-4</v>
      </c>
      <c r="AJ11">
        <f>AB11*($AF$6^2)*$AF$4/(3*'lever arm selection'!$J$5*'lever arm selection'!$J$19)</f>
        <v>3.7542956772209077E-2</v>
      </c>
    </row>
    <row r="12" spans="1:36" x14ac:dyDescent="0.2">
      <c r="A12">
        <v>10</v>
      </c>
      <c r="B12" s="7" t="s">
        <v>107</v>
      </c>
      <c r="C12" s="7" t="s">
        <v>108</v>
      </c>
      <c r="D12" s="7" t="s">
        <v>109</v>
      </c>
      <c r="E12" s="7" t="s">
        <v>110</v>
      </c>
      <c r="F12" s="7" t="s">
        <v>111</v>
      </c>
      <c r="G12" s="7" t="s">
        <v>112</v>
      </c>
      <c r="H12" s="7" t="s">
        <v>113</v>
      </c>
      <c r="I12" s="4">
        <f t="shared" si="0"/>
        <v>70.976726569999911</v>
      </c>
      <c r="L12">
        <f t="shared" si="3"/>
        <v>19.023273430000089</v>
      </c>
      <c r="M12">
        <f t="shared" si="4"/>
        <v>0.3320187558606566</v>
      </c>
      <c r="N12">
        <f>'lever arm selection'!$B$21*SIN(M12)</f>
        <v>12.09553592417535</v>
      </c>
      <c r="O12">
        <f>'lever arm selection'!$B$21*COS(M12)</f>
        <v>35.081688489932183</v>
      </c>
      <c r="P12">
        <f>'lever arm selection'!$C$7-N12</f>
        <v>18.069464075824655</v>
      </c>
      <c r="Q12">
        <f t="shared" si="5"/>
        <v>18.869464075824656</v>
      </c>
      <c r="R12">
        <f>O12+'lever arm selection'!$B$22</f>
        <v>52.391688489932179</v>
      </c>
      <c r="S12">
        <f t="shared" si="1"/>
        <v>1.2250978677323219</v>
      </c>
      <c r="T12">
        <f t="shared" si="6"/>
        <v>70.192937311538401</v>
      </c>
      <c r="U12">
        <f t="shared" si="7"/>
        <v>54.9035313442308</v>
      </c>
      <c r="V12">
        <f t="shared" si="8"/>
        <v>0.95824739292873573</v>
      </c>
      <c r="W12">
        <f t="shared" si="9"/>
        <v>0.61254893386616094</v>
      </c>
      <c r="X12">
        <f t="shared" si="2"/>
        <v>19.101134830578239</v>
      </c>
      <c r="Y12">
        <f t="shared" si="10"/>
        <v>15.628264971687493</v>
      </c>
      <c r="Z12">
        <f t="shared" si="11"/>
        <v>10.982289642449558</v>
      </c>
      <c r="AB12">
        <f>Z12+pulley!$B$12</f>
        <v>11.094178867432367</v>
      </c>
      <c r="AG12">
        <f>AB12*$AF$5*$AF$6/(6*'lever arm selection'!$J$5*'lever arm selection'!$J$19)</f>
        <v>1.0702585803875383E-4</v>
      </c>
      <c r="AH12">
        <f>AB12*$AF$5*$AF$6/(3*'lever arm selection'!$J$5*'lever arm selection'!$J$19)</f>
        <v>2.1405171607750766E-4</v>
      </c>
      <c r="AI12">
        <f>(AB12*$AF$6/(6*'lever arm selection'!$J$5*'lever arm selection'!$J$19))*(2*$AF$4+$AF$6)</f>
        <v>7.1344029652177163E-4</v>
      </c>
      <c r="AJ12">
        <f>AB12*($AF$6^2)*$AF$4/(3*'lever arm selection'!$J$5*'lever arm selection'!$J$19)</f>
        <v>3.8283405126280992E-2</v>
      </c>
    </row>
    <row r="13" spans="1:36" x14ac:dyDescent="0.2">
      <c r="A13">
        <v>11</v>
      </c>
      <c r="B13" s="7" t="s">
        <v>114</v>
      </c>
      <c r="C13" s="7" t="s">
        <v>115</v>
      </c>
      <c r="D13" s="7" t="s">
        <v>116</v>
      </c>
      <c r="E13" s="7" t="s">
        <v>117</v>
      </c>
      <c r="F13" s="7" t="s">
        <v>118</v>
      </c>
      <c r="G13" s="7" t="s">
        <v>119</v>
      </c>
      <c r="H13">
        <v>0.66923010634689395</v>
      </c>
      <c r="I13" s="4">
        <f t="shared" si="0"/>
        <v>68.501633069999926</v>
      </c>
      <c r="L13">
        <f t="shared" si="3"/>
        <v>21.498366930000074</v>
      </c>
      <c r="M13">
        <f t="shared" si="4"/>
        <v>0.37521728673036658</v>
      </c>
      <c r="N13">
        <f>'lever arm selection'!$B$21*SIN(M13)</f>
        <v>13.599257965422616</v>
      </c>
      <c r="O13">
        <f>'lever arm selection'!$B$21*COS(M13)</f>
        <v>34.526613494340076</v>
      </c>
      <c r="P13">
        <f>'lever arm selection'!$C$7-N13</f>
        <v>16.565742034577386</v>
      </c>
      <c r="Q13">
        <f t="shared" si="5"/>
        <v>17.365742034577387</v>
      </c>
      <c r="R13">
        <f>O13+'lever arm selection'!$B$22</f>
        <v>51.836613494340071</v>
      </c>
      <c r="S13">
        <f t="shared" si="1"/>
        <v>1.2475382581028631</v>
      </c>
      <c r="T13">
        <f t="shared" si="6"/>
        <v>71.478676970396435</v>
      </c>
      <c r="U13">
        <f t="shared" si="7"/>
        <v>54.260661514801782</v>
      </c>
      <c r="V13">
        <f t="shared" si="8"/>
        <v>0.947027197743465</v>
      </c>
      <c r="W13">
        <f t="shared" si="9"/>
        <v>0.62376912905143156</v>
      </c>
      <c r="X13">
        <f t="shared" si="2"/>
        <v>11.50195657824421</v>
      </c>
      <c r="Y13">
        <f t="shared" si="10"/>
        <v>9.3359389894029636</v>
      </c>
      <c r="Z13">
        <f t="shared" si="11"/>
        <v>6.7182771834720256</v>
      </c>
      <c r="AB13">
        <f>Z13+pulley!$B$12</f>
        <v>6.8301664084548337</v>
      </c>
      <c r="AG13">
        <f>AB13*$AF$5*$AF$6/(6*'lever arm selection'!$J$5*'lever arm selection'!$J$19)</f>
        <v>6.5890808968139121E-5</v>
      </c>
      <c r="AH13">
        <f>AB13*$AF$5*$AF$6/(3*'lever arm selection'!$J$5*'lever arm selection'!$J$19)</f>
        <v>1.3178161793627824E-4</v>
      </c>
      <c r="AI13">
        <f>(AB13*$AF$6/(6*'lever arm selection'!$J$5*'lever arm selection'!$J$19))*(2*$AF$4+$AF$6)</f>
        <v>4.3923178145665199E-4</v>
      </c>
      <c r="AJ13">
        <f>AB13*($AF$6^2)*$AF$4/(3*'lever arm selection'!$J$5*'lever arm selection'!$J$19)</f>
        <v>2.3569299794001727E-2</v>
      </c>
    </row>
    <row r="14" spans="1:36" x14ac:dyDescent="0.2">
      <c r="A14">
        <v>12</v>
      </c>
      <c r="B14" s="7" t="s">
        <v>120</v>
      </c>
      <c r="C14" s="7" t="s">
        <v>121</v>
      </c>
      <c r="D14" s="7" t="s">
        <v>122</v>
      </c>
      <c r="E14" s="7" t="s">
        <v>123</v>
      </c>
      <c r="F14" s="7" t="s">
        <v>124</v>
      </c>
      <c r="G14" s="7" t="s">
        <v>125</v>
      </c>
      <c r="H14" s="7" t="s">
        <v>126</v>
      </c>
      <c r="I14" s="4">
        <f t="shared" si="0"/>
        <v>67.140097469999731</v>
      </c>
      <c r="L14">
        <f t="shared" si="3"/>
        <v>22.859902530000269</v>
      </c>
      <c r="M14">
        <f t="shared" si="4"/>
        <v>0.39898056583348651</v>
      </c>
      <c r="N14">
        <f>'lever arm selection'!$B$21*SIN(M14)</f>
        <v>14.415806776815618</v>
      </c>
      <c r="O14">
        <f>'lever arm selection'!$B$21*COS(M14)</f>
        <v>34.193732928289265</v>
      </c>
      <c r="P14">
        <f>'lever arm selection'!$C$7-N14</f>
        <v>15.749193223184385</v>
      </c>
      <c r="Q14">
        <f t="shared" si="5"/>
        <v>16.549193223184385</v>
      </c>
      <c r="R14">
        <f>O14+'lever arm selection'!$B$22</f>
        <v>51.503732928289267</v>
      </c>
      <c r="S14">
        <f t="shared" si="1"/>
        <v>1.2598962117868004</v>
      </c>
      <c r="T14">
        <f t="shared" si="6"/>
        <v>72.186735559904193</v>
      </c>
      <c r="U14">
        <f t="shared" si="7"/>
        <v>53.906632220047904</v>
      </c>
      <c r="V14">
        <f t="shared" si="8"/>
        <v>0.94084822090149633</v>
      </c>
      <c r="W14">
        <f t="shared" si="9"/>
        <v>0.62994810589340022</v>
      </c>
      <c r="X14">
        <f t="shared" si="2"/>
        <v>9.9240868963138187</v>
      </c>
      <c r="Y14">
        <f t="shared" si="10"/>
        <v>8.0192386068108057</v>
      </c>
      <c r="Z14">
        <f t="shared" si="11"/>
        <v>5.8463076289759783</v>
      </c>
      <c r="AB14">
        <f>Z14+pulley!$B$12</f>
        <v>5.9581968539587864</v>
      </c>
      <c r="AG14">
        <f>AB14*$AF$5*$AF$6/(6*'lever arm selection'!$J$5*'lever arm selection'!$J$19)</f>
        <v>5.7478893956784325E-5</v>
      </c>
      <c r="AH14">
        <f>AB14*$AF$5*$AF$6/(3*'lever arm selection'!$J$5*'lever arm selection'!$J$19)</f>
        <v>1.1495778791356865E-4</v>
      </c>
      <c r="AI14">
        <f>(AB14*$AF$6/(6*'lever arm selection'!$J$5*'lever arm selection'!$J$19))*(2*$AF$4+$AF$6)</f>
        <v>3.8315749015927403E-4</v>
      </c>
      <c r="AJ14">
        <f>AB14*($AF$6^2)*$AF$4/(3*'lever arm selection'!$J$5*'lever arm selection'!$J$19)</f>
        <v>2.0560337696721168E-2</v>
      </c>
    </row>
    <row r="15" spans="1:36" x14ac:dyDescent="0.2">
      <c r="A15">
        <v>13</v>
      </c>
      <c r="B15" s="7" t="s">
        <v>127</v>
      </c>
      <c r="C15" s="7" t="s">
        <v>128</v>
      </c>
      <c r="D15" s="7" t="s">
        <v>129</v>
      </c>
      <c r="E15" s="7" t="s">
        <v>130</v>
      </c>
      <c r="F15">
        <v>2.3973026477547301</v>
      </c>
      <c r="G15" s="7" t="s">
        <v>131</v>
      </c>
      <c r="H15" s="7" t="s">
        <v>132</v>
      </c>
      <c r="I15" s="4">
        <f t="shared" si="0"/>
        <v>65.530301119999564</v>
      </c>
      <c r="L15">
        <f t="shared" si="3"/>
        <v>24.469698880000436</v>
      </c>
      <c r="M15">
        <f t="shared" si="4"/>
        <v>0.42707681242757645</v>
      </c>
      <c r="N15">
        <f>'lever arm selection'!$B$21*SIN(M15)</f>
        <v>15.370706398176122</v>
      </c>
      <c r="O15">
        <f>'lever arm selection'!$B$21*COS(M15)</f>
        <v>33.775260789795901</v>
      </c>
      <c r="P15">
        <f>'lever arm selection'!$C$7-N15</f>
        <v>14.794293601823881</v>
      </c>
      <c r="Q15">
        <f t="shared" si="5"/>
        <v>15.594293601823882</v>
      </c>
      <c r="R15">
        <f>O15+'lever arm selection'!$B$22</f>
        <v>51.085260789795896</v>
      </c>
      <c r="S15">
        <f t="shared" si="1"/>
        <v>1.2745207341882245</v>
      </c>
      <c r="T15">
        <f t="shared" si="6"/>
        <v>73.024658970900319</v>
      </c>
      <c r="U15">
        <f t="shared" si="7"/>
        <v>53.487670514549841</v>
      </c>
      <c r="V15">
        <f t="shared" si="8"/>
        <v>0.93353595970078429</v>
      </c>
      <c r="W15">
        <f t="shared" si="9"/>
        <v>0.63726036709411227</v>
      </c>
      <c r="X15">
        <f t="shared" si="2"/>
        <v>3.9881877293634362</v>
      </c>
      <c r="Y15">
        <f t="shared" si="10"/>
        <v>3.20542150548604</v>
      </c>
      <c r="Z15">
        <f t="shared" si="11"/>
        <v>2.3729547692302719</v>
      </c>
      <c r="AB15">
        <f>Z15+pulley!$B$12</f>
        <v>2.48484399421308</v>
      </c>
      <c r="AG15">
        <f>AB15*$AF$5*$AF$6/(6*'lever arm selection'!$J$5*'lever arm selection'!$J$19)</f>
        <v>2.3971360454065651E-5</v>
      </c>
      <c r="AH15">
        <f>AB15*$AF$5*$AF$6/(3*'lever arm selection'!$J$5*'lever arm selection'!$J$19)</f>
        <v>4.7942720908131303E-5</v>
      </c>
      <c r="AI15">
        <f>(AB15*$AF$6/(6*'lever arm selection'!$J$5*'lever arm selection'!$J$19))*(2*$AF$4+$AF$6)</f>
        <v>1.5979441626327563E-4</v>
      </c>
      <c r="AJ15">
        <f>AB15*($AF$6^2)*$AF$4/(3*'lever arm selection'!$J$5*'lever arm selection'!$J$19)</f>
        <v>8.5746129067127627E-3</v>
      </c>
    </row>
    <row r="16" spans="1:36" x14ac:dyDescent="0.2">
      <c r="A16">
        <v>14</v>
      </c>
      <c r="B16" s="7" t="s">
        <v>133</v>
      </c>
      <c r="C16" s="7" t="s">
        <v>134</v>
      </c>
      <c r="D16" s="7" t="s">
        <v>135</v>
      </c>
      <c r="E16">
        <v>0.75267805031048696</v>
      </c>
      <c r="F16">
        <v>2.9100839827510199</v>
      </c>
      <c r="G16" s="7" t="s">
        <v>136</v>
      </c>
      <c r="H16">
        <v>0.68251167872998697</v>
      </c>
      <c r="I16" s="4">
        <f t="shared" si="0"/>
        <v>65.396422189999953</v>
      </c>
      <c r="L16">
        <f t="shared" si="3"/>
        <v>24.603577810000047</v>
      </c>
      <c r="M16">
        <f t="shared" si="4"/>
        <v>0.42941344055511665</v>
      </c>
      <c r="N16">
        <f>'lever arm selection'!$B$21*SIN(M16)</f>
        <v>15.449584590026802</v>
      </c>
      <c r="O16">
        <f>'lever arm selection'!$B$21*COS(M16)</f>
        <v>33.739252994001852</v>
      </c>
      <c r="P16">
        <f>'lever arm selection'!$C$7-N16</f>
        <v>14.7154154099732</v>
      </c>
      <c r="Q16">
        <f t="shared" si="5"/>
        <v>15.515415409973201</v>
      </c>
      <c r="R16">
        <f>O16+'lever arm selection'!$B$22</f>
        <v>51.049252994001847</v>
      </c>
      <c r="S16">
        <f t="shared" si="1"/>
        <v>1.2757376530101066</v>
      </c>
      <c r="T16">
        <f t="shared" si="6"/>
        <v>73.094383283404184</v>
      </c>
      <c r="U16">
        <f t="shared" si="7"/>
        <v>53.452808358297908</v>
      </c>
      <c r="V16">
        <f t="shared" si="8"/>
        <v>0.93292750028984339</v>
      </c>
      <c r="W16">
        <f t="shared" si="9"/>
        <v>0.63786882650505328</v>
      </c>
      <c r="X16">
        <f t="shared" si="2"/>
        <v>4.8295937019557709</v>
      </c>
      <c r="Y16">
        <f t="shared" si="10"/>
        <v>3.8799345735612563</v>
      </c>
      <c r="Z16">
        <f t="shared" si="11"/>
        <v>2.8759490661092872</v>
      </c>
      <c r="AB16">
        <f>Z16+pulley!$B$12</f>
        <v>2.9878382910920953</v>
      </c>
      <c r="AG16">
        <f>AB16*$AF$5*$AF$6/(6*'lever arm selection'!$J$5*'lever arm selection'!$J$19)</f>
        <v>2.8823760695250465E-5</v>
      </c>
      <c r="AH16">
        <f>AB16*$AF$5*$AF$6/(3*'lever arm selection'!$J$5*'lever arm selection'!$J$19)</f>
        <v>5.7647521390500929E-5</v>
      </c>
      <c r="AI16">
        <f>(AB16*$AF$6/(6*'lever arm selection'!$J$5*'lever arm selection'!$J$19))*(2*$AF$4+$AF$6)</f>
        <v>1.9214078498530599E-4</v>
      </c>
      <c r="AJ16">
        <f>AB16*($AF$6^2)*$AF$4/(3*'lever arm selection'!$J$5*'lever arm selection'!$J$19)</f>
        <v>1.0310328066322847E-2</v>
      </c>
    </row>
    <row r="17" spans="1:36" x14ac:dyDescent="0.2">
      <c r="A17">
        <v>15</v>
      </c>
      <c r="B17">
        <v>31.1366552474732</v>
      </c>
      <c r="C17" s="7" t="s">
        <v>137</v>
      </c>
      <c r="D17" s="7" t="s">
        <v>138</v>
      </c>
      <c r="E17" s="7" t="s">
        <v>139</v>
      </c>
      <c r="F17" s="7" t="s">
        <v>140</v>
      </c>
      <c r="G17" s="7" t="s">
        <v>141</v>
      </c>
      <c r="H17" s="7" t="s">
        <v>142</v>
      </c>
      <c r="I17" s="4">
        <f t="shared" si="0"/>
        <v>64.570673859999658</v>
      </c>
      <c r="L17">
        <f t="shared" si="3"/>
        <v>25.429326140000342</v>
      </c>
      <c r="M17">
        <f t="shared" si="4"/>
        <v>0.44382546770646647</v>
      </c>
      <c r="N17">
        <f>'lever arm selection'!$B$21*SIN(M17)</f>
        <v>15.934214325494009</v>
      </c>
      <c r="O17">
        <f>'lever arm selection'!$B$21*COS(M17)</f>
        <v>33.513096998440446</v>
      </c>
      <c r="P17">
        <f>'lever arm selection'!$C$7-N17</f>
        <v>14.230785674505993</v>
      </c>
      <c r="Q17">
        <f t="shared" si="5"/>
        <v>15.030785674505994</v>
      </c>
      <c r="R17">
        <f>O17+'lever arm selection'!$B$22</f>
        <v>50.823096998440448</v>
      </c>
      <c r="S17">
        <f t="shared" si="1"/>
        <v>1.2832457895649829</v>
      </c>
      <c r="T17">
        <f t="shared" si="6"/>
        <v>73.524567820006496</v>
      </c>
      <c r="U17">
        <f t="shared" si="7"/>
        <v>53.237716089996752</v>
      </c>
      <c r="V17">
        <f t="shared" si="8"/>
        <v>0.9291734320124051</v>
      </c>
      <c r="W17">
        <f t="shared" si="9"/>
        <v>0.64162289478249146</v>
      </c>
      <c r="X17">
        <f t="shared" si="2"/>
        <v>1.0736840334604241</v>
      </c>
      <c r="Y17">
        <f t="shared" si="10"/>
        <v>0.86015567604541776</v>
      </c>
      <c r="Z17">
        <f t="shared" si="11"/>
        <v>0.64259599802262657</v>
      </c>
      <c r="AB17">
        <f>Z17+pulley!$B$12</f>
        <v>0.75448522300543475</v>
      </c>
      <c r="AG17">
        <f>AB17*$AF$5*$AF$6/(6*'lever arm selection'!$J$5*'lever arm selection'!$J$19)</f>
        <v>7.2785403349464643E-6</v>
      </c>
      <c r="AH17">
        <f>AB17*$AF$5*$AF$6/(3*'lever arm selection'!$J$5*'lever arm selection'!$J$19)</f>
        <v>1.4557080669892929E-5</v>
      </c>
      <c r="AI17">
        <f>(AB17*$AF$6/(6*'lever arm selection'!$J$5*'lever arm selection'!$J$19))*(2*$AF$4+$AF$6)</f>
        <v>4.8519152940867599E-5</v>
      </c>
      <c r="AJ17">
        <f>AB17*($AF$6^2)*$AF$4/(3*'lever arm selection'!$J$5*'lever arm selection'!$J$19)</f>
        <v>2.6035512676743492E-3</v>
      </c>
    </row>
    <row r="18" spans="1:36" x14ac:dyDescent="0.2">
      <c r="A18">
        <v>16</v>
      </c>
      <c r="B18" s="7" t="s">
        <v>143</v>
      </c>
      <c r="C18" s="7" t="s">
        <v>144</v>
      </c>
      <c r="D18" s="7" t="s">
        <v>145</v>
      </c>
      <c r="E18" s="7" t="s">
        <v>146</v>
      </c>
      <c r="F18" s="7" t="s">
        <v>147</v>
      </c>
      <c r="G18" s="7" t="s">
        <v>148</v>
      </c>
      <c r="H18" s="7" t="s">
        <v>149</v>
      </c>
      <c r="I18" s="4">
        <f t="shared" si="0"/>
        <v>64.156643919999922</v>
      </c>
      <c r="L18">
        <f t="shared" si="3"/>
        <v>25.843356080000078</v>
      </c>
      <c r="M18">
        <f t="shared" si="4"/>
        <v>0.45105165336129643</v>
      </c>
      <c r="N18">
        <f>'lever arm selection'!$B$21*SIN(M18)</f>
        <v>16.175968055994211</v>
      </c>
      <c r="O18">
        <f>'lever arm selection'!$B$21*COS(M18)</f>
        <v>33.397079423942316</v>
      </c>
      <c r="P18">
        <f>'lever arm selection'!$C$7-N18</f>
        <v>13.989031944005792</v>
      </c>
      <c r="Q18">
        <f t="shared" si="5"/>
        <v>14.789031944005792</v>
      </c>
      <c r="R18">
        <f>O18+'lever arm selection'!$B$22</f>
        <v>50.707079423942318</v>
      </c>
      <c r="S18">
        <f t="shared" si="1"/>
        <v>1.2870119028406366</v>
      </c>
      <c r="T18">
        <f t="shared" si="6"/>
        <v>73.74035021586964</v>
      </c>
      <c r="U18">
        <f t="shared" si="7"/>
        <v>53.12982489206518</v>
      </c>
      <c r="V18">
        <f t="shared" si="8"/>
        <v>0.92729037537457837</v>
      </c>
      <c r="W18">
        <f t="shared" si="9"/>
        <v>0.6435059514203183</v>
      </c>
      <c r="X18">
        <f t="shared" si="2"/>
        <v>0.95207687995124524</v>
      </c>
      <c r="Y18">
        <f t="shared" si="10"/>
        <v>0.76165873762012304</v>
      </c>
      <c r="Z18">
        <f t="shared" si="11"/>
        <v>0.57124981640663874</v>
      </c>
      <c r="AB18">
        <f>Z18+pulley!$B$12</f>
        <v>0.68313904138944692</v>
      </c>
      <c r="AG18">
        <f>AB18*$AF$5*$AF$6/(6*'lever arm selection'!$J$5*'lever arm selection'!$J$19)</f>
        <v>6.5902616983314135E-6</v>
      </c>
      <c r="AH18">
        <f>AB18*$AF$5*$AF$6/(3*'lever arm selection'!$J$5*'lever arm selection'!$J$19)</f>
        <v>1.3180523396662827E-5</v>
      </c>
      <c r="AI18">
        <f>(AB18*$AF$6/(6*'lever arm selection'!$J$5*'lever arm selection'!$J$19))*(2*$AF$4+$AF$6)</f>
        <v>4.3931049433970836E-5</v>
      </c>
      <c r="AJ18">
        <f>AB18*($AF$6^2)*$AF$4/(3*'lever arm selection'!$J$5*'lever arm selection'!$J$19)</f>
        <v>2.3573523549241505E-3</v>
      </c>
    </row>
    <row r="19" spans="1:36" x14ac:dyDescent="0.2">
      <c r="A19">
        <v>17</v>
      </c>
      <c r="B19">
        <v>31.127873361346101</v>
      </c>
      <c r="C19" s="7" t="s">
        <v>150</v>
      </c>
      <c r="D19" s="7" t="s">
        <v>151</v>
      </c>
      <c r="E19">
        <v>5.5094175089085698E-3</v>
      </c>
      <c r="F19">
        <v>2.2009935030552701E-2</v>
      </c>
      <c r="G19" s="7" t="s">
        <v>152</v>
      </c>
      <c r="H19" s="7" t="s">
        <v>153</v>
      </c>
      <c r="I19" s="4">
        <f t="shared" si="0"/>
        <v>64.052336339999769</v>
      </c>
      <c r="L19">
        <f t="shared" si="3"/>
        <v>25.947663660000231</v>
      </c>
      <c r="M19">
        <f t="shared" si="4"/>
        <v>0.45287216406708652</v>
      </c>
      <c r="N19">
        <f>'lever arm selection'!$B$21*SIN(M19)</f>
        <v>16.236740957374963</v>
      </c>
      <c r="O19">
        <f>'lever arm selection'!$B$21*COS(M19)</f>
        <v>33.367575573912454</v>
      </c>
      <c r="P19">
        <f>'lever arm selection'!$C$7-N19</f>
        <v>13.92825904262504</v>
      </c>
      <c r="Q19">
        <f t="shared" si="5"/>
        <v>14.728259042625041</v>
      </c>
      <c r="R19">
        <f>O19+'lever arm selection'!$B$22</f>
        <v>50.677575573912449</v>
      </c>
      <c r="S19">
        <f t="shared" si="1"/>
        <v>1.2879608732714709</v>
      </c>
      <c r="T19">
        <f t="shared" si="6"/>
        <v>73.794722216439155</v>
      </c>
      <c r="U19">
        <f t="shared" si="7"/>
        <v>53.102638891780423</v>
      </c>
      <c r="V19">
        <f t="shared" si="8"/>
        <v>0.92681589015916122</v>
      </c>
      <c r="W19">
        <f t="shared" si="9"/>
        <v>0.64398043663573545</v>
      </c>
      <c r="X19">
        <f t="shared" si="2"/>
        <v>3.6289352328070061E-2</v>
      </c>
      <c r="Y19">
        <f t="shared" si="10"/>
        <v>2.9021041829615863E-2</v>
      </c>
      <c r="Z19">
        <f t="shared" si="11"/>
        <v>2.1787524492573502E-2</v>
      </c>
      <c r="AB19">
        <f>Z19+pulley!$B$12</f>
        <v>0.13367674947538166</v>
      </c>
      <c r="AG19">
        <f>AB19*$AF$5*$AF$6/(6*'lever arm selection'!$J$5*'lever arm selection'!$J$19)</f>
        <v>1.2895833917400534E-6</v>
      </c>
      <c r="AH19">
        <f>AB19*$AF$5*$AF$6/(3*'lever arm selection'!$J$5*'lever arm selection'!$J$19)</f>
        <v>2.5791667834801069E-6</v>
      </c>
      <c r="AI19">
        <f>(AB19*$AF$6/(6*'lever arm selection'!$J$5*'lever arm selection'!$J$19))*(2*$AF$4+$AF$6)</f>
        <v>8.5964343033758353E-6</v>
      </c>
      <c r="AJ19">
        <f>AB19*($AF$6^2)*$AF$4/(3*'lever arm selection'!$J$5*'lever arm selection'!$J$19)</f>
        <v>4.6128706029370346E-4</v>
      </c>
    </row>
    <row r="20" spans="1:36" x14ac:dyDescent="0.2">
      <c r="A20">
        <v>18</v>
      </c>
      <c r="B20" s="7" t="s">
        <v>154</v>
      </c>
      <c r="C20" s="7" t="s">
        <v>155</v>
      </c>
      <c r="D20">
        <v>0</v>
      </c>
      <c r="E20">
        <v>0</v>
      </c>
      <c r="F20">
        <v>0</v>
      </c>
      <c r="G20" s="7" t="s">
        <v>156</v>
      </c>
      <c r="H20" s="7" t="s">
        <v>157</v>
      </c>
      <c r="I20" s="4">
        <f t="shared" si="0"/>
        <v>63.648156689999666</v>
      </c>
      <c r="K20" s="3" t="s">
        <v>7</v>
      </c>
      <c r="L20" s="2">
        <f t="shared" si="3"/>
        <v>26.351843310000334</v>
      </c>
      <c r="M20">
        <f t="shared" si="4"/>
        <v>0.4599264297291466</v>
      </c>
      <c r="N20">
        <f>'lever arm selection'!$B$21*SIN(M20)</f>
        <v>16.471718757689413</v>
      </c>
      <c r="O20">
        <f>'lever arm selection'!$B$21*COS(M20)</f>
        <v>33.252208013382202</v>
      </c>
      <c r="P20">
        <f>'lever arm selection'!$C$7-N20</f>
        <v>13.69328124231059</v>
      </c>
      <c r="Q20">
        <f t="shared" si="5"/>
        <v>14.493281242310591</v>
      </c>
      <c r="R20">
        <f>O20+'lever arm selection'!$B$22</f>
        <v>50.562208013382204</v>
      </c>
      <c r="S20">
        <f t="shared" si="1"/>
        <v>1.2916386534347895</v>
      </c>
      <c r="T20" s="2">
        <f t="shared" si="6"/>
        <v>74.005443497774252</v>
      </c>
      <c r="U20">
        <f t="shared" si="7"/>
        <v>52.997278251112874</v>
      </c>
      <c r="V20">
        <f t="shared" si="8"/>
        <v>0.92497700007750183</v>
      </c>
      <c r="W20">
        <f t="shared" si="9"/>
        <v>0.64581932671739473</v>
      </c>
      <c r="X20">
        <f t="shared" si="2"/>
        <v>0</v>
      </c>
      <c r="Y20">
        <f t="shared" si="10"/>
        <v>0</v>
      </c>
      <c r="Z20">
        <f t="shared" si="11"/>
        <v>0</v>
      </c>
      <c r="AB20">
        <f>Z20+pulley!$B$12</f>
        <v>0.11188922498280815</v>
      </c>
      <c r="AG20">
        <f>AB20*$AF$5*$AF$6/(6*'lever arm selection'!$J$5*'lever arm selection'!$J$19)</f>
        <v>1.0793985253139975E-6</v>
      </c>
      <c r="AH20">
        <f>AB20*$AF$5*$AF$6/(3*'lever arm selection'!$J$5*'lever arm selection'!$J$19)</f>
        <v>2.158797050627995E-6</v>
      </c>
      <c r="AI20">
        <f>(AB20*$AF$6/(6*'lever arm selection'!$J$5*'lever arm selection'!$J$19))*(2*$AF$4+$AF$6)</f>
        <v>7.1953303442457331E-6</v>
      </c>
      <c r="AJ20">
        <f>AB20*($AF$6^2)*$AF$4/(3*'lever arm selection'!$J$5*'lever arm selection'!$J$19)</f>
        <v>3.8610343140012992E-4</v>
      </c>
    </row>
    <row r="21" spans="1:36" x14ac:dyDescent="0.2">
      <c r="A21">
        <v>19</v>
      </c>
      <c r="B21" s="7" t="s">
        <v>158</v>
      </c>
      <c r="C21" s="7" t="s">
        <v>159</v>
      </c>
      <c r="D21" s="7" t="s">
        <v>160</v>
      </c>
      <c r="E21" s="7" t="s">
        <v>161</v>
      </c>
      <c r="F21" s="7" t="s">
        <v>162</v>
      </c>
      <c r="G21" s="7" t="s">
        <v>163</v>
      </c>
      <c r="H21" s="7" t="s">
        <v>164</v>
      </c>
      <c r="I21" s="4">
        <f t="shared" si="0"/>
        <v>64.791098729999632</v>
      </c>
      <c r="L21">
        <f t="shared" si="3"/>
        <v>25.208901270000368</v>
      </c>
      <c r="M21">
        <f t="shared" si="4"/>
        <v>0.43997832797168646</v>
      </c>
      <c r="N21">
        <f>'lever arm selection'!$B$21*SIN(M21)</f>
        <v>15.805167159534445</v>
      </c>
      <c r="O21">
        <f>'lever arm selection'!$B$21*COS(M21)</f>
        <v>33.574149991575815</v>
      </c>
      <c r="P21">
        <f>'lever arm selection'!$C$7-N21</f>
        <v>14.359832840465558</v>
      </c>
      <c r="Q21">
        <f t="shared" si="5"/>
        <v>15.159832840465558</v>
      </c>
      <c r="R21">
        <f>O21+'lever arm selection'!$B$22</f>
        <v>50.884149991575811</v>
      </c>
      <c r="S21">
        <f t="shared" si="1"/>
        <v>1.2812411746910151</v>
      </c>
      <c r="T21">
        <f t="shared" si="6"/>
        <v>73.409711848178986</v>
      </c>
      <c r="U21">
        <f t="shared" si="7"/>
        <v>53.295144075910507</v>
      </c>
      <c r="V21">
        <f t="shared" si="8"/>
        <v>0.93017573944938914</v>
      </c>
      <c r="W21">
        <f t="shared" si="9"/>
        <v>0.64062058734550753</v>
      </c>
      <c r="X21">
        <f t="shared" si="2"/>
        <v>2.9170110940488385</v>
      </c>
      <c r="Y21">
        <f t="shared" si="10"/>
        <v>2.3386406946381624</v>
      </c>
      <c r="Z21">
        <f t="shared" si="11"/>
        <v>1.7434773942286532</v>
      </c>
      <c r="AB21">
        <f>Z21+pulley!$B$12</f>
        <v>1.8553666192114613</v>
      </c>
      <c r="AG21">
        <f>AB21*$AF$5*$AF$6/(6*'lever arm selection'!$J$5*'lever arm selection'!$J$19)</f>
        <v>1.7898774372611675E-5</v>
      </c>
      <c r="AH21">
        <f>AB21*$AF$5*$AF$6/(3*'lever arm selection'!$J$5*'lever arm selection'!$J$19)</f>
        <v>3.579754874522335E-5</v>
      </c>
      <c r="AI21">
        <f>(AB21*$AF$6/(6*'lever arm selection'!$J$5*'lever arm selection'!$J$19))*(2*$AF$4+$AF$6)</f>
        <v>1.1931422115904438E-4</v>
      </c>
      <c r="AJ21">
        <f>AB21*($AF$6^2)*$AF$4/(3*'lever arm selection'!$J$5*'lever arm selection'!$J$19)</f>
        <v>6.4024343567745078E-3</v>
      </c>
    </row>
    <row r="22" spans="1:36" x14ac:dyDescent="0.2">
      <c r="A22">
        <v>20</v>
      </c>
      <c r="B22" s="7" t="s">
        <v>165</v>
      </c>
      <c r="C22" s="7" t="s">
        <v>166</v>
      </c>
      <c r="D22" s="7" t="s">
        <v>167</v>
      </c>
      <c r="E22" s="7" t="s">
        <v>168</v>
      </c>
      <c r="F22" s="7" t="s">
        <v>169</v>
      </c>
      <c r="G22" s="7" t="s">
        <v>170</v>
      </c>
      <c r="H22" s="7" t="s">
        <v>171</v>
      </c>
      <c r="I22" s="4">
        <f t="shared" si="0"/>
        <v>65.222275279999621</v>
      </c>
      <c r="L22">
        <f t="shared" si="3"/>
        <v>24.777724720000379</v>
      </c>
      <c r="M22">
        <f t="shared" si="4"/>
        <v>0.43245287751679667</v>
      </c>
      <c r="N22">
        <f>'lever arm selection'!$B$21*SIN(M22)</f>
        <v>15.552061401799131</v>
      </c>
      <c r="O22">
        <f>'lever arm selection'!$B$21*COS(M22)</f>
        <v>33.69213918338113</v>
      </c>
      <c r="P22">
        <f>'lever arm selection'!$C$7-N22</f>
        <v>14.612938598200872</v>
      </c>
      <c r="Q22">
        <f t="shared" si="5"/>
        <v>15.412938598200872</v>
      </c>
      <c r="R22">
        <f>O22+'lever arm selection'!$B$22</f>
        <v>51.002139183381132</v>
      </c>
      <c r="S22">
        <f t="shared" si="1"/>
        <v>1.277320752452997</v>
      </c>
      <c r="T22">
        <f t="shared" si="6"/>
        <v>73.185088200031331</v>
      </c>
      <c r="U22">
        <f t="shared" si="7"/>
        <v>53.407455899984335</v>
      </c>
      <c r="V22">
        <f t="shared" si="8"/>
        <v>0.93213595056839804</v>
      </c>
      <c r="W22">
        <f t="shared" si="9"/>
        <v>0.63866037622649852</v>
      </c>
      <c r="X22">
        <f t="shared" si="2"/>
        <v>1.2936402361095873</v>
      </c>
      <c r="Y22">
        <f t="shared" si="10"/>
        <v>1.0386573487006348</v>
      </c>
      <c r="Z22">
        <f t="shared" si="11"/>
        <v>0.77116533407035159</v>
      </c>
      <c r="AB22">
        <f>Z22+pulley!$B$12</f>
        <v>0.88305455905315977</v>
      </c>
      <c r="AG22">
        <f>AB22*$AF$5*$AF$6/(6*'lever arm selection'!$J$5*'lever arm selection'!$J$19)</f>
        <v>8.5188523645618042E-6</v>
      </c>
      <c r="AH22">
        <f>AB22*$AF$5*$AF$6/(3*'lever arm selection'!$J$5*'lever arm selection'!$J$19)</f>
        <v>1.7037704729123608E-5</v>
      </c>
      <c r="AI22">
        <f>(AB22*$AF$6/(6*'lever arm selection'!$J$5*'lever arm selection'!$J$19))*(2*$AF$4+$AF$6)</f>
        <v>5.6787141615790184E-5</v>
      </c>
      <c r="AJ22">
        <f>AB22*($AF$6^2)*$AF$4/(3*'lever arm selection'!$J$5*'lever arm selection'!$J$19)</f>
        <v>3.0472138440170706E-3</v>
      </c>
    </row>
    <row r="23" spans="1:36" x14ac:dyDescent="0.2">
      <c r="A23">
        <v>21</v>
      </c>
      <c r="B23" s="7" t="s">
        <v>172</v>
      </c>
      <c r="C23" s="7" t="s">
        <v>173</v>
      </c>
      <c r="D23" s="7" t="s">
        <v>174</v>
      </c>
      <c r="E23" s="7" t="s">
        <v>175</v>
      </c>
      <c r="F23" s="7" t="s">
        <v>176</v>
      </c>
      <c r="G23">
        <v>1.1551038038480399</v>
      </c>
      <c r="H23" s="7" t="s">
        <v>177</v>
      </c>
      <c r="I23" s="4">
        <f t="shared" si="0"/>
        <v>66.182572859999993</v>
      </c>
      <c r="L23">
        <f t="shared" si="3"/>
        <v>23.817427140000007</v>
      </c>
      <c r="M23">
        <f t="shared" si="4"/>
        <v>0.41569252294685655</v>
      </c>
      <c r="N23">
        <f>'lever arm selection'!$B$21*SIN(M23)</f>
        <v>14.985211330745267</v>
      </c>
      <c r="O23">
        <f>'lever arm selection'!$B$21*COS(M23)</f>
        <v>33.948052933424037</v>
      </c>
      <c r="P23">
        <f>'lever arm selection'!$C$7-N23</f>
        <v>15.179788669254735</v>
      </c>
      <c r="Q23">
        <f t="shared" si="5"/>
        <v>15.979788669254736</v>
      </c>
      <c r="R23">
        <f>O23+'lever arm selection'!$B$22</f>
        <v>51.25805293342404</v>
      </c>
      <c r="S23">
        <f t="shared" si="1"/>
        <v>1.2685932661047368</v>
      </c>
      <c r="T23">
        <f t="shared" si="6"/>
        <v>72.685040066517971</v>
      </c>
      <c r="U23">
        <f t="shared" si="7"/>
        <v>53.657479966741015</v>
      </c>
      <c r="V23">
        <f t="shared" si="8"/>
        <v>0.93649969374252817</v>
      </c>
      <c r="W23">
        <f t="shared" si="9"/>
        <v>0.63429663305236839</v>
      </c>
      <c r="X23">
        <f t="shared" si="2"/>
        <v>2.5534517718666225</v>
      </c>
      <c r="Y23">
        <f t="shared" si="10"/>
        <v>2.0567765961163107</v>
      </c>
      <c r="Z23">
        <f t="shared" si="11"/>
        <v>1.5132038808161301</v>
      </c>
      <c r="AB23">
        <f>Z23+pulley!$B$12</f>
        <v>1.6250931057989382</v>
      </c>
      <c r="AG23">
        <f>AB23*$AF$5*$AF$6/(6*'lever arm selection'!$J$5*'lever arm selection'!$J$19)</f>
        <v>1.5677319260785298E-5</v>
      </c>
      <c r="AH23">
        <f>AB23*$AF$5*$AF$6/(3*'lever arm selection'!$J$5*'lever arm selection'!$J$19)</f>
        <v>3.1354638521570597E-5</v>
      </c>
      <c r="AI23">
        <f>(AB23*$AF$6/(6*'lever arm selection'!$J$5*'lever arm selection'!$J$19))*(2*$AF$4+$AF$6)</f>
        <v>1.045058783647513E-4</v>
      </c>
      <c r="AJ23">
        <f>AB23*($AF$6^2)*$AF$4/(3*'lever arm selection'!$J$5*'lever arm selection'!$J$19)</f>
        <v>5.607814555781159E-3</v>
      </c>
    </row>
    <row r="24" spans="1:36" x14ac:dyDescent="0.2">
      <c r="A24">
        <v>22</v>
      </c>
      <c r="B24">
        <v>31.027705361499098</v>
      </c>
      <c r="C24" s="7" t="s">
        <v>178</v>
      </c>
      <c r="D24" s="7" t="s">
        <v>179</v>
      </c>
      <c r="E24" s="7" t="s">
        <v>180</v>
      </c>
      <c r="F24" s="7" t="s">
        <v>181</v>
      </c>
      <c r="G24" s="7" t="s">
        <v>182</v>
      </c>
      <c r="H24">
        <v>0.69065063358346102</v>
      </c>
      <c r="I24" s="4">
        <f t="shared" si="0"/>
        <v>67.327577949999764</v>
      </c>
      <c r="L24">
        <f t="shared" si="3"/>
        <v>22.672422050000236</v>
      </c>
      <c r="M24">
        <f t="shared" si="4"/>
        <v>0.39570841417426655</v>
      </c>
      <c r="N24">
        <f>'lever arm selection'!$B$21*SIN(M24)</f>
        <v>14.303842721758143</v>
      </c>
      <c r="O24">
        <f>'lever arm selection'!$B$21*COS(M24)</f>
        <v>34.240720494593326</v>
      </c>
      <c r="P24">
        <f>'lever arm selection'!$C$7-N24</f>
        <v>15.86115727824186</v>
      </c>
      <c r="Q24">
        <f t="shared" si="5"/>
        <v>16.661157278241859</v>
      </c>
      <c r="R24">
        <f>O24+'lever arm selection'!$B$22</f>
        <v>51.550720494593321</v>
      </c>
      <c r="S24">
        <f t="shared" si="1"/>
        <v>1.2581939515962444</v>
      </c>
      <c r="T24">
        <f t="shared" si="6"/>
        <v>72.089203235352187</v>
      </c>
      <c r="U24">
        <f t="shared" si="7"/>
        <v>53.955398382323907</v>
      </c>
      <c r="V24">
        <f t="shared" si="8"/>
        <v>0.94169935099677438</v>
      </c>
      <c r="W24">
        <f t="shared" si="9"/>
        <v>0.62909697579812218</v>
      </c>
      <c r="X24">
        <f t="shared" si="2"/>
        <v>5.6497276364250011</v>
      </c>
      <c r="Y24">
        <f t="shared" si="10"/>
        <v>4.5681392057255401</v>
      </c>
      <c r="Z24">
        <f t="shared" si="11"/>
        <v>3.3243836365404125</v>
      </c>
      <c r="AB24">
        <f>Z24+pulley!$B$12</f>
        <v>3.4362728615232205</v>
      </c>
      <c r="AG24">
        <f>AB24*$AF$5*$AF$6/(6*'lever arm selection'!$J$5*'lever arm selection'!$J$19)</f>
        <v>3.3149821708699663E-5</v>
      </c>
      <c r="AH24">
        <f>AB24*$AF$5*$AF$6/(3*'lever arm selection'!$J$5*'lever arm selection'!$J$19)</f>
        <v>6.6299643417399326E-5</v>
      </c>
      <c r="AI24">
        <f>(AB24*$AF$6/(6*'lever arm selection'!$J$5*'lever arm selection'!$J$19))*(2*$AF$4+$AF$6)</f>
        <v>2.2097854726784612E-4</v>
      </c>
      <c r="AJ24">
        <f>AB24*($AF$6^2)*$AF$4/(3*'lever arm selection'!$J$5*'lever arm selection'!$J$19)</f>
        <v>1.1857770426643995E-2</v>
      </c>
    </row>
    <row r="25" spans="1:36" x14ac:dyDescent="0.2">
      <c r="A25">
        <v>23</v>
      </c>
      <c r="B25" s="7" t="s">
        <v>183</v>
      </c>
      <c r="C25" s="7" t="s">
        <v>184</v>
      </c>
      <c r="D25" s="7" t="s">
        <v>185</v>
      </c>
      <c r="E25" s="7" t="s">
        <v>186</v>
      </c>
      <c r="F25" s="7" t="s">
        <v>187</v>
      </c>
      <c r="G25" s="7" t="s">
        <v>188</v>
      </c>
      <c r="H25" s="7" t="s">
        <v>189</v>
      </c>
      <c r="I25" s="4">
        <f t="shared" si="0"/>
        <v>68.373251339999726</v>
      </c>
      <c r="L25">
        <f t="shared" si="3"/>
        <v>21.626748660000274</v>
      </c>
      <c r="M25">
        <f t="shared" si="4"/>
        <v>0.37745797061827646</v>
      </c>
      <c r="N25">
        <f>'lever arm selection'!$B$21*SIN(M25)</f>
        <v>13.676586988607587</v>
      </c>
      <c r="O25">
        <f>'lever arm selection'!$B$21*COS(M25)</f>
        <v>34.496055208396022</v>
      </c>
      <c r="P25">
        <f>'lever arm selection'!$C$7-N25</f>
        <v>16.488413011392417</v>
      </c>
      <c r="Q25">
        <f t="shared" si="5"/>
        <v>17.288413011392418</v>
      </c>
      <c r="R25">
        <f>O25+'lever arm selection'!$B$22</f>
        <v>51.806055208396018</v>
      </c>
      <c r="S25">
        <f t="shared" si="1"/>
        <v>1.248703088153498</v>
      </c>
      <c r="T25">
        <f t="shared" si="6"/>
        <v>71.545416816147821</v>
      </c>
      <c r="U25">
        <f t="shared" si="7"/>
        <v>54.22729159192609</v>
      </c>
      <c r="V25">
        <f t="shared" si="8"/>
        <v>0.94644478271814758</v>
      </c>
      <c r="W25">
        <f t="shared" si="9"/>
        <v>0.62435154407674898</v>
      </c>
      <c r="X25">
        <f t="shared" si="2"/>
        <v>7.8947065106517931</v>
      </c>
      <c r="Y25">
        <f t="shared" si="10"/>
        <v>6.4053098021328978</v>
      </c>
      <c r="Z25">
        <f t="shared" si="11"/>
        <v>4.6150186595536136</v>
      </c>
      <c r="AB25">
        <f>Z25+pulley!$B$12</f>
        <v>4.7269078845364216</v>
      </c>
      <c r="AG25">
        <f>AB25*$AF$5*$AF$6/(6*'lever arm selection'!$J$5*'lever arm selection'!$J$19)</f>
        <v>4.5600614363426679E-5</v>
      </c>
      <c r="AH25">
        <f>AB25*$AF$5*$AF$6/(3*'lever arm selection'!$J$5*'lever arm selection'!$J$19)</f>
        <v>9.1201228726853358E-5</v>
      </c>
      <c r="AI25">
        <f>(AB25*$AF$6/(6*'lever arm selection'!$J$5*'lever arm selection'!$J$19))*(2*$AF$4+$AF$6)</f>
        <v>3.0397622059930463E-4</v>
      </c>
      <c r="AJ25">
        <f>AB25*($AF$6^2)*$AF$4/(3*'lever arm selection'!$J$5*'lever arm selection'!$J$19)</f>
        <v>1.6311448706631631E-2</v>
      </c>
    </row>
    <row r="26" spans="1:36" x14ac:dyDescent="0.2">
      <c r="A26">
        <v>24</v>
      </c>
      <c r="B26" s="7" t="s">
        <v>190</v>
      </c>
      <c r="C26" s="7" t="s">
        <v>191</v>
      </c>
      <c r="D26" s="7" t="s">
        <v>192</v>
      </c>
      <c r="E26" s="7" t="s">
        <v>193</v>
      </c>
      <c r="F26" s="7" t="s">
        <v>194</v>
      </c>
      <c r="G26" s="7" t="s">
        <v>195</v>
      </c>
      <c r="H26" s="7" t="s">
        <v>196</v>
      </c>
      <c r="I26" s="4">
        <f t="shared" si="0"/>
        <v>68.941597169999724</v>
      </c>
      <c r="L26">
        <f t="shared" si="3"/>
        <v>21.058402830000276</v>
      </c>
      <c r="M26">
        <f t="shared" si="4"/>
        <v>0.36753846459479655</v>
      </c>
      <c r="N26">
        <f>'lever arm selection'!$B$21*SIN(M26)</f>
        <v>13.333735913464203</v>
      </c>
      <c r="O26">
        <f>'lever arm selection'!$B$21*COS(M26)</f>
        <v>34.630020837239641</v>
      </c>
      <c r="P26">
        <f>'lever arm selection'!$C$7-N26</f>
        <v>16.8312640865358</v>
      </c>
      <c r="Q26">
        <f t="shared" si="5"/>
        <v>17.631264086535801</v>
      </c>
      <c r="R26">
        <f>O26+'lever arm selection'!$B$22</f>
        <v>51.940020837239643</v>
      </c>
      <c r="S26">
        <f t="shared" si="1"/>
        <v>1.243547043571537</v>
      </c>
      <c r="T26">
        <f t="shared" si="6"/>
        <v>71.249997222620166</v>
      </c>
      <c r="U26">
        <f t="shared" si="7"/>
        <v>54.375001388689917</v>
      </c>
      <c r="V26">
        <f t="shared" si="8"/>
        <v>0.94902280500912806</v>
      </c>
      <c r="W26">
        <f t="shared" si="9"/>
        <v>0.6217735217857685</v>
      </c>
      <c r="X26">
        <f t="shared" si="2"/>
        <v>11.75242758186744</v>
      </c>
      <c r="Y26">
        <f t="shared" si="10"/>
        <v>9.5529219617404841</v>
      </c>
      <c r="Z26">
        <f t="shared" si="11"/>
        <v>6.8455267189555924</v>
      </c>
      <c r="AB26">
        <f>Z26+pulley!$B$12</f>
        <v>6.9574159439384005</v>
      </c>
      <c r="AG26">
        <f>AB26*$AF$5*$AF$6/(6*'lever arm selection'!$J$5*'lever arm selection'!$J$19)</f>
        <v>6.711838884429749E-5</v>
      </c>
      <c r="AH26">
        <f>AB26*$AF$5*$AF$6/(3*'lever arm selection'!$J$5*'lever arm selection'!$J$19)</f>
        <v>1.3423677768859498E-4</v>
      </c>
      <c r="AI26">
        <f>(AB26*$AF$6/(6*'lever arm selection'!$J$5*'lever arm selection'!$J$19))*(2*$AF$4+$AF$6)</f>
        <v>4.4741489689155439E-4</v>
      </c>
      <c r="AJ26">
        <f>AB26*($AF$6^2)*$AF$4/(3*'lever arm selection'!$J$5*'lever arm selection'!$J$19)</f>
        <v>2.4008408048633276E-2</v>
      </c>
    </row>
    <row r="27" spans="1:36" x14ac:dyDescent="0.2">
      <c r="A27">
        <v>25</v>
      </c>
      <c r="B27" s="7" t="s">
        <v>197</v>
      </c>
      <c r="C27" s="7" t="s">
        <v>198</v>
      </c>
      <c r="D27" s="7" t="s">
        <v>199</v>
      </c>
      <c r="E27" s="7" t="s">
        <v>200</v>
      </c>
      <c r="F27" s="7" t="s">
        <v>201</v>
      </c>
      <c r="G27" s="7" t="s">
        <v>202</v>
      </c>
      <c r="H27" s="7" t="s">
        <v>203</v>
      </c>
      <c r="I27" s="4">
        <f t="shared" si="0"/>
        <v>69.629489079999573</v>
      </c>
      <c r="L27">
        <f t="shared" si="3"/>
        <v>20.370510920000427</v>
      </c>
      <c r="M27">
        <f t="shared" si="4"/>
        <v>0.35553248586746666</v>
      </c>
      <c r="N27">
        <f>'lever arm selection'!$B$21*SIN(M27)</f>
        <v>12.917017633947818</v>
      </c>
      <c r="O27">
        <f>'lever arm selection'!$B$21*COS(M27)</f>
        <v>34.787605724480919</v>
      </c>
      <c r="P27">
        <f>'lever arm selection'!$C$7-N27</f>
        <v>17.247982366052184</v>
      </c>
      <c r="Q27">
        <f t="shared" si="5"/>
        <v>18.047982366052185</v>
      </c>
      <c r="R27">
        <f>O27+'lever arm selection'!$B$22</f>
        <v>52.097605724480914</v>
      </c>
      <c r="S27">
        <f t="shared" si="1"/>
        <v>1.2373087182417652</v>
      </c>
      <c r="T27">
        <f t="shared" si="6"/>
        <v>70.892567509994677</v>
      </c>
      <c r="U27">
        <f t="shared" si="7"/>
        <v>54.553716245002661</v>
      </c>
      <c r="V27">
        <f t="shared" si="8"/>
        <v>0.95214196767401404</v>
      </c>
      <c r="W27">
        <f t="shared" si="9"/>
        <v>0.61865435912088262</v>
      </c>
      <c r="X27">
        <f t="shared" si="2"/>
        <v>10.410540145249325</v>
      </c>
      <c r="Y27">
        <f t="shared" si="10"/>
        <v>8.4810463062964274</v>
      </c>
      <c r="Z27">
        <f t="shared" si="11"/>
        <v>6.0374828915951024</v>
      </c>
      <c r="AB27">
        <f>Z27+pulley!$B$12</f>
        <v>6.1493721165779105</v>
      </c>
      <c r="AG27">
        <f>AB27*$AF$5*$AF$6/(6*'lever arm selection'!$J$5*'lever arm selection'!$J$19)</f>
        <v>5.9323167134825417E-5</v>
      </c>
      <c r="AH27">
        <f>AB27*$AF$5*$AF$6/(3*'lever arm selection'!$J$5*'lever arm selection'!$J$19)</f>
        <v>1.1864633426965083E-4</v>
      </c>
      <c r="AI27">
        <f>(AB27*$AF$6/(6*'lever arm selection'!$J$5*'lever arm selection'!$J$19))*(2*$AF$4+$AF$6)</f>
        <v>3.9545151729552321E-4</v>
      </c>
      <c r="AJ27">
        <f>AB27*($AF$6^2)*$AF$4/(3*'lever arm selection'!$J$5*'lever arm selection'!$J$19)</f>
        <v>2.1220038618837721E-2</v>
      </c>
    </row>
    <row r="28" spans="1:36" x14ac:dyDescent="0.2">
      <c r="A28">
        <v>26</v>
      </c>
      <c r="B28" s="7" t="s">
        <v>204</v>
      </c>
      <c r="C28" s="7" t="s">
        <v>205</v>
      </c>
      <c r="D28" s="7" t="s">
        <v>206</v>
      </c>
      <c r="E28">
        <v>1.8051550054846499</v>
      </c>
      <c r="F28" s="7" t="s">
        <v>207</v>
      </c>
      <c r="G28" s="7" t="s">
        <v>208</v>
      </c>
      <c r="H28" s="7" t="s">
        <v>209</v>
      </c>
      <c r="I28" s="4">
        <f t="shared" si="0"/>
        <v>69.915011779999929</v>
      </c>
      <c r="L28">
        <f t="shared" si="3"/>
        <v>20.084988220000071</v>
      </c>
      <c r="M28">
        <f t="shared" si="4"/>
        <v>0.35054917466327645</v>
      </c>
      <c r="N28">
        <f>'lever arm selection'!$B$21*SIN(M28)</f>
        <v>12.743500499742151</v>
      </c>
      <c r="O28">
        <f>'lever arm selection'!$B$21*COS(M28)</f>
        <v>34.851543030556456</v>
      </c>
      <c r="P28">
        <f>'lever arm selection'!$C$7-N28</f>
        <v>17.421499500257852</v>
      </c>
      <c r="Q28">
        <f t="shared" si="5"/>
        <v>18.221499500257853</v>
      </c>
      <c r="R28">
        <f>O28+'lever arm selection'!$B$22</f>
        <v>52.161543030556459</v>
      </c>
      <c r="S28">
        <f t="shared" si="1"/>
        <v>1.2347200915253316</v>
      </c>
      <c r="T28">
        <f t="shared" si="6"/>
        <v>70.744250124408225</v>
      </c>
      <c r="U28">
        <f t="shared" si="7"/>
        <v>54.627874937795887</v>
      </c>
      <c r="V28">
        <f t="shared" si="8"/>
        <v>0.95343628103223077</v>
      </c>
      <c r="W28">
        <f t="shared" si="9"/>
        <v>0.61736004576266579</v>
      </c>
      <c r="X28">
        <f t="shared" si="2"/>
        <v>8.8498812555066522</v>
      </c>
      <c r="Y28">
        <f t="shared" si="10"/>
        <v>7.2162774709585502</v>
      </c>
      <c r="Z28">
        <f t="shared" si="11"/>
        <v>5.1230594080787375</v>
      </c>
      <c r="AB28">
        <f>Z28+pulley!$B$12</f>
        <v>5.2349486330615456</v>
      </c>
      <c r="AG28">
        <f>AB28*$AF$5*$AF$6/(6*'lever arm selection'!$J$5*'lever arm selection'!$J$19)</f>
        <v>5.0501697866701428E-5</v>
      </c>
      <c r="AH28">
        <f>AB28*$AF$5*$AF$6/(3*'lever arm selection'!$J$5*'lever arm selection'!$J$19)</f>
        <v>1.0100339573340286E-4</v>
      </c>
      <c r="AI28">
        <f>(AB28*$AF$6/(6*'lever arm selection'!$J$5*'lever arm selection'!$J$19))*(2*$AF$4+$AF$6)</f>
        <v>3.3664711464238888E-4</v>
      </c>
      <c r="AJ28">
        <f>AB28*($AF$6^2)*$AF$4/(3*'lever arm selection'!$J$5*'lever arm selection'!$J$19)</f>
        <v>1.8064577985405172E-2</v>
      </c>
    </row>
    <row r="29" spans="1:36" x14ac:dyDescent="0.2">
      <c r="A29">
        <v>27</v>
      </c>
      <c r="B29" s="7" t="s">
        <v>210</v>
      </c>
      <c r="C29" s="7" t="s">
        <v>211</v>
      </c>
      <c r="D29" s="7" t="s">
        <v>212</v>
      </c>
      <c r="E29" s="7" t="s">
        <v>213</v>
      </c>
      <c r="F29" s="7" t="s">
        <v>214</v>
      </c>
      <c r="G29" s="7" t="s">
        <v>215</v>
      </c>
      <c r="H29" s="7" t="s">
        <v>216</v>
      </c>
      <c r="I29" s="4">
        <f t="shared" si="0"/>
        <v>70.242540279999446</v>
      </c>
      <c r="L29">
        <f t="shared" si="3"/>
        <v>19.757459720000554</v>
      </c>
      <c r="M29">
        <f t="shared" si="4"/>
        <v>0.34483272394416664</v>
      </c>
      <c r="N29">
        <f>'lever arm selection'!$B$21*SIN(M29)</f>
        <v>12.544066242302726</v>
      </c>
      <c r="O29">
        <f>'lever arm selection'!$B$21*COS(M29)</f>
        <v>34.923820791923347</v>
      </c>
      <c r="P29">
        <f>'lever arm selection'!$C$7-N29</f>
        <v>17.620933757697276</v>
      </c>
      <c r="Q29">
        <f t="shared" si="5"/>
        <v>18.420933757697277</v>
      </c>
      <c r="R29">
        <f>O29+'lever arm selection'!$B$22</f>
        <v>52.23382079192335</v>
      </c>
      <c r="S29">
        <f t="shared" si="1"/>
        <v>1.2317511342017196</v>
      </c>
      <c r="T29">
        <f t="shared" si="6"/>
        <v>70.574141400210792</v>
      </c>
      <c r="U29">
        <f t="shared" si="7"/>
        <v>54.712929299894604</v>
      </c>
      <c r="V29">
        <f t="shared" si="8"/>
        <v>0.95492075969403689</v>
      </c>
      <c r="W29">
        <f t="shared" si="9"/>
        <v>0.61587556710085978</v>
      </c>
      <c r="X29">
        <f t="shared" si="2"/>
        <v>12.575319521558241</v>
      </c>
      <c r="Y29">
        <f t="shared" si="10"/>
        <v>10.264830512664734</v>
      </c>
      <c r="Z29">
        <f t="shared" si="11"/>
        <v>7.2644280996889785</v>
      </c>
      <c r="AB29">
        <f>Z29+pulley!$B$12</f>
        <v>7.3763173246717866</v>
      </c>
      <c r="AG29">
        <f>AB29*$AF$5*$AF$6/(6*'lever arm selection'!$J$5*'lever arm selection'!$J$19)</f>
        <v>7.1159542339507506E-5</v>
      </c>
      <c r="AH29">
        <f>AB29*$AF$5*$AF$6/(3*'lever arm selection'!$J$5*'lever arm selection'!$J$19)</f>
        <v>1.4231908467901501E-4</v>
      </c>
      <c r="AI29">
        <f>(AB29*$AF$6/(6*'lever arm selection'!$J$5*'lever arm selection'!$J$19))*(2*$AF$4+$AF$6)</f>
        <v>4.7435344988001687E-4</v>
      </c>
      <c r="AJ29">
        <f>AB29*($AF$6^2)*$AF$4/(3*'lever arm selection'!$J$5*'lever arm selection'!$J$19)</f>
        <v>2.5453938308980188E-2</v>
      </c>
    </row>
    <row r="30" spans="1:36" x14ac:dyDescent="0.2">
      <c r="A30">
        <v>28</v>
      </c>
      <c r="B30" s="7" t="s">
        <v>217</v>
      </c>
      <c r="C30" s="7" t="s">
        <v>218</v>
      </c>
      <c r="D30" s="7" t="s">
        <v>219</v>
      </c>
      <c r="E30" s="7" t="s">
        <v>220</v>
      </c>
      <c r="F30" s="7" t="s">
        <v>221</v>
      </c>
      <c r="G30" s="7" t="s">
        <v>222</v>
      </c>
      <c r="H30" s="7" t="s">
        <v>223</v>
      </c>
      <c r="I30" s="4">
        <f t="shared" si="0"/>
        <v>69.478749339999581</v>
      </c>
      <c r="L30">
        <f t="shared" si="3"/>
        <v>20.521250660000419</v>
      </c>
      <c r="M30">
        <f t="shared" si="4"/>
        <v>0.35816339064406671</v>
      </c>
      <c r="N30">
        <f>'lever arm selection'!$B$21*SIN(M30)</f>
        <v>13.008495702857175</v>
      </c>
      <c r="O30">
        <f>'lever arm selection'!$B$21*COS(M30)</f>
        <v>34.75350192637287</v>
      </c>
      <c r="P30">
        <f>'lever arm selection'!$C$7-N30</f>
        <v>17.156504297142828</v>
      </c>
      <c r="Q30">
        <f t="shared" si="5"/>
        <v>17.956504297142828</v>
      </c>
      <c r="R30">
        <f>O30+'lever arm selection'!$B$22</f>
        <v>52.063501926372865</v>
      </c>
      <c r="S30">
        <f t="shared" si="1"/>
        <v>1.2386755327759842</v>
      </c>
      <c r="T30">
        <f t="shared" si="6"/>
        <v>70.970880214182571</v>
      </c>
      <c r="U30">
        <f t="shared" si="7"/>
        <v>54.514559892908714</v>
      </c>
      <c r="V30">
        <f t="shared" si="8"/>
        <v>0.95145856040690446</v>
      </c>
      <c r="W30">
        <f t="shared" si="9"/>
        <v>0.61933776638799209</v>
      </c>
      <c r="X30">
        <f t="shared" si="2"/>
        <v>8.562785909386065</v>
      </c>
      <c r="Y30">
        <f t="shared" si="10"/>
        <v>6.9723602497050781</v>
      </c>
      <c r="Z30">
        <f t="shared" si="11"/>
        <v>4.9706634444823443</v>
      </c>
      <c r="AB30">
        <f>Z30+pulley!$B$12</f>
        <v>5.0825526694651524</v>
      </c>
      <c r="AG30">
        <f>AB30*$AF$5*$AF$6/(6*'lever arm selection'!$J$5*'lever arm selection'!$J$19)</f>
        <v>4.903152968567214E-5</v>
      </c>
      <c r="AH30">
        <f>AB30*$AF$5*$AF$6/(3*'lever arm selection'!$J$5*'lever arm selection'!$J$19)</f>
        <v>9.806305937134428E-5</v>
      </c>
      <c r="AI30">
        <f>(AB30*$AF$6/(6*'lever arm selection'!$J$5*'lever arm selection'!$J$19))*(2*$AF$4+$AF$6)</f>
        <v>3.2684689213325827E-4</v>
      </c>
      <c r="AJ30">
        <f>AB30*($AF$6^2)*$AF$4/(3*'lever arm selection'!$J$5*'lever arm selection'!$J$19)</f>
        <v>1.7538695314530138E-2</v>
      </c>
    </row>
    <row r="31" spans="1:36" x14ac:dyDescent="0.2">
      <c r="A31">
        <v>29</v>
      </c>
      <c r="B31" s="7" t="s">
        <v>224</v>
      </c>
      <c r="C31">
        <v>21.022593279512801</v>
      </c>
      <c r="D31" s="7" t="s">
        <v>225</v>
      </c>
      <c r="E31">
        <v>2.3746652328240598</v>
      </c>
      <c r="F31" s="7" t="s">
        <v>226</v>
      </c>
      <c r="G31" s="7" t="s">
        <v>227</v>
      </c>
      <c r="H31" s="7" t="s">
        <v>228</v>
      </c>
      <c r="I31" s="4">
        <f t="shared" si="0"/>
        <v>70.369740159999935</v>
      </c>
      <c r="L31">
        <f t="shared" si="3"/>
        <v>19.630259840000065</v>
      </c>
      <c r="M31">
        <f t="shared" si="4"/>
        <v>0.34261266723001638</v>
      </c>
      <c r="N31">
        <f>'lever arm selection'!$B$21*SIN(M31)</f>
        <v>12.466502530503845</v>
      </c>
      <c r="O31">
        <f>'lever arm selection'!$B$21*COS(M31)</f>
        <v>34.951583243890369</v>
      </c>
      <c r="P31">
        <f>'lever arm selection'!$C$7-N31</f>
        <v>17.698497469496157</v>
      </c>
      <c r="Q31">
        <f t="shared" si="5"/>
        <v>18.498497469496158</v>
      </c>
      <c r="R31">
        <f>O31+'lever arm selection'!$B$22</f>
        <v>52.261583243890371</v>
      </c>
      <c r="S31">
        <f t="shared" si="1"/>
        <v>1.2305982461074718</v>
      </c>
      <c r="T31">
        <f t="shared" si="6"/>
        <v>70.508085778159526</v>
      </c>
      <c r="U31">
        <f t="shared" si="7"/>
        <v>54.745957110920237</v>
      </c>
      <c r="V31">
        <f t="shared" si="8"/>
        <v>0.95549720374116065</v>
      </c>
      <c r="W31">
        <f t="shared" si="9"/>
        <v>0.61529912305373591</v>
      </c>
      <c r="X31">
        <f t="shared" si="2"/>
        <v>11.78295918293116</v>
      </c>
      <c r="Y31">
        <f t="shared" si="10"/>
        <v>9.6219742341221917</v>
      </c>
      <c r="Z31">
        <f t="shared" si="11"/>
        <v>6.8011571768714774</v>
      </c>
      <c r="AB31">
        <f>Z31+pulley!$B$12</f>
        <v>6.9130464018542854</v>
      </c>
      <c r="AG31">
        <f>AB31*$AF$5*$AF$6/(6*'lever arm selection'!$J$5*'lever arm selection'!$J$19)</f>
        <v>6.6690354613996858E-5</v>
      </c>
      <c r="AH31">
        <f>AB31*$AF$5*$AF$6/(3*'lever arm selection'!$J$5*'lever arm selection'!$J$19)</f>
        <v>1.3338070922799372E-4</v>
      </c>
      <c r="AI31">
        <f>(AB31*$AF$6/(6*'lever arm selection'!$J$5*'lever arm selection'!$J$19))*(2*$AF$4+$AF$6)</f>
        <v>4.4456159700886081E-4</v>
      </c>
      <c r="AJ31">
        <f>AB31*($AF$6^2)*$AF$4/(3*'lever arm selection'!$J$5*'lever arm selection'!$J$19)</f>
        <v>2.3855299181796803E-2</v>
      </c>
    </row>
    <row r="32" spans="1:36" x14ac:dyDescent="0.2">
      <c r="A32">
        <v>30</v>
      </c>
      <c r="B32" s="7" t="s">
        <v>229</v>
      </c>
      <c r="C32" s="7" t="s">
        <v>230</v>
      </c>
      <c r="D32">
        <v>6.8318560729719202</v>
      </c>
      <c r="E32" s="7" t="s">
        <v>231</v>
      </c>
      <c r="F32" s="7" t="s">
        <v>232</v>
      </c>
      <c r="G32" s="7" t="s">
        <v>233</v>
      </c>
      <c r="H32" s="7" t="s">
        <v>234</v>
      </c>
      <c r="I32" s="4">
        <f t="shared" si="0"/>
        <v>70.743241849999748</v>
      </c>
      <c r="L32">
        <f t="shared" si="3"/>
        <v>19.256758150000252</v>
      </c>
      <c r="M32">
        <f t="shared" si="4"/>
        <v>0.33609383297775647</v>
      </c>
      <c r="N32">
        <f>'lever arm selection'!$B$21*SIN(M32)</f>
        <v>12.238395683867967</v>
      </c>
      <c r="O32">
        <f>'lever arm selection'!$B$21*COS(M32)</f>
        <v>35.032107097386223</v>
      </c>
      <c r="P32">
        <f>'lever arm selection'!$C$7-N32</f>
        <v>17.926604316132035</v>
      </c>
      <c r="Q32">
        <f t="shared" si="5"/>
        <v>18.726604316132036</v>
      </c>
      <c r="R32">
        <f>O32+'lever arm selection'!$B$22</f>
        <v>52.342107097386219</v>
      </c>
      <c r="S32">
        <f t="shared" si="1"/>
        <v>1.2272134411868272</v>
      </c>
      <c r="T32">
        <f t="shared" si="6"/>
        <v>70.314150741731467</v>
      </c>
      <c r="U32">
        <f t="shared" si="7"/>
        <v>54.842924629134266</v>
      </c>
      <c r="V32">
        <f t="shared" si="8"/>
        <v>0.95718960620148308</v>
      </c>
      <c r="W32">
        <f t="shared" si="9"/>
        <v>0.61360672059341359</v>
      </c>
      <c r="X32">
        <f t="shared" si="2"/>
        <v>11.171130203291627</v>
      </c>
      <c r="Y32">
        <f t="shared" si="10"/>
        <v>9.133253737048344</v>
      </c>
      <c r="Z32">
        <f t="shared" si="11"/>
        <v>6.4325598476490615</v>
      </c>
      <c r="AB32">
        <f>Z32+pulley!$B$12</f>
        <v>6.5444490726318696</v>
      </c>
      <c r="AG32">
        <f>AB32*$AF$5*$AF$6/(6*'lever arm selection'!$J$5*'lever arm selection'!$J$19)</f>
        <v>6.3134485729763495E-5</v>
      </c>
      <c r="AH32">
        <f>AB32*$AF$5*$AF$6/(3*'lever arm selection'!$J$5*'lever arm selection'!$J$19)</f>
        <v>1.2626897145952699E-4</v>
      </c>
      <c r="AI32">
        <f>(AB32*$AF$6/(6*'lever arm selection'!$J$5*'lever arm selection'!$J$19))*(2*$AF$4+$AF$6)</f>
        <v>4.2085797811106709E-4</v>
      </c>
      <c r="AJ32">
        <f>AB32*($AF$6^2)*$AF$4/(3*'lever arm selection'!$J$5*'lever arm selection'!$J$19)</f>
        <v>2.258335638623659E-2</v>
      </c>
    </row>
    <row r="33" spans="1:36" x14ac:dyDescent="0.2">
      <c r="A33">
        <v>31</v>
      </c>
      <c r="B33" s="7" t="s">
        <v>235</v>
      </c>
      <c r="C33" s="7" t="s">
        <v>236</v>
      </c>
      <c r="D33" s="7" t="s">
        <v>237</v>
      </c>
      <c r="E33" s="7" t="s">
        <v>238</v>
      </c>
      <c r="F33" s="7" t="s">
        <v>239</v>
      </c>
      <c r="G33" s="7" t="s">
        <v>240</v>
      </c>
      <c r="H33" s="7" t="s">
        <v>241</v>
      </c>
      <c r="I33" s="4">
        <f t="shared" si="0"/>
        <v>71.717870909999888</v>
      </c>
      <c r="L33">
        <f t="shared" si="3"/>
        <v>18.282129090000112</v>
      </c>
      <c r="M33">
        <f t="shared" si="4"/>
        <v>0.31908334689513668</v>
      </c>
      <c r="N33">
        <f>'lever arm selection'!$B$21*SIN(M33)</f>
        <v>11.640740663986684</v>
      </c>
      <c r="O33">
        <f>'lever arm selection'!$B$21*COS(M33)</f>
        <v>35.235209853092449</v>
      </c>
      <c r="P33">
        <f>'lever arm selection'!$C$7-N33</f>
        <v>18.524259336013319</v>
      </c>
      <c r="Q33">
        <f t="shared" si="5"/>
        <v>19.32425933601332</v>
      </c>
      <c r="R33">
        <f>O33+'lever arm selection'!$B$22</f>
        <v>52.545209853092445</v>
      </c>
      <c r="S33">
        <f t="shared" si="1"/>
        <v>1.2183842071919793</v>
      </c>
      <c r="T33">
        <f t="shared" si="6"/>
        <v>69.808272897493254</v>
      </c>
      <c r="U33">
        <f t="shared" si="7"/>
        <v>55.095863551253373</v>
      </c>
      <c r="V33">
        <f t="shared" si="8"/>
        <v>0.96160422319890693</v>
      </c>
      <c r="W33">
        <f t="shared" si="9"/>
        <v>0.60919210359598963</v>
      </c>
      <c r="X33">
        <f t="shared" si="2"/>
        <v>12.776549172846771</v>
      </c>
      <c r="Y33">
        <f t="shared" si="10"/>
        <v>10.478182997503573</v>
      </c>
      <c r="Z33">
        <f t="shared" si="11"/>
        <v>7.3108063739233664</v>
      </c>
      <c r="AB33">
        <f>Z33+pulley!$B$12</f>
        <v>7.4226955989061745</v>
      </c>
      <c r="AG33">
        <f>AB33*$AF$5*$AF$6/(6*'lever arm selection'!$J$5*'lever arm selection'!$J$19)</f>
        <v>7.1606954865806601E-5</v>
      </c>
      <c r="AH33">
        <f>AB33*$AF$5*$AF$6/(3*'lever arm selection'!$J$5*'lever arm selection'!$J$19)</f>
        <v>1.432139097316132E-4</v>
      </c>
      <c r="AI33">
        <f>(AB33*$AF$6/(6*'lever arm selection'!$J$5*'lever arm selection'!$J$19))*(2*$AF$4+$AF$6)</f>
        <v>4.7733592655695975E-4</v>
      </c>
      <c r="AJ33">
        <f>AB33*($AF$6^2)*$AF$4/(3*'lever arm selection'!$J$5*'lever arm selection'!$J$19)</f>
        <v>2.561397883859387E-2</v>
      </c>
    </row>
    <row r="34" spans="1:36" x14ac:dyDescent="0.2">
      <c r="A34">
        <v>32</v>
      </c>
      <c r="B34" s="7" t="s">
        <v>242</v>
      </c>
      <c r="C34" s="7" t="s">
        <v>243</v>
      </c>
      <c r="D34">
        <v>9.3008066084949803</v>
      </c>
      <c r="E34" s="7" t="s">
        <v>244</v>
      </c>
      <c r="F34" s="7" t="s">
        <v>245</v>
      </c>
      <c r="G34" s="7" t="s">
        <v>246</v>
      </c>
      <c r="H34" s="7" t="s">
        <v>247</v>
      </c>
      <c r="I34" s="4">
        <f t="shared" si="0"/>
        <v>72.760982559999846</v>
      </c>
      <c r="L34">
        <f t="shared" si="3"/>
        <v>17.239017440000154</v>
      </c>
      <c r="M34">
        <f t="shared" si="4"/>
        <v>0.3008776141367267</v>
      </c>
      <c r="N34">
        <f>'lever arm selection'!$B$21*SIN(M34)</f>
        <v>10.997364184642214</v>
      </c>
      <c r="O34">
        <f>'lever arm selection'!$B$21*COS(M34)</f>
        <v>35.4412871886449</v>
      </c>
      <c r="P34">
        <f>'lever arm selection'!$C$7-N34</f>
        <v>19.167635815357791</v>
      </c>
      <c r="Q34">
        <f t="shared" si="5"/>
        <v>19.967635815357792</v>
      </c>
      <c r="R34">
        <f>O34+'lever arm selection'!$B$22</f>
        <v>52.751287188644895</v>
      </c>
      <c r="S34">
        <f t="shared" si="1"/>
        <v>1.2089395816455719</v>
      </c>
      <c r="T34">
        <f t="shared" si="6"/>
        <v>69.267135714602674</v>
      </c>
      <c r="U34">
        <f t="shared" si="7"/>
        <v>55.366432142698663</v>
      </c>
      <c r="V34">
        <f t="shared" si="8"/>
        <v>0.9663265359721106</v>
      </c>
      <c r="W34">
        <f t="shared" si="9"/>
        <v>0.60446979082278596</v>
      </c>
      <c r="X34">
        <f t="shared" si="2"/>
        <v>15.305473295409515</v>
      </c>
      <c r="Y34">
        <f t="shared" si="10"/>
        <v>12.59339768351556</v>
      </c>
      <c r="Z34">
        <f t="shared" si="11"/>
        <v>8.6984968575794017</v>
      </c>
      <c r="AB34">
        <f>Z34+pulley!$B$12</f>
        <v>8.8103860825622107</v>
      </c>
      <c r="AG34">
        <f>AB34*$AF$5*$AF$6/(6*'lever arm selection'!$J$5*'lever arm selection'!$J$19)</f>
        <v>8.4994044300743175E-5</v>
      </c>
      <c r="AH34">
        <f>AB34*$AF$5*$AF$6/(3*'lever arm selection'!$J$5*'lever arm selection'!$J$19)</f>
        <v>1.6998808860148635E-4</v>
      </c>
      <c r="AI34">
        <f>(AB34*$AF$6/(6*'lever arm selection'!$J$5*'lever arm selection'!$J$19))*(2*$AF$4+$AF$6)</f>
        <v>5.6657500607516613E-4</v>
      </c>
      <c r="AJ34">
        <f>AB34*($AF$6^2)*$AF$4/(3*'lever arm selection'!$J$5*'lever arm selection'!$J$19)</f>
        <v>3.0402572713859571E-2</v>
      </c>
    </row>
    <row r="35" spans="1:36" x14ac:dyDescent="0.2">
      <c r="A35">
        <v>33</v>
      </c>
      <c r="B35" s="7" t="s">
        <v>248</v>
      </c>
      <c r="C35" s="7" t="s">
        <v>249</v>
      </c>
      <c r="D35">
        <v>9.4480451093732398</v>
      </c>
      <c r="E35" s="7" t="s">
        <v>250</v>
      </c>
      <c r="F35" s="7" t="s">
        <v>251</v>
      </c>
      <c r="G35" s="7" t="s">
        <v>252</v>
      </c>
      <c r="H35" s="7" t="s">
        <v>253</v>
      </c>
      <c r="I35" s="4">
        <f t="shared" ref="I35:I66" si="12">DEGREES(G35)</f>
        <v>72.979112349999639</v>
      </c>
      <c r="L35">
        <f t="shared" ref="L35:L66" si="13">90-I35</f>
        <v>17.020887650000361</v>
      </c>
      <c r="M35">
        <f t="shared" si="4"/>
        <v>0.29707053110454651</v>
      </c>
      <c r="N35">
        <f>'lever arm selection'!$B$21*SIN(M35)</f>
        <v>10.862356890336859</v>
      </c>
      <c r="O35">
        <f>'lever arm selection'!$B$21*COS(M35)</f>
        <v>35.48289812549995</v>
      </c>
      <c r="P35">
        <f>'lever arm selection'!$C$7-N35</f>
        <v>19.302643109663144</v>
      </c>
      <c r="Q35">
        <f t="shared" si="5"/>
        <v>20.102643109663145</v>
      </c>
      <c r="R35">
        <f>O35+'lever arm selection'!$B$22</f>
        <v>52.792898125499946</v>
      </c>
      <c r="S35">
        <f t="shared" ref="S35:S66" si="14">ATAN(R35/Q35)</f>
        <v>1.2069652110402209</v>
      </c>
      <c r="T35">
        <f t="shared" si="6"/>
        <v>69.15401261172137</v>
      </c>
      <c r="U35">
        <f t="shared" si="7"/>
        <v>55.422993694139315</v>
      </c>
      <c r="V35">
        <f t="shared" si="8"/>
        <v>0.9673137212747861</v>
      </c>
      <c r="W35">
        <f t="shared" si="9"/>
        <v>0.60348260552011046</v>
      </c>
      <c r="X35">
        <f t="shared" ref="X35:X66" si="15">2*D35*SIN(V35)</f>
        <v>15.55836395734684</v>
      </c>
      <c r="Y35">
        <f t="shared" si="10"/>
        <v>12.810199688246783</v>
      </c>
      <c r="Z35">
        <f t="shared" si="11"/>
        <v>8.8295794337279307</v>
      </c>
      <c r="AB35">
        <f>Z35+pulley!$B$12</f>
        <v>8.9414686587107397</v>
      </c>
      <c r="AG35">
        <f>AB35*$AF$5*$AF$6/(6*'lever arm selection'!$J$5*'lever arm selection'!$J$19)</f>
        <v>8.6258601628857871E-5</v>
      </c>
      <c r="AH35">
        <f>AB35*$AF$5*$AF$6/(3*'lever arm selection'!$J$5*'lever arm selection'!$J$19)</f>
        <v>1.7251720325771574E-4</v>
      </c>
      <c r="AI35">
        <f>(AB35*$AF$6/(6*'lever arm selection'!$J$5*'lever arm selection'!$J$19))*(2*$AF$4+$AF$6)</f>
        <v>5.7500461525253192E-4</v>
      </c>
      <c r="AJ35">
        <f>AB35*($AF$6^2)*$AF$4/(3*'lever arm selection'!$J$5*'lever arm selection'!$J$19)</f>
        <v>3.0854907891402293E-2</v>
      </c>
    </row>
    <row r="36" spans="1:36" x14ac:dyDescent="0.2">
      <c r="A36">
        <v>34</v>
      </c>
      <c r="B36" s="7" t="s">
        <v>254</v>
      </c>
      <c r="C36" s="7" t="s">
        <v>255</v>
      </c>
      <c r="D36" s="7" t="s">
        <v>256</v>
      </c>
      <c r="E36" s="7" t="s">
        <v>257</v>
      </c>
      <c r="F36" s="7" t="s">
        <v>258</v>
      </c>
      <c r="G36" s="7" t="s">
        <v>259</v>
      </c>
      <c r="H36" s="7" t="s">
        <v>260</v>
      </c>
      <c r="I36" s="4">
        <f t="shared" si="12"/>
        <v>71.862522269999459</v>
      </c>
      <c r="L36">
        <f t="shared" si="13"/>
        <v>18.137477730000541</v>
      </c>
      <c r="M36">
        <f t="shared" si="4"/>
        <v>0.31655870439565653</v>
      </c>
      <c r="N36">
        <f>'lever arm selection'!$B$21*SIN(M36)</f>
        <v>11.551747352240342</v>
      </c>
      <c r="O36">
        <f>'lever arm selection'!$B$21*COS(M36)</f>
        <v>35.264486239099881</v>
      </c>
      <c r="P36">
        <f>'lever arm selection'!$C$7-N36</f>
        <v>18.613252647759658</v>
      </c>
      <c r="Q36">
        <f t="shared" si="5"/>
        <v>19.413252647759659</v>
      </c>
      <c r="R36">
        <f>O36+'lever arm selection'!$B$22</f>
        <v>52.574486239099883</v>
      </c>
      <c r="S36">
        <f t="shared" si="14"/>
        <v>1.2170741883279297</v>
      </c>
      <c r="T36">
        <f t="shared" si="6"/>
        <v>69.733214345500684</v>
      </c>
      <c r="U36">
        <f t="shared" si="7"/>
        <v>55.133392827249658</v>
      </c>
      <c r="V36">
        <f t="shared" si="8"/>
        <v>0.96225923263093183</v>
      </c>
      <c r="W36">
        <f t="shared" si="9"/>
        <v>0.60853709416396484</v>
      </c>
      <c r="X36">
        <f t="shared" si="15"/>
        <v>14.573521451612542</v>
      </c>
      <c r="Y36">
        <f t="shared" si="10"/>
        <v>11.957358541033042</v>
      </c>
      <c r="Z36">
        <f t="shared" si="11"/>
        <v>8.3312126501365409</v>
      </c>
      <c r="AB36">
        <f>Z36+pulley!$B$12</f>
        <v>8.4431018751193498</v>
      </c>
      <c r="AG36">
        <f>AB36*$AF$5*$AF$6/(6*'lever arm selection'!$J$5*'lever arm selection'!$J$19)</f>
        <v>8.145084313954237E-5</v>
      </c>
      <c r="AH36">
        <f>AB36*$AF$5*$AF$6/(3*'lever arm selection'!$J$5*'lever arm selection'!$J$19)</f>
        <v>1.6290168627908474E-4</v>
      </c>
      <c r="AI36">
        <f>(AB36*$AF$6/(6*'lever arm selection'!$J$5*'lever arm selection'!$J$19))*(2*$AF$4+$AF$6)</f>
        <v>5.4295583092061554E-4</v>
      </c>
      <c r="AJ36">
        <f>AB36*($AF$6^2)*$AF$4/(3*'lever arm selection'!$J$5*'lever arm selection'!$J$19)</f>
        <v>2.9135161193093791E-2</v>
      </c>
    </row>
    <row r="37" spans="1:36" x14ac:dyDescent="0.2">
      <c r="A37">
        <v>35</v>
      </c>
      <c r="B37" s="7" t="s">
        <v>261</v>
      </c>
      <c r="C37" s="7" t="s">
        <v>262</v>
      </c>
      <c r="D37" s="7" t="s">
        <v>263</v>
      </c>
      <c r="E37" s="7" t="s">
        <v>264</v>
      </c>
      <c r="F37" s="7" t="s">
        <v>265</v>
      </c>
      <c r="G37" s="7" t="s">
        <v>266</v>
      </c>
      <c r="H37" s="7" t="s">
        <v>267</v>
      </c>
      <c r="I37" s="4">
        <f t="shared" si="12"/>
        <v>71.273632049999676</v>
      </c>
      <c r="L37">
        <f t="shared" si="13"/>
        <v>18.726367950000324</v>
      </c>
      <c r="M37">
        <f t="shared" si="4"/>
        <v>0.32683677766744651</v>
      </c>
      <c r="N37">
        <f>'lever arm selection'!$B$21*SIN(M37)</f>
        <v>11.913581793315108</v>
      </c>
      <c r="O37">
        <f>'lever arm selection'!$B$21*COS(M37)</f>
        <v>35.143895991361674</v>
      </c>
      <c r="P37">
        <f>'lever arm selection'!$C$7-N37</f>
        <v>18.251418206684896</v>
      </c>
      <c r="Q37">
        <f t="shared" si="5"/>
        <v>19.051418206684897</v>
      </c>
      <c r="R37">
        <f>O37+'lever arm selection'!$B$22</f>
        <v>52.453895991361676</v>
      </c>
      <c r="S37">
        <f t="shared" si="14"/>
        <v>1.2224080302574885</v>
      </c>
      <c r="T37">
        <f t="shared" si="6"/>
        <v>70.038820976654321</v>
      </c>
      <c r="U37">
        <f t="shared" si="7"/>
        <v>54.980589511672839</v>
      </c>
      <c r="V37">
        <f t="shared" si="8"/>
        <v>0.95959231166615233</v>
      </c>
      <c r="W37">
        <f t="shared" si="9"/>
        <v>0.61120401512874423</v>
      </c>
      <c r="X37">
        <f t="shared" si="15"/>
        <v>17.595765126559055</v>
      </c>
      <c r="Y37">
        <f t="shared" si="10"/>
        <v>14.410187035511157</v>
      </c>
      <c r="Z37">
        <f t="shared" si="11"/>
        <v>10.097398674441745</v>
      </c>
      <c r="AB37">
        <f>Z37+pulley!$B$12</f>
        <v>10.209287899424554</v>
      </c>
      <c r="AG37">
        <f>AB37*$AF$5*$AF$6/(6*'lever arm selection'!$J$5*'lever arm selection'!$J$19)</f>
        <v>9.848928978494681E-5</v>
      </c>
      <c r="AH37">
        <f>AB37*$AF$5*$AF$6/(3*'lever arm selection'!$J$5*'lever arm selection'!$J$19)</f>
        <v>1.9697857956989362E-4</v>
      </c>
      <c r="AI37">
        <f>(AB37*$AF$6/(6*'lever arm selection'!$J$5*'lever arm selection'!$J$19))*(2*$AF$4+$AF$6)</f>
        <v>6.5653505980720951E-4</v>
      </c>
      <c r="AJ37">
        <f>AB37*($AF$6^2)*$AF$4/(3*'lever arm selection'!$J$5*'lever arm selection'!$J$19)</f>
        <v>3.5229854266354173E-2</v>
      </c>
    </row>
    <row r="38" spans="1:36" x14ac:dyDescent="0.2">
      <c r="A38">
        <v>36</v>
      </c>
      <c r="B38" s="7" t="s">
        <v>268</v>
      </c>
      <c r="C38" s="7" t="s">
        <v>269</v>
      </c>
      <c r="D38" s="7" t="s">
        <v>270</v>
      </c>
      <c r="E38" s="7" t="s">
        <v>271</v>
      </c>
      <c r="F38" s="7" t="s">
        <v>272</v>
      </c>
      <c r="G38" s="7" t="s">
        <v>273</v>
      </c>
      <c r="H38" s="7" t="s">
        <v>274</v>
      </c>
      <c r="I38" s="4">
        <f t="shared" si="12"/>
        <v>72.231588089999875</v>
      </c>
      <c r="L38">
        <f t="shared" si="13"/>
        <v>17.768411910000125</v>
      </c>
      <c r="M38">
        <f t="shared" si="4"/>
        <v>0.31011729068007654</v>
      </c>
      <c r="N38">
        <f>'lever arm selection'!$B$21*SIN(M38)</f>
        <v>11.324356127107906</v>
      </c>
      <c r="O38">
        <f>'lever arm selection'!$B$21*COS(M38)</f>
        <v>35.338163717206506</v>
      </c>
      <c r="P38">
        <f>'lever arm selection'!$C$7-N38</f>
        <v>18.840643872892095</v>
      </c>
      <c r="Q38">
        <f t="shared" si="5"/>
        <v>19.640643872892095</v>
      </c>
      <c r="R38">
        <f>O38+'lever arm selection'!$B$22</f>
        <v>52.648163717206501</v>
      </c>
      <c r="S38">
        <f t="shared" si="14"/>
        <v>1.2137322322692605</v>
      </c>
      <c r="T38">
        <f t="shared" si="6"/>
        <v>69.541734368020769</v>
      </c>
      <c r="U38">
        <f t="shared" si="7"/>
        <v>55.229132815989615</v>
      </c>
      <c r="V38">
        <f t="shared" si="8"/>
        <v>0.9639302106602663</v>
      </c>
      <c r="W38">
        <f t="shared" si="9"/>
        <v>0.60686611613463026</v>
      </c>
      <c r="X38">
        <f t="shared" si="15"/>
        <v>16.559230939299677</v>
      </c>
      <c r="Y38">
        <f t="shared" si="10"/>
        <v>13.602402906142302</v>
      </c>
      <c r="Z38">
        <f t="shared" si="11"/>
        <v>9.4436626623376991</v>
      </c>
      <c r="AB38">
        <f>Z38+pulley!$B$12</f>
        <v>9.5555518873205081</v>
      </c>
      <c r="AG38">
        <f>AB38*$AF$5*$AF$6/(6*'lever arm selection'!$J$5*'lever arm selection'!$J$19)</f>
        <v>9.2182679943666901E-5</v>
      </c>
      <c r="AH38">
        <f>AB38*$AF$5*$AF$6/(3*'lever arm selection'!$J$5*'lever arm selection'!$J$19)</f>
        <v>1.843653598873338E-4</v>
      </c>
      <c r="AI38">
        <f>(AB38*$AF$6/(6*'lever arm selection'!$J$5*'lever arm selection'!$J$19))*(2*$AF$4+$AF$6)</f>
        <v>6.144948493603037E-4</v>
      </c>
      <c r="AJ38">
        <f>AB38*($AF$6^2)*$AF$4/(3*'lever arm selection'!$J$5*'lever arm selection'!$J$19)</f>
        <v>3.2973964858397396E-2</v>
      </c>
    </row>
    <row r="39" spans="1:36" x14ac:dyDescent="0.2">
      <c r="A39">
        <v>37</v>
      </c>
      <c r="B39" s="7" t="s">
        <v>275</v>
      </c>
      <c r="C39" s="7" t="s">
        <v>276</v>
      </c>
      <c r="D39" s="7" t="s">
        <v>277</v>
      </c>
      <c r="E39" s="7" t="s">
        <v>278</v>
      </c>
      <c r="F39" s="7" t="s">
        <v>279</v>
      </c>
      <c r="G39" s="7" t="s">
        <v>280</v>
      </c>
      <c r="H39" s="7" t="s">
        <v>281</v>
      </c>
      <c r="I39" s="4">
        <f t="shared" si="12"/>
        <v>73.337842689999704</v>
      </c>
      <c r="L39">
        <f t="shared" si="13"/>
        <v>16.662157310000296</v>
      </c>
      <c r="M39">
        <f t="shared" si="4"/>
        <v>0.29080950554474666</v>
      </c>
      <c r="N39">
        <f>'lever arm selection'!$B$21*SIN(M39)</f>
        <v>10.639986105796753</v>
      </c>
      <c r="O39">
        <f>'lever arm selection'!$B$21*COS(M39)</f>
        <v>35.550211704940786</v>
      </c>
      <c r="P39">
        <f>'lever arm selection'!$C$7-N39</f>
        <v>19.525013894203248</v>
      </c>
      <c r="Q39">
        <f t="shared" si="5"/>
        <v>20.325013894203249</v>
      </c>
      <c r="R39">
        <f>O39+'lever arm selection'!$B$22</f>
        <v>52.860211704940781</v>
      </c>
      <c r="S39">
        <f t="shared" si="14"/>
        <v>1.2037186861149127</v>
      </c>
      <c r="T39">
        <f t="shared" si="6"/>
        <v>68.968000435417181</v>
      </c>
      <c r="U39">
        <f t="shared" si="7"/>
        <v>55.515999782291409</v>
      </c>
      <c r="V39">
        <f t="shared" si="8"/>
        <v>0.9689369837374403</v>
      </c>
      <c r="W39">
        <f t="shared" si="9"/>
        <v>0.60185934305745636</v>
      </c>
      <c r="X39">
        <f t="shared" si="15"/>
        <v>17.488884224493948</v>
      </c>
      <c r="Y39">
        <f t="shared" si="10"/>
        <v>14.415813124403607</v>
      </c>
      <c r="Z39">
        <f t="shared" si="11"/>
        <v>9.9017878880546597</v>
      </c>
      <c r="AB39">
        <f>Z39+pulley!$B$12</f>
        <v>10.013677113037469</v>
      </c>
      <c r="AG39">
        <f>AB39*$AF$5*$AF$6/(6*'lever arm selection'!$J$5*'lever arm selection'!$J$19)</f>
        <v>9.6602226983375246E-5</v>
      </c>
      <c r="AH39">
        <f>AB39*$AF$5*$AF$6/(3*'lever arm selection'!$J$5*'lever arm selection'!$J$19)</f>
        <v>1.9320445396675049E-4</v>
      </c>
      <c r="AI39">
        <f>(AB39*$AF$6/(6*'lever arm selection'!$J$5*'lever arm selection'!$J$19))*(2*$AF$4+$AF$6)</f>
        <v>6.4395579467091922E-4</v>
      </c>
      <c r="AJ39">
        <f>AB39*($AF$6^2)*$AF$4/(3*'lever arm selection'!$J$5*'lever arm selection'!$J$19)</f>
        <v>3.4554847393667938E-2</v>
      </c>
    </row>
    <row r="40" spans="1:36" x14ac:dyDescent="0.2">
      <c r="A40">
        <v>38</v>
      </c>
      <c r="B40" s="7" t="s">
        <v>282</v>
      </c>
      <c r="C40" s="7" t="s">
        <v>283</v>
      </c>
      <c r="D40" s="7" t="s">
        <v>284</v>
      </c>
      <c r="E40" s="7" t="s">
        <v>285</v>
      </c>
      <c r="F40" s="7" t="s">
        <v>286</v>
      </c>
      <c r="G40" s="7" t="s">
        <v>287</v>
      </c>
      <c r="H40" s="7" t="s">
        <v>288</v>
      </c>
      <c r="I40" s="4">
        <f t="shared" si="12"/>
        <v>75.801234439999988</v>
      </c>
      <c r="L40">
        <f t="shared" si="13"/>
        <v>14.198765560000012</v>
      </c>
      <c r="M40">
        <f t="shared" si="4"/>
        <v>0.2478152087407767</v>
      </c>
      <c r="N40">
        <f>'lever arm selection'!$B$21*SIN(M40)</f>
        <v>9.102168059916993</v>
      </c>
      <c r="O40">
        <f>'lever arm selection'!$B$21*COS(M40)</f>
        <v>35.974677110527111</v>
      </c>
      <c r="P40">
        <f>'lever arm selection'!$C$7-N40</f>
        <v>21.062831940083008</v>
      </c>
      <c r="Q40">
        <f t="shared" si="5"/>
        <v>21.862831940083009</v>
      </c>
      <c r="R40">
        <f>O40+'lever arm selection'!$B$22</f>
        <v>53.284677110527113</v>
      </c>
      <c r="S40">
        <f t="shared" si="14"/>
        <v>1.181440224595677</v>
      </c>
      <c r="T40">
        <f t="shared" si="6"/>
        <v>67.691538616320372</v>
      </c>
      <c r="U40">
        <f t="shared" si="7"/>
        <v>56.154230691839814</v>
      </c>
      <c r="V40">
        <f t="shared" si="8"/>
        <v>0.98007621449705806</v>
      </c>
      <c r="W40">
        <f t="shared" si="9"/>
        <v>0.5907201122978385</v>
      </c>
      <c r="X40">
        <f t="shared" si="15"/>
        <v>25.960842984299376</v>
      </c>
      <c r="Y40">
        <f t="shared" si="10"/>
        <v>21.561513892280239</v>
      </c>
      <c r="Z40">
        <f t="shared" si="11"/>
        <v>14.459131617370815</v>
      </c>
      <c r="AB40">
        <f>Z40+pulley!$B$12</f>
        <v>14.571020842353624</v>
      </c>
      <c r="AG40">
        <f>AB40*$AF$5*$AF$6/(6*'lever arm selection'!$J$5*'lever arm selection'!$J$19)</f>
        <v>1.4056705113448261E-4</v>
      </c>
      <c r="AH40">
        <f>AB40*$AF$5*$AF$6/(3*'lever arm selection'!$J$5*'lever arm selection'!$J$19)</f>
        <v>2.8113410226896521E-4</v>
      </c>
      <c r="AI40">
        <f>(AB40*$AF$6/(6*'lever arm selection'!$J$5*'lever arm selection'!$J$19))*(2*$AF$4+$AF$6)</f>
        <v>9.3702774712876315E-4</v>
      </c>
      <c r="AJ40">
        <f>AB40*($AF$6^2)*$AF$4/(3*'lever arm selection'!$J$5*'lever arm selection'!$J$19)</f>
        <v>5.02811700331285E-2</v>
      </c>
    </row>
    <row r="41" spans="1:36" x14ac:dyDescent="0.2">
      <c r="A41">
        <v>39</v>
      </c>
      <c r="B41">
        <v>31.515256622785099</v>
      </c>
      <c r="C41">
        <v>22.8105132398324</v>
      </c>
      <c r="D41" s="7" t="s">
        <v>289</v>
      </c>
      <c r="E41" s="7" t="s">
        <v>290</v>
      </c>
      <c r="F41" s="7" t="s">
        <v>291</v>
      </c>
      <c r="G41" s="7" t="s">
        <v>292</v>
      </c>
      <c r="H41" s="7" t="s">
        <v>293</v>
      </c>
      <c r="I41" s="4">
        <f t="shared" si="12"/>
        <v>76.700142919999564</v>
      </c>
      <c r="L41">
        <f t="shared" si="13"/>
        <v>13.299857080000436</v>
      </c>
      <c r="M41">
        <f t="shared" si="4"/>
        <v>0.2321262960906865</v>
      </c>
      <c r="N41">
        <f>'lever arm selection'!$B$21*SIN(M41)</f>
        <v>8.536667456874202</v>
      </c>
      <c r="O41">
        <f>'lever arm selection'!$B$21*COS(M41)</f>
        <v>36.11304702359525</v>
      </c>
      <c r="P41">
        <f>'lever arm selection'!$C$7-N41</f>
        <v>21.628332543125801</v>
      </c>
      <c r="Q41">
        <f t="shared" si="5"/>
        <v>22.428332543125801</v>
      </c>
      <c r="R41">
        <f>O41+'lever arm selection'!$B$22</f>
        <v>53.423047023595245</v>
      </c>
      <c r="S41">
        <f t="shared" si="14"/>
        <v>1.1733170744265999</v>
      </c>
      <c r="T41">
        <f t="shared" si="6"/>
        <v>67.226116395281267</v>
      </c>
      <c r="U41">
        <f t="shared" si="7"/>
        <v>56.386941802359367</v>
      </c>
      <c r="V41">
        <f t="shared" si="8"/>
        <v>0.9841377895815967</v>
      </c>
      <c r="W41">
        <f t="shared" si="9"/>
        <v>0.58665853721329997</v>
      </c>
      <c r="X41">
        <f t="shared" si="15"/>
        <v>26.906340506653645</v>
      </c>
      <c r="Y41">
        <f t="shared" si="10"/>
        <v>22.407468436479554</v>
      </c>
      <c r="Z41">
        <f t="shared" si="11"/>
        <v>14.894848697726449</v>
      </c>
      <c r="AB41">
        <f>Z41+pulley!$B$12</f>
        <v>15.006737922709258</v>
      </c>
      <c r="AG41">
        <f>AB41*$AF$5*$AF$6/(6*'lever arm selection'!$J$5*'lever arm selection'!$J$19)</f>
        <v>1.4477042616065029E-4</v>
      </c>
      <c r="AH41">
        <f>AB41*$AF$5*$AF$6/(3*'lever arm selection'!$J$5*'lever arm selection'!$J$19)</f>
        <v>2.8954085232130058E-4</v>
      </c>
      <c r="AI41">
        <f>(AB41*$AF$6/(6*'lever arm selection'!$J$5*'lever arm selection'!$J$19))*(2*$AF$4+$AF$6)</f>
        <v>9.6504767782602883E-4</v>
      </c>
      <c r="AJ41">
        <f>AB41*($AF$6^2)*$AF$4/(3*'lever arm selection'!$J$5*'lever arm selection'!$J$19)</f>
        <v>5.1784727322678095E-2</v>
      </c>
    </row>
    <row r="42" spans="1:36" x14ac:dyDescent="0.2">
      <c r="A42">
        <v>40</v>
      </c>
      <c r="B42" s="7" t="s">
        <v>294</v>
      </c>
      <c r="C42" s="7" t="s">
        <v>295</v>
      </c>
      <c r="D42" s="7" t="s">
        <v>296</v>
      </c>
      <c r="E42" s="7" t="s">
        <v>297</v>
      </c>
      <c r="F42" s="7" t="s">
        <v>298</v>
      </c>
      <c r="G42">
        <v>1.3790974894051</v>
      </c>
      <c r="H42" s="7" t="s">
        <v>299</v>
      </c>
      <c r="I42" s="4">
        <f t="shared" si="12"/>
        <v>79.016465679999996</v>
      </c>
      <c r="L42">
        <f t="shared" si="13"/>
        <v>10.983534320000004</v>
      </c>
      <c r="M42">
        <f t="shared" si="4"/>
        <v>0.19169883738979654</v>
      </c>
      <c r="N42">
        <f>'lever arm selection'!$B$21*SIN(M42)</f>
        <v>7.0701312683005293</v>
      </c>
      <c r="O42">
        <f>'lever arm selection'!$B$21*COS(M42)</f>
        <v>36.4285616027679</v>
      </c>
      <c r="P42">
        <f>'lever arm selection'!$C$7-N42</f>
        <v>23.094868731699474</v>
      </c>
      <c r="Q42">
        <f t="shared" si="5"/>
        <v>23.894868731699475</v>
      </c>
      <c r="R42">
        <f>O42+'lever arm selection'!$B$22</f>
        <v>53.738561602767902</v>
      </c>
      <c r="S42">
        <f t="shared" si="14"/>
        <v>1.1524000918069939</v>
      </c>
      <c r="T42">
        <f t="shared" si="6"/>
        <v>66.027661571029341</v>
      </c>
      <c r="U42">
        <f t="shared" si="7"/>
        <v>56.986169214485329</v>
      </c>
      <c r="V42">
        <f t="shared" si="8"/>
        <v>0.99459628089139973</v>
      </c>
      <c r="W42">
        <f t="shared" si="9"/>
        <v>0.57620004590349694</v>
      </c>
      <c r="X42">
        <f t="shared" si="15"/>
        <v>34.830435066168775</v>
      </c>
      <c r="Y42">
        <f t="shared" si="10"/>
        <v>29.206680683807338</v>
      </c>
      <c r="Z42">
        <f t="shared" si="11"/>
        <v>18.977065377257745</v>
      </c>
      <c r="AB42">
        <f>Z42+pulley!$B$12</f>
        <v>19.088954602240552</v>
      </c>
      <c r="AG42">
        <f>AB42*$AF$5*$AF$6/(6*'lever arm selection'!$J$5*'lever arm selection'!$J$19)</f>
        <v>1.8415168619328808E-4</v>
      </c>
      <c r="AH42">
        <f>AB42*$AF$5*$AF$6/(3*'lever arm selection'!$J$5*'lever arm selection'!$J$19)</f>
        <v>3.6830337238657617E-4</v>
      </c>
      <c r="AI42">
        <f>(AB42*$AF$6/(6*'lever arm selection'!$J$5*'lever arm selection'!$J$19))*(2*$AF$4+$AF$6)</f>
        <v>1.2275653380433619E-3</v>
      </c>
      <c r="AJ42">
        <f>AB42*($AF$6^2)*$AF$4/(3*'lever arm selection'!$J$5*'lever arm selection'!$J$19)</f>
        <v>6.5871498125926187E-2</v>
      </c>
    </row>
    <row r="43" spans="1:36" x14ac:dyDescent="0.2">
      <c r="A43">
        <v>41</v>
      </c>
      <c r="B43" s="7" t="s">
        <v>300</v>
      </c>
      <c r="C43" s="7" t="s">
        <v>301</v>
      </c>
      <c r="D43" s="7" t="s">
        <v>302</v>
      </c>
      <c r="E43" s="7" t="s">
        <v>303</v>
      </c>
      <c r="F43" s="7" t="s">
        <v>304</v>
      </c>
      <c r="G43" s="7" t="s">
        <v>305</v>
      </c>
      <c r="H43" s="7" t="s">
        <v>306</v>
      </c>
      <c r="I43" s="4">
        <f t="shared" si="12"/>
        <v>80.977559969999959</v>
      </c>
      <c r="L43">
        <f t="shared" si="13"/>
        <v>9.0224400300000411</v>
      </c>
      <c r="M43">
        <f t="shared" si="4"/>
        <v>0.15747128508723668</v>
      </c>
      <c r="N43">
        <f>'lever arm selection'!$B$21*SIN(M43)</f>
        <v>5.8193731965937934</v>
      </c>
      <c r="O43">
        <f>'lever arm selection'!$B$21*COS(M43)</f>
        <v>36.649171234782678</v>
      </c>
      <c r="P43">
        <f>'lever arm selection'!$C$7-N43</f>
        <v>24.345626803406208</v>
      </c>
      <c r="Q43">
        <f t="shared" si="5"/>
        <v>25.145626803406209</v>
      </c>
      <c r="R43">
        <f>O43+'lever arm selection'!$B$22</f>
        <v>53.959171234782673</v>
      </c>
      <c r="S43">
        <f t="shared" si="14"/>
        <v>1.1347068093615251</v>
      </c>
      <c r="T43">
        <f t="shared" si="6"/>
        <v>65.01391116117108</v>
      </c>
      <c r="U43">
        <f t="shared" si="7"/>
        <v>57.49304441941446</v>
      </c>
      <c r="V43">
        <f t="shared" si="8"/>
        <v>1.0034429221141341</v>
      </c>
      <c r="W43">
        <f t="shared" si="9"/>
        <v>0.56735340468076256</v>
      </c>
      <c r="X43">
        <f t="shared" si="15"/>
        <v>36.450094438412137</v>
      </c>
      <c r="Y43">
        <f t="shared" si="10"/>
        <v>30.739320092288658</v>
      </c>
      <c r="Z43">
        <f t="shared" si="11"/>
        <v>19.588353295593329</v>
      </c>
      <c r="AB43">
        <f>Z43+pulley!$B$12</f>
        <v>19.700242520576136</v>
      </c>
      <c r="AG43">
        <f>AB43*$AF$5*$AF$6/(6*'lever arm selection'!$J$5*'lever arm selection'!$J$19)</f>
        <v>1.9004879807063888E-4</v>
      </c>
      <c r="AH43">
        <f>AB43*$AF$5*$AF$6/(3*'lever arm selection'!$J$5*'lever arm selection'!$J$19)</f>
        <v>3.8009759614127776E-4</v>
      </c>
      <c r="AI43">
        <f>(AB43*$AF$6/(6*'lever arm selection'!$J$5*'lever arm selection'!$J$19))*(2*$AF$4+$AF$6)</f>
        <v>1.2668758123857008E-3</v>
      </c>
      <c r="AJ43">
        <f>AB43*($AF$6^2)*$AF$4/(3*'lever arm selection'!$J$5*'lever arm selection'!$J$19)</f>
        <v>6.7980909133814355E-2</v>
      </c>
    </row>
    <row r="44" spans="1:36" x14ac:dyDescent="0.2">
      <c r="A44">
        <v>42</v>
      </c>
      <c r="B44" s="7" t="s">
        <v>307</v>
      </c>
      <c r="C44" s="7" t="s">
        <v>308</v>
      </c>
      <c r="D44" s="7" t="s">
        <v>309</v>
      </c>
      <c r="E44" s="7" t="s">
        <v>310</v>
      </c>
      <c r="F44" s="7" t="s">
        <v>311</v>
      </c>
      <c r="G44" s="7" t="s">
        <v>312</v>
      </c>
      <c r="H44" s="7" t="s">
        <v>313</v>
      </c>
      <c r="I44" s="4">
        <f t="shared" si="12"/>
        <v>82.679185079999925</v>
      </c>
      <c r="L44">
        <f t="shared" si="13"/>
        <v>7.3208149200000747</v>
      </c>
      <c r="M44">
        <f t="shared" si="4"/>
        <v>0.12777232428312657</v>
      </c>
      <c r="N44">
        <f>'lever arm selection'!$B$21*SIN(M44)</f>
        <v>4.728524658467494</v>
      </c>
      <c r="O44">
        <f>'lever arm selection'!$B$21*COS(M44)</f>
        <v>36.805813551012854</v>
      </c>
      <c r="P44">
        <f>'lever arm selection'!$C$7-N44</f>
        <v>25.436475341532507</v>
      </c>
      <c r="Q44">
        <f t="shared" si="5"/>
        <v>26.236475341532508</v>
      </c>
      <c r="R44">
        <f>O44+'lever arm selection'!$B$22</f>
        <v>54.115813551012849</v>
      </c>
      <c r="S44">
        <f t="shared" si="14"/>
        <v>1.1193656012305861</v>
      </c>
      <c r="T44">
        <f t="shared" si="6"/>
        <v>64.134924682636495</v>
      </c>
      <c r="U44">
        <f t="shared" si="7"/>
        <v>57.932537658681753</v>
      </c>
      <c r="V44">
        <f t="shared" si="8"/>
        <v>1.0111135261796036</v>
      </c>
      <c r="W44">
        <f t="shared" si="9"/>
        <v>0.55968280061529307</v>
      </c>
      <c r="X44">
        <f t="shared" si="15"/>
        <v>41.496895665666287</v>
      </c>
      <c r="Y44">
        <f t="shared" si="10"/>
        <v>35.165447067320258</v>
      </c>
      <c r="Z44">
        <f t="shared" si="11"/>
        <v>22.031424884530065</v>
      </c>
      <c r="AB44">
        <f>Z44+pulley!$B$12</f>
        <v>22.143314109512872</v>
      </c>
      <c r="AG44">
        <f>AB44*$AF$5*$AF$6/(6*'lever arm selection'!$J$5*'lever arm selection'!$J$19)</f>
        <v>2.1361717894681373E-4</v>
      </c>
      <c r="AH44">
        <f>AB44*$AF$5*$AF$6/(3*'lever arm selection'!$J$5*'lever arm selection'!$J$19)</f>
        <v>4.2723435789362746E-4</v>
      </c>
      <c r="AI44">
        <f>(AB44*$AF$6/(6*'lever arm selection'!$J$5*'lever arm selection'!$J$19))*(2*$AF$4+$AF$6)</f>
        <v>1.4239839444667129E-3</v>
      </c>
      <c r="AJ44">
        <f>AB44*($AF$6^2)*$AF$4/(3*'lever arm selection'!$J$5*'lever arm selection'!$J$19)</f>
        <v>7.6411375282718116E-2</v>
      </c>
    </row>
    <row r="45" spans="1:36" x14ac:dyDescent="0.2">
      <c r="A45">
        <v>43</v>
      </c>
      <c r="B45" s="7" t="s">
        <v>314</v>
      </c>
      <c r="C45" s="7" t="s">
        <v>315</v>
      </c>
      <c r="D45" s="7" t="s">
        <v>316</v>
      </c>
      <c r="E45" s="7" t="s">
        <v>317</v>
      </c>
      <c r="F45" s="7" t="s">
        <v>318</v>
      </c>
      <c r="G45" s="7" t="s">
        <v>319</v>
      </c>
      <c r="H45" s="7" t="s">
        <v>320</v>
      </c>
      <c r="I45" s="4">
        <f t="shared" si="12"/>
        <v>85.203699299999556</v>
      </c>
      <c r="L45">
        <f t="shared" si="13"/>
        <v>4.7963007000004438</v>
      </c>
      <c r="M45">
        <f t="shared" si="4"/>
        <v>8.3711239130716542E-2</v>
      </c>
      <c r="N45">
        <f>'lever arm selection'!$B$21*SIN(M45)</f>
        <v>3.1027560590806149</v>
      </c>
      <c r="O45">
        <f>'lever arm selection'!$B$21*COS(M45)</f>
        <v>36.978368831460038</v>
      </c>
      <c r="P45">
        <f>'lever arm selection'!$C$7-N45</f>
        <v>27.062243940919387</v>
      </c>
      <c r="Q45">
        <f t="shared" si="5"/>
        <v>27.862243940919388</v>
      </c>
      <c r="R45">
        <f>O45+'lever arm selection'!$B$22</f>
        <v>54.288368831460033</v>
      </c>
      <c r="S45">
        <f t="shared" si="14"/>
        <v>1.0966233825802603</v>
      </c>
      <c r="T45">
        <f t="shared" si="6"/>
        <v>62.831891537209117</v>
      </c>
      <c r="U45">
        <f t="shared" si="7"/>
        <v>58.584054231395442</v>
      </c>
      <c r="V45">
        <f t="shared" si="8"/>
        <v>1.0224846355047665</v>
      </c>
      <c r="W45">
        <f t="shared" si="9"/>
        <v>0.54831169129013013</v>
      </c>
      <c r="X45">
        <f t="shared" si="15"/>
        <v>47.223534404675028</v>
      </c>
      <c r="Y45">
        <f t="shared" si="10"/>
        <v>40.300836458799928</v>
      </c>
      <c r="Z45">
        <f t="shared" si="11"/>
        <v>24.615133198717185</v>
      </c>
      <c r="AB45">
        <f>Z45+pulley!$B$12</f>
        <v>24.727022423699992</v>
      </c>
      <c r="AG45">
        <f>AB45*$AF$5*$AF$6/(6*'lever arm selection'!$J$5*'lever arm selection'!$J$19)</f>
        <v>2.3854228629833574E-4</v>
      </c>
      <c r="AH45">
        <f>AB45*$AF$5*$AF$6/(3*'lever arm selection'!$J$5*'lever arm selection'!$J$19)</f>
        <v>4.7708457259667148E-4</v>
      </c>
      <c r="AI45">
        <f>(AB45*$AF$6/(6*'lever arm selection'!$J$5*'lever arm selection'!$J$19))*(2*$AF$4+$AF$6)</f>
        <v>1.5901360903646494E-3</v>
      </c>
      <c r="AJ45">
        <f>AB45*($AF$6^2)*$AF$4/(3*'lever arm selection'!$J$5*'lever arm selection'!$J$19)</f>
        <v>8.5327145733339896E-2</v>
      </c>
    </row>
    <row r="46" spans="1:36" x14ac:dyDescent="0.2">
      <c r="A46">
        <v>44</v>
      </c>
      <c r="B46" s="7" t="s">
        <v>321</v>
      </c>
      <c r="C46" s="7" t="s">
        <v>322</v>
      </c>
      <c r="D46" s="7" t="s">
        <v>323</v>
      </c>
      <c r="E46" s="7" t="s">
        <v>324</v>
      </c>
      <c r="F46" s="7" t="s">
        <v>325</v>
      </c>
      <c r="G46" s="7" t="s">
        <v>326</v>
      </c>
      <c r="H46" s="7" t="s">
        <v>327</v>
      </c>
      <c r="I46" s="4">
        <f t="shared" si="12"/>
        <v>85.04391048999976</v>
      </c>
      <c r="L46">
        <f t="shared" si="13"/>
        <v>4.9560895100002398</v>
      </c>
      <c r="M46">
        <f t="shared" si="4"/>
        <v>8.6500079973056615E-2</v>
      </c>
      <c r="N46">
        <f>'lever arm selection'!$B$21*SIN(M46)</f>
        <v>3.2058706446390559</v>
      </c>
      <c r="O46">
        <f>'lever arm selection'!$B$21*COS(M46)</f>
        <v>36.969571947853254</v>
      </c>
      <c r="P46">
        <f>'lever arm selection'!$C$7-N46</f>
        <v>26.959129355360947</v>
      </c>
      <c r="Q46">
        <f t="shared" si="5"/>
        <v>27.759129355360947</v>
      </c>
      <c r="R46">
        <f>O46+'lever arm selection'!$B$22</f>
        <v>54.279571947853256</v>
      </c>
      <c r="S46">
        <f t="shared" si="14"/>
        <v>1.0980622421308324</v>
      </c>
      <c r="T46">
        <f t="shared" si="6"/>
        <v>62.914332116768989</v>
      </c>
      <c r="U46">
        <f t="shared" si="7"/>
        <v>58.542833941615505</v>
      </c>
      <c r="V46">
        <f t="shared" si="8"/>
        <v>1.0217652057294804</v>
      </c>
      <c r="W46">
        <f t="shared" si="9"/>
        <v>0.54903112106541618</v>
      </c>
      <c r="X46">
        <f t="shared" si="15"/>
        <v>38.853730162901037</v>
      </c>
      <c r="Y46">
        <f t="shared" si="10"/>
        <v>33.143418518314888</v>
      </c>
      <c r="Z46">
        <f t="shared" si="11"/>
        <v>20.276246114390791</v>
      </c>
      <c r="AB46">
        <f>Z46+pulley!$B$12</f>
        <v>20.388135339373598</v>
      </c>
      <c r="AG46">
        <f>AB46*$AF$5*$AF$6/(6*'lever arm selection'!$J$5*'lever arm selection'!$J$19)</f>
        <v>1.9668491959438846E-4</v>
      </c>
      <c r="AH46">
        <f>AB46*$AF$5*$AF$6/(3*'lever arm selection'!$J$5*'lever arm selection'!$J$19)</f>
        <v>3.9336983918877692E-4</v>
      </c>
      <c r="AI46">
        <f>(AB46*$AF$6/(6*'lever arm selection'!$J$5*'lever arm selection'!$J$19))*(2*$AF$4+$AF$6)</f>
        <v>1.3111125659555161E-3</v>
      </c>
      <c r="AJ46">
        <f>AB46*($AF$6^2)*$AF$4/(3*'lever arm selection'!$J$5*'lever arm selection'!$J$19)</f>
        <v>7.0354665657858695E-2</v>
      </c>
    </row>
    <row r="47" spans="1:36" x14ac:dyDescent="0.2">
      <c r="A47">
        <v>45</v>
      </c>
      <c r="B47" s="7" t="s">
        <v>328</v>
      </c>
      <c r="C47" s="7" t="s">
        <v>329</v>
      </c>
      <c r="D47" s="7" t="s">
        <v>330</v>
      </c>
      <c r="E47" s="7" t="s">
        <v>331</v>
      </c>
      <c r="F47">
        <v>24.548830574232799</v>
      </c>
      <c r="G47" s="7" t="s">
        <v>332</v>
      </c>
      <c r="H47" s="7" t="s">
        <v>333</v>
      </c>
      <c r="I47" s="4">
        <f t="shared" si="12"/>
        <v>87.469635889999978</v>
      </c>
      <c r="L47">
        <f t="shared" si="13"/>
        <v>2.530364110000022</v>
      </c>
      <c r="M47">
        <f t="shared" si="4"/>
        <v>4.4163184993796359E-2</v>
      </c>
      <c r="N47">
        <f>'lever arm selection'!$B$21*SIN(M47)</f>
        <v>1.6382885991017242</v>
      </c>
      <c r="O47">
        <f>'lever arm selection'!$B$21*COS(M47)</f>
        <v>37.072130597845465</v>
      </c>
      <c r="P47">
        <f>'lever arm selection'!$C$7-N47</f>
        <v>28.526711400898279</v>
      </c>
      <c r="Q47">
        <f t="shared" si="5"/>
        <v>29.326711400898279</v>
      </c>
      <c r="R47">
        <f>O47+'lever arm selection'!$B$22</f>
        <v>54.38213059784546</v>
      </c>
      <c r="S47">
        <f t="shared" si="14"/>
        <v>1.076227573915842</v>
      </c>
      <c r="T47">
        <f t="shared" si="6"/>
        <v>61.663297780981594</v>
      </c>
      <c r="U47">
        <f t="shared" si="7"/>
        <v>59.168351109509203</v>
      </c>
      <c r="V47">
        <f t="shared" si="8"/>
        <v>1.0326825398369757</v>
      </c>
      <c r="W47">
        <f t="shared" si="9"/>
        <v>0.538113786957921</v>
      </c>
      <c r="X47">
        <f t="shared" si="15"/>
        <v>49.193114456967749</v>
      </c>
      <c r="Y47">
        <f t="shared" si="10"/>
        <v>42.240992254276257</v>
      </c>
      <c r="Z47">
        <f t="shared" si="11"/>
        <v>25.212320070761081</v>
      </c>
      <c r="AB47">
        <f>Z47+pulley!$B$12</f>
        <v>25.324209295743888</v>
      </c>
      <c r="AG47">
        <f>AB47*$AF$5*$AF$6/(6*'lever arm selection'!$J$5*'lever arm selection'!$J$19)</f>
        <v>2.4430336498236542E-4</v>
      </c>
      <c r="AH47">
        <f>AB47*$AF$5*$AF$6/(3*'lever arm selection'!$J$5*'lever arm selection'!$J$19)</f>
        <v>4.8860672996473085E-4</v>
      </c>
      <c r="AI47">
        <f>(AB47*$AF$6/(6*'lever arm selection'!$J$5*'lever arm selection'!$J$19))*(2*$AF$4+$AF$6)</f>
        <v>1.6285397599071175E-3</v>
      </c>
      <c r="AJ47">
        <f>AB47*($AF$6^2)*$AF$4/(3*'lever arm selection'!$J$5*'lever arm selection'!$J$19)</f>
        <v>8.738789734296705E-2</v>
      </c>
    </row>
    <row r="48" spans="1:36" x14ac:dyDescent="0.2">
      <c r="A48">
        <v>46</v>
      </c>
      <c r="B48" s="7" t="s">
        <v>334</v>
      </c>
      <c r="C48" s="7" t="s">
        <v>335</v>
      </c>
      <c r="D48" s="7" t="s">
        <v>336</v>
      </c>
      <c r="E48" s="7" t="s">
        <v>337</v>
      </c>
      <c r="F48" s="7" t="s">
        <v>338</v>
      </c>
      <c r="G48" s="7" t="s">
        <v>339</v>
      </c>
      <c r="H48">
        <v>0.57568963042347399</v>
      </c>
      <c r="I48" s="4">
        <f t="shared" si="12"/>
        <v>88.403880649999721</v>
      </c>
      <c r="L48">
        <f t="shared" si="13"/>
        <v>1.5961193500002793</v>
      </c>
      <c r="M48">
        <f t="shared" si="4"/>
        <v>2.7857537912296629E-2</v>
      </c>
      <c r="N48">
        <f>'lever arm selection'!$B$21*SIN(M48)</f>
        <v>1.0336125223649606</v>
      </c>
      <c r="O48">
        <f>'lever arm selection'!$B$21*COS(M48)</f>
        <v>37.093914618859884</v>
      </c>
      <c r="P48">
        <f>'lever arm selection'!$C$7-N48</f>
        <v>29.131387477635041</v>
      </c>
      <c r="Q48">
        <f t="shared" si="5"/>
        <v>29.931387477635042</v>
      </c>
      <c r="R48">
        <f>O48+'lever arm selection'!$B$22</f>
        <v>54.403914618859886</v>
      </c>
      <c r="S48">
        <f t="shared" si="14"/>
        <v>1.0678228077637144</v>
      </c>
      <c r="T48">
        <f t="shared" si="6"/>
        <v>61.181740152670272</v>
      </c>
      <c r="U48">
        <f t="shared" si="7"/>
        <v>59.409129923664864</v>
      </c>
      <c r="V48">
        <f t="shared" si="8"/>
        <v>1.0368849229130395</v>
      </c>
      <c r="W48">
        <f t="shared" si="9"/>
        <v>0.53391140388185721</v>
      </c>
      <c r="X48">
        <f t="shared" si="15"/>
        <v>52.734964038512025</v>
      </c>
      <c r="Y48">
        <f t="shared" si="10"/>
        <v>45.395476825931297</v>
      </c>
      <c r="Z48">
        <f t="shared" si="11"/>
        <v>26.837047451042206</v>
      </c>
      <c r="AB48">
        <f>Z48+pulley!$B$12</f>
        <v>26.948936676025014</v>
      </c>
      <c r="AG48">
        <f>AB48*$AF$5*$AF$6/(6*'lever arm selection'!$J$5*'lever arm selection'!$J$19)</f>
        <v>2.5997715607871256E-4</v>
      </c>
      <c r="AH48">
        <f>AB48*$AF$5*$AF$6/(3*'lever arm selection'!$J$5*'lever arm selection'!$J$19)</f>
        <v>5.1995431215742511E-4</v>
      </c>
      <c r="AI48">
        <f>(AB48*$AF$6/(6*'lever arm selection'!$J$5*'lever arm selection'!$J$19))*(2*$AF$4+$AF$6)</f>
        <v>1.7330221193323429E-3</v>
      </c>
      <c r="AJ48">
        <f>AB48*($AF$6^2)*$AF$4/(3*'lever arm selection'!$J$5*'lever arm selection'!$J$19)</f>
        <v>9.299444986589922E-2</v>
      </c>
    </row>
    <row r="49" spans="1:36" x14ac:dyDescent="0.2">
      <c r="A49">
        <v>47</v>
      </c>
      <c r="B49" s="7" t="s">
        <v>340</v>
      </c>
      <c r="C49" s="7" t="s">
        <v>341</v>
      </c>
      <c r="D49" s="7" t="s">
        <v>342</v>
      </c>
      <c r="E49" s="7" t="s">
        <v>343</v>
      </c>
      <c r="F49" s="7" t="s">
        <v>344</v>
      </c>
      <c r="G49" s="7" t="s">
        <v>345</v>
      </c>
      <c r="H49" s="7" t="s">
        <v>346</v>
      </c>
      <c r="I49" s="4">
        <f t="shared" si="12"/>
        <v>90.236984059999969</v>
      </c>
      <c r="L49">
        <f t="shared" si="13"/>
        <v>-0.23698405999996908</v>
      </c>
      <c r="M49">
        <f t="shared" si="4"/>
        <v>-4.1361521217432532E-3</v>
      </c>
      <c r="N49">
        <f>'lever arm selection'!$B$21*SIN(M49)</f>
        <v>-0.15348518784916426</v>
      </c>
      <c r="O49">
        <f>'lever arm selection'!$B$21*COS(M49)</f>
        <v>37.107995080504786</v>
      </c>
      <c r="P49">
        <f>'lever arm selection'!$C$7-N49</f>
        <v>30.318485187849166</v>
      </c>
      <c r="Q49">
        <f t="shared" si="5"/>
        <v>31.118485187849167</v>
      </c>
      <c r="R49">
        <f>O49+'lever arm selection'!$B$22</f>
        <v>54.417995080504781</v>
      </c>
      <c r="S49">
        <f t="shared" si="14"/>
        <v>1.0513387443706639</v>
      </c>
      <c r="T49">
        <f t="shared" si="6"/>
        <v>60.237272891022378</v>
      </c>
      <c r="U49">
        <f t="shared" si="7"/>
        <v>59.881363554488814</v>
      </c>
      <c r="V49">
        <f t="shared" si="8"/>
        <v>1.0451269546095647</v>
      </c>
      <c r="W49">
        <f t="shared" si="9"/>
        <v>0.52566937218533194</v>
      </c>
      <c r="X49">
        <f t="shared" si="15"/>
        <v>52.476618881257387</v>
      </c>
      <c r="Y49">
        <f t="shared" si="10"/>
        <v>45.391658718665944</v>
      </c>
      <c r="Z49">
        <f t="shared" si="11"/>
        <v>26.332353635345566</v>
      </c>
      <c r="AB49">
        <f>Z49+pulley!$B$12</f>
        <v>26.444242860328373</v>
      </c>
      <c r="AG49">
        <f>AB49*$AF$5*$AF$6/(6*'lever arm selection'!$J$5*'lever arm selection'!$J$19)</f>
        <v>2.5510836053131513E-4</v>
      </c>
      <c r="AH49">
        <f>AB49*$AF$5*$AF$6/(3*'lever arm selection'!$J$5*'lever arm selection'!$J$19)</f>
        <v>5.1021672106263025E-4</v>
      </c>
      <c r="AI49">
        <f>(AB49*$AF$6/(6*'lever arm selection'!$J$5*'lever arm selection'!$J$19))*(2*$AF$4+$AF$6)</f>
        <v>1.7005664585911665E-3</v>
      </c>
      <c r="AJ49">
        <f>AB49*($AF$6^2)*$AF$4/(3*'lever arm selection'!$J$5*'lever arm selection'!$J$19)</f>
        <v>9.1252870066085248E-2</v>
      </c>
    </row>
    <row r="50" spans="1:36" x14ac:dyDescent="0.2">
      <c r="A50">
        <v>48</v>
      </c>
      <c r="B50" s="7" t="s">
        <v>347</v>
      </c>
      <c r="C50" s="7" t="s">
        <v>348</v>
      </c>
      <c r="D50" s="7" t="s">
        <v>349</v>
      </c>
      <c r="E50" s="7" t="s">
        <v>350</v>
      </c>
      <c r="F50" s="7" t="s">
        <v>351</v>
      </c>
      <c r="G50" s="7" t="s">
        <v>352</v>
      </c>
      <c r="H50" s="7" t="s">
        <v>353</v>
      </c>
      <c r="I50" s="4">
        <f t="shared" si="12"/>
        <v>91.171379869999441</v>
      </c>
      <c r="L50">
        <f t="shared" si="13"/>
        <v>-1.1713798699994413</v>
      </c>
      <c r="M50">
        <f t="shared" si="4"/>
        <v>-2.0444435523073397E-2</v>
      </c>
      <c r="N50">
        <f>'lever arm selection'!$B$21*SIN(M50)</f>
        <v>-0.75860565333998131</v>
      </c>
      <c r="O50">
        <f>'lever arm selection'!$B$21*COS(M50)</f>
        <v>37.100557597701645</v>
      </c>
      <c r="P50">
        <f>'lever arm selection'!$C$7-N50</f>
        <v>30.923605653339983</v>
      </c>
      <c r="Q50">
        <f t="shared" si="5"/>
        <v>31.723605653339984</v>
      </c>
      <c r="R50">
        <f>O50+'lever arm selection'!$B$22</f>
        <v>54.41055759770164</v>
      </c>
      <c r="S50">
        <f t="shared" si="14"/>
        <v>1.0429397493386758</v>
      </c>
      <c r="T50">
        <f t="shared" si="6"/>
        <v>59.756045923538117</v>
      </c>
      <c r="U50">
        <f t="shared" si="7"/>
        <v>60.121977038230938</v>
      </c>
      <c r="V50">
        <f t="shared" si="8"/>
        <v>1.0493264521255585</v>
      </c>
      <c r="W50">
        <f t="shared" si="9"/>
        <v>0.52146987466933792</v>
      </c>
      <c r="X50">
        <f t="shared" si="15"/>
        <v>53.351012812941285</v>
      </c>
      <c r="Y50">
        <f t="shared" si="10"/>
        <v>46.260017179333609</v>
      </c>
      <c r="Z50">
        <f t="shared" si="11"/>
        <v>26.577083713876213</v>
      </c>
      <c r="AB50">
        <f>Z50+pulley!$B$12</f>
        <v>26.68897293885902</v>
      </c>
      <c r="AG50">
        <f>AB50*$AF$5*$AF$6/(6*'lever arm selection'!$J$5*'lever arm selection'!$J$19)</f>
        <v>2.5746927853665969E-4</v>
      </c>
      <c r="AH50">
        <f>AB50*$AF$5*$AF$6/(3*'lever arm selection'!$J$5*'lever arm selection'!$J$19)</f>
        <v>5.1493855707331938E-4</v>
      </c>
      <c r="AI50">
        <f>(AB50*$AF$6/(6*'lever arm selection'!$J$5*'lever arm selection'!$J$19))*(2*$AF$4+$AF$6)</f>
        <v>1.7163044687567724E-3</v>
      </c>
      <c r="AJ50">
        <f>AB50*($AF$6^2)*$AF$4/(3*'lever arm selection'!$J$5*'lever arm selection'!$J$19)</f>
        <v>9.2097376077294332E-2</v>
      </c>
    </row>
    <row r="51" spans="1:36" x14ac:dyDescent="0.2">
      <c r="A51">
        <v>49</v>
      </c>
      <c r="B51" s="7" t="s">
        <v>354</v>
      </c>
      <c r="C51" s="7" t="s">
        <v>355</v>
      </c>
      <c r="D51" s="7" t="s">
        <v>356</v>
      </c>
      <c r="E51" s="7" t="s">
        <v>357</v>
      </c>
      <c r="F51" s="7" t="s">
        <v>358</v>
      </c>
      <c r="G51" s="7" t="s">
        <v>359</v>
      </c>
      <c r="H51" s="7" t="s">
        <v>360</v>
      </c>
      <c r="I51" s="4">
        <f t="shared" si="12"/>
        <v>92.746067859999926</v>
      </c>
      <c r="L51">
        <f t="shared" si="13"/>
        <v>-2.7460678599999255</v>
      </c>
      <c r="M51">
        <f t="shared" si="4"/>
        <v>-4.7927925640193395E-2</v>
      </c>
      <c r="N51">
        <f>'lever arm selection'!$B$21*SIN(M51)</f>
        <v>-1.7778436163840996</v>
      </c>
      <c r="O51">
        <f>'lever arm selection'!$B$21*COS(M51)</f>
        <v>37.065700164347888</v>
      </c>
      <c r="P51">
        <f>'lever arm selection'!$C$7-N51</f>
        <v>31.942843616384103</v>
      </c>
      <c r="Q51">
        <f t="shared" si="5"/>
        <v>32.7428436163841</v>
      </c>
      <c r="R51">
        <f>O51+'lever arm selection'!$B$22</f>
        <v>54.37570016434789</v>
      </c>
      <c r="S51">
        <f t="shared" si="14"/>
        <v>1.0287904824504515</v>
      </c>
      <c r="T51">
        <f t="shared" si="6"/>
        <v>58.945352647638657</v>
      </c>
      <c r="U51">
        <f t="shared" si="7"/>
        <v>60.527323676180671</v>
      </c>
      <c r="V51">
        <f t="shared" si="8"/>
        <v>1.0564010855696708</v>
      </c>
      <c r="W51">
        <f t="shared" si="9"/>
        <v>0.51439524122522573</v>
      </c>
      <c r="X51">
        <f t="shared" si="15"/>
        <v>59.413973214541805</v>
      </c>
      <c r="Y51">
        <f t="shared" si="10"/>
        <v>51.725236364341974</v>
      </c>
      <c r="Z51">
        <f t="shared" si="11"/>
        <v>29.232176384786097</v>
      </c>
      <c r="AB51">
        <f>Z51+pulley!$B$12</f>
        <v>29.344065609768904</v>
      </c>
      <c r="AG51">
        <f>AB51*$AF$5*$AF$6/(6*'lever arm selection'!$J$5*'lever arm selection'!$J$19)</f>
        <v>2.8308303280113404E-4</v>
      </c>
      <c r="AH51">
        <f>AB51*$AF$5*$AF$6/(3*'lever arm selection'!$J$5*'lever arm selection'!$J$19)</f>
        <v>5.6616606560226808E-4</v>
      </c>
      <c r="AI51">
        <f>(AB51*$AF$6/(6*'lever arm selection'!$J$5*'lever arm selection'!$J$19))*(2*$AF$4+$AF$6)</f>
        <v>1.8870471731120637E-3</v>
      </c>
      <c r="AJ51">
        <f>AB51*($AF$6^2)*$AF$4/(3*'lever arm selection'!$J$5*'lever arm selection'!$J$19)</f>
        <v>0.10125947717399203</v>
      </c>
    </row>
    <row r="52" spans="1:36" x14ac:dyDescent="0.2">
      <c r="A52">
        <v>50</v>
      </c>
      <c r="B52" s="7" t="s">
        <v>361</v>
      </c>
      <c r="C52" s="7" t="s">
        <v>362</v>
      </c>
      <c r="D52" s="7" t="s">
        <v>363</v>
      </c>
      <c r="E52" s="7" t="s">
        <v>364</v>
      </c>
      <c r="F52" s="7" t="s">
        <v>365</v>
      </c>
      <c r="G52" s="7" t="s">
        <v>366</v>
      </c>
      <c r="H52" s="7" t="s">
        <v>367</v>
      </c>
      <c r="I52" s="4">
        <f t="shared" si="12"/>
        <v>93.463296109999533</v>
      </c>
      <c r="L52">
        <f t="shared" si="13"/>
        <v>-3.4632961099995327</v>
      </c>
      <c r="M52">
        <f t="shared" si="4"/>
        <v>-6.0445920091003559E-2</v>
      </c>
      <c r="N52">
        <f>'lever arm selection'!$B$21*SIN(M52)</f>
        <v>-2.2416804352186039</v>
      </c>
      <c r="O52">
        <f>'lever arm selection'!$B$21*COS(M52)</f>
        <v>37.040541645931889</v>
      </c>
      <c r="P52">
        <f>'lever arm selection'!$C$7-N52</f>
        <v>32.406680435218604</v>
      </c>
      <c r="Q52">
        <f t="shared" si="5"/>
        <v>33.206680435218601</v>
      </c>
      <c r="R52">
        <f>O52+'lever arm selection'!$B$22</f>
        <v>54.350541645931884</v>
      </c>
      <c r="S52">
        <f t="shared" si="14"/>
        <v>1.0223479305696461</v>
      </c>
      <c r="T52">
        <f t="shared" si="6"/>
        <v>58.57622161557444</v>
      </c>
      <c r="U52">
        <f t="shared" si="7"/>
        <v>60.71188919221278</v>
      </c>
      <c r="V52">
        <f t="shared" si="8"/>
        <v>1.0596223615100735</v>
      </c>
      <c r="W52">
        <f t="shared" si="9"/>
        <v>0.51117396528482306</v>
      </c>
      <c r="X52">
        <f t="shared" si="15"/>
        <v>59.968821748499536</v>
      </c>
      <c r="Y52">
        <f t="shared" si="10"/>
        <v>52.303055433202189</v>
      </c>
      <c r="Z52">
        <f t="shared" si="11"/>
        <v>29.33683647318998</v>
      </c>
      <c r="AB52">
        <f>Z52+pulley!$B$12</f>
        <v>29.448725698172787</v>
      </c>
      <c r="AG52">
        <f>AB52*$AF$5*$AF$6/(6*'lever arm selection'!$J$5*'lever arm selection'!$J$19)</f>
        <v>2.8409269164093512E-4</v>
      </c>
      <c r="AH52">
        <f>AB52*$AF$5*$AF$6/(3*'lever arm selection'!$J$5*'lever arm selection'!$J$19)</f>
        <v>5.6818538328187024E-4</v>
      </c>
      <c r="AI52">
        <f>(AB52*$AF$6/(6*'lever arm selection'!$J$5*'lever arm selection'!$J$19))*(2*$AF$4+$AF$6)</f>
        <v>1.8937776148506638E-3</v>
      </c>
      <c r="AJ52">
        <f>AB52*($AF$6^2)*$AF$4/(3*'lever arm selection'!$J$5*'lever arm selection'!$J$19)</f>
        <v>0.10162063455326238</v>
      </c>
    </row>
    <row r="53" spans="1:36" x14ac:dyDescent="0.2">
      <c r="A53">
        <v>51</v>
      </c>
      <c r="B53" s="7" t="s">
        <v>368</v>
      </c>
      <c r="C53" s="7" t="s">
        <v>369</v>
      </c>
      <c r="D53" s="7" t="s">
        <v>370</v>
      </c>
      <c r="E53" s="7" t="s">
        <v>371</v>
      </c>
      <c r="F53" s="7" t="s">
        <v>372</v>
      </c>
      <c r="G53" s="7" t="s">
        <v>373</v>
      </c>
      <c r="H53" s="7" t="s">
        <v>374</v>
      </c>
      <c r="I53" s="4">
        <f t="shared" si="12"/>
        <v>95.325893779999817</v>
      </c>
      <c r="L53">
        <f t="shared" si="13"/>
        <v>-5.3258937799998165</v>
      </c>
      <c r="M53">
        <f t="shared" si="4"/>
        <v>-9.2954382072483327E-2</v>
      </c>
      <c r="N53">
        <f>'lever arm selection'!$B$21*SIN(M53)</f>
        <v>-3.4444149989184121</v>
      </c>
      <c r="O53">
        <f>'lever arm selection'!$B$21*COS(M53)</f>
        <v>36.948110397053895</v>
      </c>
      <c r="P53">
        <f>'lever arm selection'!$C$7-N53</f>
        <v>33.609414998918417</v>
      </c>
      <c r="Q53">
        <f t="shared" si="5"/>
        <v>34.409414998918415</v>
      </c>
      <c r="R53">
        <f>O53+'lever arm selection'!$B$22</f>
        <v>54.258110397053898</v>
      </c>
      <c r="S53">
        <f t="shared" si="14"/>
        <v>1.0056227960039077</v>
      </c>
      <c r="T53">
        <f t="shared" si="6"/>
        <v>57.617941993169261</v>
      </c>
      <c r="U53">
        <f t="shared" si="7"/>
        <v>61.191029003415366</v>
      </c>
      <c r="V53">
        <f t="shared" si="8"/>
        <v>1.0679849287929426</v>
      </c>
      <c r="W53">
        <f t="shared" si="9"/>
        <v>0.50281139800195385</v>
      </c>
      <c r="X53">
        <f t="shared" si="15"/>
        <v>63.089307088640581</v>
      </c>
      <c r="Y53">
        <f t="shared" si="10"/>
        <v>55.280821748133867</v>
      </c>
      <c r="Z53">
        <f t="shared" si="11"/>
        <v>30.402161366847665</v>
      </c>
      <c r="AB53">
        <f>Z53+pulley!$B$12</f>
        <v>30.514050591830472</v>
      </c>
      <c r="AG53">
        <f>AB53*$AF$5*$AF$6/(6*'lever arm selection'!$J$5*'lever arm selection'!$J$19)</f>
        <v>2.9436991109053873E-4</v>
      </c>
      <c r="AH53">
        <f>AB53*$AF$5*$AF$6/(3*'lever arm selection'!$J$5*'lever arm selection'!$J$19)</f>
        <v>5.8873982218107747E-4</v>
      </c>
      <c r="AI53">
        <f>(AB53*$AF$6/(6*'lever arm selection'!$J$5*'lever arm selection'!$J$19))*(2*$AF$4+$AF$6)</f>
        <v>1.9622861288294971E-3</v>
      </c>
      <c r="AJ53">
        <f>AB53*($AF$6^2)*$AF$4/(3*'lever arm selection'!$J$5*'lever arm selection'!$J$19)</f>
        <v>0.1052968205046836</v>
      </c>
    </row>
    <row r="54" spans="1:36" x14ac:dyDescent="0.2">
      <c r="A54">
        <v>52</v>
      </c>
      <c r="B54" s="7" t="s">
        <v>375</v>
      </c>
      <c r="C54">
        <v>27.278813667311201</v>
      </c>
      <c r="D54" s="7" t="s">
        <v>376</v>
      </c>
      <c r="E54" s="7" t="s">
        <v>377</v>
      </c>
      <c r="F54">
        <v>30.527627367611501</v>
      </c>
      <c r="G54" s="7" t="s">
        <v>378</v>
      </c>
      <c r="H54" s="7" t="s">
        <v>379</v>
      </c>
      <c r="I54" s="4">
        <f t="shared" si="12"/>
        <v>96.90146781999988</v>
      </c>
      <c r="L54">
        <f t="shared" si="13"/>
        <v>-6.9014678199998798</v>
      </c>
      <c r="M54">
        <f t="shared" si="4"/>
        <v>-0.12045333667943327</v>
      </c>
      <c r="N54">
        <f>'lever arm selection'!$B$21*SIN(M54)</f>
        <v>-4.459019123109619</v>
      </c>
      <c r="O54">
        <f>'lever arm selection'!$B$21*COS(M54)</f>
        <v>36.839435460622887</v>
      </c>
      <c r="P54">
        <f>'lever arm selection'!$C$7-N54</f>
        <v>34.624019123109619</v>
      </c>
      <c r="Q54">
        <f t="shared" si="5"/>
        <v>35.424019123109616</v>
      </c>
      <c r="R54">
        <f>O54+'lever arm selection'!$B$22</f>
        <v>54.149435460622882</v>
      </c>
      <c r="S54">
        <f t="shared" si="14"/>
        <v>0.99148122568203412</v>
      </c>
      <c r="T54">
        <f t="shared" si="6"/>
        <v>56.807689698038445</v>
      </c>
      <c r="U54">
        <f t="shared" si="7"/>
        <v>61.596155150980778</v>
      </c>
      <c r="V54">
        <f t="shared" si="8"/>
        <v>1.0750557139538794</v>
      </c>
      <c r="W54">
        <f t="shared" si="9"/>
        <v>0.49574061284101706</v>
      </c>
      <c r="X54">
        <f t="shared" si="15"/>
        <v>67.722988393211551</v>
      </c>
      <c r="Y54">
        <f t="shared" si="10"/>
        <v>59.570268448836117</v>
      </c>
      <c r="Z54">
        <f t="shared" si="11"/>
        <v>32.214690342150838</v>
      </c>
      <c r="AB54">
        <f>Z54+pulley!$B$12</f>
        <v>32.326579567133649</v>
      </c>
      <c r="AG54">
        <f>AB54*$AF$5*$AF$6/(6*'lever arm selection'!$J$5*'lever arm selection'!$J$19)</f>
        <v>3.1185542949797922E-4</v>
      </c>
      <c r="AH54">
        <f>AB54*$AF$5*$AF$6/(3*'lever arm selection'!$J$5*'lever arm selection'!$J$19)</f>
        <v>6.2371085899595843E-4</v>
      </c>
      <c r="AI54">
        <f>(AB54*$AF$6/(6*'lever arm selection'!$J$5*'lever arm selection'!$J$19))*(2*$AF$4+$AF$6)</f>
        <v>2.0788455628395854E-3</v>
      </c>
      <c r="AJ54">
        <f>AB54*($AF$6^2)*$AF$4/(3*'lever arm selection'!$J$5*'lever arm selection'!$J$19)</f>
        <v>0.11155143221536662</v>
      </c>
    </row>
    <row r="55" spans="1:36" x14ac:dyDescent="0.2">
      <c r="A55">
        <v>53</v>
      </c>
      <c r="B55" s="7" t="s">
        <v>380</v>
      </c>
      <c r="C55" s="7" t="s">
        <v>381</v>
      </c>
      <c r="D55" s="7" t="s">
        <v>382</v>
      </c>
      <c r="E55" s="7" t="s">
        <v>383</v>
      </c>
      <c r="F55" s="7" t="s">
        <v>384</v>
      </c>
      <c r="G55" s="7" t="s">
        <v>385</v>
      </c>
      <c r="H55" s="7" t="s">
        <v>386</v>
      </c>
      <c r="I55" s="4">
        <f t="shared" si="12"/>
        <v>98.174015069999925</v>
      </c>
      <c r="L55">
        <f t="shared" si="13"/>
        <v>-8.1740150699999248</v>
      </c>
      <c r="M55">
        <f t="shared" si="4"/>
        <v>-0.14266347607913346</v>
      </c>
      <c r="N55">
        <f>'lever arm selection'!$B$21*SIN(M55)</f>
        <v>-5.2760611024490673</v>
      </c>
      <c r="O55">
        <f>'lever arm selection'!$B$21*COS(M55)</f>
        <v>36.731322271882348</v>
      </c>
      <c r="P55">
        <f>'lever arm selection'!$C$7-N55</f>
        <v>35.441061102449069</v>
      </c>
      <c r="Q55">
        <f t="shared" si="5"/>
        <v>36.241061102449066</v>
      </c>
      <c r="R55">
        <f>O55+'lever arm selection'!$B$22</f>
        <v>54.04132227188235</v>
      </c>
      <c r="S55">
        <f t="shared" si="14"/>
        <v>0.98006345663466532</v>
      </c>
      <c r="T55">
        <f t="shared" si="6"/>
        <v>56.153499720169101</v>
      </c>
      <c r="U55">
        <f t="shared" si="7"/>
        <v>61.923250139915453</v>
      </c>
      <c r="V55">
        <f t="shared" si="8"/>
        <v>1.080764598477564</v>
      </c>
      <c r="W55">
        <f t="shared" si="9"/>
        <v>0.49003172831733266</v>
      </c>
      <c r="X55">
        <f t="shared" si="15"/>
        <v>66.886626231456503</v>
      </c>
      <c r="Y55">
        <f t="shared" si="10"/>
        <v>59.01526933357443</v>
      </c>
      <c r="Z55">
        <f t="shared" si="11"/>
        <v>31.480450347989535</v>
      </c>
      <c r="AB55">
        <f>Z55+pulley!$B$12</f>
        <v>31.592339572972342</v>
      </c>
      <c r="AG55">
        <f>AB55*$AF$5*$AF$6/(6*'lever arm selection'!$J$5*'lever arm selection'!$J$19)</f>
        <v>3.0477219545961635E-4</v>
      </c>
      <c r="AH55">
        <f>AB55*$AF$5*$AF$6/(3*'lever arm selection'!$J$5*'lever arm selection'!$J$19)</f>
        <v>6.095443909192327E-4</v>
      </c>
      <c r="AI55">
        <f>(AB55*$AF$6/(6*'lever arm selection'!$J$5*'lever arm selection'!$J$19))*(2*$AF$4+$AF$6)</f>
        <v>2.0316283324873386E-3</v>
      </c>
      <c r="AJ55">
        <f>AB55*($AF$6^2)*$AF$4/(3*'lever arm selection'!$J$5*'lever arm selection'!$J$19)</f>
        <v>0.10901774247660537</v>
      </c>
    </row>
    <row r="56" spans="1:36" x14ac:dyDescent="0.2">
      <c r="A56">
        <v>54</v>
      </c>
      <c r="B56" s="7" t="s">
        <v>387</v>
      </c>
      <c r="C56" s="7" t="s">
        <v>388</v>
      </c>
      <c r="D56">
        <v>38.646497342559996</v>
      </c>
      <c r="E56" s="7" t="s">
        <v>389</v>
      </c>
      <c r="F56" s="7" t="s">
        <v>390</v>
      </c>
      <c r="G56" s="7" t="s">
        <v>391</v>
      </c>
      <c r="H56" s="7" t="s">
        <v>392</v>
      </c>
      <c r="I56" s="4">
        <f t="shared" si="12"/>
        <v>99.604090889999483</v>
      </c>
      <c r="L56">
        <f t="shared" si="13"/>
        <v>-9.6040908899994832</v>
      </c>
      <c r="M56">
        <f t="shared" si="4"/>
        <v>-0.16762300769128352</v>
      </c>
      <c r="N56">
        <f>'lever arm selection'!$B$21*SIN(M56)</f>
        <v>-6.1911191638408818</v>
      </c>
      <c r="O56">
        <f>'lever arm selection'!$B$21*COS(M56)</f>
        <v>36.588207117823892</v>
      </c>
      <c r="P56">
        <f>'lever arm selection'!$C$7-N56</f>
        <v>36.356119163840887</v>
      </c>
      <c r="Q56">
        <f t="shared" si="5"/>
        <v>37.156119163840884</v>
      </c>
      <c r="R56">
        <f>O56+'lever arm selection'!$B$22</f>
        <v>53.898207117823887</v>
      </c>
      <c r="S56">
        <f t="shared" si="14"/>
        <v>0.96723634913709877</v>
      </c>
      <c r="T56">
        <f t="shared" si="6"/>
        <v>55.418560597197924</v>
      </c>
      <c r="U56">
        <f t="shared" si="7"/>
        <v>62.290719701401038</v>
      </c>
      <c r="V56">
        <f t="shared" si="8"/>
        <v>1.0871781522263473</v>
      </c>
      <c r="W56">
        <f t="shared" si="9"/>
        <v>0.48361817456854939</v>
      </c>
      <c r="X56">
        <f t="shared" si="15"/>
        <v>68.42890442295851</v>
      </c>
      <c r="Y56">
        <f t="shared" si="10"/>
        <v>60.581362898439252</v>
      </c>
      <c r="Z56">
        <f t="shared" si="11"/>
        <v>31.818444806338334</v>
      </c>
      <c r="AB56">
        <f>Z56+pulley!$B$12</f>
        <v>31.930334031321141</v>
      </c>
      <c r="AG56">
        <f>AB56*$AF$5*$AF$6/(6*'lever arm selection'!$J$5*'lever arm selection'!$J$19)</f>
        <v>3.0803283758098284E-4</v>
      </c>
      <c r="AH56">
        <f>AB56*$AF$5*$AF$6/(3*'lever arm selection'!$J$5*'lever arm selection'!$J$19)</f>
        <v>6.1606567516196567E-4</v>
      </c>
      <c r="AI56">
        <f>(AB56*$AF$6/(6*'lever arm selection'!$J$5*'lever arm selection'!$J$19))*(2*$AF$4+$AF$6)</f>
        <v>2.0533639534349112E-3</v>
      </c>
      <c r="AJ56">
        <f>AB56*($AF$6^2)*$AF$4/(3*'lever arm selection'!$J$5*'lever arm selection'!$J$19)</f>
        <v>0.1101840819537333</v>
      </c>
    </row>
    <row r="57" spans="1:36" x14ac:dyDescent="0.2">
      <c r="A57">
        <v>55</v>
      </c>
      <c r="B57" s="7" t="s">
        <v>393</v>
      </c>
      <c r="C57" s="7" t="s">
        <v>394</v>
      </c>
      <c r="D57" s="7" t="s">
        <v>395</v>
      </c>
      <c r="E57" s="7" t="s">
        <v>396</v>
      </c>
      <c r="F57" s="7" t="s">
        <v>397</v>
      </c>
      <c r="G57" s="7" t="s">
        <v>398</v>
      </c>
      <c r="H57" s="7" t="s">
        <v>399</v>
      </c>
      <c r="I57" s="4">
        <f t="shared" si="12"/>
        <v>101.48591719999973</v>
      </c>
      <c r="L57">
        <f t="shared" si="13"/>
        <v>-11.485917199999733</v>
      </c>
      <c r="M57">
        <f t="shared" si="4"/>
        <v>-0.20046707275144338</v>
      </c>
      <c r="N57">
        <f>'lever arm selection'!$B$21*SIN(M57)</f>
        <v>-7.3892695964681909</v>
      </c>
      <c r="O57">
        <f>'lever arm selection'!$B$21*COS(M57)</f>
        <v>36.365169481639533</v>
      </c>
      <c r="P57">
        <f>'lever arm selection'!$C$7-N57</f>
        <v>37.554269596468195</v>
      </c>
      <c r="Q57">
        <f t="shared" si="5"/>
        <v>38.354269596468193</v>
      </c>
      <c r="R57">
        <f>O57+'lever arm selection'!$B$22</f>
        <v>53.675169481639529</v>
      </c>
      <c r="S57">
        <f t="shared" si="14"/>
        <v>0.95036351003155894</v>
      </c>
      <c r="T57">
        <f t="shared" si="6"/>
        <v>54.451818128047201</v>
      </c>
      <c r="U57">
        <f t="shared" si="7"/>
        <v>62.774090935976403</v>
      </c>
      <c r="V57">
        <f t="shared" si="8"/>
        <v>1.0956145717791173</v>
      </c>
      <c r="W57">
        <f t="shared" si="9"/>
        <v>0.47518175501577947</v>
      </c>
      <c r="X57">
        <f t="shared" si="15"/>
        <v>72.288929744780432</v>
      </c>
      <c r="Y57">
        <f t="shared" si="10"/>
        <v>64.280009101204996</v>
      </c>
      <c r="Z57">
        <f t="shared" si="11"/>
        <v>33.072190637978679</v>
      </c>
      <c r="AB57">
        <f>Z57+pulley!$B$12</f>
        <v>33.184079862961489</v>
      </c>
      <c r="AG57">
        <f>AB57*$AF$5*$AF$6/(6*'lever arm selection'!$J$5*'lever arm selection'!$J$19)</f>
        <v>3.2012775916077837E-4</v>
      </c>
      <c r="AH57">
        <f>AB57*$AF$5*$AF$6/(3*'lever arm selection'!$J$5*'lever arm selection'!$J$19)</f>
        <v>6.4025551832155674E-4</v>
      </c>
      <c r="AI57">
        <f>(AB57*$AF$6/(6*'lever arm selection'!$J$5*'lever arm selection'!$J$19))*(2*$AF$4+$AF$6)</f>
        <v>2.1339893704735895E-3</v>
      </c>
      <c r="AJ57">
        <f>AB57*($AF$6^2)*$AF$4/(3*'lever arm selection'!$J$5*'lever arm selection'!$J$19)</f>
        <v>0.11451046429997197</v>
      </c>
    </row>
    <row r="58" spans="1:36" x14ac:dyDescent="0.2">
      <c r="A58">
        <v>56</v>
      </c>
      <c r="B58">
        <v>31.059314222950899</v>
      </c>
      <c r="C58" s="7" t="s">
        <v>400</v>
      </c>
      <c r="D58" s="7" t="s">
        <v>401</v>
      </c>
      <c r="E58" s="7" t="s">
        <v>402</v>
      </c>
      <c r="F58" s="7" t="s">
        <v>403</v>
      </c>
      <c r="G58" s="7" t="s">
        <v>404</v>
      </c>
      <c r="H58" s="7" t="s">
        <v>405</v>
      </c>
      <c r="I58" s="4">
        <f t="shared" si="12"/>
        <v>102.77891870000001</v>
      </c>
      <c r="L58">
        <f t="shared" si="13"/>
        <v>-12.778918700000006</v>
      </c>
      <c r="M58">
        <f t="shared" si="4"/>
        <v>-0.22303420615967359</v>
      </c>
      <c r="N58">
        <f>'lever arm selection'!$B$21*SIN(M58)</f>
        <v>-8.2079760653716978</v>
      </c>
      <c r="O58">
        <f>'lever arm selection'!$B$21*COS(M58)</f>
        <v>36.189169450374813</v>
      </c>
      <c r="P58">
        <f>'lever arm selection'!$C$7-N58</f>
        <v>38.372976065371702</v>
      </c>
      <c r="Q58">
        <f t="shared" si="5"/>
        <v>39.172976065371699</v>
      </c>
      <c r="R58">
        <f>O58+'lever arm selection'!$B$22</f>
        <v>53.499169450374808</v>
      </c>
      <c r="S58">
        <f t="shared" si="14"/>
        <v>0.93877412539073535</v>
      </c>
      <c r="T58">
        <f t="shared" si="6"/>
        <v>53.787795300974267</v>
      </c>
      <c r="U58">
        <f t="shared" si="7"/>
        <v>63.106102349512867</v>
      </c>
      <c r="V58">
        <f t="shared" si="8"/>
        <v>1.101409264099529</v>
      </c>
      <c r="W58">
        <f t="shared" si="9"/>
        <v>0.46938706269536767</v>
      </c>
      <c r="X58">
        <f t="shared" si="15"/>
        <v>72.844134646456709</v>
      </c>
      <c r="Y58">
        <f t="shared" si="10"/>
        <v>64.965729099613085</v>
      </c>
      <c r="Z58">
        <f t="shared" si="11"/>
        <v>32.95029582487539</v>
      </c>
      <c r="AB58">
        <f>Z58+pulley!$B$12</f>
        <v>33.062185049858201</v>
      </c>
      <c r="AG58">
        <f>AB58*$AF$5*$AF$6/(6*'lever arm selection'!$J$5*'lever arm selection'!$J$19)</f>
        <v>3.1895183644322148E-4</v>
      </c>
      <c r="AH58">
        <f>AB58*$AF$5*$AF$6/(3*'lever arm selection'!$J$5*'lever arm selection'!$J$19)</f>
        <v>6.3790367288644296E-4</v>
      </c>
      <c r="AI58">
        <f>(AB58*$AF$6/(6*'lever arm selection'!$J$5*'lever arm selection'!$J$19))*(2*$AF$4+$AF$6)</f>
        <v>2.1261506045185743E-3</v>
      </c>
      <c r="AJ58">
        <f>AB58*($AF$6^2)*$AF$4/(3*'lever arm selection'!$J$5*'lever arm selection'!$J$19)</f>
        <v>0.11408983393439129</v>
      </c>
    </row>
    <row r="59" spans="1:36" x14ac:dyDescent="0.2">
      <c r="A59">
        <v>57</v>
      </c>
      <c r="B59" s="7" t="s">
        <v>406</v>
      </c>
      <c r="C59" s="7" t="s">
        <v>407</v>
      </c>
      <c r="D59" s="7" t="s">
        <v>408</v>
      </c>
      <c r="E59" s="7" t="s">
        <v>409</v>
      </c>
      <c r="F59" s="7" t="s">
        <v>410</v>
      </c>
      <c r="G59" s="7" t="s">
        <v>411</v>
      </c>
      <c r="H59" s="7" t="s">
        <v>412</v>
      </c>
      <c r="I59" s="4">
        <f t="shared" si="12"/>
        <v>103.84995969999986</v>
      </c>
      <c r="L59">
        <f t="shared" si="13"/>
        <v>-13.849959699999857</v>
      </c>
      <c r="M59">
        <f t="shared" si="4"/>
        <v>-0.24172739803352361</v>
      </c>
      <c r="N59">
        <f>'lever arm selection'!$B$21*SIN(M59)</f>
        <v>-8.8829937189937915</v>
      </c>
      <c r="O59">
        <f>'lever arm selection'!$B$21*COS(M59)</f>
        <v>36.029422409830183</v>
      </c>
      <c r="P59">
        <f>'lever arm selection'!$C$7-N59</f>
        <v>39.047993718993794</v>
      </c>
      <c r="Q59">
        <f t="shared" si="5"/>
        <v>39.847993718993791</v>
      </c>
      <c r="R59">
        <f>O59+'lever arm selection'!$B$22</f>
        <v>53.339422409830178</v>
      </c>
      <c r="S59">
        <f t="shared" si="14"/>
        <v>0.92917652912009263</v>
      </c>
      <c r="T59">
        <f t="shared" si="6"/>
        <v>53.237893541195945</v>
      </c>
      <c r="U59">
        <f t="shared" si="7"/>
        <v>63.381053229402028</v>
      </c>
      <c r="V59">
        <f t="shared" si="8"/>
        <v>1.1062080622348502</v>
      </c>
      <c r="W59">
        <f t="shared" si="9"/>
        <v>0.46458826456004632</v>
      </c>
      <c r="X59">
        <f t="shared" si="15"/>
        <v>76.866767433896115</v>
      </c>
      <c r="Y59">
        <f t="shared" si="10"/>
        <v>68.719360617972924</v>
      </c>
      <c r="Z59">
        <f t="shared" si="11"/>
        <v>34.44051991468281</v>
      </c>
      <c r="AB59">
        <f>Z59+pulley!$B$12</f>
        <v>34.55240913966562</v>
      </c>
      <c r="AG59">
        <f>AB59*$AF$5*$AF$6/(6*'lever arm selection'!$J$5*'lever arm selection'!$J$19)</f>
        <v>3.3332807048338641E-4</v>
      </c>
      <c r="AH59">
        <f>AB59*$AF$5*$AF$6/(3*'lever arm selection'!$J$5*'lever arm selection'!$J$19)</f>
        <v>6.6665614096677282E-4</v>
      </c>
      <c r="AI59">
        <f>(AB59*$AF$6/(6*'lever arm selection'!$J$5*'lever arm selection'!$J$19))*(2*$AF$4+$AF$6)</f>
        <v>2.22198337675169E-3</v>
      </c>
      <c r="AJ59">
        <f>AB59*($AF$6^2)*$AF$4/(3*'lever arm selection'!$J$5*'lever arm selection'!$J$19)</f>
        <v>0.11923224719820813</v>
      </c>
    </row>
    <row r="60" spans="1:36" x14ac:dyDescent="0.2">
      <c r="A60">
        <v>58</v>
      </c>
      <c r="B60" s="7" t="s">
        <v>413</v>
      </c>
      <c r="C60" s="7" t="s">
        <v>414</v>
      </c>
      <c r="D60" s="7" t="s">
        <v>415</v>
      </c>
      <c r="E60" s="7" t="s">
        <v>416</v>
      </c>
      <c r="F60" s="7" t="s">
        <v>417</v>
      </c>
      <c r="G60" s="7" t="s">
        <v>418</v>
      </c>
      <c r="H60" s="7" t="s">
        <v>419</v>
      </c>
      <c r="I60" s="4">
        <f t="shared" si="12"/>
        <v>104.78222839999944</v>
      </c>
      <c r="L60">
        <f t="shared" si="13"/>
        <v>-14.78222839999944</v>
      </c>
      <c r="M60">
        <f t="shared" si="4"/>
        <v>-0.25799855636180358</v>
      </c>
      <c r="N60">
        <f>'lever arm selection'!$B$21*SIN(M60)</f>
        <v>-9.468032424939798</v>
      </c>
      <c r="O60">
        <f>'lever arm selection'!$B$21*COS(M60)</f>
        <v>35.880122889950435</v>
      </c>
      <c r="P60">
        <f>'lever arm selection'!$C$7-N60</f>
        <v>39.633032424939799</v>
      </c>
      <c r="Q60">
        <f t="shared" si="5"/>
        <v>40.433032424939796</v>
      </c>
      <c r="R60">
        <f>O60+'lever arm selection'!$B$22</f>
        <v>53.19012288995043</v>
      </c>
      <c r="S60">
        <f t="shared" si="14"/>
        <v>0.92082412443789663</v>
      </c>
      <c r="T60">
        <f t="shared" si="6"/>
        <v>52.759336004120804</v>
      </c>
      <c r="U60">
        <f t="shared" si="7"/>
        <v>63.620331997939601</v>
      </c>
      <c r="V60">
        <f t="shared" si="8"/>
        <v>1.1103842645759483</v>
      </c>
      <c r="W60">
        <f t="shared" si="9"/>
        <v>0.46041206221894831</v>
      </c>
      <c r="X60">
        <f t="shared" si="15"/>
        <v>75.318636516216372</v>
      </c>
      <c r="Y60">
        <f t="shared" si="10"/>
        <v>67.47566827358429</v>
      </c>
      <c r="Z60">
        <f t="shared" si="11"/>
        <v>33.465373114536355</v>
      </c>
      <c r="AB60">
        <f>Z60+pulley!$B$12</f>
        <v>33.577262339519166</v>
      </c>
      <c r="AG60">
        <f>AB60*$AF$5*$AF$6/(6*'lever arm selection'!$J$5*'lever arm selection'!$J$19)</f>
        <v>3.2392080165830989E-4</v>
      </c>
      <c r="AH60">
        <f>AB60*$AF$5*$AF$6/(3*'lever arm selection'!$J$5*'lever arm selection'!$J$19)</f>
        <v>6.4784160331661977E-4</v>
      </c>
      <c r="AI60">
        <f>(AB60*$AF$6/(6*'lever arm selection'!$J$5*'lever arm selection'!$J$19))*(2*$AF$4+$AF$6)</f>
        <v>2.1592740018117353E-3</v>
      </c>
      <c r="AJ60">
        <f>AB60*($AF$6^2)*$AF$4/(3*'lever arm selection'!$J$5*'lever arm selection'!$J$19)</f>
        <v>0.11586724466366334</v>
      </c>
    </row>
    <row r="61" spans="1:36" x14ac:dyDescent="0.2">
      <c r="A61">
        <v>59</v>
      </c>
      <c r="B61" s="7" t="s">
        <v>420</v>
      </c>
      <c r="C61" s="7" t="s">
        <v>421</v>
      </c>
      <c r="D61" s="7" t="s">
        <v>422</v>
      </c>
      <c r="E61" s="7" t="s">
        <v>423</v>
      </c>
      <c r="F61" s="7" t="s">
        <v>424</v>
      </c>
      <c r="G61" s="7" t="s">
        <v>425</v>
      </c>
      <c r="H61" s="7" t="s">
        <v>426</v>
      </c>
      <c r="I61" s="4">
        <f t="shared" si="12"/>
        <v>105.31047379999976</v>
      </c>
      <c r="L61">
        <f t="shared" si="13"/>
        <v>-15.310473799999755</v>
      </c>
      <c r="M61">
        <f t="shared" si="4"/>
        <v>-0.26721817785032353</v>
      </c>
      <c r="N61">
        <f>'lever arm selection'!$B$21*SIN(M61)</f>
        <v>-9.798426495286817</v>
      </c>
      <c r="O61">
        <f>'lever arm selection'!$B$21*COS(M61)</f>
        <v>35.791307531495939</v>
      </c>
      <c r="P61">
        <f>'lever arm selection'!$C$7-N61</f>
        <v>39.963426495286818</v>
      </c>
      <c r="Q61">
        <f t="shared" si="5"/>
        <v>40.763426495286815</v>
      </c>
      <c r="R61">
        <f>O61+'lever arm selection'!$B$22</f>
        <v>53.101307531495934</v>
      </c>
      <c r="S61">
        <f t="shared" si="14"/>
        <v>0.91609212026059694</v>
      </c>
      <c r="T61">
        <f t="shared" si="6"/>
        <v>52.488212136123259</v>
      </c>
      <c r="U61">
        <f t="shared" si="7"/>
        <v>63.755893931938374</v>
      </c>
      <c r="V61">
        <f t="shared" si="8"/>
        <v>1.1127502666645981</v>
      </c>
      <c r="W61">
        <f t="shared" si="9"/>
        <v>0.45804606013029847</v>
      </c>
      <c r="X61">
        <f t="shared" si="15"/>
        <v>75.784889726725353</v>
      </c>
      <c r="Y61">
        <f t="shared" si="10"/>
        <v>67.972849485579488</v>
      </c>
      <c r="Z61">
        <f t="shared" si="11"/>
        <v>33.511807526641668</v>
      </c>
      <c r="AB61">
        <f>Z61+pulley!$B$12</f>
        <v>33.623696751624479</v>
      </c>
      <c r="AG61">
        <f>AB61*$AF$5*$AF$6/(6*'lever arm selection'!$J$5*'lever arm selection'!$J$19)</f>
        <v>3.2436875574824129E-4</v>
      </c>
      <c r="AH61">
        <f>AB61*$AF$5*$AF$6/(3*'lever arm selection'!$J$5*'lever arm selection'!$J$19)</f>
        <v>6.4873751149648257E-4</v>
      </c>
      <c r="AI61">
        <f>(AB61*$AF$6/(6*'lever arm selection'!$J$5*'lever arm selection'!$J$19))*(2*$AF$4+$AF$6)</f>
        <v>2.1622600885818407E-3</v>
      </c>
      <c r="AJ61">
        <f>AB61*($AF$6^2)*$AF$4/(3*'lever arm selection'!$J$5*'lever arm selection'!$J$19)</f>
        <v>0.1160274789118822</v>
      </c>
    </row>
    <row r="62" spans="1:36" x14ac:dyDescent="0.2">
      <c r="A62">
        <v>60</v>
      </c>
      <c r="B62" s="7" t="s">
        <v>427</v>
      </c>
      <c r="C62" s="7" t="s">
        <v>428</v>
      </c>
      <c r="D62" s="7" t="s">
        <v>429</v>
      </c>
      <c r="E62" s="7" t="s">
        <v>430</v>
      </c>
      <c r="F62" s="7" t="s">
        <v>431</v>
      </c>
      <c r="G62" s="7" t="s">
        <v>432</v>
      </c>
      <c r="H62" s="7" t="s">
        <v>433</v>
      </c>
      <c r="I62" s="4">
        <f t="shared" si="12"/>
        <v>106.15271359999984</v>
      </c>
      <c r="L62">
        <f t="shared" si="13"/>
        <v>-16.152713599999842</v>
      </c>
      <c r="M62">
        <f t="shared" si="4"/>
        <v>-0.28191803545166361</v>
      </c>
      <c r="N62">
        <f>'lever arm selection'!$B$21*SIN(M62)</f>
        <v>-10.323476040052046</v>
      </c>
      <c r="O62">
        <f>'lever arm selection'!$B$21*COS(M62)</f>
        <v>35.643410317310099</v>
      </c>
      <c r="P62">
        <f>'lever arm selection'!$C$7-N62</f>
        <v>40.488476040052049</v>
      </c>
      <c r="Q62">
        <f t="shared" si="5"/>
        <v>41.288476040052046</v>
      </c>
      <c r="R62">
        <f>O62+'lever arm selection'!$B$22</f>
        <v>52.953410317310102</v>
      </c>
      <c r="S62">
        <f t="shared" si="14"/>
        <v>0.90854833602324603</v>
      </c>
      <c r="T62">
        <f t="shared" si="6"/>
        <v>52.055985137765731</v>
      </c>
      <c r="U62">
        <f t="shared" si="7"/>
        <v>63.972007431117135</v>
      </c>
      <c r="V62">
        <f t="shared" si="8"/>
        <v>1.1165221587832737</v>
      </c>
      <c r="W62">
        <f t="shared" si="9"/>
        <v>0.45427416801162301</v>
      </c>
      <c r="X62">
        <f t="shared" si="15"/>
        <v>79.329384007658234</v>
      </c>
      <c r="Y62">
        <f t="shared" si="10"/>
        <v>71.283779424767502</v>
      </c>
      <c r="Z62">
        <f t="shared" si="11"/>
        <v>34.81054377563779</v>
      </c>
      <c r="AB62">
        <f>Z62+pulley!$B$12</f>
        <v>34.9224330006206</v>
      </c>
      <c r="AG62">
        <f>AB62*$AF$5*$AF$6/(6*'lever arm selection'!$J$5*'lever arm selection'!$J$19)</f>
        <v>3.3689770115968403E-4</v>
      </c>
      <c r="AH62">
        <f>AB62*$AF$5*$AF$6/(3*'lever arm selection'!$J$5*'lever arm selection'!$J$19)</f>
        <v>6.7379540231936807E-4</v>
      </c>
      <c r="AI62">
        <f>(AB62*$AF$6/(6*'lever arm selection'!$J$5*'lever arm selection'!$J$19))*(2*$AF$4+$AF$6)</f>
        <v>2.2457787325174789E-3</v>
      </c>
      <c r="AJ62">
        <f>AB62*($AF$6^2)*$AF$4/(3*'lever arm selection'!$J$5*'lever arm selection'!$J$19)</f>
        <v>0.12050911261966936</v>
      </c>
    </row>
    <row r="63" spans="1:36" x14ac:dyDescent="0.2">
      <c r="A63">
        <v>61</v>
      </c>
      <c r="B63" s="7" t="s">
        <v>434</v>
      </c>
      <c r="C63" s="7" t="s">
        <v>435</v>
      </c>
      <c r="D63" s="7" t="s">
        <v>436</v>
      </c>
      <c r="E63" s="7" t="s">
        <v>437</v>
      </c>
      <c r="F63" s="7" t="s">
        <v>438</v>
      </c>
      <c r="G63" s="7" t="s">
        <v>439</v>
      </c>
      <c r="H63" s="7" t="s">
        <v>440</v>
      </c>
      <c r="I63" s="4">
        <f t="shared" si="12"/>
        <v>106.36463819999972</v>
      </c>
      <c r="L63">
        <f t="shared" si="13"/>
        <v>-16.364638199999717</v>
      </c>
      <c r="M63">
        <f t="shared" si="4"/>
        <v>-0.2856168174876334</v>
      </c>
      <c r="N63">
        <f>'lever arm selection'!$B$21*SIN(M63)</f>
        <v>-10.455242327625831</v>
      </c>
      <c r="O63">
        <f>'lever arm selection'!$B$21*COS(M63)</f>
        <v>35.604982298384556</v>
      </c>
      <c r="P63">
        <f>'lever arm selection'!$C$7-N63</f>
        <v>40.620242327625832</v>
      </c>
      <c r="Q63">
        <f t="shared" si="5"/>
        <v>41.420242327625829</v>
      </c>
      <c r="R63">
        <f>O63+'lever arm selection'!$B$22</f>
        <v>52.914982298384558</v>
      </c>
      <c r="S63">
        <f t="shared" si="14"/>
        <v>0.90665035184652254</v>
      </c>
      <c r="T63">
        <f t="shared" si="6"/>
        <v>51.947238654856868</v>
      </c>
      <c r="U63">
        <f t="shared" si="7"/>
        <v>64.026380672571563</v>
      </c>
      <c r="V63">
        <f t="shared" si="8"/>
        <v>1.1174711508716353</v>
      </c>
      <c r="W63">
        <f t="shared" si="9"/>
        <v>0.45332517592326127</v>
      </c>
      <c r="X63">
        <f t="shared" si="15"/>
        <v>79.964565695098088</v>
      </c>
      <c r="Y63">
        <f t="shared" si="10"/>
        <v>71.887807914798799</v>
      </c>
      <c r="Z63">
        <f t="shared" si="11"/>
        <v>35.02106280526975</v>
      </c>
      <c r="AB63">
        <f>Z63+pulley!$B$12</f>
        <v>35.132952030252561</v>
      </c>
      <c r="AG63">
        <f>AB63*$AF$5*$AF$6/(6*'lever arm selection'!$J$5*'lever arm selection'!$J$19)</f>
        <v>3.3892858420646706E-4</v>
      </c>
      <c r="AH63">
        <f>AB63*$AF$5*$AF$6/(3*'lever arm selection'!$J$5*'lever arm selection'!$J$19)</f>
        <v>6.7785716841293412E-4</v>
      </c>
      <c r="AI63">
        <f>(AB63*$AF$6/(6*'lever arm selection'!$J$5*'lever arm selection'!$J$19))*(2*$AF$4+$AF$6)</f>
        <v>2.2593167113727692E-3</v>
      </c>
      <c r="AJ63">
        <f>AB63*($AF$6^2)*$AF$4/(3*'lever arm selection'!$J$5*'lever arm selection'!$J$19)</f>
        <v>0.12123556433768257</v>
      </c>
    </row>
    <row r="64" spans="1:36" x14ac:dyDescent="0.2">
      <c r="A64">
        <v>62</v>
      </c>
      <c r="B64" s="7" t="s">
        <v>441</v>
      </c>
      <c r="C64" s="7" t="s">
        <v>442</v>
      </c>
      <c r="D64" s="7" t="s">
        <v>443</v>
      </c>
      <c r="E64" s="7" t="s">
        <v>444</v>
      </c>
      <c r="F64" s="7" t="s">
        <v>445</v>
      </c>
      <c r="G64" s="7" t="s">
        <v>446</v>
      </c>
      <c r="H64" s="7" t="s">
        <v>447</v>
      </c>
      <c r="I64" s="4">
        <f t="shared" si="12"/>
        <v>106.55851679999989</v>
      </c>
      <c r="L64">
        <f t="shared" si="13"/>
        <v>-16.558516799999893</v>
      </c>
      <c r="M64">
        <f t="shared" si="4"/>
        <v>-0.28900063740679355</v>
      </c>
      <c r="N64">
        <f>'lever arm selection'!$B$21*SIN(M64)</f>
        <v>-10.575663088580759</v>
      </c>
      <c r="O64">
        <f>'lever arm selection'!$B$21*COS(M64)</f>
        <v>35.569399866099609</v>
      </c>
      <c r="P64">
        <f>'lever arm selection'!$C$7-N64</f>
        <v>40.74066308858076</v>
      </c>
      <c r="Q64">
        <f t="shared" si="5"/>
        <v>41.540663088580757</v>
      </c>
      <c r="R64">
        <f>O64+'lever arm selection'!$B$22</f>
        <v>52.879399866099604</v>
      </c>
      <c r="S64">
        <f t="shared" si="14"/>
        <v>0.90491405079681275</v>
      </c>
      <c r="T64">
        <f t="shared" si="6"/>
        <v>51.847755932744363</v>
      </c>
      <c r="U64">
        <f t="shared" si="7"/>
        <v>64.076122033627826</v>
      </c>
      <c r="V64">
        <f t="shared" si="8"/>
        <v>1.1183393013964904</v>
      </c>
      <c r="W64">
        <f t="shared" si="9"/>
        <v>0.45245702539840638</v>
      </c>
      <c r="X64">
        <f t="shared" si="15"/>
        <v>77.490676584113601</v>
      </c>
      <c r="Y64">
        <f t="shared" si="10"/>
        <v>69.693228712599407</v>
      </c>
      <c r="Z64">
        <f t="shared" si="11"/>
        <v>33.877113647372624</v>
      </c>
      <c r="AB64">
        <f>Z64+pulley!$B$12</f>
        <v>33.989002872355435</v>
      </c>
      <c r="AG64">
        <f>AB64*$AF$5*$AF$6/(6*'lever arm selection'!$J$5*'lever arm selection'!$J$19)</f>
        <v>3.2789287425085632E-4</v>
      </c>
      <c r="AH64">
        <f>AB64*$AF$5*$AF$6/(3*'lever arm selection'!$J$5*'lever arm selection'!$J$19)</f>
        <v>6.5578574850171263E-4</v>
      </c>
      <c r="AI64">
        <f>(AB64*$AF$6/(6*'lever arm selection'!$J$5*'lever arm selection'!$J$19))*(2*$AF$4+$AF$6)</f>
        <v>2.1857520576775069E-3</v>
      </c>
      <c r="AJ64">
        <f>AB64*($AF$6^2)*$AF$4/(3*'lever arm selection'!$J$5*'lever arm selection'!$J$19)</f>
        <v>0.11728806452007962</v>
      </c>
    </row>
    <row r="65" spans="1:36" x14ac:dyDescent="0.2">
      <c r="A65">
        <v>63</v>
      </c>
      <c r="B65" s="7" t="s">
        <v>448</v>
      </c>
      <c r="C65" s="7" t="s">
        <v>449</v>
      </c>
      <c r="D65" s="7" t="s">
        <v>450</v>
      </c>
      <c r="E65" s="7" t="s">
        <v>451</v>
      </c>
      <c r="F65" s="7" t="s">
        <v>452</v>
      </c>
      <c r="G65" s="7" t="s">
        <v>453</v>
      </c>
      <c r="H65" s="7" t="s">
        <v>454</v>
      </c>
      <c r="I65" s="4">
        <f t="shared" si="12"/>
        <v>107.53569649999987</v>
      </c>
      <c r="K65" s="3" t="s">
        <v>8</v>
      </c>
      <c r="L65" s="2">
        <f t="shared" si="13"/>
        <v>-17.535696499999872</v>
      </c>
      <c r="M65">
        <f t="shared" si="4"/>
        <v>-0.3060556405554436</v>
      </c>
      <c r="N65">
        <f>'lever arm selection'!$B$21*SIN(M65)</f>
        <v>-11.180731855847597</v>
      </c>
      <c r="O65">
        <f>'lever arm selection'!$B$21*COS(M65)</f>
        <v>35.383867676743471</v>
      </c>
      <c r="P65">
        <f>'lever arm selection'!$C$7-N65</f>
        <v>41.345731855847603</v>
      </c>
      <c r="Q65">
        <f t="shared" si="5"/>
        <v>42.1457318558476</v>
      </c>
      <c r="R65">
        <f>O65+'lever arm selection'!$B$22</f>
        <v>52.693867676743466</v>
      </c>
      <c r="S65">
        <f t="shared" si="14"/>
        <v>0.89616373124895077</v>
      </c>
      <c r="T65">
        <f t="shared" si="6"/>
        <v>51.346399553261044</v>
      </c>
      <c r="U65">
        <f t="shared" si="7"/>
        <v>64.326800223369474</v>
      </c>
      <c r="V65">
        <f t="shared" si="8"/>
        <v>1.1227144611704212</v>
      </c>
      <c r="W65">
        <f t="shared" si="9"/>
        <v>0.44808186562447538</v>
      </c>
      <c r="X65" s="2">
        <f t="shared" si="15"/>
        <v>82.544270184208699</v>
      </c>
      <c r="Y65">
        <f t="shared" si="10"/>
        <v>74.395480656957361</v>
      </c>
      <c r="Z65">
        <f t="shared" si="11"/>
        <v>35.761277914301786</v>
      </c>
      <c r="AB65">
        <f>Z65+pulley!$B$12</f>
        <v>35.873167139284597</v>
      </c>
      <c r="AG65">
        <f>AB65*$AF$5*$AF$6/(6*'lever arm selection'!$J$5*'lever arm selection'!$J$19)</f>
        <v>3.4606946034737411E-4</v>
      </c>
      <c r="AH65">
        <f>AB65*$AF$5*$AF$6/(3*'lever arm selection'!$J$5*'lever arm selection'!$J$19)</f>
        <v>6.9213892069474822E-4</v>
      </c>
      <c r="AI65">
        <f>(AB65*$AF$6/(6*'lever arm selection'!$J$5*'lever arm selection'!$J$19))*(2*$AF$4+$AF$6)</f>
        <v>2.306918187172657E-3</v>
      </c>
      <c r="AJ65">
        <f>AB65*($AF$6^2)*$AF$4/(3*'lever arm selection'!$J$5*'lever arm selection'!$J$19)</f>
        <v>0.1237898727942422</v>
      </c>
    </row>
    <row r="66" spans="1:36" x14ac:dyDescent="0.2">
      <c r="A66">
        <v>64</v>
      </c>
      <c r="B66">
        <v>31.1624517649045</v>
      </c>
      <c r="C66" s="7" t="s">
        <v>455</v>
      </c>
      <c r="D66" s="7" t="s">
        <v>456</v>
      </c>
      <c r="E66" s="7" t="s">
        <v>437</v>
      </c>
      <c r="F66" s="7" t="s">
        <v>457</v>
      </c>
      <c r="G66" s="7" t="s">
        <v>439</v>
      </c>
      <c r="H66" s="7" t="s">
        <v>458</v>
      </c>
      <c r="I66" s="4">
        <f t="shared" si="12"/>
        <v>106.36463819999972</v>
      </c>
      <c r="L66">
        <f t="shared" si="13"/>
        <v>-16.364638199999717</v>
      </c>
      <c r="M66">
        <f t="shared" si="4"/>
        <v>-0.2856168174876334</v>
      </c>
      <c r="N66">
        <f>'lever arm selection'!$B$21*SIN(M66)</f>
        <v>-10.455242327625831</v>
      </c>
      <c r="O66">
        <f>'lever arm selection'!$B$21*COS(M66)</f>
        <v>35.604982298384556</v>
      </c>
      <c r="P66">
        <f>'lever arm selection'!$C$7-N66</f>
        <v>40.620242327625832</v>
      </c>
      <c r="Q66">
        <f t="shared" si="5"/>
        <v>41.420242327625829</v>
      </c>
      <c r="R66">
        <f>O66+'lever arm selection'!$B$22</f>
        <v>52.914982298384558</v>
      </c>
      <c r="S66">
        <f t="shared" si="14"/>
        <v>0.90665035184652254</v>
      </c>
      <c r="T66">
        <f t="shared" si="6"/>
        <v>51.947238654856868</v>
      </c>
      <c r="U66">
        <f t="shared" si="7"/>
        <v>64.026380672571563</v>
      </c>
      <c r="V66">
        <f t="shared" si="8"/>
        <v>1.1174711508716353</v>
      </c>
      <c r="W66">
        <f t="shared" si="9"/>
        <v>0.45332517592326127</v>
      </c>
      <c r="X66">
        <f t="shared" si="15"/>
        <v>79.964565695098088</v>
      </c>
      <c r="Y66">
        <f t="shared" si="10"/>
        <v>71.887807914798799</v>
      </c>
      <c r="Z66">
        <f t="shared" si="11"/>
        <v>35.02106280526975</v>
      </c>
      <c r="AB66">
        <f>Z66+pulley!$B$12</f>
        <v>35.132952030252561</v>
      </c>
      <c r="AG66">
        <f>AB66*$AF$5*$AF$6/(6*'lever arm selection'!$J$5*'lever arm selection'!$J$19)</f>
        <v>3.3892858420646706E-4</v>
      </c>
      <c r="AH66">
        <f>AB66*$AF$5*$AF$6/(3*'lever arm selection'!$J$5*'lever arm selection'!$J$19)</f>
        <v>6.7785716841293412E-4</v>
      </c>
      <c r="AI66">
        <f>(AB66*$AF$6/(6*'lever arm selection'!$J$5*'lever arm selection'!$J$19))*(2*$AF$4+$AF$6)</f>
        <v>2.2593167113727692E-3</v>
      </c>
      <c r="AJ66">
        <f>AB66*($AF$6^2)*$AF$4/(3*'lever arm selection'!$J$5*'lever arm selection'!$J$19)</f>
        <v>0.12123556433768257</v>
      </c>
    </row>
    <row r="67" spans="1:36" x14ac:dyDescent="0.2">
      <c r="A67">
        <v>65</v>
      </c>
      <c r="B67" s="7" t="s">
        <v>459</v>
      </c>
      <c r="C67" s="7" t="s">
        <v>460</v>
      </c>
      <c r="D67" s="7" t="s">
        <v>461</v>
      </c>
      <c r="E67" s="7" t="s">
        <v>462</v>
      </c>
      <c r="F67" s="7" t="s">
        <v>463</v>
      </c>
      <c r="G67" s="7" t="s">
        <v>464</v>
      </c>
      <c r="H67" s="7" t="s">
        <v>465</v>
      </c>
      <c r="I67" s="4">
        <f t="shared" ref="I67:I98" si="16">DEGREES(G67)</f>
        <v>105.6513311999999</v>
      </c>
      <c r="L67">
        <f t="shared" ref="L67:L98" si="17">90-I67</f>
        <v>-15.651331199999902</v>
      </c>
      <c r="M67">
        <f t="shared" si="4"/>
        <v>-0.27316726176011341</v>
      </c>
      <c r="N67">
        <f>'lever arm selection'!$B$21*SIN(M67)</f>
        <v>-10.011177340591635</v>
      </c>
      <c r="O67">
        <f>'lever arm selection'!$B$21*COS(M67)</f>
        <v>35.732382859989634</v>
      </c>
      <c r="P67">
        <f>'lever arm selection'!$C$7-N67</f>
        <v>40.176177340591636</v>
      </c>
      <c r="Q67">
        <f t="shared" si="5"/>
        <v>40.976177340591633</v>
      </c>
      <c r="R67">
        <f>O67+'lever arm selection'!$B$22</f>
        <v>53.04238285998963</v>
      </c>
      <c r="S67">
        <f t="shared" ref="S67:S98" si="18">ATAN(R67/Q67)</f>
        <v>0.91303898188846955</v>
      </c>
      <c r="T67">
        <f t="shared" si="6"/>
        <v>52.313280193130915</v>
      </c>
      <c r="U67">
        <f t="shared" si="7"/>
        <v>63.843359903434546</v>
      </c>
      <c r="V67">
        <f t="shared" si="8"/>
        <v>1.1142768358506618</v>
      </c>
      <c r="W67">
        <f t="shared" si="9"/>
        <v>0.45651949094423477</v>
      </c>
      <c r="X67">
        <f t="shared" ref="X67:X98" si="19">2*D67*SIN(V67)</f>
        <v>82.030633920083901</v>
      </c>
      <c r="Y67">
        <f t="shared" si="10"/>
        <v>73.630059829891309</v>
      </c>
      <c r="Z67">
        <f t="shared" si="11"/>
        <v>36.16129409710674</v>
      </c>
      <c r="AB67">
        <f>Z67+pulley!$B$12</f>
        <v>36.273183322089551</v>
      </c>
      <c r="AG67">
        <f>AB67*$AF$5*$AF$6/(6*'lever arm selection'!$J$5*'lever arm selection'!$J$19)</f>
        <v>3.4992842780279932E-4</v>
      </c>
      <c r="AH67">
        <f>AB67*$AF$5*$AF$6/(3*'lever arm selection'!$J$5*'lever arm selection'!$J$19)</f>
        <v>6.9985685560559863E-4</v>
      </c>
      <c r="AI67">
        <f>(AB67*$AF$6/(6*'lever arm selection'!$J$5*'lever arm selection'!$J$19))*(2*$AF$4+$AF$6)</f>
        <v>2.3326422779308877E-3</v>
      </c>
      <c r="AJ67">
        <f>AB67*($AF$6^2)*$AF$4/(3*'lever arm selection'!$J$5*'lever arm selection'!$J$19)</f>
        <v>0.1251702346728798</v>
      </c>
    </row>
    <row r="68" spans="1:36" x14ac:dyDescent="0.2">
      <c r="A68">
        <v>66</v>
      </c>
      <c r="B68" s="7" t="s">
        <v>466</v>
      </c>
      <c r="C68" s="7" t="s">
        <v>467</v>
      </c>
      <c r="D68" s="7" t="s">
        <v>468</v>
      </c>
      <c r="E68">
        <v>30.6883847705571</v>
      </c>
      <c r="F68" s="7" t="s">
        <v>469</v>
      </c>
      <c r="G68" s="7" t="s">
        <v>470</v>
      </c>
      <c r="H68" s="7" t="s">
        <v>471</v>
      </c>
      <c r="I68" s="4">
        <f t="shared" si="16"/>
        <v>105.27593079999954</v>
      </c>
      <c r="L68">
        <f t="shared" si="17"/>
        <v>-15.275930799999543</v>
      </c>
      <c r="M68">
        <f t="shared" ref="M68:M108" si="20">RADIANS(L68)</f>
        <v>-0.2666152887668034</v>
      </c>
      <c r="N68">
        <f>'lever arm selection'!$B$21*SIN(M68)</f>
        <v>-9.7768465272556639</v>
      </c>
      <c r="O68">
        <f>'lever arm selection'!$B$21*COS(M68)</f>
        <v>35.797208390880783</v>
      </c>
      <c r="P68">
        <f>'lever arm selection'!$C$7-N68</f>
        <v>39.941846527255663</v>
      </c>
      <c r="Q68">
        <f t="shared" ref="Q68:Q108" si="21">P68+0.8</f>
        <v>40.74184652725566</v>
      </c>
      <c r="R68">
        <f>O68+'lever arm selection'!$B$22</f>
        <v>53.107208390880785</v>
      </c>
      <c r="S68">
        <f t="shared" si="18"/>
        <v>0.91640154079026137</v>
      </c>
      <c r="T68">
        <f t="shared" ref="T68:T108" si="22">DEGREES(S68)</f>
        <v>52.505940626567735</v>
      </c>
      <c r="U68">
        <f t="shared" ref="U68:U108" si="23">90-(T68/2)</f>
        <v>63.747029686716132</v>
      </c>
      <c r="V68">
        <f t="shared" ref="V68:V108" si="24">RADIANS(U68)</f>
        <v>1.1125955563997658</v>
      </c>
      <c r="W68">
        <f t="shared" ref="W68:W108" si="25">S68/2</f>
        <v>0.45820077039513069</v>
      </c>
      <c r="X68">
        <f t="shared" si="19"/>
        <v>79.849283759821247</v>
      </c>
      <c r="Y68">
        <f t="shared" ref="Y68:Y108" si="26">X68*COS(W68)</f>
        <v>71.612815073177245</v>
      </c>
      <c r="Z68">
        <f t="shared" ref="Z68:Z108" si="27">X68*SIN(W68)</f>
        <v>35.320147709931383</v>
      </c>
      <c r="AB68">
        <f>Z68+pulley!$B$12</f>
        <v>35.432036934914194</v>
      </c>
      <c r="AG68">
        <f>AB68*$AF$5*$AF$6/(6*'lever arm selection'!$J$5*'lever arm selection'!$J$19)</f>
        <v>3.4181386476038141E-4</v>
      </c>
      <c r="AH68">
        <f>AB68*$AF$5*$AF$6/(3*'lever arm selection'!$J$5*'lever arm selection'!$J$19)</f>
        <v>6.8362772952076283E-4</v>
      </c>
      <c r="AI68">
        <f>(AB68*$AF$6/(6*'lever arm selection'!$J$5*'lever arm selection'!$J$19))*(2*$AF$4+$AF$6)</f>
        <v>2.2785501513250821E-3</v>
      </c>
      <c r="AJ68">
        <f>AB68*($AF$6^2)*$AF$4/(3*'lever arm selection'!$J$5*'lever arm selection'!$J$19)</f>
        <v>0.12226763608532029</v>
      </c>
    </row>
    <row r="69" spans="1:36" x14ac:dyDescent="0.2">
      <c r="A69">
        <v>67</v>
      </c>
      <c r="B69" s="7" t="s">
        <v>472</v>
      </c>
      <c r="C69" s="7" t="s">
        <v>473</v>
      </c>
      <c r="D69" s="7" t="s">
        <v>474</v>
      </c>
      <c r="E69" s="7" t="s">
        <v>475</v>
      </c>
      <c r="F69" s="7" t="s">
        <v>476</v>
      </c>
      <c r="G69" s="7" t="s">
        <v>477</v>
      </c>
      <c r="H69" s="7" t="s">
        <v>478</v>
      </c>
      <c r="I69" s="4">
        <f t="shared" si="16"/>
        <v>104.31068039999968</v>
      </c>
      <c r="L69">
        <f t="shared" si="17"/>
        <v>-14.310680399999683</v>
      </c>
      <c r="M69">
        <f t="shared" si="20"/>
        <v>-0.24976849118061359</v>
      </c>
      <c r="N69">
        <f>'lever arm selection'!$B$21*SIN(M69)</f>
        <v>-9.172419356511643</v>
      </c>
      <c r="O69">
        <f>'lever arm selection'!$B$21*COS(M69)</f>
        <v>35.956829389504676</v>
      </c>
      <c r="P69">
        <f>'lever arm selection'!$C$7-N69</f>
        <v>39.337419356511646</v>
      </c>
      <c r="Q69">
        <f t="shared" si="21"/>
        <v>40.137419356511643</v>
      </c>
      <c r="R69">
        <f>O69+'lever arm selection'!$B$22</f>
        <v>53.266829389504679</v>
      </c>
      <c r="S69">
        <f t="shared" si="18"/>
        <v>0.92504863964457895</v>
      </c>
      <c r="T69">
        <f t="shared" si="22"/>
        <v>53.001382895952538</v>
      </c>
      <c r="U69">
        <f t="shared" si="23"/>
        <v>63.499308552023734</v>
      </c>
      <c r="V69">
        <f t="shared" si="24"/>
        <v>1.1082720069726071</v>
      </c>
      <c r="W69">
        <f t="shared" si="25"/>
        <v>0.46252431982228948</v>
      </c>
      <c r="X69">
        <f t="shared" si="19"/>
        <v>78.18152522169855</v>
      </c>
      <c r="Y69">
        <f t="shared" si="26"/>
        <v>69.966912371482934</v>
      </c>
      <c r="Z69">
        <f t="shared" si="27"/>
        <v>34.885269945814038</v>
      </c>
      <c r="AB69">
        <f>Z69+pulley!$B$12</f>
        <v>34.997159170796849</v>
      </c>
      <c r="AG69">
        <f>AB69*$AF$5*$AF$6/(6*'lever arm selection'!$J$5*'lever arm selection'!$J$19)</f>
        <v>3.3761858664175794E-4</v>
      </c>
      <c r="AH69">
        <f>AB69*$AF$5*$AF$6/(3*'lever arm selection'!$J$5*'lever arm selection'!$J$19)</f>
        <v>6.7523717328351587E-4</v>
      </c>
      <c r="AI69">
        <f>(AB69*$AF$6/(6*'lever arm selection'!$J$5*'lever arm selection'!$J$19))*(2*$AF$4+$AF$6)</f>
        <v>2.2505841950618932E-3</v>
      </c>
      <c r="AJ69">
        <f>AB69*($AF$6^2)*$AF$4/(3*'lever arm selection'!$J$5*'lever arm selection'!$J$19)</f>
        <v>0.12076697507894435</v>
      </c>
    </row>
    <row r="70" spans="1:36" x14ac:dyDescent="0.2">
      <c r="A70">
        <v>68</v>
      </c>
      <c r="B70" s="7" t="s">
        <v>479</v>
      </c>
      <c r="C70" s="7" t="s">
        <v>480</v>
      </c>
      <c r="D70" s="7" t="s">
        <v>481</v>
      </c>
      <c r="E70" s="7" t="s">
        <v>482</v>
      </c>
      <c r="F70" s="7" t="s">
        <v>483</v>
      </c>
      <c r="G70" s="7" t="s">
        <v>484</v>
      </c>
      <c r="H70" s="7" t="s">
        <v>485</v>
      </c>
      <c r="I70" s="4">
        <f t="shared" si="16"/>
        <v>101.80586479999953</v>
      </c>
      <c r="L70">
        <f t="shared" si="17"/>
        <v>-11.805864799999526</v>
      </c>
      <c r="M70">
        <f t="shared" si="20"/>
        <v>-0.20605121180529357</v>
      </c>
      <c r="N70">
        <f>'lever arm selection'!$B$21*SIN(M70)</f>
        <v>-7.5922214961534502</v>
      </c>
      <c r="O70">
        <f>'lever arm selection'!$B$21*COS(M70)</f>
        <v>36.323340008195864</v>
      </c>
      <c r="P70">
        <f>'lever arm selection'!$C$7-N70</f>
        <v>37.757221496153456</v>
      </c>
      <c r="Q70">
        <f t="shared" si="21"/>
        <v>38.557221496153453</v>
      </c>
      <c r="R70">
        <f>O70+'lever arm selection'!$B$22</f>
        <v>53.633340008195859</v>
      </c>
      <c r="S70">
        <f t="shared" si="18"/>
        <v>0.94749547582209737</v>
      </c>
      <c r="T70">
        <f t="shared" si="22"/>
        <v>54.28749187234591</v>
      </c>
      <c r="U70">
        <f t="shared" si="23"/>
        <v>62.856254063827045</v>
      </c>
      <c r="V70">
        <f t="shared" si="24"/>
        <v>1.0970485888838479</v>
      </c>
      <c r="W70">
        <f t="shared" si="25"/>
        <v>0.47374773791104868</v>
      </c>
      <c r="X70">
        <f t="shared" si="19"/>
        <v>76.234810550898928</v>
      </c>
      <c r="Y70">
        <f t="shared" si="26"/>
        <v>67.838669244395348</v>
      </c>
      <c r="Z70">
        <f t="shared" si="27"/>
        <v>34.780185377323392</v>
      </c>
      <c r="AB70">
        <f>Z70+pulley!$B$12</f>
        <v>34.892074602306202</v>
      </c>
      <c r="AG70">
        <f>AB70*$AF$5*$AF$6/(6*'lever arm selection'!$J$5*'lever arm selection'!$J$19)</f>
        <v>3.3660483283052644E-4</v>
      </c>
      <c r="AH70">
        <f>AB70*$AF$5*$AF$6/(3*'lever arm selection'!$J$5*'lever arm selection'!$J$19)</f>
        <v>6.7320966566105289E-4</v>
      </c>
      <c r="AI70">
        <f>(AB70*$AF$6/(6*'lever arm selection'!$J$5*'lever arm selection'!$J$19))*(2*$AF$4+$AF$6)</f>
        <v>2.2438264560169685E-3</v>
      </c>
      <c r="AJ70">
        <f>AB70*($AF$6^2)*$AF$4/(3*'lever arm selection'!$J$5*'lever arm selection'!$J$19)</f>
        <v>0.12040435291860964</v>
      </c>
    </row>
    <row r="71" spans="1:36" x14ac:dyDescent="0.2">
      <c r="A71">
        <v>69</v>
      </c>
      <c r="B71" s="7" t="s">
        <v>486</v>
      </c>
      <c r="C71">
        <v>27.538120597400599</v>
      </c>
      <c r="D71" s="7" t="s">
        <v>487</v>
      </c>
      <c r="E71" s="7" t="s">
        <v>488</v>
      </c>
      <c r="F71" s="7" t="s">
        <v>489</v>
      </c>
      <c r="G71" s="7" t="s">
        <v>490</v>
      </c>
      <c r="H71" s="7" t="s">
        <v>491</v>
      </c>
      <c r="I71" s="4">
        <f t="shared" si="16"/>
        <v>100.0322912999995</v>
      </c>
      <c r="L71">
        <f t="shared" si="17"/>
        <v>-10.0322912999995</v>
      </c>
      <c r="M71">
        <f t="shared" si="20"/>
        <v>-0.17509651470417348</v>
      </c>
      <c r="N71">
        <f>'lever arm selection'!$B$21*SIN(M71)</f>
        <v>-6.4643859444548992</v>
      </c>
      <c r="O71">
        <f>'lever arm selection'!$B$21*COS(M71)</f>
        <v>36.540916394622485</v>
      </c>
      <c r="P71">
        <f>'lever arm selection'!$C$7-N71</f>
        <v>36.629385944454903</v>
      </c>
      <c r="Q71">
        <f t="shared" si="21"/>
        <v>37.4293859444549</v>
      </c>
      <c r="R71">
        <f>O71+'lever arm selection'!$B$22</f>
        <v>53.850916394622487</v>
      </c>
      <c r="S71">
        <f t="shared" si="18"/>
        <v>0.9633964037000361</v>
      </c>
      <c r="T71">
        <f t="shared" si="22"/>
        <v>55.198547930093717</v>
      </c>
      <c r="U71">
        <f t="shared" si="23"/>
        <v>62.400726034953138</v>
      </c>
      <c r="V71">
        <f t="shared" si="24"/>
        <v>1.0890981249448786</v>
      </c>
      <c r="W71">
        <f t="shared" si="25"/>
        <v>0.48169820185001805</v>
      </c>
      <c r="X71">
        <f t="shared" si="19"/>
        <v>70.52858002959276</v>
      </c>
      <c r="Y71">
        <f t="shared" si="26"/>
        <v>62.503094110861916</v>
      </c>
      <c r="Z71">
        <f t="shared" si="27"/>
        <v>32.674819472483833</v>
      </c>
      <c r="AB71">
        <f>Z71+pulley!$B$12</f>
        <v>32.786708697466644</v>
      </c>
      <c r="AG71">
        <f>AB71*$AF$5*$AF$6/(6*'lever arm selection'!$J$5*'lever arm selection'!$J$19)</f>
        <v>3.1629430826232637E-4</v>
      </c>
      <c r="AH71">
        <f>AB71*$AF$5*$AF$6/(3*'lever arm selection'!$J$5*'lever arm selection'!$J$19)</f>
        <v>6.3258861652465274E-4</v>
      </c>
      <c r="AI71">
        <f>(AB71*$AF$6/(6*'lever arm selection'!$J$5*'lever arm selection'!$J$19))*(2*$AF$4+$AF$6)</f>
        <v>2.1084353744971881E-3</v>
      </c>
      <c r="AJ71">
        <f>AB71*($AF$6^2)*$AF$4/(3*'lever arm selection'!$J$5*'lever arm selection'!$J$19)</f>
        <v>0.11313922975472777</v>
      </c>
    </row>
    <row r="72" spans="1:36" x14ac:dyDescent="0.2">
      <c r="A72">
        <v>70</v>
      </c>
      <c r="B72" s="7" t="s">
        <v>492</v>
      </c>
      <c r="C72" s="7" t="s">
        <v>493</v>
      </c>
      <c r="D72">
        <v>37.713566467036998</v>
      </c>
      <c r="E72" s="7" t="s">
        <v>494</v>
      </c>
      <c r="F72" s="7" t="s">
        <v>495</v>
      </c>
      <c r="G72" s="7" t="s">
        <v>496</v>
      </c>
      <c r="H72" s="7" t="s">
        <v>497</v>
      </c>
      <c r="I72" s="4">
        <f t="shared" si="16"/>
        <v>97.174576259999583</v>
      </c>
      <c r="L72">
        <f t="shared" si="17"/>
        <v>-7.1745762599995828</v>
      </c>
      <c r="M72">
        <f t="shared" si="20"/>
        <v>-0.12521997817241345</v>
      </c>
      <c r="N72">
        <f>'lever arm selection'!$B$21*SIN(M72)</f>
        <v>-4.6345681834858361</v>
      </c>
      <c r="O72">
        <f>'lever arm selection'!$B$21*COS(M72)</f>
        <v>36.817762484299308</v>
      </c>
      <c r="P72">
        <f>'lever arm selection'!$C$7-N72</f>
        <v>34.799568183485839</v>
      </c>
      <c r="Q72">
        <f t="shared" si="21"/>
        <v>35.599568183485836</v>
      </c>
      <c r="R72">
        <f>O72+'lever arm selection'!$B$22</f>
        <v>54.127762484299311</v>
      </c>
      <c r="S72">
        <f t="shared" si="18"/>
        <v>0.98903050042187568</v>
      </c>
      <c r="T72">
        <f t="shared" si="22"/>
        <v>56.667273483885261</v>
      </c>
      <c r="U72">
        <f t="shared" si="23"/>
        <v>61.666363258057373</v>
      </c>
      <c r="V72">
        <f t="shared" si="24"/>
        <v>1.0762810765839588</v>
      </c>
      <c r="W72">
        <f t="shared" si="25"/>
        <v>0.49451525021093784</v>
      </c>
      <c r="X72">
        <f t="shared" si="19"/>
        <v>66.390877774152827</v>
      </c>
      <c r="Y72">
        <f t="shared" si="26"/>
        <v>58.437176121688594</v>
      </c>
      <c r="Z72">
        <f t="shared" si="27"/>
        <v>31.509444592776436</v>
      </c>
      <c r="AB72">
        <f>Z72+pulley!$B$12</f>
        <v>31.621333817759243</v>
      </c>
      <c r="AG72">
        <f>AB72*$AF$5*$AF$6/(6*'lever arm selection'!$J$5*'lever arm selection'!$J$19)</f>
        <v>3.0505190376102232E-4</v>
      </c>
      <c r="AH72">
        <f>AB72*$AF$5*$AF$6/(3*'lever arm selection'!$J$5*'lever arm selection'!$J$19)</f>
        <v>6.1010380752204464E-4</v>
      </c>
      <c r="AI72">
        <f>(AB72*$AF$6/(6*'lever arm selection'!$J$5*'lever arm selection'!$J$19))*(2*$AF$4+$AF$6)</f>
        <v>2.0334928835140857E-3</v>
      </c>
      <c r="AJ72">
        <f>AB72*($AF$6^2)*$AF$4/(3*'lever arm selection'!$J$5*'lever arm selection'!$J$19)</f>
        <v>0.1091177948042964</v>
      </c>
    </row>
    <row r="73" spans="1:36" x14ac:dyDescent="0.2">
      <c r="A73">
        <v>71</v>
      </c>
      <c r="B73" s="7" t="s">
        <v>498</v>
      </c>
      <c r="C73" s="7" t="s">
        <v>499</v>
      </c>
      <c r="D73" s="7" t="s">
        <v>500</v>
      </c>
      <c r="E73" s="7" t="s">
        <v>501</v>
      </c>
      <c r="F73" s="7" t="s">
        <v>502</v>
      </c>
      <c r="G73" s="7" t="s">
        <v>503</v>
      </c>
      <c r="H73">
        <v>0.54968706961458103</v>
      </c>
      <c r="I73" s="4">
        <f t="shared" si="16"/>
        <v>95.346187969999519</v>
      </c>
      <c r="L73">
        <f t="shared" si="17"/>
        <v>-5.3461879699995194</v>
      </c>
      <c r="M73">
        <f t="shared" si="20"/>
        <v>-9.330858250700344E-2</v>
      </c>
      <c r="N73">
        <f>'lever arm selection'!$B$21*SIN(M73)</f>
        <v>-3.4575018193374842</v>
      </c>
      <c r="O73">
        <f>'lever arm selection'!$B$21*COS(M73)</f>
        <v>36.946888066073093</v>
      </c>
      <c r="P73">
        <f>'lever arm selection'!$C$7-N73</f>
        <v>33.622501819337486</v>
      </c>
      <c r="Q73">
        <f t="shared" si="21"/>
        <v>34.422501819337484</v>
      </c>
      <c r="R73">
        <f>O73+'lever arm selection'!$B$22</f>
        <v>54.256888066073088</v>
      </c>
      <c r="S73">
        <f t="shared" si="18"/>
        <v>1.0054406097358459</v>
      </c>
      <c r="T73">
        <f t="shared" si="22"/>
        <v>57.607503488924081</v>
      </c>
      <c r="U73">
        <f t="shared" si="23"/>
        <v>61.196248255537959</v>
      </c>
      <c r="V73">
        <f t="shared" si="24"/>
        <v>1.0680760219269736</v>
      </c>
      <c r="W73">
        <f t="shared" si="25"/>
        <v>0.50272030486792296</v>
      </c>
      <c r="X73">
        <f t="shared" si="19"/>
        <v>62.23392770491359</v>
      </c>
      <c r="Y73">
        <f t="shared" si="26"/>
        <v>54.534043263867297</v>
      </c>
      <c r="Z73">
        <f t="shared" si="27"/>
        <v>29.984994295064677</v>
      </c>
      <c r="AB73">
        <f>Z73+pulley!$B$12</f>
        <v>30.096883520047484</v>
      </c>
      <c r="AG73">
        <f>AB73*$AF$5*$AF$6/(6*'lever arm selection'!$J$5*'lever arm selection'!$J$19)</f>
        <v>2.9034548852293848E-4</v>
      </c>
      <c r="AH73">
        <f>AB73*$AF$5*$AF$6/(3*'lever arm selection'!$J$5*'lever arm selection'!$J$19)</f>
        <v>5.8069097704587696E-4</v>
      </c>
      <c r="AI73">
        <f>(AB73*$AF$6/(6*'lever arm selection'!$J$5*'lever arm selection'!$J$19))*(2*$AF$4+$AF$6)</f>
        <v>1.9354591051309999E-3</v>
      </c>
      <c r="AJ73">
        <f>AB73*($AF$6^2)*$AF$4/(3*'lever arm selection'!$J$5*'lever arm selection'!$J$19)</f>
        <v>0.10385727493711619</v>
      </c>
    </row>
    <row r="74" spans="1:36" x14ac:dyDescent="0.2">
      <c r="A74">
        <v>72</v>
      </c>
      <c r="B74" s="7" t="s">
        <v>504</v>
      </c>
      <c r="C74" s="7" t="s">
        <v>505</v>
      </c>
      <c r="D74" s="7" t="s">
        <v>506</v>
      </c>
      <c r="E74" s="7" t="s">
        <v>507</v>
      </c>
      <c r="F74" s="7" t="s">
        <v>508</v>
      </c>
      <c r="G74" s="7" t="s">
        <v>509</v>
      </c>
      <c r="H74" s="7" t="s">
        <v>510</v>
      </c>
      <c r="I74" s="4">
        <f t="shared" si="16"/>
        <v>92.086850679999472</v>
      </c>
      <c r="L74">
        <f t="shared" si="17"/>
        <v>-2.0868506799994719</v>
      </c>
      <c r="M74">
        <f t="shared" si="20"/>
        <v>-3.6422415363473362E-2</v>
      </c>
      <c r="N74">
        <f>'lever arm selection'!$B$21*SIN(M74)</f>
        <v>-1.3512755597651227</v>
      </c>
      <c r="O74">
        <f>'lever arm selection'!$B$21*COS(M74)</f>
        <v>37.083701419346454</v>
      </c>
      <c r="P74">
        <f>'lever arm selection'!$C$7-N74</f>
        <v>31.516275559765127</v>
      </c>
      <c r="Q74">
        <f t="shared" si="21"/>
        <v>32.316275559765124</v>
      </c>
      <c r="R74">
        <f>O74+'lever arm selection'!$B$22</f>
        <v>54.393701419346456</v>
      </c>
      <c r="S74">
        <f t="shared" si="18"/>
        <v>1.0347130728488156</v>
      </c>
      <c r="T74">
        <f t="shared" si="22"/>
        <v>59.284692081249631</v>
      </c>
      <c r="U74">
        <f t="shared" si="23"/>
        <v>60.357653959375185</v>
      </c>
      <c r="V74">
        <f t="shared" si="24"/>
        <v>1.0534397903704888</v>
      </c>
      <c r="W74">
        <f t="shared" si="25"/>
        <v>0.51735653642440782</v>
      </c>
      <c r="X74">
        <f t="shared" si="19"/>
        <v>57.091207646269282</v>
      </c>
      <c r="Y74">
        <f t="shared" si="26"/>
        <v>49.619660210900129</v>
      </c>
      <c r="Z74">
        <f t="shared" si="27"/>
        <v>28.236418169878611</v>
      </c>
      <c r="AB74">
        <f>Z74+pulley!$B$12</f>
        <v>28.348307394861418</v>
      </c>
      <c r="AG74">
        <f>AB74*$AF$5*$AF$6/(6*'lever arm selection'!$J$5*'lever arm selection'!$J$19)</f>
        <v>2.7347692507355268E-4</v>
      </c>
      <c r="AH74">
        <f>AB74*$AF$5*$AF$6/(3*'lever arm selection'!$J$5*'lever arm selection'!$J$19)</f>
        <v>5.4695385014710536E-4</v>
      </c>
      <c r="AI74">
        <f>(AB74*$AF$6/(6*'lever arm selection'!$J$5*'lever arm selection'!$J$19))*(2*$AF$4+$AF$6)</f>
        <v>1.8230123270367904E-3</v>
      </c>
      <c r="AJ74">
        <f>AB74*($AF$6^2)*$AF$4/(3*'lever arm selection'!$J$5*'lever arm selection'!$J$19)</f>
        <v>9.7823349488956032E-2</v>
      </c>
    </row>
    <row r="75" spans="1:36" x14ac:dyDescent="0.2">
      <c r="A75">
        <v>73</v>
      </c>
      <c r="B75" s="7" t="s">
        <v>511</v>
      </c>
      <c r="C75" s="7" t="s">
        <v>512</v>
      </c>
      <c r="D75" s="7" t="s">
        <v>513</v>
      </c>
      <c r="E75" s="7" t="s">
        <v>514</v>
      </c>
      <c r="F75" s="7" t="s">
        <v>515</v>
      </c>
      <c r="G75" s="7" t="s">
        <v>516</v>
      </c>
      <c r="H75" s="7" t="s">
        <v>517</v>
      </c>
      <c r="I75" s="4">
        <f t="shared" si="16"/>
        <v>88.377994889999783</v>
      </c>
      <c r="L75">
        <f t="shared" si="17"/>
        <v>1.6220051100002166</v>
      </c>
      <c r="M75">
        <f t="shared" si="20"/>
        <v>2.8309329653676583E-2</v>
      </c>
      <c r="N75">
        <f>'lever arm selection'!$B$21*SIN(M75)</f>
        <v>1.0503711405867846</v>
      </c>
      <c r="O75">
        <f>'lever arm selection'!$B$21*COS(M75)</f>
        <v>37.093443855547832</v>
      </c>
      <c r="P75">
        <f>'lever arm selection'!$C$7-N75</f>
        <v>29.114628859413219</v>
      </c>
      <c r="Q75">
        <f t="shared" si="21"/>
        <v>29.91462885941322</v>
      </c>
      <c r="R75">
        <f>O75+'lever arm selection'!$B$22</f>
        <v>54.403443855547835</v>
      </c>
      <c r="S75">
        <f t="shared" si="18"/>
        <v>1.0680556507391483</v>
      </c>
      <c r="T75">
        <f t="shared" si="22"/>
        <v>61.195081072451906</v>
      </c>
      <c r="U75">
        <f t="shared" si="23"/>
        <v>59.402459463774051</v>
      </c>
      <c r="V75">
        <f t="shared" si="24"/>
        <v>1.0367685014253225</v>
      </c>
      <c r="W75">
        <f t="shared" si="25"/>
        <v>0.53402782536957416</v>
      </c>
      <c r="X75">
        <f t="shared" si="19"/>
        <v>49.017414094282422</v>
      </c>
      <c r="Y75">
        <f t="shared" si="26"/>
        <v>42.192419405658576</v>
      </c>
      <c r="Z75">
        <f t="shared" si="27"/>
        <v>24.950082749108518</v>
      </c>
      <c r="AB75">
        <f>Z75+pulley!$B$12</f>
        <v>25.061971974091325</v>
      </c>
      <c r="AG75">
        <f>AB75*$AF$5*$AF$6/(6*'lever arm selection'!$J$5*'lever arm selection'!$J$19)</f>
        <v>2.4177355410631761E-4</v>
      </c>
      <c r="AH75">
        <f>AB75*$AF$5*$AF$6/(3*'lever arm selection'!$J$5*'lever arm selection'!$J$19)</f>
        <v>4.8354710821263522E-4</v>
      </c>
      <c r="AI75">
        <f>(AB75*$AF$6/(6*'lever arm selection'!$J$5*'lever arm selection'!$J$19))*(2*$AF$4+$AF$6)</f>
        <v>1.6116759005125215E-3</v>
      </c>
      <c r="AJ75">
        <f>AB75*($AF$6^2)*$AF$4/(3*'lever arm selection'!$J$5*'lever arm selection'!$J$19)</f>
        <v>8.6482977948389148E-2</v>
      </c>
    </row>
    <row r="76" spans="1:36" x14ac:dyDescent="0.2">
      <c r="A76">
        <v>74</v>
      </c>
      <c r="B76" s="7" t="s">
        <v>518</v>
      </c>
      <c r="C76" s="7" t="s">
        <v>519</v>
      </c>
      <c r="D76" s="7" t="s">
        <v>520</v>
      </c>
      <c r="E76" s="7" t="s">
        <v>521</v>
      </c>
      <c r="F76" s="7" t="s">
        <v>522</v>
      </c>
      <c r="G76" s="7" t="s">
        <v>523</v>
      </c>
      <c r="H76">
        <v>0.59780170068151905</v>
      </c>
      <c r="I76" s="4">
        <f t="shared" si="16"/>
        <v>85.834095369999972</v>
      </c>
      <c r="L76">
        <f t="shared" si="17"/>
        <v>4.1659046300000284</v>
      </c>
      <c r="M76">
        <f t="shared" si="20"/>
        <v>7.2708752117576644E-2</v>
      </c>
      <c r="N76">
        <f>'lever arm selection'!$B$21*SIN(M76)</f>
        <v>2.6957224450564947</v>
      </c>
      <c r="O76">
        <f>'lever arm selection'!$B$21*COS(M76)</f>
        <v>37.010267995474919</v>
      </c>
      <c r="P76">
        <f>'lever arm selection'!$C$7-N76</f>
        <v>27.46927755494351</v>
      </c>
      <c r="Q76">
        <f t="shared" si="21"/>
        <v>28.26927755494351</v>
      </c>
      <c r="R76">
        <f>O76+'lever arm selection'!$B$22</f>
        <v>54.320267995474921</v>
      </c>
      <c r="S76">
        <f t="shared" si="18"/>
        <v>1.090947592609167</v>
      </c>
      <c r="T76">
        <f t="shared" si="22"/>
        <v>62.506692726462788</v>
      </c>
      <c r="U76">
        <f t="shared" si="23"/>
        <v>58.746653636768606</v>
      </c>
      <c r="V76">
        <f t="shared" si="24"/>
        <v>1.0253225304903131</v>
      </c>
      <c r="W76">
        <f t="shared" si="25"/>
        <v>0.54547379630458348</v>
      </c>
      <c r="X76">
        <f t="shared" si="19"/>
        <v>44.702198935905855</v>
      </c>
      <c r="Y76">
        <f t="shared" si="26"/>
        <v>38.215086019216088</v>
      </c>
      <c r="Z76">
        <f t="shared" si="27"/>
        <v>23.192537382727608</v>
      </c>
      <c r="AB76">
        <f>Z76+pulley!$B$12</f>
        <v>23.304426607710415</v>
      </c>
      <c r="AG76">
        <f>AB76*$AF$5*$AF$6/(6*'lever arm selection'!$J$5*'lever arm selection'!$J$19)</f>
        <v>2.2481846413285956E-4</v>
      </c>
      <c r="AH76">
        <f>AB76*$AF$5*$AF$6/(3*'lever arm selection'!$J$5*'lever arm selection'!$J$19)</f>
        <v>4.4963692826571912E-4</v>
      </c>
      <c r="AI76">
        <f>(AB76*$AF$6/(6*'lever arm selection'!$J$5*'lever arm selection'!$J$19))*(2*$AF$4+$AF$6)</f>
        <v>1.4986523318172148E-3</v>
      </c>
      <c r="AJ76">
        <f>AB76*($AF$6^2)*$AF$4/(3*'lever arm selection'!$J$5*'lever arm selection'!$J$19)</f>
        <v>8.0418101755839452E-2</v>
      </c>
    </row>
    <row r="77" spans="1:36" x14ac:dyDescent="0.2">
      <c r="A77">
        <v>75</v>
      </c>
      <c r="B77" s="7" t="s">
        <v>524</v>
      </c>
      <c r="C77" s="7" t="s">
        <v>525</v>
      </c>
      <c r="D77" s="7" t="s">
        <v>526</v>
      </c>
      <c r="E77" s="7" t="s">
        <v>527</v>
      </c>
      <c r="F77" s="7" t="s">
        <v>528</v>
      </c>
      <c r="G77" s="7" t="s">
        <v>529</v>
      </c>
      <c r="H77">
        <v>0.62459169679306004</v>
      </c>
      <c r="I77" s="4">
        <f t="shared" si="16"/>
        <v>82.707854259999522</v>
      </c>
      <c r="L77">
        <f t="shared" si="17"/>
        <v>7.2921457400004783</v>
      </c>
      <c r="M77">
        <f t="shared" si="20"/>
        <v>0.12727195269828673</v>
      </c>
      <c r="N77">
        <f>'lever arm selection'!$B$21*SIN(M77)</f>
        <v>4.710107484033732</v>
      </c>
      <c r="O77">
        <f>'lever arm selection'!$B$21*COS(M77)</f>
        <v>36.808174962724053</v>
      </c>
      <c r="P77">
        <f>'lever arm selection'!$C$7-N77</f>
        <v>25.454892515966272</v>
      </c>
      <c r="Q77">
        <f t="shared" si="21"/>
        <v>26.254892515966272</v>
      </c>
      <c r="R77">
        <f>O77+'lever arm selection'!$B$22</f>
        <v>54.118174962724055</v>
      </c>
      <c r="S77">
        <f t="shared" si="18"/>
        <v>1.119107215843743</v>
      </c>
      <c r="T77">
        <f t="shared" si="22"/>
        <v>64.120120290482518</v>
      </c>
      <c r="U77">
        <f t="shared" si="23"/>
        <v>57.939939854758741</v>
      </c>
      <c r="V77">
        <f t="shared" si="24"/>
        <v>1.0112427188730251</v>
      </c>
      <c r="W77">
        <f t="shared" si="25"/>
        <v>0.55955360792187148</v>
      </c>
      <c r="X77">
        <f t="shared" si="19"/>
        <v>35.322544788438883</v>
      </c>
      <c r="Y77">
        <f t="shared" si="26"/>
        <v>29.93557921082089</v>
      </c>
      <c r="Z77">
        <f t="shared" si="27"/>
        <v>18.74948713015743</v>
      </c>
      <c r="AB77">
        <f>Z77+pulley!$B$12</f>
        <v>18.861376355140237</v>
      </c>
      <c r="AG77">
        <f>AB77*$AF$5*$AF$6/(6*'lever arm selection'!$J$5*'lever arm selection'!$J$19)</f>
        <v>1.8195623239198266E-4</v>
      </c>
      <c r="AH77">
        <f>AB77*$AF$5*$AF$6/(3*'lever arm selection'!$J$5*'lever arm selection'!$J$19)</f>
        <v>3.6391246478396531E-4</v>
      </c>
      <c r="AI77">
        <f>(AB77*$AF$6/(6*'lever arm selection'!$J$5*'lever arm selection'!$J$19))*(2*$AF$4+$AF$6)</f>
        <v>1.2129303214248918E-3</v>
      </c>
      <c r="AJ77">
        <f>AB77*($AF$6^2)*$AF$4/(3*'lever arm selection'!$J$5*'lever arm selection'!$J$19)</f>
        <v>6.5086179055828419E-2</v>
      </c>
    </row>
    <row r="78" spans="1:36" x14ac:dyDescent="0.2">
      <c r="A78">
        <v>76</v>
      </c>
      <c r="B78" s="7" t="s">
        <v>530</v>
      </c>
      <c r="C78" s="7" t="s">
        <v>531</v>
      </c>
      <c r="D78" s="7" t="s">
        <v>532</v>
      </c>
      <c r="E78" s="7" t="s">
        <v>533</v>
      </c>
      <c r="F78" s="7" t="s">
        <v>534</v>
      </c>
      <c r="G78" s="7" t="s">
        <v>535</v>
      </c>
      <c r="H78" s="7" t="s">
        <v>536</v>
      </c>
      <c r="I78" s="4">
        <f t="shared" si="16"/>
        <v>78.54342154999955</v>
      </c>
      <c r="L78">
        <f t="shared" si="17"/>
        <v>11.45657845000045</v>
      </c>
      <c r="M78">
        <f t="shared" si="20"/>
        <v>0.19995501496553642</v>
      </c>
      <c r="N78">
        <f>'lever arm selection'!$B$21*SIN(M78)</f>
        <v>7.3706475603680843</v>
      </c>
      <c r="O78">
        <f>'lever arm selection'!$B$21*COS(M78)</f>
        <v>36.368948446971856</v>
      </c>
      <c r="P78">
        <f>'lever arm selection'!$C$7-N78</f>
        <v>22.794352439631918</v>
      </c>
      <c r="Q78">
        <f t="shared" si="21"/>
        <v>23.594352439631919</v>
      </c>
      <c r="R78">
        <f>O78+'lever arm selection'!$B$22</f>
        <v>53.678948446971859</v>
      </c>
      <c r="S78">
        <f t="shared" si="18"/>
        <v>1.1566701062753151</v>
      </c>
      <c r="T78">
        <f t="shared" si="22"/>
        <v>66.272315378523956</v>
      </c>
      <c r="U78">
        <f t="shared" si="23"/>
        <v>56.863842310738022</v>
      </c>
      <c r="V78">
        <f t="shared" si="24"/>
        <v>0.99246127365723902</v>
      </c>
      <c r="W78">
        <f t="shared" si="25"/>
        <v>0.57833505313765754</v>
      </c>
      <c r="X78">
        <f t="shared" si="19"/>
        <v>29.827466781825713</v>
      </c>
      <c r="Y78">
        <f t="shared" si="26"/>
        <v>24.97674280873569</v>
      </c>
      <c r="Z78">
        <f t="shared" si="27"/>
        <v>16.304603438513499</v>
      </c>
      <c r="AB78">
        <f>Z78+pulley!$B$12</f>
        <v>16.416492663496307</v>
      </c>
      <c r="AG78">
        <f>AB78*$AF$5*$AF$6/(6*'lever arm selection'!$J$5*'lever arm selection'!$J$19)</f>
        <v>1.5837037010962095E-4</v>
      </c>
      <c r="AH78">
        <f>AB78*$AF$5*$AF$6/(3*'lever arm selection'!$J$5*'lever arm selection'!$J$19)</f>
        <v>3.1674074021924189E-4</v>
      </c>
      <c r="AI78">
        <f>(AB78*$AF$6/(6*'lever arm selection'!$J$5*'lever arm selection'!$J$19))*(2*$AF$4+$AF$6)</f>
        <v>1.055705657322159E-3</v>
      </c>
      <c r="AJ78">
        <f>AB78*($AF$6^2)*$AF$4/(3*'lever arm selection'!$J$5*'lever arm selection'!$J$19)</f>
        <v>5.6649459766165082E-2</v>
      </c>
    </row>
    <row r="79" spans="1:36" x14ac:dyDescent="0.2">
      <c r="A79">
        <v>77</v>
      </c>
      <c r="B79" s="7" t="s">
        <v>537</v>
      </c>
      <c r="C79" s="7" t="s">
        <v>538</v>
      </c>
      <c r="D79">
        <v>15.8823878752575</v>
      </c>
      <c r="E79" s="7" t="s">
        <v>539</v>
      </c>
      <c r="F79" s="7" t="s">
        <v>540</v>
      </c>
      <c r="G79" s="7" t="s">
        <v>541</v>
      </c>
      <c r="H79" s="7" t="s">
        <v>542</v>
      </c>
      <c r="I79" s="4">
        <f t="shared" si="16"/>
        <v>76.241013309999985</v>
      </c>
      <c r="L79">
        <f t="shared" si="17"/>
        <v>13.758986690000015</v>
      </c>
      <c r="M79">
        <f t="shared" si="20"/>
        <v>0.24013961947857662</v>
      </c>
      <c r="N79">
        <f>'lever arm selection'!$B$21*SIN(M79)</f>
        <v>8.8257758015889145</v>
      </c>
      <c r="O79">
        <f>'lever arm selection'!$B$21*COS(M79)</f>
        <v>36.043481215023391</v>
      </c>
      <c r="P79">
        <f>'lever arm selection'!$C$7-N79</f>
        <v>21.339224198411088</v>
      </c>
      <c r="Q79">
        <f t="shared" si="21"/>
        <v>22.139224198411089</v>
      </c>
      <c r="R79">
        <f>O79+'lever arm selection'!$B$22</f>
        <v>53.353481215023393</v>
      </c>
      <c r="S79">
        <f t="shared" si="18"/>
        <v>1.1774656673021719</v>
      </c>
      <c r="T79">
        <f t="shared" si="22"/>
        <v>67.463813257969591</v>
      </c>
      <c r="U79">
        <f t="shared" si="23"/>
        <v>56.268093371015205</v>
      </c>
      <c r="V79">
        <f t="shared" si="24"/>
        <v>0.98206349314381058</v>
      </c>
      <c r="W79">
        <f t="shared" si="25"/>
        <v>0.58873283365108597</v>
      </c>
      <c r="X79">
        <f t="shared" si="19"/>
        <v>26.417017365883837</v>
      </c>
      <c r="Y79">
        <f t="shared" si="26"/>
        <v>21.969580770551918</v>
      </c>
      <c r="Z79">
        <f t="shared" si="27"/>
        <v>14.669571475527279</v>
      </c>
      <c r="AB79">
        <f>Z79+pulley!$B$12</f>
        <v>14.781460700510088</v>
      </c>
      <c r="AG79">
        <f>AB79*$AF$5*$AF$6/(6*'lever arm selection'!$J$5*'lever arm selection'!$J$19)</f>
        <v>1.4259717041179706E-4</v>
      </c>
      <c r="AH79">
        <f>AB79*$AF$5*$AF$6/(3*'lever arm selection'!$J$5*'lever arm selection'!$J$19)</f>
        <v>2.8519434082359413E-4</v>
      </c>
      <c r="AI79">
        <f>(AB79*$AF$6/(6*'lever arm selection'!$J$5*'lever arm selection'!$J$19))*(2*$AF$4+$AF$6)</f>
        <v>9.5056063465448004E-4</v>
      </c>
      <c r="AJ79">
        <f>AB79*($AF$6^2)*$AF$4/(3*'lever arm selection'!$J$5*'lever arm selection'!$J$19)</f>
        <v>5.1007348548978017E-2</v>
      </c>
    </row>
    <row r="80" spans="1:36" x14ac:dyDescent="0.2">
      <c r="A80">
        <v>78</v>
      </c>
      <c r="B80" s="7" t="s">
        <v>543</v>
      </c>
      <c r="C80" s="7" t="s">
        <v>544</v>
      </c>
      <c r="D80" s="7" t="s">
        <v>545</v>
      </c>
      <c r="E80" s="7" t="s">
        <v>546</v>
      </c>
      <c r="F80" s="7" t="s">
        <v>547</v>
      </c>
      <c r="G80" s="7" t="s">
        <v>548</v>
      </c>
      <c r="H80" s="7" t="s">
        <v>549</v>
      </c>
      <c r="I80" s="4">
        <f t="shared" si="16"/>
        <v>73.444332229999475</v>
      </c>
      <c r="L80">
        <f t="shared" si="17"/>
        <v>16.555667770000525</v>
      </c>
      <c r="M80">
        <f t="shared" si="20"/>
        <v>0.28895091245281646</v>
      </c>
      <c r="N80">
        <f>'lever arm selection'!$B$21*SIN(M80)</f>
        <v>10.573894388735614</v>
      </c>
      <c r="O80">
        <f>'lever arm selection'!$B$21*COS(M80)</f>
        <v>35.569925696485818</v>
      </c>
      <c r="P80">
        <f>'lever arm selection'!$C$7-N80</f>
        <v>19.591105611264389</v>
      </c>
      <c r="Q80">
        <f t="shared" si="21"/>
        <v>20.39110561126439</v>
      </c>
      <c r="R80">
        <f>O80+'lever arm selection'!$B$22</f>
        <v>52.879925696485813</v>
      </c>
      <c r="S80">
        <f t="shared" si="18"/>
        <v>1.2027550632715178</v>
      </c>
      <c r="T80">
        <f t="shared" si="22"/>
        <v>68.912788913448267</v>
      </c>
      <c r="U80">
        <f t="shared" si="23"/>
        <v>55.543605543275866</v>
      </c>
      <c r="V80">
        <f t="shared" si="24"/>
        <v>0.96941879515913765</v>
      </c>
      <c r="W80">
        <f t="shared" si="25"/>
        <v>0.60137753163575891</v>
      </c>
      <c r="X80">
        <f t="shared" si="19"/>
        <v>21.94204732903976</v>
      </c>
      <c r="Y80">
        <f t="shared" si="26"/>
        <v>18.092469140999782</v>
      </c>
      <c r="Z80">
        <f t="shared" si="27"/>
        <v>12.414346594637653</v>
      </c>
      <c r="AB80">
        <f>Z80+pulley!$B$12</f>
        <v>12.526235819620462</v>
      </c>
      <c r="AG80">
        <f>AB80*$AF$5*$AF$6/(6*'lever arm selection'!$J$5*'lever arm selection'!$J$19)</f>
        <v>1.2084095205334721E-4</v>
      </c>
      <c r="AH80">
        <f>AB80*$AF$5*$AF$6/(3*'lever arm selection'!$J$5*'lever arm selection'!$J$19)</f>
        <v>2.4168190410669442E-4</v>
      </c>
      <c r="AI80">
        <f>(AB80*$AF$6/(6*'lever arm selection'!$J$5*'lever arm selection'!$J$19))*(2*$AF$4+$AF$6)</f>
        <v>8.0553247826983798E-4</v>
      </c>
      <c r="AJ80">
        <f>AB80*($AF$6^2)*$AF$4/(3*'lever arm selection'!$J$5*'lever arm selection'!$J$19)</f>
        <v>4.3225097262277037E-2</v>
      </c>
    </row>
    <row r="81" spans="1:36" x14ac:dyDescent="0.2">
      <c r="A81">
        <v>79</v>
      </c>
      <c r="B81" s="7" t="s">
        <v>261</v>
      </c>
      <c r="C81" s="7" t="s">
        <v>550</v>
      </c>
      <c r="D81" s="7" t="s">
        <v>551</v>
      </c>
      <c r="E81" s="7" t="s">
        <v>552</v>
      </c>
      <c r="F81" s="7" t="s">
        <v>553</v>
      </c>
      <c r="G81" s="7" t="s">
        <v>266</v>
      </c>
      <c r="H81" s="7" t="s">
        <v>554</v>
      </c>
      <c r="I81" s="4">
        <f t="shared" si="16"/>
        <v>71.273632049999676</v>
      </c>
      <c r="L81">
        <f t="shared" si="17"/>
        <v>18.726367950000324</v>
      </c>
      <c r="M81">
        <f t="shared" si="20"/>
        <v>0.32683677766744651</v>
      </c>
      <c r="N81">
        <f>'lever arm selection'!$B$21*SIN(M81)</f>
        <v>11.913581793315108</v>
      </c>
      <c r="O81">
        <f>'lever arm selection'!$B$21*COS(M81)</f>
        <v>35.143895991361674</v>
      </c>
      <c r="P81">
        <f>'lever arm selection'!$C$7-N81</f>
        <v>18.251418206684896</v>
      </c>
      <c r="Q81">
        <f t="shared" si="21"/>
        <v>19.051418206684897</v>
      </c>
      <c r="R81">
        <f>O81+'lever arm selection'!$B$22</f>
        <v>52.453895991361676</v>
      </c>
      <c r="S81">
        <f t="shared" si="18"/>
        <v>1.2224080302574885</v>
      </c>
      <c r="T81">
        <f t="shared" si="22"/>
        <v>70.038820976654321</v>
      </c>
      <c r="U81">
        <f t="shared" si="23"/>
        <v>54.980589511672839</v>
      </c>
      <c r="V81">
        <f t="shared" si="24"/>
        <v>0.95959231166615233</v>
      </c>
      <c r="W81">
        <f t="shared" si="25"/>
        <v>0.61120401512874423</v>
      </c>
      <c r="X81">
        <f t="shared" si="19"/>
        <v>17.595765126559055</v>
      </c>
      <c r="Y81">
        <f t="shared" si="26"/>
        <v>14.410187035511157</v>
      </c>
      <c r="Z81">
        <f t="shared" si="27"/>
        <v>10.097398674441745</v>
      </c>
      <c r="AB81">
        <f>Z81+pulley!$B$12</f>
        <v>10.209287899424554</v>
      </c>
      <c r="AG81">
        <f>AB81*$AF$5*$AF$6/(6*'lever arm selection'!$J$5*'lever arm selection'!$J$19)</f>
        <v>9.848928978494681E-5</v>
      </c>
      <c r="AH81">
        <f>AB81*$AF$5*$AF$6/(3*'lever arm selection'!$J$5*'lever arm selection'!$J$19)</f>
        <v>1.9697857956989362E-4</v>
      </c>
      <c r="AI81">
        <f>(AB81*$AF$6/(6*'lever arm selection'!$J$5*'lever arm selection'!$J$19))*(2*$AF$4+$AF$6)</f>
        <v>6.5653505980720951E-4</v>
      </c>
      <c r="AJ81">
        <f>AB81*($AF$6^2)*$AF$4/(3*'lever arm selection'!$J$5*'lever arm selection'!$J$19)</f>
        <v>3.5229854266354173E-2</v>
      </c>
    </row>
    <row r="82" spans="1:36" x14ac:dyDescent="0.2">
      <c r="A82">
        <v>80</v>
      </c>
      <c r="B82" s="7" t="s">
        <v>555</v>
      </c>
      <c r="C82" s="7" t="s">
        <v>556</v>
      </c>
      <c r="D82" s="7" t="s">
        <v>557</v>
      </c>
      <c r="E82" s="7" t="s">
        <v>558</v>
      </c>
      <c r="F82" s="7" t="s">
        <v>559</v>
      </c>
      <c r="G82" s="7" t="s">
        <v>560</v>
      </c>
      <c r="H82" s="7" t="s">
        <v>561</v>
      </c>
      <c r="I82" s="4">
        <f t="shared" si="16"/>
        <v>69.983198189999641</v>
      </c>
      <c r="L82">
        <f t="shared" si="17"/>
        <v>20.016801810000359</v>
      </c>
      <c r="M82">
        <f t="shared" si="20"/>
        <v>0.34935909730366671</v>
      </c>
      <c r="N82">
        <f>'lever arm selection'!$B$21*SIN(M82)</f>
        <v>12.702015453016685</v>
      </c>
      <c r="O82">
        <f>'lever arm selection'!$B$21*COS(M82)</f>
        <v>34.866684098562942</v>
      </c>
      <c r="P82">
        <f>'lever arm selection'!$C$7-N82</f>
        <v>17.462984546983318</v>
      </c>
      <c r="Q82">
        <f t="shared" si="21"/>
        <v>18.262984546983319</v>
      </c>
      <c r="R82">
        <f>O82+'lever arm selection'!$B$22</f>
        <v>52.176684098562944</v>
      </c>
      <c r="S82">
        <f t="shared" si="18"/>
        <v>1.234101955805945</v>
      </c>
      <c r="T82">
        <f t="shared" si="22"/>
        <v>70.708833556521085</v>
      </c>
      <c r="U82">
        <f t="shared" si="23"/>
        <v>54.645583221739457</v>
      </c>
      <c r="V82">
        <f t="shared" si="24"/>
        <v>0.95374534889192408</v>
      </c>
      <c r="W82">
        <f t="shared" si="25"/>
        <v>0.61705097790297248</v>
      </c>
      <c r="X82">
        <f t="shared" si="19"/>
        <v>16.710405864628736</v>
      </c>
      <c r="Y82">
        <f t="shared" si="26"/>
        <v>13.628813193644346</v>
      </c>
      <c r="Z82">
        <f t="shared" si="27"/>
        <v>9.6691837863060748</v>
      </c>
      <c r="AB82">
        <f>Z82+pulley!$B$12</f>
        <v>9.7810730112888837</v>
      </c>
      <c r="AG82">
        <f>AB82*$AF$5*$AF$6/(6*'lever arm selection'!$J$5*'lever arm selection'!$J$19)</f>
        <v>9.435828861980192E-5</v>
      </c>
      <c r="AH82">
        <f>AB82*$AF$5*$AF$6/(3*'lever arm selection'!$J$5*'lever arm selection'!$J$19)</f>
        <v>1.8871657723960384E-4</v>
      </c>
      <c r="AI82">
        <f>(AB82*$AF$6/(6*'lever arm selection'!$J$5*'lever arm selection'!$J$19))*(2*$AF$4+$AF$6)</f>
        <v>6.2899757727541254E-4</v>
      </c>
      <c r="AJ82">
        <f>AB82*($AF$6^2)*$AF$4/(3*'lever arm selection'!$J$5*'lever arm selection'!$J$19)</f>
        <v>3.3752185279807799E-2</v>
      </c>
    </row>
    <row r="83" spans="1:36" x14ac:dyDescent="0.2">
      <c r="A83">
        <v>81</v>
      </c>
      <c r="B83" s="7" t="s">
        <v>562</v>
      </c>
      <c r="C83" s="7" t="s">
        <v>563</v>
      </c>
      <c r="D83">
        <v>6.9725041059714599</v>
      </c>
      <c r="E83" s="7" t="s">
        <v>564</v>
      </c>
      <c r="F83">
        <v>6.6819780908966004</v>
      </c>
      <c r="G83" s="7" t="s">
        <v>565</v>
      </c>
      <c r="H83" s="7" t="s">
        <v>566</v>
      </c>
      <c r="I83" s="4">
        <f t="shared" si="16"/>
        <v>68.275939939999446</v>
      </c>
      <c r="L83">
        <f t="shared" si="17"/>
        <v>21.724060060000554</v>
      </c>
      <c r="M83">
        <f t="shared" si="20"/>
        <v>0.37915637494800658</v>
      </c>
      <c r="N83">
        <f>'lever arm selection'!$B$21*SIN(M83)</f>
        <v>13.735155484383867</v>
      </c>
      <c r="O83">
        <f>'lever arm selection'!$B$21*COS(M83)</f>
        <v>34.472777091749606</v>
      </c>
      <c r="P83">
        <f>'lever arm selection'!$C$7-N83</f>
        <v>16.429844515616136</v>
      </c>
      <c r="Q83">
        <f t="shared" si="21"/>
        <v>17.229844515616136</v>
      </c>
      <c r="R83">
        <f>O83+'lever arm selection'!$B$22</f>
        <v>51.782777091749608</v>
      </c>
      <c r="S83">
        <f t="shared" si="18"/>
        <v>1.2495860697759538</v>
      </c>
      <c r="T83">
        <f t="shared" si="22"/>
        <v>71.596007936502147</v>
      </c>
      <c r="U83">
        <f t="shared" si="23"/>
        <v>54.201996031748926</v>
      </c>
      <c r="V83">
        <f t="shared" si="24"/>
        <v>0.94600329190691967</v>
      </c>
      <c r="W83">
        <f t="shared" si="25"/>
        <v>0.62479303488797688</v>
      </c>
      <c r="X83">
        <f t="shared" si="19"/>
        <v>11.31057578576708</v>
      </c>
      <c r="Y83">
        <f t="shared" si="26"/>
        <v>9.1738292772046055</v>
      </c>
      <c r="Z83">
        <f t="shared" si="27"/>
        <v>6.6158885267425891</v>
      </c>
      <c r="AB83">
        <f>Z83+pulley!$B$12</f>
        <v>6.7277777517253972</v>
      </c>
      <c r="AG83">
        <f>AB83*$AF$5*$AF$6/(6*'lever arm selection'!$J$5*'lever arm selection'!$J$19)</f>
        <v>6.4903062694093364E-5</v>
      </c>
      <c r="AH83">
        <f>AB83*$AF$5*$AF$6/(3*'lever arm selection'!$J$5*'lever arm selection'!$J$19)</f>
        <v>1.2980612538818673E-4</v>
      </c>
      <c r="AI83">
        <f>(AB83*$AF$6/(6*'lever arm selection'!$J$5*'lever arm selection'!$J$19))*(2*$AF$4+$AF$6)</f>
        <v>4.326474100948424E-4</v>
      </c>
      <c r="AJ83">
        <f>AB83*($AF$6^2)*$AF$4/(3*'lever arm selection'!$J$5*'lever arm selection'!$J$19)</f>
        <v>2.3215980591855503E-2</v>
      </c>
    </row>
    <row r="84" spans="1:36" x14ac:dyDescent="0.2">
      <c r="A84">
        <v>82</v>
      </c>
      <c r="B84" s="7" t="s">
        <v>567</v>
      </c>
      <c r="C84" s="7" t="s">
        <v>568</v>
      </c>
      <c r="D84" s="7" t="s">
        <v>569</v>
      </c>
      <c r="E84" s="7" t="s">
        <v>570</v>
      </c>
      <c r="F84">
        <v>5.4082484779508597</v>
      </c>
      <c r="G84" s="7" t="s">
        <v>571</v>
      </c>
      <c r="H84">
        <v>0.67341645130644801</v>
      </c>
      <c r="I84" s="4">
        <f t="shared" si="16"/>
        <v>67.265747309999497</v>
      </c>
      <c r="L84">
        <f t="shared" si="17"/>
        <v>22.734252690000503</v>
      </c>
      <c r="M84">
        <f t="shared" si="20"/>
        <v>0.39678756242088653</v>
      </c>
      <c r="N84">
        <f>'lever arm selection'!$B$21*SIN(M84)</f>
        <v>14.340785199223534</v>
      </c>
      <c r="O84">
        <f>'lever arm selection'!$B$21*COS(M84)</f>
        <v>34.225264593095375</v>
      </c>
      <c r="P84">
        <f>'lever arm selection'!$C$7-N84</f>
        <v>15.824214800776469</v>
      </c>
      <c r="Q84">
        <f t="shared" si="21"/>
        <v>16.624214800776468</v>
      </c>
      <c r="R84">
        <f>O84+'lever arm selection'!$B$22</f>
        <v>51.535264593095377</v>
      </c>
      <c r="S84">
        <f t="shared" si="18"/>
        <v>1.2587553318153422</v>
      </c>
      <c r="T84">
        <f t="shared" si="22"/>
        <v>72.121367952608622</v>
      </c>
      <c r="U84">
        <f t="shared" si="23"/>
        <v>53.939316023695689</v>
      </c>
      <c r="V84">
        <f t="shared" si="24"/>
        <v>0.94141866088722548</v>
      </c>
      <c r="W84">
        <f t="shared" si="25"/>
        <v>0.62937766590767108</v>
      </c>
      <c r="X84">
        <f t="shared" si="19"/>
        <v>9.0895617888777576</v>
      </c>
      <c r="Y84">
        <f t="shared" si="26"/>
        <v>7.3479471826012386</v>
      </c>
      <c r="Z84">
        <f t="shared" si="27"/>
        <v>5.3504958382872454</v>
      </c>
      <c r="AB84">
        <f>Z84+pulley!$B$12</f>
        <v>5.4623850632700535</v>
      </c>
      <c r="AG84">
        <f>AB84*$AF$5*$AF$6/(6*'lever arm selection'!$J$5*'lever arm selection'!$J$19)</f>
        <v>5.2695783556431283E-5</v>
      </c>
      <c r="AH84">
        <f>AB84*$AF$5*$AF$6/(3*'lever arm selection'!$J$5*'lever arm selection'!$J$19)</f>
        <v>1.0539156711286257E-4</v>
      </c>
      <c r="AI84">
        <f>(AB84*$AF$6/(6*'lever arm selection'!$J$5*'lever arm selection'!$J$19))*(2*$AF$4+$AF$6)</f>
        <v>3.5127301135333357E-4</v>
      </c>
      <c r="AJ84">
        <f>AB84*($AF$6^2)*$AF$4/(3*'lever arm selection'!$J$5*'lever arm selection'!$J$19)</f>
        <v>1.8849407678723666E-2</v>
      </c>
    </row>
    <row r="85" spans="1:36" x14ac:dyDescent="0.2">
      <c r="A85">
        <v>83</v>
      </c>
      <c r="B85" s="7" t="s">
        <v>572</v>
      </c>
      <c r="C85" s="7" t="s">
        <v>573</v>
      </c>
      <c r="D85" s="7" t="s">
        <v>574</v>
      </c>
      <c r="E85" s="7" t="s">
        <v>575</v>
      </c>
      <c r="F85">
        <v>4.6645865379059801</v>
      </c>
      <c r="G85" s="7" t="s">
        <v>576</v>
      </c>
      <c r="H85" s="7" t="s">
        <v>577</v>
      </c>
      <c r="I85" s="4">
        <f t="shared" si="16"/>
        <v>66.307451639999783</v>
      </c>
      <c r="L85">
        <f t="shared" si="17"/>
        <v>23.692548360000217</v>
      </c>
      <c r="M85">
        <f t="shared" si="20"/>
        <v>0.41351297706998658</v>
      </c>
      <c r="N85">
        <f>'lever arm selection'!$B$21*SIN(M85)</f>
        <v>14.91118445751667</v>
      </c>
      <c r="O85">
        <f>'lever arm selection'!$B$21*COS(M85)</f>
        <v>33.980633229408333</v>
      </c>
      <c r="P85">
        <f>'lever arm selection'!$C$7-N85</f>
        <v>15.253815542483332</v>
      </c>
      <c r="Q85">
        <f t="shared" si="21"/>
        <v>16.053815542483331</v>
      </c>
      <c r="R85">
        <f>O85+'lever arm selection'!$B$22</f>
        <v>51.290633229408328</v>
      </c>
      <c r="S85">
        <f t="shared" si="18"/>
        <v>1.2674587180403494</v>
      </c>
      <c r="T85">
        <f t="shared" si="22"/>
        <v>72.620035250773839</v>
      </c>
      <c r="U85">
        <f t="shared" si="23"/>
        <v>53.689982374613081</v>
      </c>
      <c r="V85">
        <f t="shared" si="24"/>
        <v>0.93706696777472187</v>
      </c>
      <c r="W85">
        <f t="shared" si="25"/>
        <v>0.63372935902017469</v>
      </c>
      <c r="X85">
        <f t="shared" si="19"/>
        <v>7.7798175242194647</v>
      </c>
      <c r="Y85">
        <f t="shared" si="26"/>
        <v>6.2691696050379671</v>
      </c>
      <c r="Z85">
        <f t="shared" si="27"/>
        <v>4.6068506784375352</v>
      </c>
      <c r="AB85">
        <f>Z85+pulley!$B$12</f>
        <v>4.7187399034203432</v>
      </c>
      <c r="AG85">
        <f>AB85*$AF$5*$AF$6/(6*'lever arm selection'!$J$5*'lever arm selection'!$J$19)</f>
        <v>4.5521817618048908E-5</v>
      </c>
      <c r="AH85">
        <f>AB85*$AF$5*$AF$6/(3*'lever arm selection'!$J$5*'lever arm selection'!$J$19)</f>
        <v>9.1043635236097816E-5</v>
      </c>
      <c r="AI85">
        <f>(AB85*$AF$6/(6*'lever arm selection'!$J$5*'lever arm selection'!$J$19))*(2*$AF$4+$AF$6)</f>
        <v>3.034509571310415E-4</v>
      </c>
      <c r="AJ85">
        <f>AB85*($AF$6^2)*$AF$4/(3*'lever arm selection'!$J$5*'lever arm selection'!$J$19)</f>
        <v>1.6283262922549082E-2</v>
      </c>
    </row>
    <row r="86" spans="1:36" x14ac:dyDescent="0.2">
      <c r="A86">
        <v>84</v>
      </c>
      <c r="B86" s="7" t="s">
        <v>578</v>
      </c>
      <c r="C86" s="7" t="s">
        <v>579</v>
      </c>
      <c r="D86" s="7" t="s">
        <v>580</v>
      </c>
      <c r="E86" s="7" t="s">
        <v>581</v>
      </c>
      <c r="F86" s="7" t="s">
        <v>582</v>
      </c>
      <c r="G86" s="7" t="s">
        <v>583</v>
      </c>
      <c r="H86" s="7" t="s">
        <v>584</v>
      </c>
      <c r="I86" s="4">
        <f t="shared" si="16"/>
        <v>65.006320649999978</v>
      </c>
      <c r="L86">
        <f t="shared" si="17"/>
        <v>24.993679350000022</v>
      </c>
      <c r="M86">
        <f t="shared" si="20"/>
        <v>0.43622199684521662</v>
      </c>
      <c r="N86">
        <f>'lever arm selection'!$B$21*SIN(M86)</f>
        <v>15.678940325949359</v>
      </c>
      <c r="O86">
        <f>'lever arm selection'!$B$21*COS(M86)</f>
        <v>33.633282427574258</v>
      </c>
      <c r="P86">
        <f>'lever arm selection'!$C$7-N86</f>
        <v>14.486059674050644</v>
      </c>
      <c r="Q86">
        <f t="shared" si="21"/>
        <v>15.286059674050644</v>
      </c>
      <c r="R86">
        <f>O86+'lever arm selection'!$B$22</f>
        <v>50.94328242757426</v>
      </c>
      <c r="S86">
        <f t="shared" si="18"/>
        <v>1.2792841569236419</v>
      </c>
      <c r="T86">
        <f t="shared" si="22"/>
        <v>73.2975829896764</v>
      </c>
      <c r="U86">
        <f t="shared" si="23"/>
        <v>53.3512085051618</v>
      </c>
      <c r="V86">
        <f t="shared" si="24"/>
        <v>0.93115424833307558</v>
      </c>
      <c r="W86">
        <f t="shared" si="25"/>
        <v>0.63964207846182097</v>
      </c>
      <c r="X86">
        <f t="shared" si="19"/>
        <v>2.9862722745100641</v>
      </c>
      <c r="Y86">
        <f t="shared" si="26"/>
        <v>2.3959144828753289</v>
      </c>
      <c r="Z86">
        <f t="shared" si="27"/>
        <v>1.7825307538036355</v>
      </c>
      <c r="AB86">
        <f>Z86+pulley!$B$12</f>
        <v>1.8944199787864435</v>
      </c>
      <c r="AG86">
        <f>AB86*$AF$5*$AF$6/(6*'lever arm selection'!$J$5*'lever arm selection'!$J$19)</f>
        <v>1.8275523239540282E-5</v>
      </c>
      <c r="AH86">
        <f>AB86*$AF$5*$AF$6/(3*'lever arm selection'!$J$5*'lever arm selection'!$J$19)</f>
        <v>3.6551046479080563E-5</v>
      </c>
      <c r="AI86">
        <f>(AB86*$AF$6/(6*'lever arm selection'!$J$5*'lever arm selection'!$J$19))*(2*$AF$4+$AF$6)</f>
        <v>1.2182564996943952E-4</v>
      </c>
      <c r="AJ86">
        <f>AB86*($AF$6^2)*$AF$4/(3*'lever arm selection'!$J$5*'lever arm selection'!$J$19)</f>
        <v>6.5371983266019913E-3</v>
      </c>
    </row>
    <row r="87" spans="1:36" x14ac:dyDescent="0.2">
      <c r="A87">
        <v>85</v>
      </c>
      <c r="B87" s="7" t="s">
        <v>585</v>
      </c>
      <c r="C87" s="7" t="s">
        <v>586</v>
      </c>
      <c r="D87" s="7" t="s">
        <v>587</v>
      </c>
      <c r="E87" s="7" t="s">
        <v>588</v>
      </c>
      <c r="F87" s="7" t="s">
        <v>589</v>
      </c>
      <c r="G87" s="7" t="s">
        <v>590</v>
      </c>
      <c r="H87" s="7" t="s">
        <v>591</v>
      </c>
      <c r="I87" s="4">
        <f t="shared" si="16"/>
        <v>64.474492409999783</v>
      </c>
      <c r="L87">
        <f t="shared" si="17"/>
        <v>25.525507590000217</v>
      </c>
      <c r="M87">
        <f t="shared" si="20"/>
        <v>0.44550415068830662</v>
      </c>
      <c r="N87">
        <f>'lever arm selection'!$B$21*SIN(M87)</f>
        <v>15.990449713555916</v>
      </c>
      <c r="O87">
        <f>'lever arm selection'!$B$21*COS(M87)</f>
        <v>33.486301297036313</v>
      </c>
      <c r="P87">
        <f>'lever arm selection'!$C$7-N87</f>
        <v>14.174550286444086</v>
      </c>
      <c r="Q87">
        <f t="shared" si="21"/>
        <v>14.974550286444087</v>
      </c>
      <c r="R87">
        <f>O87+'lever arm selection'!$B$22</f>
        <v>50.796301297036308</v>
      </c>
      <c r="S87">
        <f t="shared" si="18"/>
        <v>1.2841205861173779</v>
      </c>
      <c r="T87">
        <f t="shared" si="22"/>
        <v>73.574689970391319</v>
      </c>
      <c r="U87">
        <f t="shared" si="23"/>
        <v>53.212655014804341</v>
      </c>
      <c r="V87">
        <f t="shared" si="24"/>
        <v>0.92873603373620772</v>
      </c>
      <c r="W87">
        <f t="shared" si="25"/>
        <v>0.64206029305868895</v>
      </c>
      <c r="X87">
        <f t="shared" si="19"/>
        <v>1.931450808367202</v>
      </c>
      <c r="Y87">
        <f t="shared" si="26"/>
        <v>1.5468287611073983</v>
      </c>
      <c r="Z87">
        <f t="shared" si="27"/>
        <v>1.1566429911399929</v>
      </c>
      <c r="AB87">
        <f>Z87+pulley!$B$12</f>
        <v>1.268532216122801</v>
      </c>
      <c r="AG87">
        <f>AB87*$AF$5*$AF$6/(6*'lever arm selection'!$J$5*'lever arm selection'!$J$19)</f>
        <v>1.2237566250071309E-5</v>
      </c>
      <c r="AH87">
        <f>AB87*$AF$5*$AF$6/(3*'lever arm selection'!$J$5*'lever arm selection'!$J$19)</f>
        <v>2.4475132500142618E-5</v>
      </c>
      <c r="AI87">
        <f>(AB87*$AF$6/(6*'lever arm selection'!$J$5*'lever arm selection'!$J$19))*(2*$AF$4+$AF$6)</f>
        <v>8.1576294310056421E-5</v>
      </c>
      <c r="AJ87">
        <f>AB87*($AF$6^2)*$AF$4/(3*'lever arm selection'!$J$5*'lever arm selection'!$J$19)</f>
        <v>4.3774066856024823E-3</v>
      </c>
    </row>
    <row r="88" spans="1:36" x14ac:dyDescent="0.2">
      <c r="A88">
        <v>86</v>
      </c>
      <c r="B88" s="7" t="s">
        <v>592</v>
      </c>
      <c r="C88" s="7" t="s">
        <v>593</v>
      </c>
      <c r="D88" s="7" t="s">
        <v>594</v>
      </c>
      <c r="E88" s="7" t="s">
        <v>595</v>
      </c>
      <c r="F88" s="7" t="s">
        <v>596</v>
      </c>
      <c r="G88" s="7" t="s">
        <v>597</v>
      </c>
      <c r="H88" s="7" t="s">
        <v>598</v>
      </c>
      <c r="I88" s="4">
        <f t="shared" si="16"/>
        <v>64.275897139999614</v>
      </c>
      <c r="L88">
        <f t="shared" si="17"/>
        <v>25.724102860000386</v>
      </c>
      <c r="M88">
        <f t="shared" si="20"/>
        <v>0.44897029202869665</v>
      </c>
      <c r="N88">
        <f>'lever arm selection'!$B$21*SIN(M88)</f>
        <v>16.106421678787566</v>
      </c>
      <c r="O88">
        <f>'lever arm selection'!$B$21*COS(M88)</f>
        <v>33.430675094929484</v>
      </c>
      <c r="P88">
        <f>'lever arm selection'!$C$7-N88</f>
        <v>14.058578321212437</v>
      </c>
      <c r="Q88">
        <f t="shared" si="21"/>
        <v>14.858578321212438</v>
      </c>
      <c r="R88">
        <f>O88+'lever arm selection'!$B$22</f>
        <v>50.740675094929486</v>
      </c>
      <c r="S88">
        <f t="shared" si="18"/>
        <v>1.2859270410998973</v>
      </c>
      <c r="T88">
        <f t="shared" si="22"/>
        <v>73.678192216770071</v>
      </c>
      <c r="U88">
        <f t="shared" si="23"/>
        <v>53.160903891614964</v>
      </c>
      <c r="V88">
        <f t="shared" si="24"/>
        <v>0.92783280624494791</v>
      </c>
      <c r="W88">
        <f t="shared" si="25"/>
        <v>0.64296352054994865</v>
      </c>
      <c r="X88">
        <f t="shared" si="19"/>
        <v>0.16812259167648477</v>
      </c>
      <c r="Y88">
        <f t="shared" si="26"/>
        <v>0.13455228234076405</v>
      </c>
      <c r="Z88">
        <f t="shared" si="27"/>
        <v>0.10080123585010921</v>
      </c>
      <c r="AB88">
        <f>Z88+pulley!$B$12</f>
        <v>0.21269046083291737</v>
      </c>
      <c r="AG88">
        <f>AB88*$AF$5*$AF$6/(6*'lever arm selection'!$J$5*'lever arm selection'!$J$19)</f>
        <v>2.0518309051356851E-6</v>
      </c>
      <c r="AH88">
        <f>AB88*$AF$5*$AF$6/(3*'lever arm selection'!$J$5*'lever arm selection'!$J$19)</f>
        <v>4.1036618102713702E-6</v>
      </c>
      <c r="AI88">
        <f>(AB88*$AF$6/(6*'lever arm selection'!$J$5*'lever arm selection'!$J$19))*(2*$AF$4+$AF$6)</f>
        <v>1.3677618439111026E-5</v>
      </c>
      <c r="AJ88">
        <f>AB88*($AF$6^2)*$AF$4/(3*'lever arm selection'!$J$5*'lever arm selection'!$J$19)</f>
        <v>7.3394481699450692E-4</v>
      </c>
    </row>
    <row r="89" spans="1:36" x14ac:dyDescent="0.2">
      <c r="A89">
        <v>87</v>
      </c>
      <c r="B89" s="7" t="s">
        <v>599</v>
      </c>
      <c r="C89" s="7" t="s">
        <v>600</v>
      </c>
      <c r="D89" s="7" t="s">
        <v>601</v>
      </c>
      <c r="E89">
        <v>7.9810477248714005E-3</v>
      </c>
      <c r="F89">
        <v>3.2542344356554502E-2</v>
      </c>
      <c r="G89" s="7" t="s">
        <v>602</v>
      </c>
      <c r="H89" s="7" t="s">
        <v>603</v>
      </c>
      <c r="I89" s="4">
        <f t="shared" si="16"/>
        <v>63.862153489999564</v>
      </c>
      <c r="L89" s="2">
        <f t="shared" si="17"/>
        <v>26.137846510000436</v>
      </c>
      <c r="M89">
        <f t="shared" si="20"/>
        <v>0.45619148098041656</v>
      </c>
      <c r="N89">
        <f>'lever arm selection'!$B$21*SIN(M89)</f>
        <v>16.347408864923111</v>
      </c>
      <c r="O89">
        <f>'lever arm selection'!$B$21*COS(M89)</f>
        <v>33.31349696445406</v>
      </c>
      <c r="P89">
        <f>'lever arm selection'!$C$7-N89</f>
        <v>13.817591135076892</v>
      </c>
      <c r="Q89">
        <f t="shared" si="21"/>
        <v>14.617591135076893</v>
      </c>
      <c r="R89">
        <f>O89+'lever arm selection'!$B$22</f>
        <v>50.623496964454063</v>
      </c>
      <c r="S89">
        <f t="shared" si="18"/>
        <v>1.2896912920221655</v>
      </c>
      <c r="T89">
        <f t="shared" si="22"/>
        <v>73.893867907644264</v>
      </c>
      <c r="U89">
        <f t="shared" si="23"/>
        <v>53.053066046177868</v>
      </c>
      <c r="V89">
        <f t="shared" si="24"/>
        <v>0.92595068078381382</v>
      </c>
      <c r="W89">
        <f t="shared" si="25"/>
        <v>0.64484564601108274</v>
      </c>
      <c r="X89">
        <f t="shared" si="19"/>
        <v>5.3556666501583507E-2</v>
      </c>
      <c r="Y89">
        <f t="shared" si="26"/>
        <v>4.2802089127991418E-2</v>
      </c>
      <c r="Z89">
        <f t="shared" si="27"/>
        <v>3.2191577983089241E-2</v>
      </c>
      <c r="AB89">
        <f>Z89+pulley!$B$12</f>
        <v>0.1440808029658974</v>
      </c>
      <c r="AG89">
        <f>AB89*$AF$5*$AF$6/(6*'lever arm selection'!$J$5*'lever arm selection'!$J$19)</f>
        <v>1.3899515907035919E-6</v>
      </c>
      <c r="AH89">
        <f>AB89*$AF$5*$AF$6/(3*'lever arm selection'!$J$5*'lever arm selection'!$J$19)</f>
        <v>2.7799031814071838E-6</v>
      </c>
      <c r="AI89">
        <f>(AB89*$AF$6/(6*'lever arm selection'!$J$5*'lever arm selection'!$J$19))*(2*$AF$4+$AF$6)</f>
        <v>9.2654942758170244E-6</v>
      </c>
      <c r="AJ89">
        <f>AB89*($AF$6^2)*$AF$4/(3*'lever arm selection'!$J$5*'lever arm selection'!$J$19)</f>
        <v>4.9718900486232342E-4</v>
      </c>
    </row>
    <row r="90" spans="1:36" x14ac:dyDescent="0.2">
      <c r="A90">
        <v>88</v>
      </c>
      <c r="B90" s="7" t="s">
        <v>604</v>
      </c>
      <c r="C90" s="7" t="s">
        <v>605</v>
      </c>
      <c r="D90" s="7" t="s">
        <v>606</v>
      </c>
      <c r="E90" s="7" t="s">
        <v>607</v>
      </c>
      <c r="F90" s="7" t="s">
        <v>608</v>
      </c>
      <c r="G90" s="7" t="s">
        <v>609</v>
      </c>
      <c r="H90" s="7" t="s">
        <v>610</v>
      </c>
      <c r="I90" s="4">
        <f t="shared" si="16"/>
        <v>64.362897909999603</v>
      </c>
      <c r="L90">
        <f t="shared" si="17"/>
        <v>25.637102090000397</v>
      </c>
      <c r="M90">
        <f t="shared" si="20"/>
        <v>0.44745184214042655</v>
      </c>
      <c r="N90">
        <f>'lever arm selection'!$B$21*SIN(M90)</f>
        <v>16.055640325227447</v>
      </c>
      <c r="O90">
        <f>'lever arm selection'!$B$21*COS(M90)</f>
        <v>33.455093339349496</v>
      </c>
      <c r="P90">
        <f>'lever arm selection'!$C$7-N90</f>
        <v>14.109359674772556</v>
      </c>
      <c r="Q90">
        <f t="shared" si="21"/>
        <v>14.909359674772556</v>
      </c>
      <c r="R90">
        <f>O90+'lever arm selection'!$B$22</f>
        <v>50.765093339349491</v>
      </c>
      <c r="S90">
        <f t="shared" si="18"/>
        <v>1.2851356385138879</v>
      </c>
      <c r="T90">
        <f t="shared" si="22"/>
        <v>73.632848188695988</v>
      </c>
      <c r="U90">
        <f t="shared" si="23"/>
        <v>53.183575905652006</v>
      </c>
      <c r="V90">
        <f t="shared" si="24"/>
        <v>0.92822850753795261</v>
      </c>
      <c r="W90">
        <f t="shared" si="25"/>
        <v>0.64256781925694395</v>
      </c>
      <c r="X90">
        <f t="shared" si="19"/>
        <v>4.5147854229539659</v>
      </c>
      <c r="Y90">
        <f t="shared" si="26"/>
        <v>3.6143549261884487</v>
      </c>
      <c r="Z90">
        <f t="shared" si="27"/>
        <v>2.7054991929133738</v>
      </c>
      <c r="AB90">
        <f>Z90+pulley!$B$12</f>
        <v>2.8173884178961819</v>
      </c>
      <c r="AG90">
        <f>AB90*$AF$5*$AF$6/(6*'lever arm selection'!$J$5*'lever arm selection'!$J$19)</f>
        <v>2.7179425936511222E-5</v>
      </c>
      <c r="AH90">
        <f>AB90*$AF$5*$AF$6/(3*'lever arm selection'!$J$5*'lever arm selection'!$J$19)</f>
        <v>5.4358851873022444E-5</v>
      </c>
      <c r="AI90">
        <f>(AB90*$AF$6/(6*'lever arm selection'!$J$5*'lever arm selection'!$J$19))*(2*$AF$4+$AF$6)</f>
        <v>1.8117955842423329E-4</v>
      </c>
      <c r="AJ90">
        <f>AB90*($AF$6^2)*$AF$4/(3*'lever arm selection'!$J$5*'lever arm selection'!$J$19)</f>
        <v>9.7221455944827648E-3</v>
      </c>
    </row>
    <row r="91" spans="1:36" x14ac:dyDescent="0.2">
      <c r="A91">
        <v>89</v>
      </c>
      <c r="B91" s="7" t="s">
        <v>611</v>
      </c>
      <c r="C91" s="7" t="s">
        <v>612</v>
      </c>
      <c r="D91" s="7" t="s">
        <v>613</v>
      </c>
      <c r="E91" s="7" t="s">
        <v>614</v>
      </c>
      <c r="F91" s="7" t="s">
        <v>615</v>
      </c>
      <c r="G91" s="7" t="s">
        <v>616</v>
      </c>
      <c r="H91" s="7" t="s">
        <v>617</v>
      </c>
      <c r="I91" s="4">
        <f t="shared" si="16"/>
        <v>64.8841349799997</v>
      </c>
      <c r="L91">
        <f t="shared" si="17"/>
        <v>25.1158650200003</v>
      </c>
      <c r="M91">
        <f t="shared" si="20"/>
        <v>0.43835453908547667</v>
      </c>
      <c r="N91">
        <f>'lever arm selection'!$B$21*SIN(M91)</f>
        <v>15.750629015210471</v>
      </c>
      <c r="O91">
        <f>'lever arm selection'!$B$21*COS(M91)</f>
        <v>33.59976997276717</v>
      </c>
      <c r="P91">
        <f>'lever arm selection'!$C$7-N91</f>
        <v>14.414370984789532</v>
      </c>
      <c r="Q91">
        <f t="shared" si="21"/>
        <v>15.214370984789532</v>
      </c>
      <c r="R91">
        <f>O91+'lever arm selection'!$B$22</f>
        <v>50.909769972767165</v>
      </c>
      <c r="S91">
        <f t="shared" si="18"/>
        <v>1.2803951601697086</v>
      </c>
      <c r="T91">
        <f t="shared" si="22"/>
        <v>73.36123878670135</v>
      </c>
      <c r="U91">
        <f t="shared" si="23"/>
        <v>53.319380606649325</v>
      </c>
      <c r="V91">
        <f t="shared" si="24"/>
        <v>0.93059874671004228</v>
      </c>
      <c r="W91">
        <f t="shared" si="25"/>
        <v>0.64019758008485428</v>
      </c>
      <c r="X91">
        <f t="shared" si="19"/>
        <v>3.7685407221170379</v>
      </c>
      <c r="Y91">
        <f t="shared" si="26"/>
        <v>3.0222858027116533</v>
      </c>
      <c r="Z91">
        <f t="shared" si="27"/>
        <v>2.251152527258423</v>
      </c>
      <c r="AB91">
        <f>Z91+pulley!$B$12</f>
        <v>2.363041752241231</v>
      </c>
      <c r="AG91">
        <f>AB91*$AF$5*$AF$6/(6*'lever arm selection'!$J$5*'lever arm selection'!$J$19)</f>
        <v>2.2796330772838051E-5</v>
      </c>
      <c r="AH91">
        <f>AB91*$AF$5*$AF$6/(3*'lever arm selection'!$J$5*'lever arm selection'!$J$19)</f>
        <v>4.5592661545676102E-5</v>
      </c>
      <c r="AI91">
        <f>(AB91*$AF$6/(6*'lever arm selection'!$J$5*'lever arm selection'!$J$19))*(2*$AF$4+$AF$6)</f>
        <v>1.5196160333788564E-4</v>
      </c>
      <c r="AJ91">
        <f>AB91*($AF$6^2)*$AF$4/(3*'lever arm selection'!$J$5*'lever arm selection'!$J$19)</f>
        <v>8.1543019823607007E-3</v>
      </c>
    </row>
    <row r="92" spans="1:36" x14ac:dyDescent="0.2">
      <c r="A92">
        <v>90</v>
      </c>
      <c r="B92" s="7" t="s">
        <v>618</v>
      </c>
      <c r="C92" s="7" t="s">
        <v>619</v>
      </c>
      <c r="D92" s="7" t="s">
        <v>620</v>
      </c>
      <c r="E92" s="7" t="s">
        <v>621</v>
      </c>
      <c r="F92" s="7" t="s">
        <v>622</v>
      </c>
      <c r="G92" s="7" t="s">
        <v>623</v>
      </c>
      <c r="H92" s="7" t="s">
        <v>624</v>
      </c>
      <c r="I92" s="4">
        <f t="shared" si="16"/>
        <v>65.197970229999726</v>
      </c>
      <c r="L92">
        <f t="shared" si="17"/>
        <v>24.802029770000274</v>
      </c>
      <c r="M92">
        <f t="shared" si="20"/>
        <v>0.4328770806641567</v>
      </c>
      <c r="N92">
        <f>'lever arm selection'!$B$21*SIN(M92)</f>
        <v>15.566352313569803</v>
      </c>
      <c r="O92">
        <f>'lever arm selection'!$B$21*COS(M92)</f>
        <v>33.685538918762703</v>
      </c>
      <c r="P92">
        <f>'lever arm selection'!$C$7-N92</f>
        <v>14.598647686430199</v>
      </c>
      <c r="Q92">
        <f t="shared" si="21"/>
        <v>15.3986476864302</v>
      </c>
      <c r="R92">
        <f>O92+'lever arm selection'!$B$22</f>
        <v>50.995538918762705</v>
      </c>
      <c r="S92">
        <f t="shared" si="18"/>
        <v>1.2775417140384302</v>
      </c>
      <c r="T92">
        <f t="shared" si="22"/>
        <v>73.19774836631116</v>
      </c>
      <c r="U92">
        <f t="shared" si="23"/>
        <v>53.40112581684442</v>
      </c>
      <c r="V92">
        <f t="shared" si="24"/>
        <v>0.93202546977568157</v>
      </c>
      <c r="W92">
        <f t="shared" si="25"/>
        <v>0.6387708570192151</v>
      </c>
      <c r="X92">
        <f t="shared" si="19"/>
        <v>2.9829732138997236</v>
      </c>
      <c r="Y92">
        <f t="shared" si="26"/>
        <v>2.3948179702532633</v>
      </c>
      <c r="Z92">
        <f t="shared" si="27"/>
        <v>1.7784757755435656</v>
      </c>
      <c r="AB92">
        <f>Z92+pulley!$B$12</f>
        <v>1.8903650005263737</v>
      </c>
      <c r="AG92">
        <f>AB92*$AF$5*$AF$6/(6*'lever arm selection'!$J$5*'lever arm selection'!$J$19)</f>
        <v>1.8236404749312363E-5</v>
      </c>
      <c r="AH92">
        <f>AB92*$AF$5*$AF$6/(3*'lever arm selection'!$J$5*'lever arm selection'!$J$19)</f>
        <v>3.6472809498624727E-5</v>
      </c>
      <c r="AI92">
        <f>(AB92*$AF$6/(6*'lever arm selection'!$J$5*'lever arm selection'!$J$19))*(2*$AF$4+$AF$6)</f>
        <v>1.2156488394729201E-4</v>
      </c>
      <c r="AJ92">
        <f>AB92*($AF$6^2)*$AF$4/(3*'lever arm selection'!$J$5*'lever arm selection'!$J$19)</f>
        <v>6.5232055491856993E-3</v>
      </c>
    </row>
    <row r="93" spans="1:36" x14ac:dyDescent="0.2">
      <c r="A93">
        <v>91</v>
      </c>
      <c r="B93" s="7" t="s">
        <v>625</v>
      </c>
      <c r="C93" s="7" t="s">
        <v>626</v>
      </c>
      <c r="D93" s="7" t="s">
        <v>627</v>
      </c>
      <c r="E93" s="7" t="s">
        <v>628</v>
      </c>
      <c r="F93" s="7" t="s">
        <v>629</v>
      </c>
      <c r="G93" s="7" t="s">
        <v>630</v>
      </c>
      <c r="H93" s="7" t="s">
        <v>631</v>
      </c>
      <c r="I93" s="4">
        <f t="shared" si="16"/>
        <v>67.356510220000004</v>
      </c>
      <c r="L93">
        <f t="shared" si="17"/>
        <v>22.643489779999996</v>
      </c>
      <c r="M93">
        <f t="shared" si="20"/>
        <v>0.39520345080268637</v>
      </c>
      <c r="N93">
        <f>'lever arm selection'!$B$21*SIN(M93)</f>
        <v>14.28655058917253</v>
      </c>
      <c r="O93">
        <f>'lever arm selection'!$B$21*COS(M93)</f>
        <v>34.247939045447254</v>
      </c>
      <c r="P93">
        <f>'lever arm selection'!$C$7-N93</f>
        <v>15.878449410827473</v>
      </c>
      <c r="Q93">
        <f t="shared" si="21"/>
        <v>16.678449410827472</v>
      </c>
      <c r="R93">
        <f>O93+'lever arm selection'!$B$22</f>
        <v>51.557939045447256</v>
      </c>
      <c r="S93">
        <f t="shared" si="18"/>
        <v>1.2579312734356132</v>
      </c>
      <c r="T93">
        <f t="shared" si="22"/>
        <v>72.074152885377757</v>
      </c>
      <c r="U93">
        <f t="shared" si="23"/>
        <v>53.962923557311122</v>
      </c>
      <c r="V93">
        <f t="shared" si="24"/>
        <v>0.94183069007709008</v>
      </c>
      <c r="W93">
        <f t="shared" si="25"/>
        <v>0.62896563671780659</v>
      </c>
      <c r="X93">
        <f t="shared" si="19"/>
        <v>10.024185342462973</v>
      </c>
      <c r="Y93">
        <f t="shared" si="26"/>
        <v>8.1059218063671601</v>
      </c>
      <c r="Z93">
        <f t="shared" si="27"/>
        <v>5.8973149355542196</v>
      </c>
      <c r="AB93">
        <f>Z93+pulley!$B$12</f>
        <v>6.0092041605370277</v>
      </c>
      <c r="AG93">
        <f>AB93*$AF$5*$AF$6/(6*'lever arm selection'!$J$5*'lever arm selection'!$J$19)</f>
        <v>5.7970962889331252E-5</v>
      </c>
      <c r="AH93">
        <f>AB93*$AF$5*$AF$6/(3*'lever arm selection'!$J$5*'lever arm selection'!$J$19)</f>
        <v>1.159419257786625E-4</v>
      </c>
      <c r="AI93">
        <f>(AB93*$AF$6/(6*'lever arm selection'!$J$5*'lever arm selection'!$J$19))*(2*$AF$4+$AF$6)</f>
        <v>3.8643764891322968E-4</v>
      </c>
      <c r="AJ93">
        <f>AB93*($AF$6^2)*$AF$4/(3*'lever arm selection'!$J$5*'lever arm selection'!$J$19)</f>
        <v>2.0736351929542634E-2</v>
      </c>
    </row>
    <row r="94" spans="1:36" x14ac:dyDescent="0.2">
      <c r="A94">
        <v>92</v>
      </c>
      <c r="B94" s="7" t="s">
        <v>632</v>
      </c>
      <c r="C94" s="7" t="s">
        <v>633</v>
      </c>
      <c r="D94" s="7" t="s">
        <v>634</v>
      </c>
      <c r="E94" s="7" t="s">
        <v>635</v>
      </c>
      <c r="F94" s="7" t="s">
        <v>636</v>
      </c>
      <c r="G94" s="7" t="s">
        <v>637</v>
      </c>
      <c r="H94" s="7" t="s">
        <v>638</v>
      </c>
      <c r="I94" s="4">
        <f t="shared" si="16"/>
        <v>68.40821652999999</v>
      </c>
      <c r="L94">
        <f t="shared" si="17"/>
        <v>21.59178347000001</v>
      </c>
      <c r="M94">
        <f t="shared" si="20"/>
        <v>0.37684771292918645</v>
      </c>
      <c r="N94">
        <f>'lever arm selection'!$B$21*SIN(M94)</f>
        <v>13.655532960300825</v>
      </c>
      <c r="O94">
        <f>'lever arm selection'!$B$21*COS(M94)</f>
        <v>34.504395026833819</v>
      </c>
      <c r="P94">
        <f>'lever arm selection'!$C$7-N94</f>
        <v>16.509467039699178</v>
      </c>
      <c r="Q94">
        <f t="shared" si="21"/>
        <v>17.309467039699179</v>
      </c>
      <c r="R94">
        <f>O94+'lever arm selection'!$B$22</f>
        <v>51.814395026833822</v>
      </c>
      <c r="S94">
        <f t="shared" si="18"/>
        <v>1.2483858341899901</v>
      </c>
      <c r="T94">
        <f t="shared" si="22"/>
        <v>71.527239503005021</v>
      </c>
      <c r="U94">
        <f t="shared" si="23"/>
        <v>54.23638024849749</v>
      </c>
      <c r="V94">
        <f t="shared" si="24"/>
        <v>0.94660340969990153</v>
      </c>
      <c r="W94">
        <f t="shared" si="25"/>
        <v>0.62419291709499503</v>
      </c>
      <c r="X94">
        <f t="shared" si="19"/>
        <v>10.493899834122395</v>
      </c>
      <c r="Y94">
        <f t="shared" si="26"/>
        <v>8.5151184234678503</v>
      </c>
      <c r="Z94">
        <f t="shared" si="27"/>
        <v>6.1330817671797284</v>
      </c>
      <c r="AB94">
        <f>Z94+pulley!$B$12</f>
        <v>6.2449709921625365</v>
      </c>
      <c r="AG94">
        <f>AB94*$AF$5*$AF$6/(6*'lever arm selection'!$J$5*'lever arm selection'!$J$19)</f>
        <v>6.0245412197686272E-5</v>
      </c>
      <c r="AH94">
        <f>AB94*$AF$5*$AF$6/(3*'lever arm selection'!$J$5*'lever arm selection'!$J$19)</f>
        <v>1.2049082439537254E-4</v>
      </c>
      <c r="AI94">
        <f>(AB94*$AF$6/(6*'lever arm selection'!$J$5*'lever arm selection'!$J$19))*(2*$AF$4+$AF$6)</f>
        <v>4.0159925395627424E-4</v>
      </c>
      <c r="AJ94">
        <f>AB94*($AF$6^2)*$AF$4/(3*'lever arm selection'!$J$5*'lever arm selection'!$J$19)</f>
        <v>2.1549927881247839E-2</v>
      </c>
    </row>
    <row r="95" spans="1:36" x14ac:dyDescent="0.2">
      <c r="A95">
        <v>93</v>
      </c>
      <c r="B95" s="7" t="s">
        <v>639</v>
      </c>
      <c r="C95" s="7" t="s">
        <v>640</v>
      </c>
      <c r="D95" s="7" t="s">
        <v>641</v>
      </c>
      <c r="E95" s="7" t="s">
        <v>642</v>
      </c>
      <c r="F95" s="7" t="s">
        <v>643</v>
      </c>
      <c r="G95" s="7" t="s">
        <v>644</v>
      </c>
      <c r="H95" s="7" t="s">
        <v>645</v>
      </c>
      <c r="I95" s="4">
        <f t="shared" si="16"/>
        <v>68.783221029999694</v>
      </c>
      <c r="L95">
        <f t="shared" si="17"/>
        <v>21.216778970000306</v>
      </c>
      <c r="M95">
        <f t="shared" si="20"/>
        <v>0.37030264969439652</v>
      </c>
      <c r="N95">
        <f>'lever arm selection'!$B$21*SIN(M95)</f>
        <v>13.429408639527621</v>
      </c>
      <c r="O95">
        <f>'lever arm selection'!$B$21*COS(M95)</f>
        <v>34.593031670991735</v>
      </c>
      <c r="P95">
        <f>'lever arm selection'!$C$7-N95</f>
        <v>16.735591360472384</v>
      </c>
      <c r="Q95">
        <f t="shared" si="21"/>
        <v>17.535591360472385</v>
      </c>
      <c r="R95">
        <f>O95+'lever arm selection'!$B$22</f>
        <v>51.903031670991737</v>
      </c>
      <c r="S95">
        <f t="shared" si="18"/>
        <v>1.2449836648993113</v>
      </c>
      <c r="T95">
        <f t="shared" si="22"/>
        <v>71.332309561460107</v>
      </c>
      <c r="U95">
        <f t="shared" si="23"/>
        <v>54.333845219269946</v>
      </c>
      <c r="V95">
        <f t="shared" si="24"/>
        <v>0.94830449434524089</v>
      </c>
      <c r="W95">
        <f t="shared" si="25"/>
        <v>0.62249183244965567</v>
      </c>
      <c r="X95">
        <f t="shared" si="19"/>
        <v>12.481519009097147</v>
      </c>
      <c r="Y95">
        <f t="shared" si="26"/>
        <v>10.140336637824744</v>
      </c>
      <c r="Z95">
        <f t="shared" si="27"/>
        <v>7.27749198873091</v>
      </c>
      <c r="AB95">
        <f>Z95+pulley!$B$12</f>
        <v>7.389381213713718</v>
      </c>
      <c r="AG95">
        <f>AB95*$AF$5*$AF$6/(6*'lever arm selection'!$J$5*'lever arm selection'!$J$19)</f>
        <v>7.1285570047438228E-5</v>
      </c>
      <c r="AH95">
        <f>AB95*$AF$5*$AF$6/(3*'lever arm selection'!$J$5*'lever arm selection'!$J$19)</f>
        <v>1.4257114009487646E-4</v>
      </c>
      <c r="AI95">
        <f>(AB95*$AF$6/(6*'lever arm selection'!$J$5*'lever arm selection'!$J$19))*(2*$AF$4+$AF$6)</f>
        <v>4.7519355756019523E-4</v>
      </c>
      <c r="AJ95">
        <f>AB95*($AF$6^2)*$AF$4/(3*'lever arm selection'!$J$5*'lever arm selection'!$J$19)</f>
        <v>2.5499018721211974E-2</v>
      </c>
    </row>
    <row r="96" spans="1:36" x14ac:dyDescent="0.2">
      <c r="A96">
        <v>94</v>
      </c>
      <c r="B96" s="7" t="s">
        <v>646</v>
      </c>
      <c r="C96" s="7" t="s">
        <v>647</v>
      </c>
      <c r="D96" s="7" t="s">
        <v>648</v>
      </c>
      <c r="E96" s="7" t="s">
        <v>649</v>
      </c>
      <c r="F96" s="7" t="s">
        <v>650</v>
      </c>
      <c r="G96" s="7" t="s">
        <v>651</v>
      </c>
      <c r="H96">
        <v>0.67556206606981295</v>
      </c>
      <c r="I96" s="4">
        <f t="shared" si="16"/>
        <v>69.283234719999896</v>
      </c>
      <c r="L96">
        <f t="shared" si="17"/>
        <v>20.716765280000104</v>
      </c>
      <c r="M96">
        <f t="shared" si="20"/>
        <v>0.36157576449884676</v>
      </c>
      <c r="N96">
        <f>'lever arm selection'!$B$21*SIN(M96)</f>
        <v>13.127011676730293</v>
      </c>
      <c r="O96">
        <f>'lever arm selection'!$B$21*COS(M96)</f>
        <v>34.708909822070801</v>
      </c>
      <c r="P96">
        <f>'lever arm selection'!$C$7-N96</f>
        <v>17.037988323269708</v>
      </c>
      <c r="Q96">
        <f t="shared" si="21"/>
        <v>17.837988323269709</v>
      </c>
      <c r="R96">
        <f>O96+'lever arm selection'!$B$22</f>
        <v>52.018909822070796</v>
      </c>
      <c r="S96">
        <f t="shared" si="18"/>
        <v>1.240448511182155</v>
      </c>
      <c r="T96">
        <f t="shared" si="22"/>
        <v>71.072464394023982</v>
      </c>
      <c r="U96">
        <f t="shared" si="23"/>
        <v>54.463767802988009</v>
      </c>
      <c r="V96">
        <f t="shared" si="24"/>
        <v>0.95057207120381915</v>
      </c>
      <c r="W96">
        <f t="shared" si="25"/>
        <v>0.62022425559107752</v>
      </c>
      <c r="X96">
        <f t="shared" si="19"/>
        <v>11.072707435150507</v>
      </c>
      <c r="Y96">
        <f t="shared" si="26"/>
        <v>9.0103950337792487</v>
      </c>
      <c r="Z96">
        <f t="shared" si="27"/>
        <v>6.4356531354388231</v>
      </c>
      <c r="AB96">
        <f>Z96+pulley!$B$12</f>
        <v>6.5475423604216312</v>
      </c>
      <c r="AG96">
        <f>AB96*$AF$5*$AF$6/(6*'lever arm selection'!$J$5*'lever arm selection'!$J$19)</f>
        <v>6.3164326764761767E-5</v>
      </c>
      <c r="AH96">
        <f>AB96*$AF$5*$AF$6/(3*'lever arm selection'!$J$5*'lever arm selection'!$J$19)</f>
        <v>1.2632865352952353E-4</v>
      </c>
      <c r="AI96">
        <f>(AB96*$AF$6/(6*'lever arm selection'!$J$5*'lever arm selection'!$J$19))*(2*$AF$4+$AF$6)</f>
        <v>4.2105690010289055E-4</v>
      </c>
      <c r="AJ96">
        <f>AB96*($AF$6^2)*$AF$4/(3*'lever arm selection'!$J$5*'lever arm selection'!$J$19)</f>
        <v>2.2594030595751571E-2</v>
      </c>
    </row>
    <row r="97" spans="1:41" x14ac:dyDescent="0.2">
      <c r="A97">
        <v>95</v>
      </c>
      <c r="B97" s="7" t="s">
        <v>652</v>
      </c>
      <c r="C97" s="7" t="s">
        <v>653</v>
      </c>
      <c r="D97" s="7" t="s">
        <v>654</v>
      </c>
      <c r="E97" s="7" t="s">
        <v>655</v>
      </c>
      <c r="F97" s="7" t="s">
        <v>656</v>
      </c>
      <c r="G97" s="7" t="s">
        <v>657</v>
      </c>
      <c r="H97" s="7" t="s">
        <v>658</v>
      </c>
      <c r="I97" s="4">
        <f t="shared" si="16"/>
        <v>69.139056779999493</v>
      </c>
      <c r="L97">
        <f t="shared" si="17"/>
        <v>20.860943220000507</v>
      </c>
      <c r="M97">
        <f t="shared" si="20"/>
        <v>0.36409214426059666</v>
      </c>
      <c r="N97">
        <f>'lever arm selection'!$B$21*SIN(M97)</f>
        <v>13.214310821589061</v>
      </c>
      <c r="O97">
        <f>'lever arm selection'!$B$21*COS(M97)</f>
        <v>34.67576741916595</v>
      </c>
      <c r="P97">
        <f>'lever arm selection'!$C$7-N97</f>
        <v>16.95068917841094</v>
      </c>
      <c r="Q97">
        <f t="shared" si="21"/>
        <v>17.750689178410941</v>
      </c>
      <c r="R97">
        <f>O97+'lever arm selection'!$B$22</f>
        <v>51.985767419165953</v>
      </c>
      <c r="S97">
        <f t="shared" si="18"/>
        <v>1.2417560807997774</v>
      </c>
      <c r="T97">
        <f t="shared" si="22"/>
        <v>71.147382614533285</v>
      </c>
      <c r="U97">
        <f t="shared" si="23"/>
        <v>54.426308692733357</v>
      </c>
      <c r="V97">
        <f t="shared" si="24"/>
        <v>0.94991828639500786</v>
      </c>
      <c r="W97">
        <f t="shared" si="25"/>
        <v>0.6208780403998887</v>
      </c>
      <c r="X97">
        <f t="shared" si="19"/>
        <v>11.801323915465918</v>
      </c>
      <c r="Y97">
        <f t="shared" si="26"/>
        <v>9.5988188841245901</v>
      </c>
      <c r="Z97">
        <f t="shared" si="27"/>
        <v>6.8654149319266207</v>
      </c>
      <c r="AB97">
        <f>Z97+pulley!$B$12</f>
        <v>6.9773041569094287</v>
      </c>
      <c r="AG97">
        <f>AB97*$AF$5*$AF$6/(6*'lever arm selection'!$J$5*'lever arm selection'!$J$19)</f>
        <v>6.7310250998632351E-5</v>
      </c>
      <c r="AH97">
        <f>AB97*$AF$5*$AF$6/(3*'lever arm selection'!$J$5*'lever arm selection'!$J$19)</f>
        <v>1.346205019972647E-4</v>
      </c>
      <c r="AI97">
        <f>(AB97*$AF$6/(6*'lever arm selection'!$J$5*'lever arm selection'!$J$19))*(2*$AF$4+$AF$6)</f>
        <v>4.4869386063721672E-4</v>
      </c>
      <c r="AJ97">
        <f>AB97*($AF$6^2)*$AF$4/(3*'lever arm selection'!$J$5*'lever arm selection'!$J$19)</f>
        <v>2.4077037599635264E-2</v>
      </c>
    </row>
    <row r="98" spans="1:41" x14ac:dyDescent="0.2">
      <c r="A98">
        <v>96</v>
      </c>
      <c r="B98">
        <v>31.0969467954653</v>
      </c>
      <c r="C98" s="7" t="s">
        <v>659</v>
      </c>
      <c r="D98" s="7" t="s">
        <v>660</v>
      </c>
      <c r="E98" s="7" t="s">
        <v>661</v>
      </c>
      <c r="F98" s="7" t="s">
        <v>662</v>
      </c>
      <c r="G98" s="7" t="s">
        <v>663</v>
      </c>
      <c r="H98" s="7" t="s">
        <v>664</v>
      </c>
      <c r="I98" s="4">
        <f t="shared" si="16"/>
        <v>68.889733309999912</v>
      </c>
      <c r="L98">
        <f t="shared" si="17"/>
        <v>21.110266690000088</v>
      </c>
      <c r="M98">
        <f t="shared" si="20"/>
        <v>0.36844365971458665</v>
      </c>
      <c r="N98">
        <f>'lever arm selection'!$B$21*SIN(M98)</f>
        <v>13.365077372357545</v>
      </c>
      <c r="O98">
        <f>'lever arm selection'!$B$21*COS(M98)</f>
        <v>34.617937018669281</v>
      </c>
      <c r="P98">
        <f>'lever arm selection'!$C$7-N98</f>
        <v>16.799922627642459</v>
      </c>
      <c r="Q98">
        <f t="shared" si="21"/>
        <v>17.59992262764246</v>
      </c>
      <c r="R98">
        <f>O98+'lever arm selection'!$B$22</f>
        <v>51.927937018669283</v>
      </c>
      <c r="S98">
        <f t="shared" si="18"/>
        <v>1.2440174834231423</v>
      </c>
      <c r="T98">
        <f t="shared" si="22"/>
        <v>71.276951440631905</v>
      </c>
      <c r="U98">
        <f t="shared" si="23"/>
        <v>54.361524279684048</v>
      </c>
      <c r="V98">
        <f t="shared" si="24"/>
        <v>0.94878758508332539</v>
      </c>
      <c r="W98">
        <f t="shared" si="25"/>
        <v>0.62200874171157117</v>
      </c>
      <c r="X98">
        <f t="shared" si="19"/>
        <v>9.0730799163917446</v>
      </c>
      <c r="Y98">
        <f t="shared" si="26"/>
        <v>7.373779747242124</v>
      </c>
      <c r="Z98">
        <f t="shared" si="27"/>
        <v>5.2866011206060461</v>
      </c>
      <c r="AB98">
        <f>Z98+pulley!$B$12</f>
        <v>5.3984903455888542</v>
      </c>
      <c r="AG98">
        <f>AB98*$AF$5*$AF$6/(6*'lever arm selection'!$J$5*'lever arm selection'!$J$19)</f>
        <v>5.207938940363385E-5</v>
      </c>
      <c r="AH98">
        <f>AB98*$AF$5*$AF$6/(3*'lever arm selection'!$J$5*'lever arm selection'!$J$19)</f>
        <v>1.041587788072677E-4</v>
      </c>
      <c r="AI98">
        <f>(AB98*$AF$6/(6*'lever arm selection'!$J$5*'lever arm selection'!$J$19))*(2*$AF$4+$AF$6)</f>
        <v>3.4716409379635535E-4</v>
      </c>
      <c r="AJ98">
        <f>AB98*($AF$6^2)*$AF$4/(3*'lever arm selection'!$J$5*'lever arm selection'!$J$19)</f>
        <v>1.8628922017581189E-2</v>
      </c>
    </row>
    <row r="99" spans="1:41" x14ac:dyDescent="0.2">
      <c r="A99">
        <v>97</v>
      </c>
      <c r="B99" s="7" t="s">
        <v>665</v>
      </c>
      <c r="C99" s="7" t="s">
        <v>666</v>
      </c>
      <c r="D99" s="7" t="s">
        <v>667</v>
      </c>
      <c r="E99" s="7" t="s">
        <v>668</v>
      </c>
      <c r="F99" s="7" t="s">
        <v>669</v>
      </c>
      <c r="G99" s="7" t="s">
        <v>670</v>
      </c>
      <c r="H99" s="7" t="s">
        <v>671</v>
      </c>
      <c r="I99" s="4">
        <f t="shared" ref="I99:I108" si="28">DEGREES(G99)</f>
        <v>68.803127859999989</v>
      </c>
      <c r="L99">
        <f t="shared" ref="L99:L108" si="29">90-I99</f>
        <v>21.196872140000011</v>
      </c>
      <c r="M99">
        <f t="shared" si="20"/>
        <v>0.36995520996725662</v>
      </c>
      <c r="N99">
        <f>'lever arm selection'!$B$21*SIN(M99)</f>
        <v>13.417388835723468</v>
      </c>
      <c r="O99">
        <f>'lever arm selection'!$B$21*COS(M99)</f>
        <v>34.597695493033342</v>
      </c>
      <c r="P99">
        <f>'lever arm selection'!$C$7-N99</f>
        <v>16.747611164276535</v>
      </c>
      <c r="Q99">
        <f t="shared" si="21"/>
        <v>17.547611164276535</v>
      </c>
      <c r="R99">
        <f>O99+'lever arm selection'!$B$22</f>
        <v>51.907695493033344</v>
      </c>
      <c r="S99">
        <f t="shared" ref="S99:S108" si="30">ATAN(R99/Q99)</f>
        <v>1.244803083941048</v>
      </c>
      <c r="T99">
        <f t="shared" si="22"/>
        <v>71.321963034691194</v>
      </c>
      <c r="U99">
        <f t="shared" si="23"/>
        <v>54.339018482654403</v>
      </c>
      <c r="V99">
        <f t="shared" si="24"/>
        <v>0.94839478482437256</v>
      </c>
      <c r="W99">
        <f t="shared" si="25"/>
        <v>0.622401541970524</v>
      </c>
      <c r="X99">
        <f t="shared" ref="X99:X108" si="31">2*D99*SIN(V99)</f>
        <v>8.1442023717103318</v>
      </c>
      <c r="Y99">
        <f t="shared" si="26"/>
        <v>6.6170074939171633</v>
      </c>
      <c r="Z99">
        <f t="shared" si="27"/>
        <v>4.7479726301671423</v>
      </c>
      <c r="AB99">
        <f>Z99+pulley!$B$12</f>
        <v>4.8598618551499504</v>
      </c>
      <c r="AG99">
        <f>AB99*$AF$5*$AF$6/(6*'lever arm selection'!$J$5*'lever arm selection'!$J$19)</f>
        <v>4.6883225086996661E-5</v>
      </c>
      <c r="AH99">
        <f>AB99*$AF$5*$AF$6/(3*'lever arm selection'!$J$5*'lever arm selection'!$J$19)</f>
        <v>9.3766450173993321E-5</v>
      </c>
      <c r="AI99">
        <f>(AB99*$AF$6/(6*'lever arm selection'!$J$5*'lever arm selection'!$J$19))*(2*$AF$4+$AF$6)</f>
        <v>3.1252617471052912E-4</v>
      </c>
      <c r="AJ99">
        <f>AB99*($AF$6^2)*$AF$4/(3*'lever arm selection'!$J$5*'lever arm selection'!$J$19)</f>
        <v>1.6770241626861821E-2</v>
      </c>
    </row>
    <row r="100" spans="1:41" x14ac:dyDescent="0.2">
      <c r="A100">
        <v>98</v>
      </c>
      <c r="B100" s="7" t="s">
        <v>672</v>
      </c>
      <c r="C100" s="7" t="s">
        <v>673</v>
      </c>
      <c r="D100" s="7" t="s">
        <v>674</v>
      </c>
      <c r="E100" s="7" t="s">
        <v>675</v>
      </c>
      <c r="F100" s="7" t="s">
        <v>676</v>
      </c>
      <c r="G100" s="7" t="s">
        <v>677</v>
      </c>
      <c r="H100" s="7" t="s">
        <v>678</v>
      </c>
      <c r="I100" s="4">
        <f t="shared" si="28"/>
        <v>69.337971769999982</v>
      </c>
      <c r="L100">
        <f t="shared" si="29"/>
        <v>20.662028230000018</v>
      </c>
      <c r="M100">
        <f t="shared" si="20"/>
        <v>0.36062042275351652</v>
      </c>
      <c r="N100">
        <f>'lever arm selection'!$B$21*SIN(M100)</f>
        <v>13.093846820920316</v>
      </c>
      <c r="O100">
        <f>'lever arm selection'!$B$21*COS(M100)</f>
        <v>34.721434763384011</v>
      </c>
      <c r="P100">
        <f>'lever arm selection'!$C$7-N100</f>
        <v>17.071153179079687</v>
      </c>
      <c r="Q100">
        <f t="shared" si="21"/>
        <v>17.871153179079688</v>
      </c>
      <c r="R100">
        <f>O100+'lever arm selection'!$B$22</f>
        <v>52.031434763384013</v>
      </c>
      <c r="S100">
        <f t="shared" si="30"/>
        <v>1.2399521213460001</v>
      </c>
      <c r="T100">
        <f t="shared" si="22"/>
        <v>71.044023351419114</v>
      </c>
      <c r="U100">
        <f t="shared" si="23"/>
        <v>54.477988324290443</v>
      </c>
      <c r="V100">
        <f t="shared" si="24"/>
        <v>0.95082026612189663</v>
      </c>
      <c r="W100">
        <f t="shared" si="25"/>
        <v>0.61997606067300004</v>
      </c>
      <c r="X100">
        <f t="shared" si="31"/>
        <v>9.3477776244060902</v>
      </c>
      <c r="Y100">
        <f t="shared" si="26"/>
        <v>7.6080848477569285</v>
      </c>
      <c r="Z100">
        <f t="shared" si="27"/>
        <v>5.4312053417891129</v>
      </c>
      <c r="AB100">
        <f>Z100+pulley!$B$12</f>
        <v>5.5430945667719209</v>
      </c>
      <c r="AG100">
        <f>AB100*$AF$5*$AF$6/(6*'lever arm selection'!$J$5*'lever arm selection'!$J$19)</f>
        <v>5.3474390424716655E-5</v>
      </c>
      <c r="AH100">
        <f>AB100*$AF$5*$AF$6/(3*'lever arm selection'!$J$5*'lever arm selection'!$J$19)</f>
        <v>1.0694878084943331E-4</v>
      </c>
      <c r="AI100">
        <f>(AB100*$AF$6/(6*'lever arm selection'!$J$5*'lever arm selection'!$J$19))*(2*$AF$4+$AF$6)</f>
        <v>3.5646324785470557E-4</v>
      </c>
      <c r="AJ100">
        <f>AB100*($AF$6^2)*$AF$4/(3*'lever arm selection'!$J$5*'lever arm selection'!$J$19)</f>
        <v>1.9127917215754239E-2</v>
      </c>
    </row>
    <row r="101" spans="1:41" x14ac:dyDescent="0.2">
      <c r="A101">
        <v>99</v>
      </c>
      <c r="B101" s="7" t="s">
        <v>679</v>
      </c>
      <c r="C101" s="7" t="s">
        <v>680</v>
      </c>
      <c r="D101" s="7" t="s">
        <v>681</v>
      </c>
      <c r="E101" s="7" t="s">
        <v>682</v>
      </c>
      <c r="F101">
        <v>5.69951503800044</v>
      </c>
      <c r="G101" s="7" t="s">
        <v>683</v>
      </c>
      <c r="H101" s="7" t="s">
        <v>684</v>
      </c>
      <c r="I101" s="4">
        <f t="shared" si="28"/>
        <v>70.004212509999775</v>
      </c>
      <c r="L101">
        <f t="shared" si="29"/>
        <v>19.995787490000225</v>
      </c>
      <c r="M101">
        <f t="shared" si="20"/>
        <v>0.34899232822959664</v>
      </c>
      <c r="N101">
        <f>'lever arm selection'!$B$21*SIN(M101)</f>
        <v>12.689226577525952</v>
      </c>
      <c r="O101">
        <f>'lever arm selection'!$B$21*COS(M101)</f>
        <v>34.87134045977966</v>
      </c>
      <c r="P101">
        <f>'lever arm selection'!$C$7-N101</f>
        <v>17.475773422474049</v>
      </c>
      <c r="Q101">
        <f t="shared" si="21"/>
        <v>18.27577342247405</v>
      </c>
      <c r="R101">
        <f>O101+'lever arm selection'!$B$22</f>
        <v>52.181340459779662</v>
      </c>
      <c r="S101">
        <f t="shared" si="30"/>
        <v>1.2339114577217001</v>
      </c>
      <c r="T101">
        <f t="shared" si="22"/>
        <v>70.697918820288521</v>
      </c>
      <c r="U101">
        <f t="shared" si="23"/>
        <v>54.651040589855739</v>
      </c>
      <c r="V101">
        <f t="shared" si="24"/>
        <v>0.95384059793404663</v>
      </c>
      <c r="W101">
        <f t="shared" si="25"/>
        <v>0.61695572886085004</v>
      </c>
      <c r="X101">
        <f t="shared" si="31"/>
        <v>9.8492460597512768</v>
      </c>
      <c r="Y101">
        <f t="shared" si="26"/>
        <v>8.0334736384421728</v>
      </c>
      <c r="Z101">
        <f t="shared" si="27"/>
        <v>5.6983286361862922</v>
      </c>
      <c r="AB101">
        <f>Z101+pulley!$B$12</f>
        <v>5.8102178611691002</v>
      </c>
      <c r="AG101">
        <f>AB101*$AF$5*$AF$6/(6*'lever arm selection'!$J$5*'lever arm selection'!$J$19)</f>
        <v>5.6051336418342344E-5</v>
      </c>
      <c r="AH101">
        <f>AB101*$AF$5*$AF$6/(3*'lever arm selection'!$J$5*'lever arm selection'!$J$19)</f>
        <v>1.1210267283668469E-4</v>
      </c>
      <c r="AI101">
        <f>(AB101*$AF$6/(6*'lever arm selection'!$J$5*'lever arm selection'!$J$19))*(2*$AF$4+$AF$6)</f>
        <v>3.7364131255330574E-4</v>
      </c>
      <c r="AJ101">
        <f>AB101*($AF$6^2)*$AF$4/(3*'lever arm selection'!$J$5*'lever arm selection'!$J$19)</f>
        <v>2.0049696954504825E-2</v>
      </c>
    </row>
    <row r="102" spans="1:41" x14ac:dyDescent="0.2">
      <c r="A102">
        <v>100</v>
      </c>
      <c r="B102" s="7" t="s">
        <v>685</v>
      </c>
      <c r="C102" s="7" t="s">
        <v>686</v>
      </c>
      <c r="D102" s="7" t="s">
        <v>687</v>
      </c>
      <c r="E102" s="7" t="s">
        <v>688</v>
      </c>
      <c r="F102" s="7" t="s">
        <v>689</v>
      </c>
      <c r="G102" s="7" t="s">
        <v>227</v>
      </c>
      <c r="H102" s="7" t="s">
        <v>690</v>
      </c>
      <c r="I102" s="4">
        <f t="shared" si="28"/>
        <v>70.369740159999935</v>
      </c>
      <c r="L102">
        <f t="shared" si="29"/>
        <v>19.630259840000065</v>
      </c>
      <c r="M102">
        <f t="shared" si="20"/>
        <v>0.34261266723001638</v>
      </c>
      <c r="N102">
        <f>'lever arm selection'!$B$21*SIN(M102)</f>
        <v>12.466502530503845</v>
      </c>
      <c r="O102">
        <f>'lever arm selection'!$B$21*COS(M102)</f>
        <v>34.951583243890369</v>
      </c>
      <c r="P102">
        <f>'lever arm selection'!$C$7-N102</f>
        <v>17.698497469496157</v>
      </c>
      <c r="Q102">
        <f t="shared" si="21"/>
        <v>18.498497469496158</v>
      </c>
      <c r="R102">
        <f>O102+'lever arm selection'!$B$22</f>
        <v>52.261583243890371</v>
      </c>
      <c r="S102">
        <f t="shared" si="30"/>
        <v>1.2305982461074718</v>
      </c>
      <c r="T102">
        <f t="shared" si="22"/>
        <v>70.508085778159526</v>
      </c>
      <c r="U102">
        <f t="shared" si="23"/>
        <v>54.745957110920237</v>
      </c>
      <c r="V102">
        <f t="shared" si="24"/>
        <v>0.95549720374116065</v>
      </c>
      <c r="W102">
        <f t="shared" si="25"/>
        <v>0.61529912305373591</v>
      </c>
      <c r="X102">
        <f t="shared" si="31"/>
        <v>11.782959182931339</v>
      </c>
      <c r="Y102">
        <f t="shared" si="26"/>
        <v>9.6219742341223373</v>
      </c>
      <c r="Z102">
        <f t="shared" si="27"/>
        <v>6.8011571768715813</v>
      </c>
      <c r="AB102">
        <f>Z102+pulley!$B$12</f>
        <v>6.9130464018543893</v>
      </c>
      <c r="AG102">
        <f>AB102*$AF$5*$AF$6/(6*'lever arm selection'!$J$5*'lever arm selection'!$J$19)</f>
        <v>6.6690354613997861E-5</v>
      </c>
      <c r="AH102">
        <f>AB102*$AF$5*$AF$6/(3*'lever arm selection'!$J$5*'lever arm selection'!$J$19)</f>
        <v>1.3338070922799572E-4</v>
      </c>
      <c r="AI102">
        <f>(AB102*$AF$6/(6*'lever arm selection'!$J$5*'lever arm selection'!$J$19))*(2*$AF$4+$AF$6)</f>
        <v>4.4456159700886747E-4</v>
      </c>
      <c r="AJ102">
        <f>AB102*($AF$6^2)*$AF$4/(3*'lever arm selection'!$J$5*'lever arm selection'!$J$19)</f>
        <v>2.3855299181797161E-2</v>
      </c>
    </row>
    <row r="103" spans="1:41" x14ac:dyDescent="0.2">
      <c r="A103">
        <v>101</v>
      </c>
      <c r="B103" s="7" t="s">
        <v>691</v>
      </c>
      <c r="C103" s="7" t="s">
        <v>692</v>
      </c>
      <c r="D103" s="7" t="s">
        <v>693</v>
      </c>
      <c r="E103" s="7" t="s">
        <v>694</v>
      </c>
      <c r="F103" s="7" t="s">
        <v>695</v>
      </c>
      <c r="G103" s="7" t="s">
        <v>696</v>
      </c>
      <c r="H103" s="7" t="s">
        <v>697</v>
      </c>
      <c r="I103" s="4">
        <f t="shared" si="28"/>
        <v>70.295710649999819</v>
      </c>
      <c r="L103">
        <f t="shared" si="29"/>
        <v>19.704289350000181</v>
      </c>
      <c r="M103">
        <f t="shared" si="20"/>
        <v>0.34390472592315652</v>
      </c>
      <c r="N103">
        <f>'lever arm selection'!$B$21*SIN(M103)</f>
        <v>12.511651609022264</v>
      </c>
      <c r="O103">
        <f>'lever arm selection'!$B$21*COS(M103)</f>
        <v>34.935446621048186</v>
      </c>
      <c r="P103">
        <f>'lever arm selection'!$C$7-N103</f>
        <v>17.65334839097774</v>
      </c>
      <c r="Q103">
        <f t="shared" si="21"/>
        <v>18.453348390977741</v>
      </c>
      <c r="R103">
        <f>O103+'lever arm selection'!$B$22</f>
        <v>52.245446621048188</v>
      </c>
      <c r="S103">
        <f t="shared" si="30"/>
        <v>1.231269209756092</v>
      </c>
      <c r="T103">
        <f t="shared" si="22"/>
        <v>70.546529163432155</v>
      </c>
      <c r="U103">
        <f t="shared" si="23"/>
        <v>54.726735418283923</v>
      </c>
      <c r="V103">
        <f t="shared" si="24"/>
        <v>0.95516172191685056</v>
      </c>
      <c r="W103">
        <f t="shared" si="25"/>
        <v>0.615634604878046</v>
      </c>
      <c r="X103">
        <f t="shared" si="31"/>
        <v>8.3099734257111617</v>
      </c>
      <c r="Y103">
        <f t="shared" si="26"/>
        <v>6.7843216526351151</v>
      </c>
      <c r="Z103">
        <f t="shared" si="27"/>
        <v>4.7988163175529071</v>
      </c>
      <c r="AB103">
        <f>Z103+pulley!$B$12</f>
        <v>4.9107055425357151</v>
      </c>
      <c r="AG103">
        <f>AB103*$AF$5*$AF$6/(6*'lever arm selection'!$J$5*'lever arm selection'!$J$19)</f>
        <v>4.7373715580555377E-5</v>
      </c>
      <c r="AH103">
        <f>AB103*$AF$5*$AF$6/(3*'lever arm selection'!$J$5*'lever arm selection'!$J$19)</f>
        <v>9.4747431161110754E-5</v>
      </c>
      <c r="AI103">
        <f>(AB103*$AF$6/(6*'lever arm selection'!$J$5*'lever arm selection'!$J$19))*(2*$AF$4+$AF$6)</f>
        <v>3.1579581150277915E-4</v>
      </c>
      <c r="AJ103">
        <f>AB103*($AF$6^2)*$AF$4/(3*'lever arm selection'!$J$5*'lever arm selection'!$J$19)</f>
        <v>1.6945691248286009E-2</v>
      </c>
    </row>
    <row r="104" spans="1:41" x14ac:dyDescent="0.2">
      <c r="A104">
        <v>102</v>
      </c>
      <c r="B104" s="7" t="s">
        <v>698</v>
      </c>
      <c r="C104" s="7" t="s">
        <v>699</v>
      </c>
      <c r="D104" s="7" t="s">
        <v>700</v>
      </c>
      <c r="E104" s="7" t="s">
        <v>701</v>
      </c>
      <c r="F104" s="7" t="s">
        <v>702</v>
      </c>
      <c r="G104" s="7" t="s">
        <v>703</v>
      </c>
      <c r="H104" s="7" t="s">
        <v>704</v>
      </c>
      <c r="I104" s="4">
        <f t="shared" si="28"/>
        <v>70.018458249999611</v>
      </c>
      <c r="L104">
        <f t="shared" si="29"/>
        <v>19.981541750000389</v>
      </c>
      <c r="M104">
        <f t="shared" si="20"/>
        <v>0.34874369316221643</v>
      </c>
      <c r="N104">
        <f>'lever arm selection'!$B$21*SIN(M104)</f>
        <v>12.680555947310262</v>
      </c>
      <c r="O104">
        <f>'lever arm selection'!$B$21*COS(M104)</f>
        <v>34.874494368589644</v>
      </c>
      <c r="P104">
        <f>'lever arm selection'!$C$7-N104</f>
        <v>17.484444052689739</v>
      </c>
      <c r="Q104">
        <f t="shared" si="21"/>
        <v>18.284444052689739</v>
      </c>
      <c r="R104">
        <f>O104+'lever arm selection'!$B$22</f>
        <v>52.18449436858964</v>
      </c>
      <c r="S104">
        <f t="shared" si="30"/>
        <v>1.2337823191309241</v>
      </c>
      <c r="T104">
        <f t="shared" si="22"/>
        <v>70.690519724064799</v>
      </c>
      <c r="U104">
        <f t="shared" si="23"/>
        <v>54.6547401379676</v>
      </c>
      <c r="V104">
        <f t="shared" si="24"/>
        <v>0.95390516722943453</v>
      </c>
      <c r="W104">
        <f t="shared" si="25"/>
        <v>0.61689115956546203</v>
      </c>
      <c r="X104">
        <f t="shared" si="31"/>
        <v>12.424998534690186</v>
      </c>
      <c r="Y104">
        <f t="shared" si="26"/>
        <v>10.134833568981877</v>
      </c>
      <c r="Z104">
        <f t="shared" si="27"/>
        <v>7.1878882236781703</v>
      </c>
      <c r="AB104">
        <f>Z104+pulley!$B$12</f>
        <v>7.2997774486609783</v>
      </c>
      <c r="AG104">
        <f>AB104*$AF$5*$AF$6/(6*'lever arm selection'!$J$5*'lever arm selection'!$J$19)</f>
        <v>7.0421159985831558E-5</v>
      </c>
      <c r="AH104">
        <f>AB104*$AF$5*$AF$6/(3*'lever arm selection'!$J$5*'lever arm selection'!$J$19)</f>
        <v>1.4084231997166312E-4</v>
      </c>
      <c r="AI104">
        <f>(AB104*$AF$6/(6*'lever arm selection'!$J$5*'lever arm selection'!$J$19))*(2*$AF$4+$AF$6)</f>
        <v>4.6943135222056838E-4</v>
      </c>
      <c r="AJ104">
        <f>AB104*($AF$6^2)*$AF$4/(3*'lever arm selection'!$J$5*'lever arm selection'!$J$19)</f>
        <v>2.5189817176929679E-2</v>
      </c>
    </row>
    <row r="105" spans="1:41" x14ac:dyDescent="0.2">
      <c r="A105">
        <v>103</v>
      </c>
      <c r="B105" s="7" t="s">
        <v>705</v>
      </c>
      <c r="C105" s="7" t="s">
        <v>706</v>
      </c>
      <c r="D105" s="7" t="s">
        <v>707</v>
      </c>
      <c r="E105" s="7" t="s">
        <v>708</v>
      </c>
      <c r="F105" s="7" t="s">
        <v>709</v>
      </c>
      <c r="G105" s="7" t="s">
        <v>710</v>
      </c>
      <c r="H105">
        <v>0.67164837719444104</v>
      </c>
      <c r="I105" s="4">
        <f t="shared" si="28"/>
        <v>69.367107909999874</v>
      </c>
      <c r="L105">
        <f t="shared" si="29"/>
        <v>20.632892090000126</v>
      </c>
      <c r="M105">
        <f t="shared" si="20"/>
        <v>0.36011190117919639</v>
      </c>
      <c r="N105">
        <f>'lever arm selection'!$B$21*SIN(M105)</f>
        <v>13.076188530016438</v>
      </c>
      <c r="O105">
        <f>'lever arm selection'!$B$21*COS(M105)</f>
        <v>34.728088777315733</v>
      </c>
      <c r="P105">
        <f>'lever arm selection'!$C$7-N105</f>
        <v>17.088811469983565</v>
      </c>
      <c r="Q105">
        <f t="shared" si="21"/>
        <v>17.888811469983565</v>
      </c>
      <c r="R105">
        <f>O105+'lever arm selection'!$B$22</f>
        <v>52.038088777315735</v>
      </c>
      <c r="S105">
        <f t="shared" si="30"/>
        <v>1.2396879028612988</v>
      </c>
      <c r="T105">
        <f t="shared" si="22"/>
        <v>71.028884747376395</v>
      </c>
      <c r="U105">
        <f t="shared" si="23"/>
        <v>54.485557626311802</v>
      </c>
      <c r="V105">
        <f t="shared" si="24"/>
        <v>0.95095237536424715</v>
      </c>
      <c r="W105">
        <f t="shared" si="25"/>
        <v>0.61984395143064941</v>
      </c>
      <c r="X105">
        <f t="shared" si="31"/>
        <v>12.00821180334086</v>
      </c>
      <c r="Y105">
        <f t="shared" si="26"/>
        <v>9.7743135518091222</v>
      </c>
      <c r="Z105">
        <f t="shared" si="27"/>
        <v>6.975668090212956</v>
      </c>
      <c r="AB105">
        <f>Z105+pulley!$B$12</f>
        <v>7.087557315195764</v>
      </c>
      <c r="AG105">
        <f>AB105*$AF$5*$AF$6/(6*'lever arm selection'!$J$5*'lever arm selection'!$J$19)</f>
        <v>6.8373866342145244E-5</v>
      </c>
      <c r="AH105">
        <f>AB105*$AF$5*$AF$6/(3*'lever arm selection'!$J$5*'lever arm selection'!$J$19)</f>
        <v>1.3674773268429049E-4</v>
      </c>
      <c r="AI105">
        <f>(AB105*$AF$6/(6*'lever arm selection'!$J$5*'lever arm selection'!$J$19))*(2*$AF$4+$AF$6)</f>
        <v>4.5578397941754145E-4</v>
      </c>
      <c r="AJ105">
        <f>AB105*($AF$6^2)*$AF$4/(3*'lever arm selection'!$J$5*'lever arm selection'!$J$19)</f>
        <v>2.4457495349196015E-2</v>
      </c>
    </row>
    <row r="106" spans="1:41" x14ac:dyDescent="0.2">
      <c r="A106">
        <v>104</v>
      </c>
      <c r="B106" s="7" t="s">
        <v>711</v>
      </c>
      <c r="C106" s="7" t="s">
        <v>712</v>
      </c>
      <c r="D106" s="7" t="s">
        <v>713</v>
      </c>
      <c r="E106" s="7" t="s">
        <v>714</v>
      </c>
      <c r="F106">
        <v>9.3172761258172798</v>
      </c>
      <c r="G106" s="7" t="s">
        <v>715</v>
      </c>
      <c r="H106" s="7" t="s">
        <v>716</v>
      </c>
      <c r="I106" s="4">
        <f t="shared" si="28"/>
        <v>70.112311969999894</v>
      </c>
      <c r="L106">
        <f t="shared" si="29"/>
        <v>19.887688030000106</v>
      </c>
      <c r="M106">
        <f t="shared" si="20"/>
        <v>0.34710563673296668</v>
      </c>
      <c r="N106">
        <f>'lever arm selection'!$B$21*SIN(M106)</f>
        <v>12.623412570727085</v>
      </c>
      <c r="O106">
        <f>'lever arm selection'!$B$21*COS(M106)</f>
        <v>34.895219037381978</v>
      </c>
      <c r="P106">
        <f>'lever arm selection'!$C$7-N106</f>
        <v>17.541587429272916</v>
      </c>
      <c r="Q106">
        <f t="shared" si="21"/>
        <v>18.341587429272916</v>
      </c>
      <c r="R106">
        <f>O106+'lever arm selection'!$B$22</f>
        <v>52.20521903738198</v>
      </c>
      <c r="S106">
        <f t="shared" si="30"/>
        <v>1.2329315542920405</v>
      </c>
      <c r="T106">
        <f t="shared" si="22"/>
        <v>70.641774489438646</v>
      </c>
      <c r="U106">
        <f t="shared" si="23"/>
        <v>54.679112755280677</v>
      </c>
      <c r="V106">
        <f t="shared" si="24"/>
        <v>0.95433054964887631</v>
      </c>
      <c r="W106">
        <f t="shared" si="25"/>
        <v>0.61646577714602024</v>
      </c>
      <c r="X106">
        <f t="shared" si="31"/>
        <v>15.968394366081062</v>
      </c>
      <c r="Y106">
        <f t="shared" si="26"/>
        <v>13.029042148498608</v>
      </c>
      <c r="Z106">
        <f t="shared" si="27"/>
        <v>9.2322087998125451</v>
      </c>
      <c r="AB106">
        <f>Z106+pulley!$B$12</f>
        <v>9.344098024795354</v>
      </c>
      <c r="AG106">
        <f>AB106*$AF$5*$AF$6/(6*'lever arm selection'!$J$5*'lever arm selection'!$J$19)</f>
        <v>9.0142778537462056E-5</v>
      </c>
      <c r="AH106">
        <f>AB106*$AF$5*$AF$6/(3*'lever arm selection'!$J$5*'lever arm selection'!$J$19)</f>
        <v>1.8028555707492411E-4</v>
      </c>
      <c r="AI106">
        <f>(AB106*$AF$6/(6*'lever arm selection'!$J$5*'lever arm selection'!$J$19))*(2*$AF$4+$AF$6)</f>
        <v>6.0089675362169279E-4</v>
      </c>
      <c r="AJ106">
        <f>AB106*($AF$6^2)*$AF$4/(3*'lever arm selection'!$J$5*'lever arm selection'!$J$19)</f>
        <v>3.2244287251672374E-2</v>
      </c>
    </row>
    <row r="107" spans="1:41" x14ac:dyDescent="0.2">
      <c r="A107">
        <v>105</v>
      </c>
      <c r="B107" s="7" t="s">
        <v>717</v>
      </c>
      <c r="C107" s="7" t="s">
        <v>718</v>
      </c>
      <c r="D107" s="7" t="s">
        <v>719</v>
      </c>
      <c r="E107" s="7" t="s">
        <v>720</v>
      </c>
      <c r="F107" s="7" t="s">
        <v>721</v>
      </c>
      <c r="G107" s="7" t="s">
        <v>722</v>
      </c>
      <c r="H107" s="7" t="s">
        <v>723</v>
      </c>
      <c r="I107" s="4">
        <f t="shared" si="28"/>
        <v>71.421453029999981</v>
      </c>
      <c r="L107">
        <f t="shared" si="29"/>
        <v>18.578546970000019</v>
      </c>
      <c r="M107">
        <f t="shared" si="20"/>
        <v>0.32425681486291652</v>
      </c>
      <c r="N107">
        <f>'lever arm selection'!$B$21*SIN(M107)</f>
        <v>11.822872299819766</v>
      </c>
      <c r="O107">
        <f>'lever arm selection'!$B$21*COS(M107)</f>
        <v>35.174515592681743</v>
      </c>
      <c r="P107">
        <f>'lever arm selection'!$C$7-N107</f>
        <v>18.342127700180235</v>
      </c>
      <c r="Q107">
        <f t="shared" si="21"/>
        <v>19.142127700180236</v>
      </c>
      <c r="R107">
        <f>O107+'lever arm selection'!$B$22</f>
        <v>52.484515592681745</v>
      </c>
      <c r="S107">
        <f t="shared" si="30"/>
        <v>1.221068993682136</v>
      </c>
      <c r="T107">
        <f t="shared" si="22"/>
        <v>69.962099832272969</v>
      </c>
      <c r="U107">
        <f t="shared" si="23"/>
        <v>55.018950083863515</v>
      </c>
      <c r="V107">
        <f t="shared" si="24"/>
        <v>0.96026182995382869</v>
      </c>
      <c r="W107">
        <f t="shared" si="25"/>
        <v>0.61053449684106798</v>
      </c>
      <c r="X107">
        <f t="shared" si="31"/>
        <v>16.815998547755964</v>
      </c>
      <c r="Y107">
        <f t="shared" si="26"/>
        <v>13.778048920234712</v>
      </c>
      <c r="Z107">
        <f t="shared" si="27"/>
        <v>9.6407040774909056</v>
      </c>
      <c r="AB107">
        <f>Z107+pulley!$B$12</f>
        <v>9.7525933024737146</v>
      </c>
      <c r="AG107">
        <f>AB107*$AF$5*$AF$6/(6*'lever arm selection'!$J$5*'lever arm selection'!$J$19)</f>
        <v>9.4083544061501594E-5</v>
      </c>
      <c r="AH107">
        <f>AB107*$AF$5*$AF$6/(3*'lever arm selection'!$J$5*'lever arm selection'!$J$19)</f>
        <v>1.8816708812300319E-4</v>
      </c>
      <c r="AI107">
        <f>(AB107*$AF$6/(6*'lever arm selection'!$J$5*'lever arm selection'!$J$19))*(2*$AF$4+$AF$6)</f>
        <v>6.2716611483508769E-4</v>
      </c>
      <c r="AJ107">
        <f>AB107*($AF$6^2)*$AF$4/(3*'lever arm selection'!$J$5*'lever arm selection'!$J$19)</f>
        <v>3.3653908494885011E-2</v>
      </c>
    </row>
    <row r="108" spans="1:41" x14ac:dyDescent="0.2">
      <c r="A108">
        <v>106</v>
      </c>
      <c r="B108" s="7" t="s">
        <v>724</v>
      </c>
      <c r="C108" s="7" t="s">
        <v>725</v>
      </c>
      <c r="D108" s="7" t="s">
        <v>726</v>
      </c>
      <c r="E108" s="7" t="s">
        <v>727</v>
      </c>
      <c r="F108" s="7" t="s">
        <v>728</v>
      </c>
      <c r="G108" s="7" t="s">
        <v>729</v>
      </c>
      <c r="H108" s="7" t="s">
        <v>730</v>
      </c>
      <c r="I108" s="4">
        <f t="shared" si="28"/>
        <v>72.584072749999706</v>
      </c>
      <c r="L108">
        <f t="shared" si="29"/>
        <v>17.415927250000294</v>
      </c>
      <c r="M108">
        <f t="shared" si="20"/>
        <v>0.30396527280030672</v>
      </c>
      <c r="N108">
        <f>'lever arm selection'!$B$21*SIN(M108)</f>
        <v>11.106742185808137</v>
      </c>
      <c r="O108">
        <f>'lever arm selection'!$B$21*COS(M108)</f>
        <v>35.407162193765913</v>
      </c>
      <c r="P108">
        <f>'lever arm selection'!$C$7-N108</f>
        <v>19.058257814191865</v>
      </c>
      <c r="Q108">
        <f t="shared" si="21"/>
        <v>19.858257814191866</v>
      </c>
      <c r="R108">
        <f>O108+'lever arm selection'!$B$22</f>
        <v>52.717162193765915</v>
      </c>
      <c r="S108">
        <f t="shared" si="30"/>
        <v>1.2105410159962973</v>
      </c>
      <c r="T108">
        <f t="shared" si="22"/>
        <v>69.358891144066504</v>
      </c>
      <c r="U108">
        <f t="shared" si="23"/>
        <v>55.320554427966748</v>
      </c>
      <c r="V108">
        <f t="shared" si="24"/>
        <v>0.96552581879674804</v>
      </c>
      <c r="W108">
        <f t="shared" si="25"/>
        <v>0.60527050799814863</v>
      </c>
      <c r="X108">
        <f t="shared" si="31"/>
        <v>18.614427188671172</v>
      </c>
      <c r="Y108">
        <f t="shared" si="26"/>
        <v>15.307540931838814</v>
      </c>
      <c r="Z108">
        <f t="shared" si="27"/>
        <v>10.591321455910016</v>
      </c>
      <c r="AB108">
        <f>Z108+pulley!$B$12</f>
        <v>10.703210680892825</v>
      </c>
      <c r="AG108">
        <f>AB108*$AF$5*$AF$6/(6*'lever arm selection'!$J$5*'lever arm selection'!$J$19)</f>
        <v>1.0325417685979925E-4</v>
      </c>
      <c r="AH108">
        <f>AB108*$AF$5*$AF$6/(3*'lever arm selection'!$J$5*'lever arm selection'!$J$19)</f>
        <v>2.065083537195985E-4</v>
      </c>
      <c r="AI108">
        <f>(AB108*$AF$6/(6*'lever arm selection'!$J$5*'lever arm selection'!$J$19))*(2*$AF$4+$AF$6)</f>
        <v>6.8829806091619901E-4</v>
      </c>
      <c r="AJ108">
        <f>AB108*($AF$6^2)*$AF$4/(3*'lever arm selection'!$J$5*'lever arm selection'!$J$19)</f>
        <v>3.6934265757280996E-2</v>
      </c>
    </row>
    <row r="110" spans="1:41" x14ac:dyDescent="0.2">
      <c r="K110" s="6" t="s">
        <v>29</v>
      </c>
      <c r="L110" s="4">
        <f t="shared" ref="L110:Z110" si="32">MAX(L3:L108)</f>
        <v>26.351843310000334</v>
      </c>
      <c r="M110" s="4">
        <f t="shared" si="32"/>
        <v>0.4599264297291466</v>
      </c>
      <c r="N110" s="4">
        <f t="shared" si="32"/>
        <v>16.471718757689413</v>
      </c>
      <c r="O110" s="4">
        <f t="shared" si="32"/>
        <v>37.107995080504786</v>
      </c>
      <c r="P110" s="4">
        <f t="shared" si="32"/>
        <v>41.345731855847603</v>
      </c>
      <c r="Q110" s="4">
        <f t="shared" si="32"/>
        <v>42.1457318558476</v>
      </c>
      <c r="R110" s="4">
        <f t="shared" si="32"/>
        <v>54.417995080504781</v>
      </c>
      <c r="S110" s="4">
        <f t="shared" si="32"/>
        <v>1.2916386534347895</v>
      </c>
      <c r="T110" s="4">
        <f t="shared" si="32"/>
        <v>74.005443497774252</v>
      </c>
      <c r="U110" s="4">
        <f t="shared" si="32"/>
        <v>64.326800223369474</v>
      </c>
      <c r="V110" s="4">
        <f t="shared" si="32"/>
        <v>1.1227144611704212</v>
      </c>
      <c r="W110" s="4"/>
      <c r="X110" s="4">
        <f t="shared" si="32"/>
        <v>82.544270184208699</v>
      </c>
      <c r="Y110" s="4">
        <f t="shared" si="32"/>
        <v>74.395480656957361</v>
      </c>
      <c r="Z110" s="4">
        <f t="shared" si="32"/>
        <v>36.16129409710674</v>
      </c>
      <c r="AA110" s="4"/>
      <c r="AB110" s="4">
        <f t="shared" ref="AB110" si="33">MAX(AB3:AB108)</f>
        <v>36.273183322089551</v>
      </c>
      <c r="AC110" s="4"/>
      <c r="AD110" s="4"/>
      <c r="AE110" s="4"/>
      <c r="AF110" s="4"/>
      <c r="AG110" s="4">
        <f t="shared" ref="AG110:AJ110" si="34">MAX(AG3:AG108)</f>
        <v>3.4992842780279932E-4</v>
      </c>
      <c r="AH110" s="4">
        <f t="shared" si="34"/>
        <v>6.9985685560559863E-4</v>
      </c>
      <c r="AI110" s="4">
        <f t="shared" si="34"/>
        <v>2.3326422779308877E-3</v>
      </c>
      <c r="AJ110" s="4">
        <f t="shared" si="34"/>
        <v>0.1251702346728798</v>
      </c>
      <c r="AK110" s="4"/>
      <c r="AL110" s="4"/>
      <c r="AM110" s="4"/>
      <c r="AN110" s="4"/>
      <c r="AO110" s="4"/>
    </row>
    <row r="111" spans="1:41" x14ac:dyDescent="0.2">
      <c r="K111" s="6" t="s">
        <v>30</v>
      </c>
      <c r="L111" s="4">
        <f>MIN(L3:L108)</f>
        <v>-17.535696499999872</v>
      </c>
      <c r="M111" s="4">
        <f t="shared" ref="M111:Z111" si="35">MIN(M3:M108)</f>
        <v>-0.3060556405554436</v>
      </c>
      <c r="N111" s="4">
        <f t="shared" si="35"/>
        <v>-11.180731855847597</v>
      </c>
      <c r="O111" s="4">
        <f t="shared" si="35"/>
        <v>33.252208013382202</v>
      </c>
      <c r="P111" s="4">
        <f t="shared" si="35"/>
        <v>13.69328124231059</v>
      </c>
      <c r="Q111" s="4">
        <f t="shared" si="35"/>
        <v>14.493281242310591</v>
      </c>
      <c r="R111" s="4">
        <f t="shared" si="35"/>
        <v>50.562208013382204</v>
      </c>
      <c r="S111" s="4">
        <f t="shared" si="35"/>
        <v>0.89616373124895077</v>
      </c>
      <c r="T111" s="4">
        <f t="shared" si="35"/>
        <v>51.346399553261044</v>
      </c>
      <c r="U111" s="4">
        <f t="shared" si="35"/>
        <v>52.997278251112874</v>
      </c>
      <c r="V111" s="4">
        <f t="shared" si="35"/>
        <v>0.92497700007750183</v>
      </c>
      <c r="W111" s="4"/>
      <c r="X111" s="4">
        <f t="shared" si="35"/>
        <v>0</v>
      </c>
      <c r="Y111" s="4">
        <f t="shared" si="35"/>
        <v>0</v>
      </c>
      <c r="Z111" s="4">
        <f t="shared" si="35"/>
        <v>0</v>
      </c>
      <c r="AA111" s="4"/>
      <c r="AB111" s="4">
        <f t="shared" ref="AB111" si="36">MIN(AB3:AB108)</f>
        <v>0.11188922498280815</v>
      </c>
      <c r="AC111" s="4"/>
      <c r="AD111" s="4"/>
      <c r="AE111" s="4"/>
      <c r="AF111" s="4"/>
      <c r="AG111" s="4">
        <f t="shared" ref="AG111:AJ111" si="37">MIN(AG3:AG108)</f>
        <v>1.0793985253139975E-6</v>
      </c>
      <c r="AH111" s="4">
        <f t="shared" si="37"/>
        <v>2.158797050627995E-6</v>
      </c>
      <c r="AI111" s="4">
        <f t="shared" si="37"/>
        <v>7.1953303442457331E-6</v>
      </c>
      <c r="AJ111" s="4">
        <f t="shared" si="37"/>
        <v>3.8610343140012992E-4</v>
      </c>
      <c r="AK111" s="4"/>
      <c r="AL111" s="4"/>
      <c r="AM111" s="4"/>
      <c r="AN111" s="4"/>
      <c r="AO111" s="4"/>
    </row>
  </sheetData>
  <mergeCells count="1">
    <mergeCell ref="AG1:AJ1"/>
  </mergeCells>
  <conditionalFormatting sqref="X3:AC10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3:AO10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3:AG10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3:AH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3:AI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3:AJ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3:A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C3AA-4CB7-614A-A6E3-67F946A7E33D}">
  <dimension ref="A1:W128"/>
  <sheetViews>
    <sheetView topLeftCell="E1" workbookViewId="0">
      <pane ySplit="1" topLeftCell="A104" activePane="bottomLeft" state="frozen"/>
      <selection pane="bottomLeft" activeCell="W124" sqref="W124"/>
    </sheetView>
  </sheetViews>
  <sheetFormatPr baseColWidth="10" defaultRowHeight="16" x14ac:dyDescent="0.2"/>
  <cols>
    <col min="4" max="4" width="24.6640625" customWidth="1"/>
    <col min="8" max="8" width="10.83203125" style="4"/>
    <col min="10" max="11" width="10.83203125" style="4"/>
    <col min="14" max="15" width="10.83203125" style="4"/>
    <col min="17" max="18" width="10.83203125" style="4"/>
    <col min="20" max="23" width="10.83203125" style="4"/>
  </cols>
  <sheetData>
    <row r="1" spans="1:23" x14ac:dyDescent="0.2">
      <c r="G1" s="9" t="s">
        <v>822</v>
      </c>
      <c r="H1" s="9"/>
      <c r="I1" s="9"/>
      <c r="J1" s="9"/>
      <c r="K1" s="9"/>
      <c r="M1" s="9" t="s">
        <v>829</v>
      </c>
      <c r="N1" s="9"/>
      <c r="O1" s="9"/>
      <c r="P1" s="9"/>
      <c r="Q1" s="9"/>
      <c r="R1" s="13"/>
      <c r="T1" s="9" t="s">
        <v>830</v>
      </c>
      <c r="U1" s="9"/>
      <c r="V1" s="9"/>
      <c r="W1" s="9"/>
    </row>
    <row r="2" spans="1:23" s="1" customFormat="1" ht="85" x14ac:dyDescent="0.2">
      <c r="A2" s="12" t="s">
        <v>814</v>
      </c>
      <c r="B2" s="12" t="s">
        <v>813</v>
      </c>
      <c r="G2" s="1" t="s">
        <v>818</v>
      </c>
      <c r="H2" s="5" t="s">
        <v>817</v>
      </c>
      <c r="I2" s="1" t="s">
        <v>819</v>
      </c>
      <c r="J2" s="5" t="s">
        <v>820</v>
      </c>
      <c r="K2" s="5" t="s">
        <v>821</v>
      </c>
      <c r="M2" s="1" t="s">
        <v>823</v>
      </c>
      <c r="N2" s="5" t="s">
        <v>825</v>
      </c>
      <c r="O2" s="5" t="s">
        <v>833</v>
      </c>
      <c r="P2" s="1" t="s">
        <v>826</v>
      </c>
      <c r="Q2" s="5" t="s">
        <v>828</v>
      </c>
      <c r="R2" s="5" t="s">
        <v>837</v>
      </c>
      <c r="T2" s="5" t="s">
        <v>831</v>
      </c>
      <c r="U2" s="5" t="s">
        <v>832</v>
      </c>
      <c r="V2" s="5" t="s">
        <v>833</v>
      </c>
      <c r="W2" s="5" t="s">
        <v>837</v>
      </c>
    </row>
    <row r="3" spans="1:23" x14ac:dyDescent="0.2">
      <c r="A3" cm="1">
        <f t="array" ref="A3:A108">spring_gait_parameters!AB3:AB108</f>
        <v>31.211365284478241</v>
      </c>
      <c r="B3" cm="1">
        <f t="array" ref="B3:B108">spring_gait_parameters!Y3:Y108</f>
        <v>57.693780425242196</v>
      </c>
      <c r="D3" t="s">
        <v>734</v>
      </c>
      <c r="G3">
        <f>-A3*$E$6/$E$5</f>
        <v>-48.544652942653357</v>
      </c>
      <c r="H3" s="4">
        <f>(4/3)*G3/$E$12</f>
        <v>-1.6818767840008284</v>
      </c>
      <c r="I3">
        <f>A3</f>
        <v>31.211365284478241</v>
      </c>
      <c r="J3" s="4">
        <f>(3/2)*G3/$E$13</f>
        <v>-0.62236734541863281</v>
      </c>
      <c r="K3" s="4">
        <f>(3/2)*I3/$E$13</f>
        <v>0.4001457087753621</v>
      </c>
      <c r="M3">
        <f>(-A3*$E$6/$E$5)*$E$9</f>
        <v>-728.16979413980039</v>
      </c>
      <c r="N3" s="4">
        <f>32*M3/(PI()*$E$15^3)</f>
        <v>-21.624130080010648</v>
      </c>
      <c r="O3" s="4">
        <f>N3*2.5</f>
        <v>-54.060325200026618</v>
      </c>
      <c r="P3">
        <f>-A3*$E$6</f>
        <v>-2184.5093824194009</v>
      </c>
      <c r="Q3" s="4">
        <f>(P3*($E$18/2))/$E$17</f>
        <v>-12.447346908372655</v>
      </c>
      <c r="R3" s="4">
        <f>2.1*6*P3/(($E$18-$E$20)*$E$19^2)</f>
        <v>-27.144791142489602</v>
      </c>
      <c r="T3" s="4">
        <f>B3/$E$13</f>
        <v>0.49310923440377946</v>
      </c>
      <c r="U3" s="4">
        <f>B3/$E$12</f>
        <v>1.4991429127078739</v>
      </c>
      <c r="V3" s="4">
        <f>2.8*U3</f>
        <v>4.1976001555820464</v>
      </c>
      <c r="W3" s="4">
        <f>3.25*B3/(($E$18-$E$20)*$E$19)</f>
        <v>2.4039075177184248</v>
      </c>
    </row>
    <row r="4" spans="1:23" x14ac:dyDescent="0.2">
      <c r="A4">
        <v>30.467076591691434</v>
      </c>
      <c r="B4">
        <v>54.502206824513401</v>
      </c>
      <c r="D4" t="s">
        <v>743</v>
      </c>
      <c r="E4" cm="1">
        <f t="array" ref="E4:E9">spring_gait_parameters!AF4:AF9</f>
        <v>114.99083066403961</v>
      </c>
      <c r="G4">
        <f t="shared" ref="G4:G67" si="0">-A4*$E$6/$E$5</f>
        <v>-47.387022190164444</v>
      </c>
      <c r="H4" s="4">
        <f t="shared" ref="H4:H67" si="1">(4/3)*G4/$E$12</f>
        <v>-1.6417695390410894</v>
      </c>
      <c r="I4">
        <f t="shared" ref="I4:I67" si="2">A4</f>
        <v>30.467076591691434</v>
      </c>
      <c r="J4" s="4">
        <f t="shared" ref="J4:J67" si="3">(3/2)*G4/$E$13</f>
        <v>-0.60752592551492879</v>
      </c>
      <c r="K4" s="4">
        <f t="shared" ref="K4:K67" si="4">(3/2)*I4/$E$13</f>
        <v>0.39060354604732606</v>
      </c>
      <c r="M4">
        <f t="shared" ref="M4:M67" si="5">(-A4*$E$6/$E$5)*$E$9</f>
        <v>-710.80533285246668</v>
      </c>
      <c r="N4" s="4">
        <f t="shared" ref="N4:N67" si="6">32*M4/(PI()*$E$15^3)</f>
        <v>-21.108465501956861</v>
      </c>
      <c r="O4" s="4">
        <f t="shared" ref="O4:O67" si="7">N4*2.5</f>
        <v>-52.77116375489215</v>
      </c>
      <c r="P4">
        <f t="shared" ref="P4:P67" si="8">-A4*$E$6</f>
        <v>-2132.4159985574001</v>
      </c>
      <c r="Q4" s="4">
        <f t="shared" ref="Q4:Q67" si="9">(P4*($E$18/2))/$E$17</f>
        <v>-12.150518510298577</v>
      </c>
      <c r="R4" s="4">
        <f t="shared" ref="R4:R67" si="10">2.1*6*P4/(($E$18-$E$20)*$E$19^2)</f>
        <v>-26.497476905151128</v>
      </c>
      <c r="T4" s="4">
        <f t="shared" ref="T4:T67" si="11">B4/$E$13</f>
        <v>0.46583082755994359</v>
      </c>
      <c r="U4" s="4">
        <f t="shared" ref="U4:U67" si="12">B4/$E$12</f>
        <v>1.4162115307001046</v>
      </c>
      <c r="V4" s="4">
        <f t="shared" ref="V4:V67" si="13">2.8*U4</f>
        <v>3.9653922859602928</v>
      </c>
      <c r="W4" s="4">
        <f t="shared" ref="W4:W67" si="14">3.25*B4/(($E$18-$E$20)*$E$19)</f>
        <v>2.2709252843547247</v>
      </c>
    </row>
    <row r="5" spans="1:23" x14ac:dyDescent="0.2">
      <c r="A5">
        <v>27.547146717088488</v>
      </c>
      <c r="B5">
        <v>47.978145553538674</v>
      </c>
      <c r="D5" t="s">
        <v>762</v>
      </c>
      <c r="E5">
        <v>45</v>
      </c>
      <c r="G5">
        <f t="shared" si="0"/>
        <v>-42.845504025626553</v>
      </c>
      <c r="H5" s="4">
        <f t="shared" si="1"/>
        <v>-1.4844242187629206</v>
      </c>
      <c r="I5">
        <f t="shared" si="2"/>
        <v>27.547146717088488</v>
      </c>
      <c r="J5" s="4">
        <f t="shared" si="3"/>
        <v>-0.54930133366187894</v>
      </c>
      <c r="K5" s="4">
        <f t="shared" si="4"/>
        <v>0.35316854765498062</v>
      </c>
      <c r="M5">
        <f t="shared" si="5"/>
        <v>-642.68256038439836</v>
      </c>
      <c r="N5" s="4">
        <f t="shared" si="6"/>
        <v>-19.085454241237553</v>
      </c>
      <c r="O5" s="4">
        <f t="shared" si="7"/>
        <v>-47.713635603093884</v>
      </c>
      <c r="P5">
        <f t="shared" si="8"/>
        <v>-1928.0476811531948</v>
      </c>
      <c r="Q5" s="4">
        <f t="shared" si="9"/>
        <v>-10.986026673237578</v>
      </c>
      <c r="R5" s="4">
        <f t="shared" si="10"/>
        <v>-23.957988937406565</v>
      </c>
      <c r="T5" s="4">
        <f t="shared" si="11"/>
        <v>0.41006962011571518</v>
      </c>
      <c r="U5" s="4">
        <f t="shared" si="12"/>
        <v>1.246687187792346</v>
      </c>
      <c r="V5" s="4">
        <f t="shared" si="13"/>
        <v>3.4907241258185686</v>
      </c>
      <c r="W5" s="4">
        <f t="shared" si="14"/>
        <v>1.9990893980641113</v>
      </c>
    </row>
    <row r="6" spans="1:23" x14ac:dyDescent="0.2">
      <c r="A6">
        <v>26.15641176171945</v>
      </c>
      <c r="B6">
        <v>44.155414942975312</v>
      </c>
      <c r="D6" t="s">
        <v>735</v>
      </c>
      <c r="E6">
        <v>69.990830664039606</v>
      </c>
      <c r="G6">
        <f t="shared" si="0"/>
        <v>-40.682421919853333</v>
      </c>
      <c r="H6" s="4">
        <f t="shared" si="1"/>
        <v>-1.409482132352595</v>
      </c>
      <c r="I6">
        <f t="shared" si="2"/>
        <v>26.15641176171945</v>
      </c>
      <c r="J6" s="4">
        <f t="shared" si="3"/>
        <v>-0.52156951179299138</v>
      </c>
      <c r="K6" s="4">
        <f t="shared" si="4"/>
        <v>0.33533861232973655</v>
      </c>
      <c r="M6">
        <f t="shared" si="5"/>
        <v>-610.23632879779996</v>
      </c>
      <c r="N6" s="4">
        <f t="shared" si="6"/>
        <v>-18.121913130247645</v>
      </c>
      <c r="O6" s="4">
        <f t="shared" si="7"/>
        <v>-45.304782825619114</v>
      </c>
      <c r="P6">
        <f t="shared" si="8"/>
        <v>-1830.7089863934</v>
      </c>
      <c r="Q6" s="4">
        <f t="shared" si="9"/>
        <v>-10.431390235859828</v>
      </c>
      <c r="R6" s="4">
        <f t="shared" si="10"/>
        <v>-22.748454860509707</v>
      </c>
      <c r="T6" s="4">
        <f t="shared" si="11"/>
        <v>0.37739670891431892</v>
      </c>
      <c r="U6" s="4">
        <f t="shared" si="12"/>
        <v>1.1473555187670632</v>
      </c>
      <c r="V6" s="4">
        <f t="shared" si="13"/>
        <v>3.2125954525477769</v>
      </c>
      <c r="W6" s="4">
        <f t="shared" si="14"/>
        <v>1.8398089559573048</v>
      </c>
    </row>
    <row r="7" spans="1:23" x14ac:dyDescent="0.2">
      <c r="A7">
        <v>21.697654433517986</v>
      </c>
      <c r="B7">
        <v>35.221442798319238</v>
      </c>
      <c r="E7">
        <v>0</v>
      </c>
      <c r="G7">
        <f t="shared" si="0"/>
        <v>-33.747485716960121</v>
      </c>
      <c r="H7" s="4">
        <f t="shared" si="1"/>
        <v>-1.1692145129311216</v>
      </c>
      <c r="I7">
        <f t="shared" si="2"/>
        <v>21.697654433517986</v>
      </c>
      <c r="J7" s="4">
        <f t="shared" si="3"/>
        <v>-0.43266007329436057</v>
      </c>
      <c r="K7" s="4">
        <f t="shared" si="4"/>
        <v>0.27817505683997418</v>
      </c>
      <c r="M7">
        <f t="shared" si="5"/>
        <v>-506.21228575440182</v>
      </c>
      <c r="N7" s="4">
        <f t="shared" si="6"/>
        <v>-15.032758023400131</v>
      </c>
      <c r="O7" s="4">
        <f t="shared" si="7"/>
        <v>-37.581895058500329</v>
      </c>
      <c r="P7">
        <f t="shared" si="8"/>
        <v>-1518.6368572632055</v>
      </c>
      <c r="Q7" s="4">
        <f t="shared" si="9"/>
        <v>-8.6532014658872107</v>
      </c>
      <c r="R7" s="4">
        <f t="shared" si="10"/>
        <v>-18.870635504454036</v>
      </c>
      <c r="T7" s="4">
        <f t="shared" si="11"/>
        <v>0.30103797263520715</v>
      </c>
      <c r="U7" s="4">
        <f t="shared" si="12"/>
        <v>0.91521089374382791</v>
      </c>
      <c r="V7" s="4">
        <f t="shared" si="13"/>
        <v>2.5625905024827178</v>
      </c>
      <c r="W7" s="4">
        <f t="shared" si="14"/>
        <v>1.467560116596635</v>
      </c>
    </row>
    <row r="8" spans="1:23" x14ac:dyDescent="0.2">
      <c r="A8">
        <v>20.282771751637707</v>
      </c>
      <c r="B8">
        <v>31.943591852084143</v>
      </c>
      <c r="D8" t="s">
        <v>812</v>
      </c>
      <c r="E8">
        <v>30</v>
      </c>
      <c r="G8">
        <f t="shared" si="0"/>
        <v>-31.546845401472016</v>
      </c>
      <c r="H8" s="4">
        <f t="shared" si="1"/>
        <v>-1.0929711857632869</v>
      </c>
      <c r="I8">
        <f t="shared" si="2"/>
        <v>20.282771751637707</v>
      </c>
      <c r="J8" s="4">
        <f t="shared" si="3"/>
        <v>-0.40444673591630792</v>
      </c>
      <c r="K8" s="4">
        <f t="shared" si="4"/>
        <v>0.26003553527740647</v>
      </c>
      <c r="M8">
        <f t="shared" si="5"/>
        <v>-473.20268102208024</v>
      </c>
      <c r="N8" s="4">
        <f t="shared" si="6"/>
        <v>-14.0524866740994</v>
      </c>
      <c r="O8" s="4">
        <f t="shared" si="7"/>
        <v>-35.131216685248503</v>
      </c>
      <c r="P8">
        <f t="shared" si="8"/>
        <v>-1419.6080430662407</v>
      </c>
      <c r="Q8" s="4">
        <f t="shared" si="9"/>
        <v>-8.0889347183261577</v>
      </c>
      <c r="R8" s="4">
        <f t="shared" si="10"/>
        <v>-17.640099943426662</v>
      </c>
      <c r="T8" s="4">
        <f t="shared" si="11"/>
        <v>0.27302215258191576</v>
      </c>
      <c r="U8" s="4">
        <f t="shared" si="12"/>
        <v>0.83003763973374434</v>
      </c>
      <c r="V8" s="4">
        <f t="shared" si="13"/>
        <v>2.3241053912544838</v>
      </c>
      <c r="W8" s="4">
        <f t="shared" si="14"/>
        <v>1.3309829938368394</v>
      </c>
    </row>
    <row r="9" spans="1:23" x14ac:dyDescent="0.2">
      <c r="A9">
        <v>17.101008887816931</v>
      </c>
      <c r="B9">
        <v>25.881832796723156</v>
      </c>
      <c r="D9" t="s">
        <v>763</v>
      </c>
      <c r="E9">
        <v>15</v>
      </c>
      <c r="G9">
        <f t="shared" si="0"/>
        <v>-26.598084827809579</v>
      </c>
      <c r="H9" s="4">
        <f t="shared" si="1"/>
        <v>-0.92151655556428591</v>
      </c>
      <c r="I9">
        <f t="shared" si="2"/>
        <v>17.101008887816931</v>
      </c>
      <c r="J9" s="4">
        <f t="shared" si="3"/>
        <v>-0.34100108753602026</v>
      </c>
      <c r="K9" s="4">
        <f t="shared" si="4"/>
        <v>0.21924370368996066</v>
      </c>
      <c r="M9">
        <f t="shared" si="5"/>
        <v>-398.97127241714367</v>
      </c>
      <c r="N9" s="4">
        <f t="shared" si="6"/>
        <v>-11.848070000112246</v>
      </c>
      <c r="O9" s="4">
        <f t="shared" si="7"/>
        <v>-29.620175000280614</v>
      </c>
      <c r="P9">
        <f t="shared" si="8"/>
        <v>-1196.9138172514311</v>
      </c>
      <c r="Q9" s="4">
        <f t="shared" si="9"/>
        <v>-6.8200217507204046</v>
      </c>
      <c r="R9" s="4">
        <f t="shared" si="10"/>
        <v>-14.87289358714796</v>
      </c>
      <c r="T9" s="4">
        <f t="shared" si="11"/>
        <v>0.22121224612583895</v>
      </c>
      <c r="U9" s="4">
        <f t="shared" si="12"/>
        <v>0.67252597973492645</v>
      </c>
      <c r="V9" s="4">
        <f t="shared" si="13"/>
        <v>1.8830727432577938</v>
      </c>
      <c r="W9" s="4">
        <f t="shared" si="14"/>
        <v>1.0784096998634649</v>
      </c>
    </row>
    <row r="10" spans="1:23" x14ac:dyDescent="0.2">
      <c r="A10">
        <v>12.307619437623446</v>
      </c>
      <c r="B10">
        <v>18.066966597327955</v>
      </c>
      <c r="G10">
        <f t="shared" si="0"/>
        <v>-19.142677954136555</v>
      </c>
      <c r="H10" s="4">
        <f t="shared" si="1"/>
        <v>-0.66321672281188204</v>
      </c>
      <c r="I10">
        <f t="shared" si="2"/>
        <v>12.307619437623446</v>
      </c>
      <c r="J10" s="4">
        <f t="shared" si="3"/>
        <v>-0.24541894812995582</v>
      </c>
      <c r="K10" s="4">
        <f t="shared" si="4"/>
        <v>0.15778999279004419</v>
      </c>
      <c r="M10">
        <f t="shared" si="5"/>
        <v>-287.14016931204833</v>
      </c>
      <c r="N10" s="4">
        <f t="shared" si="6"/>
        <v>-8.5270721504384817</v>
      </c>
      <c r="O10" s="4">
        <f t="shared" si="7"/>
        <v>-21.317680376096206</v>
      </c>
      <c r="P10">
        <f t="shared" si="8"/>
        <v>-861.42050793614499</v>
      </c>
      <c r="Q10" s="4">
        <f t="shared" si="9"/>
        <v>-4.9083789625991168</v>
      </c>
      <c r="R10" s="4">
        <f t="shared" si="10"/>
        <v>-10.704041814591152</v>
      </c>
      <c r="T10" s="4">
        <f t="shared" si="11"/>
        <v>0.15441851792587996</v>
      </c>
      <c r="U10" s="4">
        <f t="shared" si="12"/>
        <v>0.46946074132912735</v>
      </c>
      <c r="V10" s="4">
        <f t="shared" si="13"/>
        <v>1.3144900757215565</v>
      </c>
      <c r="W10" s="4">
        <f t="shared" si="14"/>
        <v>0.75279027488866479</v>
      </c>
    </row>
    <row r="11" spans="1:23" x14ac:dyDescent="0.2">
      <c r="A11">
        <v>10.879603741341235</v>
      </c>
      <c r="B11">
        <v>15.62819042197167</v>
      </c>
      <c r="G11">
        <f t="shared" si="0"/>
        <v>-16.921611181157026</v>
      </c>
      <c r="H11" s="4">
        <f t="shared" si="1"/>
        <v>-0.58626570112875676</v>
      </c>
      <c r="I11">
        <f t="shared" si="2"/>
        <v>10.879603741341235</v>
      </c>
      <c r="J11" s="4">
        <f t="shared" si="3"/>
        <v>-0.21694373309175674</v>
      </c>
      <c r="K11" s="4">
        <f t="shared" si="4"/>
        <v>0.13948209924796456</v>
      </c>
      <c r="M11">
        <f t="shared" si="5"/>
        <v>-253.82416771735538</v>
      </c>
      <c r="N11" s="4">
        <f t="shared" si="6"/>
        <v>-7.5377018716554431</v>
      </c>
      <c r="O11" s="4">
        <f t="shared" si="7"/>
        <v>-18.844254679138608</v>
      </c>
      <c r="P11">
        <f t="shared" si="8"/>
        <v>-761.47250315206611</v>
      </c>
      <c r="Q11" s="4">
        <f t="shared" si="9"/>
        <v>-4.3388746618351348</v>
      </c>
      <c r="R11" s="4">
        <f t="shared" si="10"/>
        <v>-9.4620843586943142</v>
      </c>
      <c r="T11" s="4">
        <f t="shared" si="11"/>
        <v>0.13357427711086897</v>
      </c>
      <c r="U11" s="4">
        <f t="shared" si="12"/>
        <v>0.40609040934501311</v>
      </c>
      <c r="V11" s="4">
        <f t="shared" si="13"/>
        <v>1.1370531461660367</v>
      </c>
      <c r="W11" s="4">
        <f t="shared" si="14"/>
        <v>0.65117460091548629</v>
      </c>
    </row>
    <row r="12" spans="1:23" x14ac:dyDescent="0.2">
      <c r="A12">
        <v>11.094178867432367</v>
      </c>
      <c r="B12">
        <v>15.628264971687493</v>
      </c>
      <c r="D12" t="s">
        <v>816</v>
      </c>
      <c r="E12">
        <f>PI()*(3.5^2)</f>
        <v>38.484510006474963</v>
      </c>
      <c r="G12">
        <f t="shared" si="0"/>
        <v>-17.25535098815612</v>
      </c>
      <c r="H12" s="4">
        <f t="shared" si="1"/>
        <v>-0.59782844180694794</v>
      </c>
      <c r="I12">
        <f t="shared" si="2"/>
        <v>11.094178867432367</v>
      </c>
      <c r="J12" s="4">
        <f t="shared" si="3"/>
        <v>-0.2212224485661041</v>
      </c>
      <c r="K12" s="4">
        <f t="shared" si="4"/>
        <v>0.14223306240297906</v>
      </c>
      <c r="M12">
        <f t="shared" si="5"/>
        <v>-258.8302648223418</v>
      </c>
      <c r="N12" s="4">
        <f t="shared" si="6"/>
        <v>-7.6863656803750446</v>
      </c>
      <c r="O12" s="4">
        <f t="shared" si="7"/>
        <v>-19.215914200937611</v>
      </c>
      <c r="P12">
        <f t="shared" si="8"/>
        <v>-776.49079446702547</v>
      </c>
      <c r="Q12" s="4">
        <f t="shared" si="9"/>
        <v>-4.4244489713220823</v>
      </c>
      <c r="R12" s="4">
        <f t="shared" si="10"/>
        <v>-9.6487021797677741</v>
      </c>
      <c r="T12" s="4">
        <f t="shared" si="11"/>
        <v>0.13357491428792728</v>
      </c>
      <c r="U12" s="4">
        <f t="shared" si="12"/>
        <v>0.40609234648065051</v>
      </c>
      <c r="V12" s="4">
        <f t="shared" si="13"/>
        <v>1.1370585701458213</v>
      </c>
      <c r="W12" s="4">
        <f t="shared" si="14"/>
        <v>0.65117770715364554</v>
      </c>
    </row>
    <row r="13" spans="1:23" x14ac:dyDescent="0.2">
      <c r="A13">
        <v>6.8301664084548337</v>
      </c>
      <c r="B13">
        <v>9.3359389894029636</v>
      </c>
      <c r="D13" t="s">
        <v>815</v>
      </c>
      <c r="E13">
        <f>'lever arm selection'!J21</f>
        <v>117</v>
      </c>
      <c r="G13">
        <f t="shared" si="0"/>
        <v>-10.623311566697197</v>
      </c>
      <c r="H13" s="4">
        <f t="shared" si="1"/>
        <v>-0.36805497640166879</v>
      </c>
      <c r="I13">
        <f t="shared" si="2"/>
        <v>6.8301664084548337</v>
      </c>
      <c r="J13" s="4">
        <f t="shared" si="3"/>
        <v>-0.13619630213714354</v>
      </c>
      <c r="K13" s="4">
        <f t="shared" si="4"/>
        <v>8.7566236005831202E-2</v>
      </c>
      <c r="M13">
        <f t="shared" si="5"/>
        <v>-159.34967350045795</v>
      </c>
      <c r="N13" s="4">
        <f t="shared" si="6"/>
        <v>-4.7321354108785982</v>
      </c>
      <c r="O13" s="4">
        <f t="shared" si="7"/>
        <v>-11.830338527196496</v>
      </c>
      <c r="P13">
        <f t="shared" si="8"/>
        <v>-478.04902050137383</v>
      </c>
      <c r="Q13" s="4">
        <f t="shared" si="9"/>
        <v>-2.7239260427428706</v>
      </c>
      <c r="R13" s="4">
        <f t="shared" si="10"/>
        <v>-5.9402541009046459</v>
      </c>
      <c r="T13" s="4">
        <f t="shared" si="11"/>
        <v>7.9794350336777467E-2</v>
      </c>
      <c r="U13" s="4">
        <f t="shared" si="12"/>
        <v>0.24258952466413644</v>
      </c>
      <c r="V13" s="4">
        <f t="shared" si="13"/>
        <v>0.67925066905958198</v>
      </c>
      <c r="W13" s="4">
        <f t="shared" si="14"/>
        <v>0.38899745789179019</v>
      </c>
    </row>
    <row r="14" spans="1:23" x14ac:dyDescent="0.2">
      <c r="A14">
        <v>5.9581968539587864</v>
      </c>
      <c r="B14">
        <v>8.0192386068108057</v>
      </c>
      <c r="G14">
        <f t="shared" si="0"/>
        <v>-9.2670921570765099</v>
      </c>
      <c r="H14" s="4">
        <f t="shared" si="1"/>
        <v>-0.32106743398897669</v>
      </c>
      <c r="I14">
        <f t="shared" si="2"/>
        <v>5.9581968539587864</v>
      </c>
      <c r="J14" s="4">
        <f t="shared" si="3"/>
        <v>-0.11880887380867319</v>
      </c>
      <c r="K14" s="4">
        <f t="shared" si="4"/>
        <v>7.6387139153317782E-2</v>
      </c>
      <c r="M14">
        <f t="shared" si="5"/>
        <v>-139.00638235614764</v>
      </c>
      <c r="N14" s="4">
        <f t="shared" si="6"/>
        <v>-4.1280098655725563</v>
      </c>
      <c r="O14" s="4">
        <f t="shared" si="7"/>
        <v>-10.320024663931392</v>
      </c>
      <c r="P14">
        <f t="shared" si="8"/>
        <v>-417.01914706844292</v>
      </c>
      <c r="Q14" s="4">
        <f t="shared" si="9"/>
        <v>-2.376177476173464</v>
      </c>
      <c r="R14" s="4">
        <f t="shared" si="10"/>
        <v>-5.1818947268859779</v>
      </c>
      <c r="T14" s="4">
        <f t="shared" si="11"/>
        <v>6.8540500912912874E-2</v>
      </c>
      <c r="U14" s="4">
        <f t="shared" si="12"/>
        <v>0.2083757492420088</v>
      </c>
      <c r="V14" s="4">
        <f t="shared" si="13"/>
        <v>0.58345209787762464</v>
      </c>
      <c r="W14" s="4">
        <f t="shared" si="14"/>
        <v>0.33413494195045024</v>
      </c>
    </row>
    <row r="15" spans="1:23" x14ac:dyDescent="0.2">
      <c r="A15">
        <v>2.48484399421308</v>
      </c>
      <c r="B15">
        <v>3.20542150548604</v>
      </c>
      <c r="D15" t="s">
        <v>824</v>
      </c>
      <c r="E15">
        <f>7</f>
        <v>7</v>
      </c>
      <c r="G15">
        <f t="shared" si="0"/>
        <v>-3.8648065605671889</v>
      </c>
      <c r="H15" s="4">
        <f t="shared" si="1"/>
        <v>-0.13389998763717109</v>
      </c>
      <c r="I15">
        <f t="shared" si="2"/>
        <v>2.48484399421308</v>
      </c>
      <c r="J15" s="4">
        <f t="shared" si="3"/>
        <v>-4.9548802058553706E-2</v>
      </c>
      <c r="K15" s="4">
        <f t="shared" si="4"/>
        <v>3.1856974284783082E-2</v>
      </c>
      <c r="M15">
        <f t="shared" si="5"/>
        <v>-57.972098408507833</v>
      </c>
      <c r="N15" s="4">
        <f t="shared" si="6"/>
        <v>-1.721571269620771</v>
      </c>
      <c r="O15" s="4">
        <f t="shared" si="7"/>
        <v>-4.3039281740519275</v>
      </c>
      <c r="P15">
        <f t="shared" si="8"/>
        <v>-173.9162952255235</v>
      </c>
      <c r="Q15" s="4">
        <f t="shared" si="9"/>
        <v>-0.99097604117107407</v>
      </c>
      <c r="R15" s="4">
        <f t="shared" si="10"/>
        <v>-2.1610900590153812</v>
      </c>
      <c r="T15" s="4">
        <f t="shared" si="11"/>
        <v>2.7396765004154187E-2</v>
      </c>
      <c r="U15" s="4">
        <f t="shared" si="12"/>
        <v>8.3291212618966243E-2</v>
      </c>
      <c r="V15" s="4">
        <f t="shared" si="13"/>
        <v>0.23321539533310545</v>
      </c>
      <c r="W15" s="4">
        <f t="shared" si="14"/>
        <v>0.13355922939525167</v>
      </c>
    </row>
    <row r="16" spans="1:23" x14ac:dyDescent="0.2">
      <c r="A16">
        <v>2.9878382910920953</v>
      </c>
      <c r="B16">
        <v>3.8799345735612563</v>
      </c>
      <c r="G16">
        <f t="shared" si="0"/>
        <v>-4.6471396418524513</v>
      </c>
      <c r="H16" s="4">
        <f t="shared" si="1"/>
        <v>-0.16100467923572634</v>
      </c>
      <c r="I16">
        <f t="shared" si="2"/>
        <v>2.9878382910920953</v>
      </c>
      <c r="J16" s="4">
        <f t="shared" si="3"/>
        <v>-5.9578713357082709E-2</v>
      </c>
      <c r="K16" s="4">
        <f t="shared" si="4"/>
        <v>3.8305619116565319E-2</v>
      </c>
      <c r="M16">
        <f t="shared" si="5"/>
        <v>-69.707094627786773</v>
      </c>
      <c r="N16" s="4">
        <f t="shared" si="6"/>
        <v>-2.0700601616021954</v>
      </c>
      <c r="O16" s="4">
        <f t="shared" si="7"/>
        <v>-5.175150404005489</v>
      </c>
      <c r="P16">
        <f t="shared" si="8"/>
        <v>-209.12128388336032</v>
      </c>
      <c r="Q16" s="4">
        <f t="shared" si="9"/>
        <v>-1.1915742671416543</v>
      </c>
      <c r="R16" s="4">
        <f t="shared" si="10"/>
        <v>-2.5985484979589155</v>
      </c>
      <c r="T16" s="4">
        <f t="shared" si="11"/>
        <v>3.3161833962062022E-2</v>
      </c>
      <c r="U16" s="4">
        <f t="shared" si="12"/>
        <v>0.10081808428659902</v>
      </c>
      <c r="V16" s="4">
        <f t="shared" si="13"/>
        <v>0.28229063600247722</v>
      </c>
      <c r="W16" s="4">
        <f t="shared" si="14"/>
        <v>0.16166394056505234</v>
      </c>
    </row>
    <row r="17" spans="1:23" x14ac:dyDescent="0.2">
      <c r="A17">
        <v>0.75448522300543475</v>
      </c>
      <c r="B17">
        <v>0.86015567604541776</v>
      </c>
      <c r="D17" t="s">
        <v>827</v>
      </c>
      <c r="E17">
        <f>'lever arm selection'!J19</f>
        <v>789.75</v>
      </c>
      <c r="G17">
        <f t="shared" si="0"/>
        <v>-1.1734899440420787</v>
      </c>
      <c r="H17" s="4">
        <f t="shared" si="1"/>
        <v>-4.0656702098052458E-2</v>
      </c>
      <c r="I17">
        <f t="shared" si="2"/>
        <v>0.75448522300543475</v>
      </c>
      <c r="J17" s="4">
        <f t="shared" si="3"/>
        <v>-1.5044742872334343E-2</v>
      </c>
      <c r="K17" s="4">
        <f t="shared" si="4"/>
        <v>9.6728874744286507E-3</v>
      </c>
      <c r="M17">
        <f t="shared" si="5"/>
        <v>-17.602349160631181</v>
      </c>
      <c r="N17" s="4">
        <f t="shared" si="6"/>
        <v>-0.52272902697496015</v>
      </c>
      <c r="O17" s="4">
        <f t="shared" si="7"/>
        <v>-1.3068225674374003</v>
      </c>
      <c r="P17">
        <f t="shared" si="8"/>
        <v>-52.807047481893541</v>
      </c>
      <c r="Q17" s="4">
        <f t="shared" si="9"/>
        <v>-0.30089485744668687</v>
      </c>
      <c r="R17" s="4">
        <f t="shared" si="10"/>
        <v>-0.65618224681642878</v>
      </c>
      <c r="T17" s="4">
        <f t="shared" si="11"/>
        <v>7.3517579149181009E-3</v>
      </c>
      <c r="U17" s="4">
        <f t="shared" si="12"/>
        <v>2.235069839529457E-2</v>
      </c>
      <c r="V17" s="4">
        <f t="shared" si="13"/>
        <v>6.2581955506824799E-2</v>
      </c>
      <c r="W17" s="4">
        <f t="shared" si="14"/>
        <v>3.5839819835225738E-2</v>
      </c>
    </row>
    <row r="18" spans="1:23" x14ac:dyDescent="0.2">
      <c r="A18">
        <v>0.68313904138944692</v>
      </c>
      <c r="B18">
        <v>0.76165873762012304</v>
      </c>
      <c r="D18" t="s">
        <v>835</v>
      </c>
      <c r="E18">
        <f>'lever arm selection'!J14</f>
        <v>9</v>
      </c>
      <c r="G18">
        <f t="shared" si="0"/>
        <v>-1.0625215325751804</v>
      </c>
      <c r="H18" s="4">
        <f t="shared" si="1"/>
        <v>-3.6812093398838917E-2</v>
      </c>
      <c r="I18">
        <f t="shared" si="2"/>
        <v>0.68313904138944692</v>
      </c>
      <c r="J18" s="4">
        <f t="shared" si="3"/>
        <v>-1.362207093045103E-2</v>
      </c>
      <c r="K18" s="4">
        <f t="shared" si="4"/>
        <v>8.7581928383262415E-3</v>
      </c>
      <c r="M18">
        <f t="shared" si="5"/>
        <v>-15.937822988627707</v>
      </c>
      <c r="N18" s="4">
        <f t="shared" si="6"/>
        <v>-0.47329834369935742</v>
      </c>
      <c r="O18" s="4">
        <f t="shared" si="7"/>
        <v>-1.1832458592483936</v>
      </c>
      <c r="P18">
        <f t="shared" si="8"/>
        <v>-47.813468965883125</v>
      </c>
      <c r="Q18" s="4">
        <f t="shared" si="9"/>
        <v>-0.27244141860902066</v>
      </c>
      <c r="R18" s="4">
        <f t="shared" si="10"/>
        <v>-0.59413186288967201</v>
      </c>
      <c r="T18" s="4">
        <f t="shared" si="11"/>
        <v>6.509903740342932E-3</v>
      </c>
      <c r="U18" s="4">
        <f t="shared" si="12"/>
        <v>1.9791306619000089E-2</v>
      </c>
      <c r="V18" s="4">
        <f t="shared" si="13"/>
        <v>5.5415658533200247E-2</v>
      </c>
      <c r="W18" s="4">
        <f t="shared" si="14"/>
        <v>3.1735780734171791E-2</v>
      </c>
    </row>
    <row r="19" spans="1:23" x14ac:dyDescent="0.2">
      <c r="A19">
        <v>0.13367674947538166</v>
      </c>
      <c r="B19">
        <v>2.9021041829615863E-2</v>
      </c>
      <c r="D19" t="s">
        <v>836</v>
      </c>
      <c r="E19">
        <f>'lever arm selection'!J15</f>
        <v>13</v>
      </c>
      <c r="G19">
        <f t="shared" si="0"/>
        <v>-0.20791437191668183</v>
      </c>
      <c r="H19" s="4">
        <f t="shared" si="1"/>
        <v>-7.2033959249821304E-3</v>
      </c>
      <c r="I19">
        <f t="shared" si="2"/>
        <v>0.13367674947538166</v>
      </c>
      <c r="J19" s="4">
        <f t="shared" si="3"/>
        <v>-2.6655688707266901E-3</v>
      </c>
      <c r="K19" s="4">
        <f t="shared" si="4"/>
        <v>1.7138044804536111E-3</v>
      </c>
      <c r="M19">
        <f t="shared" si="5"/>
        <v>-3.1187155787502272</v>
      </c>
      <c r="N19" s="4">
        <f t="shared" si="6"/>
        <v>-9.2615090464055944E-2</v>
      </c>
      <c r="O19" s="4">
        <f t="shared" si="7"/>
        <v>-0.23153772616013985</v>
      </c>
      <c r="P19">
        <f t="shared" si="8"/>
        <v>-9.3561467362506825</v>
      </c>
      <c r="Q19" s="4">
        <f t="shared" si="9"/>
        <v>-5.3311377414533803E-2</v>
      </c>
      <c r="R19" s="4">
        <f t="shared" si="10"/>
        <v>-0.11625981151554103</v>
      </c>
      <c r="T19" s="4">
        <f t="shared" si="11"/>
        <v>2.4804309256081934E-4</v>
      </c>
      <c r="U19" s="4">
        <f t="shared" si="12"/>
        <v>7.5409669565061664E-4</v>
      </c>
      <c r="V19" s="4">
        <f t="shared" si="13"/>
        <v>2.1114707478217263E-3</v>
      </c>
      <c r="W19" s="4">
        <f t="shared" si="14"/>
        <v>1.2092100762339942E-3</v>
      </c>
    </row>
    <row r="20" spans="1:23" x14ac:dyDescent="0.2">
      <c r="A20">
        <v>0.11188922498280815</v>
      </c>
      <c r="B20">
        <v>0</v>
      </c>
      <c r="D20" t="s">
        <v>834</v>
      </c>
      <c r="E20">
        <v>3</v>
      </c>
      <c r="G20">
        <f t="shared" si="0"/>
        <v>-0.17402710664227455</v>
      </c>
      <c r="H20" s="4">
        <f t="shared" si="1"/>
        <v>-6.0293386131370684E-3</v>
      </c>
      <c r="I20">
        <f t="shared" si="2"/>
        <v>0.11188922498280815</v>
      </c>
      <c r="J20" s="4">
        <f t="shared" si="3"/>
        <v>-2.2311167518240332E-3</v>
      </c>
      <c r="K20" s="4">
        <f t="shared" si="4"/>
        <v>1.4344772433693351E-3</v>
      </c>
      <c r="M20">
        <f t="shared" si="5"/>
        <v>-2.6104065996341181</v>
      </c>
      <c r="N20" s="4">
        <f t="shared" si="6"/>
        <v>-7.7520067883190866E-2</v>
      </c>
      <c r="O20" s="4">
        <f t="shared" si="7"/>
        <v>-0.19380016970797717</v>
      </c>
      <c r="P20">
        <f t="shared" si="8"/>
        <v>-7.8312197989023549</v>
      </c>
      <c r="Q20" s="4">
        <f t="shared" si="9"/>
        <v>-4.4622335036480651E-2</v>
      </c>
      <c r="R20" s="4">
        <f t="shared" si="10"/>
        <v>-9.7311015252632832E-2</v>
      </c>
      <c r="T20" s="4">
        <f t="shared" si="11"/>
        <v>0</v>
      </c>
      <c r="U20" s="4">
        <f t="shared" si="12"/>
        <v>0</v>
      </c>
      <c r="V20" s="4">
        <f t="shared" si="13"/>
        <v>0</v>
      </c>
      <c r="W20" s="4">
        <f t="shared" si="14"/>
        <v>0</v>
      </c>
    </row>
    <row r="21" spans="1:23" x14ac:dyDescent="0.2">
      <c r="A21">
        <v>1.8553666192114613</v>
      </c>
      <c r="B21">
        <v>2.3386406946381624</v>
      </c>
      <c r="G21">
        <f t="shared" si="0"/>
        <v>-2.88574779699869</v>
      </c>
      <c r="H21" s="4">
        <f t="shared" si="1"/>
        <v>-9.9979543163839751E-2</v>
      </c>
      <c r="I21">
        <f t="shared" si="2"/>
        <v>1.8553666192114613</v>
      </c>
      <c r="J21" s="4">
        <f t="shared" si="3"/>
        <v>-3.6996766628188335E-2</v>
      </c>
      <c r="K21" s="4">
        <f t="shared" si="4"/>
        <v>2.3786751528352069E-2</v>
      </c>
      <c r="M21">
        <f t="shared" si="5"/>
        <v>-43.286216954980347</v>
      </c>
      <c r="N21" s="4">
        <f t="shared" si="6"/>
        <v>-1.285451269249368</v>
      </c>
      <c r="O21" s="4">
        <f t="shared" si="7"/>
        <v>-3.21362817312342</v>
      </c>
      <c r="P21">
        <f t="shared" si="8"/>
        <v>-129.85865086494104</v>
      </c>
      <c r="Q21" s="4">
        <f t="shared" si="9"/>
        <v>-0.73993533256376653</v>
      </c>
      <c r="R21" s="4">
        <f t="shared" si="10"/>
        <v>-1.6136282060140603</v>
      </c>
      <c r="T21" s="4">
        <f t="shared" si="11"/>
        <v>1.9988382005454379E-2</v>
      </c>
      <c r="U21" s="4">
        <f t="shared" si="12"/>
        <v>6.0768363537555485E-2</v>
      </c>
      <c r="V21" s="4">
        <f t="shared" si="13"/>
        <v>0.17015141790515534</v>
      </c>
      <c r="W21" s="4">
        <f t="shared" si="14"/>
        <v>9.7443362276590104E-2</v>
      </c>
    </row>
    <row r="22" spans="1:23" x14ac:dyDescent="0.2">
      <c r="A22">
        <v>0.88305455905315977</v>
      </c>
      <c r="B22">
        <v>1.0386573487006348</v>
      </c>
      <c r="G22">
        <f t="shared" si="0"/>
        <v>-1.3734604913288415</v>
      </c>
      <c r="H22" s="4">
        <f t="shared" si="1"/>
        <v>-4.7584876481395026E-2</v>
      </c>
      <c r="I22">
        <f t="shared" si="2"/>
        <v>0.88305455905315977</v>
      </c>
      <c r="J22" s="4">
        <f t="shared" si="3"/>
        <v>-1.7608467837549251E-2</v>
      </c>
      <c r="K22" s="4">
        <f t="shared" si="4"/>
        <v>1.1321212295553331E-2</v>
      </c>
      <c r="M22">
        <f t="shared" si="5"/>
        <v>-20.601907369932622</v>
      </c>
      <c r="N22" s="4">
        <f t="shared" si="6"/>
        <v>-0.61180555476079312</v>
      </c>
      <c r="O22" s="4">
        <f t="shared" si="7"/>
        <v>-1.5295138869019829</v>
      </c>
      <c r="P22">
        <f t="shared" si="8"/>
        <v>-61.80572210979787</v>
      </c>
      <c r="Q22" s="4">
        <f t="shared" si="9"/>
        <v>-0.35216935675098504</v>
      </c>
      <c r="R22" s="4">
        <f t="shared" si="10"/>
        <v>-0.76800009722234053</v>
      </c>
      <c r="T22" s="4">
        <f t="shared" si="11"/>
        <v>8.8774132367575621E-3</v>
      </c>
      <c r="U22" s="4">
        <f t="shared" si="12"/>
        <v>2.698897162847811E-2</v>
      </c>
      <c r="V22" s="4">
        <f t="shared" si="13"/>
        <v>7.5569120559738703E-2</v>
      </c>
      <c r="W22" s="4">
        <f t="shared" si="14"/>
        <v>4.3277389529193119E-2</v>
      </c>
    </row>
    <row r="23" spans="1:23" x14ac:dyDescent="0.2">
      <c r="A23">
        <v>1.6250931057989382</v>
      </c>
      <c r="B23">
        <v>2.0567765961163107</v>
      </c>
      <c r="G23">
        <f t="shared" si="0"/>
        <v>-2.5275914751393707</v>
      </c>
      <c r="H23" s="4">
        <f t="shared" si="1"/>
        <v>-8.7570868546474306E-2</v>
      </c>
      <c r="I23">
        <f t="shared" si="2"/>
        <v>1.6250931057989382</v>
      </c>
      <c r="J23" s="4">
        <f t="shared" si="3"/>
        <v>-3.2405018912043212E-2</v>
      </c>
      <c r="K23" s="4">
        <f t="shared" si="4"/>
        <v>2.0834526997422283E-2</v>
      </c>
      <c r="M23">
        <f t="shared" si="5"/>
        <v>-37.913872127090556</v>
      </c>
      <c r="N23" s="4">
        <f t="shared" si="6"/>
        <v>-1.1259111670260979</v>
      </c>
      <c r="O23" s="4">
        <f t="shared" si="7"/>
        <v>-2.814777917565245</v>
      </c>
      <c r="P23">
        <f t="shared" si="8"/>
        <v>-113.74161638127168</v>
      </c>
      <c r="Q23" s="4">
        <f t="shared" si="9"/>
        <v>-0.64810037824086431</v>
      </c>
      <c r="R23" s="4">
        <f t="shared" si="10"/>
        <v>-1.4133573633175773</v>
      </c>
      <c r="T23" s="4">
        <f t="shared" si="11"/>
        <v>1.7579287146293254E-2</v>
      </c>
      <c r="U23" s="4">
        <f t="shared" si="12"/>
        <v>5.3444271364511617E-2</v>
      </c>
      <c r="V23" s="4">
        <f t="shared" si="13"/>
        <v>0.14964395982063253</v>
      </c>
      <c r="W23" s="4">
        <f t="shared" si="14"/>
        <v>8.5699024838179608E-2</v>
      </c>
    </row>
    <row r="24" spans="1:23" x14ac:dyDescent="0.2">
      <c r="A24">
        <v>3.4362728615232205</v>
      </c>
      <c r="B24">
        <v>4.5681392057255401</v>
      </c>
      <c r="G24">
        <f t="shared" si="0"/>
        <v>-5.3446131548068117</v>
      </c>
      <c r="H24" s="4">
        <f t="shared" si="1"/>
        <v>-0.18516932843569489</v>
      </c>
      <c r="I24">
        <f t="shared" si="2"/>
        <v>3.4362728615232205</v>
      </c>
      <c r="J24" s="4">
        <f t="shared" si="3"/>
        <v>-6.85206814718822E-2</v>
      </c>
      <c r="K24" s="4">
        <f t="shared" si="4"/>
        <v>4.4054780275938718E-2</v>
      </c>
      <c r="M24">
        <f t="shared" si="5"/>
        <v>-80.169197322102178</v>
      </c>
      <c r="N24" s="4">
        <f t="shared" si="6"/>
        <v>-2.3807485084589342</v>
      </c>
      <c r="O24" s="4">
        <f t="shared" si="7"/>
        <v>-5.9518712711473354</v>
      </c>
      <c r="P24">
        <f t="shared" si="8"/>
        <v>-240.50759196630653</v>
      </c>
      <c r="Q24" s="4">
        <f t="shared" si="9"/>
        <v>-1.3704136294376441</v>
      </c>
      <c r="R24" s="4">
        <f t="shared" si="10"/>
        <v>-2.9885558765044014</v>
      </c>
      <c r="T24" s="4">
        <f t="shared" si="11"/>
        <v>3.9043924835261028E-2</v>
      </c>
      <c r="U24" s="4">
        <f t="shared" si="12"/>
        <v>0.11870072413438439</v>
      </c>
      <c r="V24" s="4">
        <f t="shared" si="13"/>
        <v>0.33236202757627625</v>
      </c>
      <c r="W24" s="4">
        <f t="shared" si="14"/>
        <v>0.19033913357189752</v>
      </c>
    </row>
    <row r="25" spans="1:23" x14ac:dyDescent="0.2">
      <c r="A25">
        <v>4.7269078845364216</v>
      </c>
      <c r="B25">
        <v>6.4053098021328978</v>
      </c>
      <c r="G25">
        <f t="shared" si="0"/>
        <v>-7.3520046513578299</v>
      </c>
      <c r="H25" s="4">
        <f t="shared" si="1"/>
        <v>-0.25471736204586781</v>
      </c>
      <c r="I25">
        <f t="shared" si="2"/>
        <v>4.7269078845364216</v>
      </c>
      <c r="J25" s="4">
        <f t="shared" si="3"/>
        <v>-9.4256469889202943E-2</v>
      </c>
      <c r="K25" s="4">
        <f t="shared" si="4"/>
        <v>6.0601383135082329E-2</v>
      </c>
      <c r="M25">
        <f t="shared" si="5"/>
        <v>-110.28006977036745</v>
      </c>
      <c r="N25" s="4">
        <f t="shared" si="6"/>
        <v>-3.2749375120183002</v>
      </c>
      <c r="O25" s="4">
        <f t="shared" si="7"/>
        <v>-8.1873437800457509</v>
      </c>
      <c r="P25">
        <f t="shared" si="8"/>
        <v>-330.84020931110234</v>
      </c>
      <c r="Q25" s="4">
        <f t="shared" si="9"/>
        <v>-1.8851293977840589</v>
      </c>
      <c r="R25" s="4">
        <f t="shared" si="10"/>
        <v>-4.1110321867060051</v>
      </c>
      <c r="T25" s="4">
        <f t="shared" si="11"/>
        <v>5.4746237625067501E-2</v>
      </c>
      <c r="U25" s="4">
        <f t="shared" si="12"/>
        <v>0.16643864768072178</v>
      </c>
      <c r="V25" s="4">
        <f t="shared" si="13"/>
        <v>0.46602821350602097</v>
      </c>
      <c r="W25" s="4">
        <f t="shared" si="14"/>
        <v>0.26688790842220411</v>
      </c>
    </row>
    <row r="26" spans="1:23" x14ac:dyDescent="0.2">
      <c r="A26">
        <v>6.9574159439384005</v>
      </c>
      <c r="B26">
        <v>9.5529219617404841</v>
      </c>
      <c r="G26">
        <f t="shared" si="0"/>
        <v>-10.821229359810708</v>
      </c>
      <c r="H26" s="4">
        <f t="shared" si="1"/>
        <v>-0.37491203111728333</v>
      </c>
      <c r="I26">
        <f t="shared" si="2"/>
        <v>6.9574159439384005</v>
      </c>
      <c r="J26" s="4">
        <f t="shared" si="3"/>
        <v>-0.13873370974116292</v>
      </c>
      <c r="K26" s="4">
        <f t="shared" si="4"/>
        <v>8.9197640306902568E-2</v>
      </c>
      <c r="M26">
        <f t="shared" si="5"/>
        <v>-162.31844039716063</v>
      </c>
      <c r="N26" s="4">
        <f t="shared" si="6"/>
        <v>-4.8202975429364994</v>
      </c>
      <c r="O26" s="4">
        <f t="shared" si="7"/>
        <v>-12.050743857341249</v>
      </c>
      <c r="P26">
        <f t="shared" si="8"/>
        <v>-486.95532119148186</v>
      </c>
      <c r="Q26" s="4">
        <f t="shared" si="9"/>
        <v>-2.7746741948232585</v>
      </c>
      <c r="R26" s="4">
        <f t="shared" si="10"/>
        <v>-6.0509241094799524</v>
      </c>
      <c r="T26" s="4">
        <f t="shared" si="11"/>
        <v>8.1648905655901577E-2</v>
      </c>
      <c r="U26" s="4">
        <f t="shared" si="12"/>
        <v>0.24822771447871414</v>
      </c>
      <c r="V26" s="4">
        <f t="shared" si="13"/>
        <v>0.69503760054039954</v>
      </c>
      <c r="W26" s="4">
        <f t="shared" si="14"/>
        <v>0.39803841507252014</v>
      </c>
    </row>
    <row r="27" spans="1:23" x14ac:dyDescent="0.2">
      <c r="A27">
        <v>6.1493721165779105</v>
      </c>
      <c r="B27">
        <v>8.4810463062964274</v>
      </c>
      <c r="G27">
        <f t="shared" si="0"/>
        <v>-9.5644369444793629</v>
      </c>
      <c r="H27" s="4">
        <f t="shared" si="1"/>
        <v>-0.33136923376427418</v>
      </c>
      <c r="I27">
        <f t="shared" si="2"/>
        <v>6.1493721165779105</v>
      </c>
      <c r="J27" s="4">
        <f t="shared" si="3"/>
        <v>-0.12262098646768414</v>
      </c>
      <c r="K27" s="4">
        <f t="shared" si="4"/>
        <v>7.8838104058691155E-2</v>
      </c>
      <c r="M27">
        <f t="shared" si="5"/>
        <v>-143.46655416719045</v>
      </c>
      <c r="N27" s="4">
        <f t="shared" si="6"/>
        <v>-4.2604615769692389</v>
      </c>
      <c r="O27" s="4">
        <f t="shared" si="7"/>
        <v>-10.651153942423097</v>
      </c>
      <c r="P27">
        <f t="shared" si="8"/>
        <v>-430.39966250157136</v>
      </c>
      <c r="Q27" s="4">
        <f t="shared" si="9"/>
        <v>-2.4524197293536831</v>
      </c>
      <c r="R27" s="4">
        <f t="shared" si="10"/>
        <v>-5.3481614867059166</v>
      </c>
      <c r="T27" s="4">
        <f t="shared" si="11"/>
        <v>7.2487575267490834E-2</v>
      </c>
      <c r="U27" s="4">
        <f t="shared" si="12"/>
        <v>0.22037558240625912</v>
      </c>
      <c r="V27" s="4">
        <f t="shared" si="13"/>
        <v>0.61705163073752556</v>
      </c>
      <c r="W27" s="4">
        <f t="shared" si="14"/>
        <v>0.35337692942901783</v>
      </c>
    </row>
    <row r="28" spans="1:23" x14ac:dyDescent="0.2">
      <c r="A28">
        <v>5.2349486330615456</v>
      </c>
      <c r="B28">
        <v>7.2162774709585502</v>
      </c>
      <c r="G28">
        <f t="shared" si="0"/>
        <v>-8.1421867402568058</v>
      </c>
      <c r="H28" s="4">
        <f t="shared" si="1"/>
        <v>-0.28209399015818382</v>
      </c>
      <c r="I28">
        <f t="shared" si="2"/>
        <v>5.2349486330615456</v>
      </c>
      <c r="J28" s="4">
        <f t="shared" si="3"/>
        <v>-0.10438700949047187</v>
      </c>
      <c r="K28" s="4">
        <f t="shared" si="4"/>
        <v>6.7114726064891606E-2</v>
      </c>
      <c r="M28">
        <f t="shared" si="5"/>
        <v>-122.13280110385209</v>
      </c>
      <c r="N28" s="4">
        <f t="shared" si="6"/>
        <v>-3.6269227306052199</v>
      </c>
      <c r="O28" s="4">
        <f t="shared" si="7"/>
        <v>-9.0673068265130503</v>
      </c>
      <c r="P28">
        <f t="shared" si="8"/>
        <v>-366.39840331155625</v>
      </c>
      <c r="Q28" s="4">
        <f t="shared" si="9"/>
        <v>-2.0877401898094372</v>
      </c>
      <c r="R28" s="4">
        <f t="shared" si="10"/>
        <v>-4.5528795677767349</v>
      </c>
      <c r="T28" s="4">
        <f t="shared" si="11"/>
        <v>6.1677585221867948E-2</v>
      </c>
      <c r="U28" s="4">
        <f t="shared" si="12"/>
        <v>0.18751122126134442</v>
      </c>
      <c r="V28" s="4">
        <f t="shared" si="13"/>
        <v>0.52503141953176435</v>
      </c>
      <c r="W28" s="4">
        <f t="shared" si="14"/>
        <v>0.30067822795660626</v>
      </c>
    </row>
    <row r="29" spans="1:23" x14ac:dyDescent="0.2">
      <c r="A29">
        <v>7.3763173246717866</v>
      </c>
      <c r="B29">
        <v>10.264830512664734</v>
      </c>
      <c r="G29">
        <f t="shared" si="0"/>
        <v>-11.472768373229439</v>
      </c>
      <c r="H29" s="4">
        <f t="shared" si="1"/>
        <v>-0.39748523484034354</v>
      </c>
      <c r="I29">
        <f t="shared" si="2"/>
        <v>7.3763173246717866</v>
      </c>
      <c r="J29" s="4">
        <f t="shared" si="3"/>
        <v>-0.14708677401576203</v>
      </c>
      <c r="K29" s="4">
        <f t="shared" si="4"/>
        <v>9.4568170829125456E-2</v>
      </c>
      <c r="M29">
        <f t="shared" si="5"/>
        <v>-172.09152559844159</v>
      </c>
      <c r="N29" s="4">
        <f t="shared" si="6"/>
        <v>-5.1105244479472738</v>
      </c>
      <c r="O29" s="4">
        <f t="shared" si="7"/>
        <v>-12.776311119868184</v>
      </c>
      <c r="P29">
        <f t="shared" si="8"/>
        <v>-516.27457679532472</v>
      </c>
      <c r="Q29" s="4">
        <f t="shared" si="9"/>
        <v>-2.9417354803152405</v>
      </c>
      <c r="R29" s="4">
        <f t="shared" si="10"/>
        <v>-6.4152462205336223</v>
      </c>
      <c r="T29" s="4">
        <f t="shared" si="11"/>
        <v>8.7733594125339598E-2</v>
      </c>
      <c r="U29" s="4">
        <f t="shared" si="12"/>
        <v>0.26672628834140516</v>
      </c>
      <c r="V29" s="4">
        <f t="shared" si="13"/>
        <v>0.7468336073559344</v>
      </c>
      <c r="W29" s="4">
        <f t="shared" si="14"/>
        <v>0.42770127136103059</v>
      </c>
    </row>
    <row r="30" spans="1:23" x14ac:dyDescent="0.2">
      <c r="A30">
        <v>5.0825526694651524</v>
      </c>
      <c r="B30">
        <v>6.9723602497050781</v>
      </c>
      <c r="G30">
        <f t="shared" si="0"/>
        <v>-7.9051574051021767</v>
      </c>
      <c r="H30" s="4">
        <f t="shared" si="1"/>
        <v>-0.27388187797366248</v>
      </c>
      <c r="I30">
        <f t="shared" si="2"/>
        <v>5.0825526694651524</v>
      </c>
      <c r="J30" s="4">
        <f t="shared" si="3"/>
        <v>-0.10134817186028432</v>
      </c>
      <c r="K30" s="4">
        <f t="shared" si="4"/>
        <v>6.5160931659809657E-2</v>
      </c>
      <c r="M30">
        <f t="shared" si="5"/>
        <v>-118.57736107653265</v>
      </c>
      <c r="N30" s="4">
        <f t="shared" si="6"/>
        <v>-3.521338431089946</v>
      </c>
      <c r="O30" s="4">
        <f t="shared" si="7"/>
        <v>-8.8033460777248642</v>
      </c>
      <c r="P30">
        <f t="shared" si="8"/>
        <v>-355.73208322959795</v>
      </c>
      <c r="Q30" s="4">
        <f t="shared" si="9"/>
        <v>-2.0269634372056866</v>
      </c>
      <c r="R30" s="4">
        <f t="shared" si="10"/>
        <v>-4.4203394957524011</v>
      </c>
      <c r="T30" s="4">
        <f t="shared" si="11"/>
        <v>5.959282264705195E-2</v>
      </c>
      <c r="U30" s="4">
        <f t="shared" si="12"/>
        <v>0.18117315898089878</v>
      </c>
      <c r="V30" s="4">
        <f t="shared" si="13"/>
        <v>0.50728484514651651</v>
      </c>
      <c r="W30" s="4">
        <f t="shared" si="14"/>
        <v>0.29051501040437827</v>
      </c>
    </row>
    <row r="31" spans="1:23" x14ac:dyDescent="0.2">
      <c r="A31">
        <v>6.9130464018542854</v>
      </c>
      <c r="B31">
        <v>9.6219742341221917</v>
      </c>
      <c r="G31">
        <f t="shared" si="0"/>
        <v>-10.752219112996256</v>
      </c>
      <c r="H31" s="4">
        <f t="shared" si="1"/>
        <v>-0.37252110389997467</v>
      </c>
      <c r="I31">
        <f t="shared" si="2"/>
        <v>6.9130464018542854</v>
      </c>
      <c r="J31" s="4">
        <f t="shared" si="3"/>
        <v>-0.13784896298713148</v>
      </c>
      <c r="K31" s="4">
        <f t="shared" si="4"/>
        <v>8.8628800023772894E-2</v>
      </c>
      <c r="M31">
        <f t="shared" si="5"/>
        <v>-161.28328669494385</v>
      </c>
      <c r="N31" s="4">
        <f t="shared" si="6"/>
        <v>-4.7895570501425313</v>
      </c>
      <c r="O31" s="4">
        <f t="shared" si="7"/>
        <v>-11.973892625356328</v>
      </c>
      <c r="P31">
        <f t="shared" si="8"/>
        <v>-483.84986008483156</v>
      </c>
      <c r="Q31" s="4">
        <f t="shared" si="9"/>
        <v>-2.7569792597426299</v>
      </c>
      <c r="R31" s="4">
        <f t="shared" si="10"/>
        <v>-6.0123355395156599</v>
      </c>
      <c r="T31" s="4">
        <f t="shared" si="11"/>
        <v>8.2239096018138391E-2</v>
      </c>
      <c r="U31" s="4">
        <f t="shared" si="12"/>
        <v>0.25002200190422869</v>
      </c>
      <c r="V31" s="4">
        <f t="shared" si="13"/>
        <v>0.70006160533184025</v>
      </c>
      <c r="W31" s="4">
        <f t="shared" si="14"/>
        <v>0.40091559308842467</v>
      </c>
    </row>
    <row r="32" spans="1:23" x14ac:dyDescent="0.2">
      <c r="A32">
        <v>6.5444490726318696</v>
      </c>
      <c r="B32">
        <v>9.133253737048344</v>
      </c>
      <c r="G32">
        <f t="shared" si="0"/>
        <v>-10.178920596266851</v>
      </c>
      <c r="H32" s="4">
        <f t="shared" si="1"/>
        <v>-0.35265861839146062</v>
      </c>
      <c r="I32">
        <f t="shared" si="2"/>
        <v>6.5444490726318696</v>
      </c>
      <c r="J32" s="4">
        <f t="shared" si="3"/>
        <v>-0.13049898200342117</v>
      </c>
      <c r="K32" s="4">
        <f t="shared" si="4"/>
        <v>8.3903193238870119E-2</v>
      </c>
      <c r="M32">
        <f t="shared" si="5"/>
        <v>-152.68380894400275</v>
      </c>
      <c r="N32" s="4">
        <f t="shared" si="6"/>
        <v>-4.5341822364616355</v>
      </c>
      <c r="O32" s="4">
        <f t="shared" si="7"/>
        <v>-11.335455591154089</v>
      </c>
      <c r="P32">
        <f t="shared" si="8"/>
        <v>-458.05142683200825</v>
      </c>
      <c r="Q32" s="4">
        <f t="shared" si="9"/>
        <v>-2.6099796400684232</v>
      </c>
      <c r="R32" s="4">
        <f t="shared" si="10"/>
        <v>-5.6917632919953691</v>
      </c>
      <c r="T32" s="4">
        <f t="shared" si="11"/>
        <v>7.8061997752549947E-2</v>
      </c>
      <c r="U32" s="4">
        <f t="shared" si="12"/>
        <v>0.23732285367571751</v>
      </c>
      <c r="V32" s="4">
        <f t="shared" si="13"/>
        <v>0.66450399029200902</v>
      </c>
      <c r="W32" s="4">
        <f t="shared" si="14"/>
        <v>0.38055223904368102</v>
      </c>
    </row>
    <row r="33" spans="1:23" x14ac:dyDescent="0.2">
      <c r="A33">
        <v>7.4226955989061745</v>
      </c>
      <c r="B33">
        <v>10.478182997503573</v>
      </c>
      <c r="G33">
        <f t="shared" si="0"/>
        <v>-11.544902905194537</v>
      </c>
      <c r="H33" s="4">
        <f t="shared" si="1"/>
        <v>-0.39998440595977003</v>
      </c>
      <c r="I33">
        <f t="shared" si="2"/>
        <v>7.4226955989061745</v>
      </c>
      <c r="J33" s="4">
        <f t="shared" si="3"/>
        <v>-0.14801157570762227</v>
      </c>
      <c r="K33" s="4">
        <f t="shared" si="4"/>
        <v>9.5162764088540699E-2</v>
      </c>
      <c r="M33">
        <f t="shared" si="5"/>
        <v>-173.17354357791805</v>
      </c>
      <c r="N33" s="4">
        <f t="shared" si="6"/>
        <v>-5.142656648054186</v>
      </c>
      <c r="O33" s="4">
        <f t="shared" si="7"/>
        <v>-12.856641620135465</v>
      </c>
      <c r="P33">
        <f t="shared" si="8"/>
        <v>-519.52063073375416</v>
      </c>
      <c r="Q33" s="4">
        <f t="shared" si="9"/>
        <v>-2.9602315141524453</v>
      </c>
      <c r="R33" s="4">
        <f t="shared" si="10"/>
        <v>-6.4555818020170639</v>
      </c>
      <c r="T33" s="4">
        <f t="shared" si="11"/>
        <v>8.9557119636782673E-2</v>
      </c>
      <c r="U33" s="4">
        <f t="shared" si="12"/>
        <v>0.2722701418243505</v>
      </c>
      <c r="V33" s="4">
        <f t="shared" si="13"/>
        <v>0.76235639710818137</v>
      </c>
      <c r="W33" s="4">
        <f t="shared" si="14"/>
        <v>0.4365909582293156</v>
      </c>
    </row>
    <row r="34" spans="1:23" x14ac:dyDescent="0.2">
      <c r="A34">
        <v>8.8103860825622107</v>
      </c>
      <c r="B34">
        <v>12.59339768351556</v>
      </c>
      <c r="G34">
        <f t="shared" si="0"/>
        <v>-13.70324978643162</v>
      </c>
      <c r="H34" s="4">
        <f t="shared" si="1"/>
        <v>-0.47476243590390238</v>
      </c>
      <c r="I34">
        <f t="shared" si="2"/>
        <v>8.8103860825622107</v>
      </c>
      <c r="J34" s="4">
        <f t="shared" si="3"/>
        <v>-0.17568268956963615</v>
      </c>
      <c r="K34" s="4">
        <f t="shared" si="4"/>
        <v>0.11295366772515655</v>
      </c>
      <c r="M34">
        <f t="shared" si="5"/>
        <v>-205.54874679647429</v>
      </c>
      <c r="N34" s="4">
        <f t="shared" si="6"/>
        <v>-6.1040884616216013</v>
      </c>
      <c r="O34" s="4">
        <f t="shared" si="7"/>
        <v>-15.260221154054003</v>
      </c>
      <c r="P34">
        <f t="shared" si="8"/>
        <v>-616.64624038942293</v>
      </c>
      <c r="Q34" s="4">
        <f t="shared" si="9"/>
        <v>-3.513653791392723</v>
      </c>
      <c r="R34" s="4">
        <f t="shared" si="10"/>
        <v>-7.6624680758449015</v>
      </c>
      <c r="T34" s="4">
        <f t="shared" si="11"/>
        <v>0.10763587763688513</v>
      </c>
      <c r="U34" s="4">
        <f t="shared" si="12"/>
        <v>0.32723289659649402</v>
      </c>
      <c r="V34" s="4">
        <f t="shared" si="13"/>
        <v>0.91625211047018318</v>
      </c>
      <c r="W34" s="4">
        <f t="shared" si="14"/>
        <v>0.52472490347981504</v>
      </c>
    </row>
    <row r="35" spans="1:23" x14ac:dyDescent="0.2">
      <c r="A35">
        <v>8.9414686587107397</v>
      </c>
      <c r="B35">
        <v>12.810199688246783</v>
      </c>
      <c r="G35">
        <f t="shared" si="0"/>
        <v>-13.907129306214237</v>
      </c>
      <c r="H35" s="4">
        <f t="shared" si="1"/>
        <v>-0.48182604044672805</v>
      </c>
      <c r="I35">
        <f t="shared" si="2"/>
        <v>8.9414686587107397</v>
      </c>
      <c r="J35" s="4">
        <f t="shared" si="3"/>
        <v>-0.17829652956684919</v>
      </c>
      <c r="K35" s="4">
        <f t="shared" si="4"/>
        <v>0.11463421357321461</v>
      </c>
      <c r="M35">
        <f t="shared" si="5"/>
        <v>-208.60693959321355</v>
      </c>
      <c r="N35" s="4">
        <f t="shared" si="6"/>
        <v>-6.1949062343150736</v>
      </c>
      <c r="O35" s="4">
        <f t="shared" si="7"/>
        <v>-15.487265585787684</v>
      </c>
      <c r="P35">
        <f t="shared" si="8"/>
        <v>-625.82081877964072</v>
      </c>
      <c r="Q35" s="4">
        <f t="shared" si="9"/>
        <v>-3.5659305913369841</v>
      </c>
      <c r="R35" s="4">
        <f t="shared" si="10"/>
        <v>-7.7764717126464245</v>
      </c>
      <c r="T35" s="4">
        <f t="shared" si="11"/>
        <v>0.10948888622433148</v>
      </c>
      <c r="U35" s="4">
        <f t="shared" si="12"/>
        <v>0.33286638406183383</v>
      </c>
      <c r="V35" s="4">
        <f t="shared" si="13"/>
        <v>0.93202587537313464</v>
      </c>
      <c r="W35" s="4">
        <f t="shared" si="14"/>
        <v>0.53375832034361592</v>
      </c>
    </row>
    <row r="36" spans="1:23" x14ac:dyDescent="0.2">
      <c r="A36">
        <v>8.4431018751193498</v>
      </c>
      <c r="B36">
        <v>11.957358541033042</v>
      </c>
      <c r="G36">
        <f t="shared" si="0"/>
        <v>-13.131993636015858</v>
      </c>
      <c r="H36" s="4">
        <f t="shared" si="1"/>
        <v>-0.45497071016560237</v>
      </c>
      <c r="I36">
        <f t="shared" si="2"/>
        <v>8.4431018751193498</v>
      </c>
      <c r="J36" s="4">
        <f t="shared" si="3"/>
        <v>-0.16835889276943408</v>
      </c>
      <c r="K36" s="4">
        <f t="shared" si="4"/>
        <v>0.10824489583486346</v>
      </c>
      <c r="M36">
        <f t="shared" si="5"/>
        <v>-196.97990454023787</v>
      </c>
      <c r="N36" s="4">
        <f t="shared" si="6"/>
        <v>-5.8496234164148868</v>
      </c>
      <c r="O36" s="4">
        <f t="shared" si="7"/>
        <v>-14.624058541037217</v>
      </c>
      <c r="P36">
        <f t="shared" si="8"/>
        <v>-590.93971362071363</v>
      </c>
      <c r="Q36" s="4">
        <f t="shared" si="9"/>
        <v>-3.3671778553886815</v>
      </c>
      <c r="R36" s="4">
        <f t="shared" si="10"/>
        <v>-7.3430378615591643</v>
      </c>
      <c r="T36" s="4">
        <f t="shared" si="11"/>
        <v>0.10219964564985505</v>
      </c>
      <c r="U36" s="4">
        <f t="shared" si="12"/>
        <v>0.31070574989836774</v>
      </c>
      <c r="V36" s="4">
        <f t="shared" si="13"/>
        <v>0.86997609971542966</v>
      </c>
      <c r="W36" s="4">
        <f t="shared" si="14"/>
        <v>0.49822327254304338</v>
      </c>
    </row>
    <row r="37" spans="1:23" x14ac:dyDescent="0.2">
      <c r="A37">
        <v>10.209287899424554</v>
      </c>
      <c r="B37">
        <v>14.410187035511157</v>
      </c>
      <c r="G37">
        <f t="shared" si="0"/>
        <v>-15.879034234867834</v>
      </c>
      <c r="H37" s="4">
        <f t="shared" si="1"/>
        <v>-0.55014460734795068</v>
      </c>
      <c r="I37">
        <f t="shared" si="2"/>
        <v>10.209287899424554</v>
      </c>
      <c r="J37" s="4">
        <f t="shared" si="3"/>
        <v>-0.20357736198548507</v>
      </c>
      <c r="K37" s="4">
        <f t="shared" si="4"/>
        <v>0.13088830640287891</v>
      </c>
      <c r="M37">
        <f t="shared" si="5"/>
        <v>-238.18551352301751</v>
      </c>
      <c r="N37" s="4">
        <f t="shared" si="6"/>
        <v>-7.073287808759364</v>
      </c>
      <c r="O37" s="4">
        <f t="shared" si="7"/>
        <v>-17.683219521898408</v>
      </c>
      <c r="P37">
        <f t="shared" si="8"/>
        <v>-714.55654056905257</v>
      </c>
      <c r="Q37" s="4">
        <f t="shared" si="9"/>
        <v>-4.0715472397097008</v>
      </c>
      <c r="R37" s="4">
        <f t="shared" si="10"/>
        <v>-8.8791049419823107</v>
      </c>
      <c r="T37" s="4">
        <f t="shared" si="11"/>
        <v>0.12316399175650562</v>
      </c>
      <c r="U37" s="4">
        <f t="shared" si="12"/>
        <v>0.37444122409475045</v>
      </c>
      <c r="V37" s="4">
        <f t="shared" si="13"/>
        <v>1.0484354274653012</v>
      </c>
      <c r="W37" s="4">
        <f t="shared" si="14"/>
        <v>0.60042445981296488</v>
      </c>
    </row>
    <row r="38" spans="1:23" x14ac:dyDescent="0.2">
      <c r="A38">
        <v>9.5555518873205081</v>
      </c>
      <c r="B38">
        <v>13.602402906142302</v>
      </c>
      <c r="G38">
        <f t="shared" si="0"/>
        <v>-14.86224475659764</v>
      </c>
      <c r="H38" s="4">
        <f t="shared" si="1"/>
        <v>-0.5149169455138215</v>
      </c>
      <c r="I38">
        <f t="shared" si="2"/>
        <v>9.5555518873205081</v>
      </c>
      <c r="J38" s="4">
        <f t="shared" si="3"/>
        <v>-0.1905415994435595</v>
      </c>
      <c r="K38" s="4">
        <f t="shared" si="4"/>
        <v>0.12250707547846805</v>
      </c>
      <c r="M38">
        <f t="shared" si="5"/>
        <v>-222.93367134896459</v>
      </c>
      <c r="N38" s="4">
        <f t="shared" si="6"/>
        <v>-6.6203607280348464</v>
      </c>
      <c r="O38" s="4">
        <f t="shared" si="7"/>
        <v>-16.550901820087116</v>
      </c>
      <c r="P38">
        <f t="shared" si="8"/>
        <v>-668.80101404689378</v>
      </c>
      <c r="Q38" s="4">
        <f t="shared" si="9"/>
        <v>-3.8108319888711897</v>
      </c>
      <c r="R38" s="4">
        <f t="shared" si="10"/>
        <v>-8.3105451449614023</v>
      </c>
      <c r="T38" s="4">
        <f t="shared" si="11"/>
        <v>0.11625985389865215</v>
      </c>
      <c r="U38" s="4">
        <f t="shared" si="12"/>
        <v>0.35345137313307917</v>
      </c>
      <c r="V38" s="4">
        <f t="shared" si="13"/>
        <v>0.98966384477262159</v>
      </c>
      <c r="W38" s="4">
        <f t="shared" si="14"/>
        <v>0.56676678775592926</v>
      </c>
    </row>
    <row r="39" spans="1:23" x14ac:dyDescent="0.2">
      <c r="A39">
        <v>10.013677113037469</v>
      </c>
      <c r="B39">
        <v>14.415813124403607</v>
      </c>
      <c r="G39">
        <f t="shared" si="0"/>
        <v>-15.574790647621654</v>
      </c>
      <c r="H39" s="4">
        <f t="shared" si="1"/>
        <v>-0.53960379193260588</v>
      </c>
      <c r="I39">
        <f t="shared" si="2"/>
        <v>10.013677113037469</v>
      </c>
      <c r="J39" s="4">
        <f t="shared" si="3"/>
        <v>-0.1996768031746366</v>
      </c>
      <c r="K39" s="4">
        <f t="shared" si="4"/>
        <v>0.12838047580817269</v>
      </c>
      <c r="M39">
        <f t="shared" si="5"/>
        <v>-233.62185971432481</v>
      </c>
      <c r="N39" s="4">
        <f t="shared" si="6"/>
        <v>-6.937763039133503</v>
      </c>
      <c r="O39" s="4">
        <f t="shared" si="7"/>
        <v>-17.344407597833758</v>
      </c>
      <c r="P39">
        <f t="shared" si="8"/>
        <v>-700.86557914297441</v>
      </c>
      <c r="Q39" s="4">
        <f t="shared" si="9"/>
        <v>-3.9935360634927317</v>
      </c>
      <c r="R39" s="4">
        <f t="shared" si="10"/>
        <v>-8.7089805692322262</v>
      </c>
      <c r="T39" s="4">
        <f t="shared" si="11"/>
        <v>0.12321207798635563</v>
      </c>
      <c r="U39" s="4">
        <f t="shared" si="12"/>
        <v>0.37458741509189458</v>
      </c>
      <c r="V39" s="4">
        <f t="shared" si="13"/>
        <v>1.0488447622573047</v>
      </c>
      <c r="W39" s="4">
        <f t="shared" si="14"/>
        <v>0.60065888018348368</v>
      </c>
    </row>
    <row r="40" spans="1:23" x14ac:dyDescent="0.2">
      <c r="A40">
        <v>14.571020842353624</v>
      </c>
      <c r="B40">
        <v>21.561513892280239</v>
      </c>
      <c r="G40">
        <f t="shared" si="0"/>
        <v>-22.663063386208094</v>
      </c>
      <c r="H40" s="4">
        <f t="shared" si="1"/>
        <v>-0.7851839049839382</v>
      </c>
      <c r="I40">
        <f t="shared" si="2"/>
        <v>14.571020842353624</v>
      </c>
      <c r="J40" s="4">
        <f t="shared" si="3"/>
        <v>-0.29055209469497556</v>
      </c>
      <c r="K40" s="4">
        <f t="shared" si="4"/>
        <v>0.18680795951735416</v>
      </c>
      <c r="M40">
        <f t="shared" si="5"/>
        <v>-339.94595079312143</v>
      </c>
      <c r="N40" s="4">
        <f t="shared" si="6"/>
        <v>-10.095221635507777</v>
      </c>
      <c r="O40" s="4">
        <f t="shared" si="7"/>
        <v>-25.238054088769442</v>
      </c>
      <c r="P40">
        <f t="shared" si="8"/>
        <v>-1019.8378523793642</v>
      </c>
      <c r="Q40" s="4">
        <f t="shared" si="9"/>
        <v>-5.8110418938995112</v>
      </c>
      <c r="R40" s="4">
        <f t="shared" si="10"/>
        <v>-12.672541360927013</v>
      </c>
      <c r="T40" s="4">
        <f t="shared" si="11"/>
        <v>0.18428644352376272</v>
      </c>
      <c r="U40" s="4">
        <f t="shared" si="12"/>
        <v>0.56026473738791382</v>
      </c>
      <c r="V40" s="4">
        <f t="shared" si="13"/>
        <v>1.5687412646861587</v>
      </c>
      <c r="W40" s="4">
        <f t="shared" si="14"/>
        <v>0.89839641217834332</v>
      </c>
    </row>
    <row r="41" spans="1:23" x14ac:dyDescent="0.2">
      <c r="A41">
        <v>15.006737922709258</v>
      </c>
      <c r="B41">
        <v>22.407468436479554</v>
      </c>
      <c r="G41">
        <f t="shared" si="0"/>
        <v>-23.340756728177006</v>
      </c>
      <c r="H41" s="4">
        <f t="shared" si="1"/>
        <v>-0.80866325089410274</v>
      </c>
      <c r="I41">
        <f t="shared" si="2"/>
        <v>15.006737922709258</v>
      </c>
      <c r="J41" s="4">
        <f t="shared" si="3"/>
        <v>-0.29924047087406414</v>
      </c>
      <c r="K41" s="4">
        <f t="shared" si="4"/>
        <v>0.19239407593216998</v>
      </c>
      <c r="M41">
        <f t="shared" si="5"/>
        <v>-350.11135092265511</v>
      </c>
      <c r="N41" s="4">
        <f t="shared" si="6"/>
        <v>-10.397098940067035</v>
      </c>
      <c r="O41" s="4">
        <f t="shared" si="7"/>
        <v>-25.992747350167591</v>
      </c>
      <c r="P41">
        <f t="shared" si="8"/>
        <v>-1050.3340527679652</v>
      </c>
      <c r="Q41" s="4">
        <f t="shared" si="9"/>
        <v>-5.9848094174812827</v>
      </c>
      <c r="R41" s="4">
        <f t="shared" si="10"/>
        <v>-13.051488229661107</v>
      </c>
      <c r="T41" s="4">
        <f t="shared" si="11"/>
        <v>0.19151682424341498</v>
      </c>
      <c r="U41" s="4">
        <f t="shared" si="12"/>
        <v>0.58224642674960736</v>
      </c>
      <c r="V41" s="4">
        <f t="shared" si="13"/>
        <v>1.6302899948989005</v>
      </c>
      <c r="W41" s="4">
        <f t="shared" si="14"/>
        <v>0.93364451818664806</v>
      </c>
    </row>
    <row r="42" spans="1:23" x14ac:dyDescent="0.2">
      <c r="A42">
        <v>19.088954602240552</v>
      </c>
      <c r="B42">
        <v>29.206680683807338</v>
      </c>
      <c r="G42">
        <f t="shared" si="0"/>
        <v>-29.690039758199063</v>
      </c>
      <c r="H42" s="4">
        <f t="shared" si="1"/>
        <v>-1.0286403457115172</v>
      </c>
      <c r="I42">
        <f t="shared" si="2"/>
        <v>19.088954602240552</v>
      </c>
      <c r="J42" s="4">
        <f t="shared" si="3"/>
        <v>-0.38064153536152645</v>
      </c>
      <c r="K42" s="4">
        <f t="shared" si="4"/>
        <v>0.24473018720821221</v>
      </c>
      <c r="M42">
        <f t="shared" si="5"/>
        <v>-445.35059637298593</v>
      </c>
      <c r="N42" s="4">
        <f t="shared" si="6"/>
        <v>-13.225375873433791</v>
      </c>
      <c r="O42" s="4">
        <f t="shared" si="7"/>
        <v>-33.063439683584477</v>
      </c>
      <c r="P42">
        <f t="shared" si="8"/>
        <v>-1336.0517891189579</v>
      </c>
      <c r="Q42" s="4">
        <f t="shared" si="9"/>
        <v>-7.612830707230529</v>
      </c>
      <c r="R42" s="4">
        <f t="shared" si="10"/>
        <v>-16.601826965383502</v>
      </c>
      <c r="T42" s="4">
        <f t="shared" si="11"/>
        <v>0.24962974943425076</v>
      </c>
      <c r="U42" s="4">
        <f t="shared" si="12"/>
        <v>0.75892042483828837</v>
      </c>
      <c r="V42" s="4">
        <f t="shared" si="13"/>
        <v>2.1249771895472072</v>
      </c>
      <c r="W42" s="4">
        <f t="shared" si="14"/>
        <v>1.2169450284919725</v>
      </c>
    </row>
    <row r="43" spans="1:23" x14ac:dyDescent="0.2">
      <c r="A43">
        <v>19.700242520576136</v>
      </c>
      <c r="B43">
        <v>30.739320092288658</v>
      </c>
      <c r="G43">
        <f t="shared" si="0"/>
        <v>-30.640807517736828</v>
      </c>
      <c r="H43" s="4">
        <f t="shared" si="1"/>
        <v>-1.0615806207945848</v>
      </c>
      <c r="I43">
        <f t="shared" si="2"/>
        <v>19.700242520576136</v>
      </c>
      <c r="J43" s="4">
        <f t="shared" si="3"/>
        <v>-0.39283086561201058</v>
      </c>
      <c r="K43" s="4">
        <f t="shared" si="4"/>
        <v>0.25256721180225816</v>
      </c>
      <c r="M43">
        <f t="shared" si="5"/>
        <v>-459.61211276605241</v>
      </c>
      <c r="N43" s="4">
        <f t="shared" si="6"/>
        <v>-13.648893695930374</v>
      </c>
      <c r="O43" s="4">
        <f t="shared" si="7"/>
        <v>-34.122234239825936</v>
      </c>
      <c r="P43">
        <f t="shared" si="8"/>
        <v>-1378.8363382981572</v>
      </c>
      <c r="Q43" s="4">
        <f t="shared" si="9"/>
        <v>-7.8566173122402123</v>
      </c>
      <c r="R43" s="4">
        <f t="shared" si="10"/>
        <v>-17.133469292462308</v>
      </c>
      <c r="T43" s="4">
        <f t="shared" si="11"/>
        <v>0.26272923155802269</v>
      </c>
      <c r="U43" s="4">
        <f t="shared" si="12"/>
        <v>0.79874526366885823</v>
      </c>
      <c r="V43" s="4">
        <f t="shared" si="13"/>
        <v>2.2364867382728031</v>
      </c>
      <c r="W43" s="4">
        <f t="shared" si="14"/>
        <v>1.2808050038453607</v>
      </c>
    </row>
    <row r="44" spans="1:23" x14ac:dyDescent="0.2">
      <c r="A44">
        <v>22.143314109512872</v>
      </c>
      <c r="B44">
        <v>35.165447067320258</v>
      </c>
      <c r="G44">
        <f t="shared" si="0"/>
        <v>-34.440643292878988</v>
      </c>
      <c r="H44" s="4">
        <f t="shared" si="1"/>
        <v>-1.193229632288745</v>
      </c>
      <c r="I44">
        <f t="shared" si="2"/>
        <v>22.143314109512872</v>
      </c>
      <c r="J44" s="4">
        <f t="shared" si="3"/>
        <v>-0.44154670888306397</v>
      </c>
      <c r="K44" s="4">
        <f t="shared" si="4"/>
        <v>0.28388864242965223</v>
      </c>
      <c r="M44">
        <f t="shared" si="5"/>
        <v>-516.60964939318478</v>
      </c>
      <c r="N44" s="4">
        <f t="shared" si="6"/>
        <v>-15.341523843712434</v>
      </c>
      <c r="O44" s="4">
        <f t="shared" si="7"/>
        <v>-38.353809609281086</v>
      </c>
      <c r="P44">
        <f t="shared" si="8"/>
        <v>-1549.8289481795543</v>
      </c>
      <c r="Q44" s="4">
        <f t="shared" si="9"/>
        <v>-8.8309341776612786</v>
      </c>
      <c r="R44" s="4">
        <f t="shared" si="10"/>
        <v>-19.258229533592097</v>
      </c>
      <c r="T44" s="4">
        <f t="shared" si="11"/>
        <v>0.30055937664376287</v>
      </c>
      <c r="U44" s="4">
        <f t="shared" si="12"/>
        <v>0.91375587376333289</v>
      </c>
      <c r="V44" s="4">
        <f t="shared" si="13"/>
        <v>2.558516446537332</v>
      </c>
      <c r="W44" s="4">
        <f t="shared" si="14"/>
        <v>1.4652269611383442</v>
      </c>
    </row>
    <row r="45" spans="1:23" x14ac:dyDescent="0.2">
      <c r="A45">
        <v>24.727022423699992</v>
      </c>
      <c r="B45">
        <v>40.300836458799928</v>
      </c>
      <c r="G45">
        <f t="shared" si="0"/>
        <v>-38.459218650735473</v>
      </c>
      <c r="H45" s="4">
        <f t="shared" si="1"/>
        <v>-1.3324570896797963</v>
      </c>
      <c r="I45">
        <f t="shared" si="2"/>
        <v>24.727022423699992</v>
      </c>
      <c r="J45" s="4">
        <f t="shared" si="3"/>
        <v>-0.49306690577865991</v>
      </c>
      <c r="K45" s="4">
        <f t="shared" si="4"/>
        <v>0.31701310799615373</v>
      </c>
      <c r="M45">
        <f t="shared" si="5"/>
        <v>-576.88827976103209</v>
      </c>
      <c r="N45" s="4">
        <f t="shared" si="6"/>
        <v>-17.131591153025951</v>
      </c>
      <c r="O45" s="4">
        <f t="shared" si="7"/>
        <v>-42.828977882564878</v>
      </c>
      <c r="P45">
        <f t="shared" si="8"/>
        <v>-1730.6648392830964</v>
      </c>
      <c r="Q45" s="4">
        <f t="shared" si="9"/>
        <v>-9.8613381155731989</v>
      </c>
      <c r="R45" s="4">
        <f t="shared" si="10"/>
        <v>-21.505302736653864</v>
      </c>
      <c r="T45" s="4">
        <f t="shared" si="11"/>
        <v>0.34445159366495665</v>
      </c>
      <c r="U45" s="4">
        <f t="shared" si="12"/>
        <v>1.0471962992907893</v>
      </c>
      <c r="V45" s="4">
        <f t="shared" si="13"/>
        <v>2.9321496380142098</v>
      </c>
      <c r="W45" s="4">
        <f t="shared" si="14"/>
        <v>1.6792015191166638</v>
      </c>
    </row>
    <row r="46" spans="1:23" x14ac:dyDescent="0.2">
      <c r="A46">
        <v>20.388135339373598</v>
      </c>
      <c r="B46">
        <v>33.143418518314888</v>
      </c>
      <c r="G46">
        <f t="shared" si="0"/>
        <v>-31.710722846524867</v>
      </c>
      <c r="H46" s="4">
        <f t="shared" si="1"/>
        <v>-1.098648879464823</v>
      </c>
      <c r="I46">
        <f t="shared" si="2"/>
        <v>20.388135339373598</v>
      </c>
      <c r="J46" s="4">
        <f t="shared" si="3"/>
        <v>-0.40654772880160084</v>
      </c>
      <c r="K46" s="4">
        <f t="shared" si="4"/>
        <v>0.2613863505047897</v>
      </c>
      <c r="M46">
        <f t="shared" si="5"/>
        <v>-475.66084269787302</v>
      </c>
      <c r="N46" s="4">
        <f t="shared" si="6"/>
        <v>-14.125485593119151</v>
      </c>
      <c r="O46" s="4">
        <f t="shared" si="7"/>
        <v>-35.313713982797879</v>
      </c>
      <c r="P46">
        <f t="shared" si="8"/>
        <v>-1426.9825280936191</v>
      </c>
      <c r="Q46" s="4">
        <f t="shared" si="9"/>
        <v>-8.1309545760320177</v>
      </c>
      <c r="R46" s="4">
        <f t="shared" si="10"/>
        <v>-17.731735556192902</v>
      </c>
      <c r="T46" s="4">
        <f t="shared" si="11"/>
        <v>0.28327708135311869</v>
      </c>
      <c r="U46" s="4">
        <f t="shared" si="12"/>
        <v>0.86121451235155533</v>
      </c>
      <c r="V46" s="4">
        <f t="shared" si="13"/>
        <v>2.4114006345843548</v>
      </c>
      <c r="W46" s="4">
        <f t="shared" si="14"/>
        <v>1.3809757715964537</v>
      </c>
    </row>
    <row r="47" spans="1:23" x14ac:dyDescent="0.2">
      <c r="A47">
        <v>25.324209295743888</v>
      </c>
      <c r="B47">
        <v>42.240992254276257</v>
      </c>
      <c r="G47">
        <f t="shared" si="0"/>
        <v>-39.388054322646852</v>
      </c>
      <c r="H47" s="4">
        <f t="shared" si="1"/>
        <v>-1.364637506225054</v>
      </c>
      <c r="I47">
        <f t="shared" si="2"/>
        <v>25.324209295743888</v>
      </c>
      <c r="J47" s="4">
        <f t="shared" si="3"/>
        <v>-0.50497505541854937</v>
      </c>
      <c r="K47" s="4">
        <f t="shared" si="4"/>
        <v>0.32466934994543445</v>
      </c>
      <c r="M47">
        <f t="shared" si="5"/>
        <v>-590.82081483970273</v>
      </c>
      <c r="N47" s="4">
        <f t="shared" si="6"/>
        <v>-17.545339365750692</v>
      </c>
      <c r="O47" s="4">
        <f t="shared" si="7"/>
        <v>-43.86334841437673</v>
      </c>
      <c r="P47">
        <f t="shared" si="8"/>
        <v>-1772.4624445191082</v>
      </c>
      <c r="Q47" s="4">
        <f t="shared" si="9"/>
        <v>-10.099501108370987</v>
      </c>
      <c r="R47" s="4">
        <f t="shared" si="10"/>
        <v>-22.024681263255193</v>
      </c>
      <c r="T47" s="4">
        <f t="shared" si="11"/>
        <v>0.36103412183142103</v>
      </c>
      <c r="U47" s="4">
        <f t="shared" si="12"/>
        <v>1.0976102397346172</v>
      </c>
      <c r="V47" s="4">
        <f t="shared" si="13"/>
        <v>3.0733086712569282</v>
      </c>
      <c r="W47" s="4">
        <f t="shared" si="14"/>
        <v>1.7600413439281772</v>
      </c>
    </row>
    <row r="48" spans="1:23" x14ac:dyDescent="0.2">
      <c r="A48">
        <v>26.948936676025014</v>
      </c>
      <c r="B48">
        <v>45.395476825931297</v>
      </c>
      <c r="G48">
        <f t="shared" si="0"/>
        <v>-41.915076965946511</v>
      </c>
      <c r="H48" s="4">
        <f t="shared" si="1"/>
        <v>-1.4521886670383957</v>
      </c>
      <c r="I48">
        <f t="shared" si="2"/>
        <v>26.948936676025014</v>
      </c>
      <c r="J48" s="4">
        <f t="shared" si="3"/>
        <v>-0.53737278161469881</v>
      </c>
      <c r="K48" s="4">
        <f t="shared" si="4"/>
        <v>0.34549918815416686</v>
      </c>
      <c r="M48">
        <f t="shared" si="5"/>
        <v>-628.72615448919771</v>
      </c>
      <c r="N48" s="4">
        <f t="shared" si="6"/>
        <v>-18.670997147636516</v>
      </c>
      <c r="O48" s="4">
        <f t="shared" si="7"/>
        <v>-46.677492869091289</v>
      </c>
      <c r="P48">
        <f t="shared" si="8"/>
        <v>-1886.178463467593</v>
      </c>
      <c r="Q48" s="4">
        <f t="shared" si="9"/>
        <v>-10.747455632293976</v>
      </c>
      <c r="R48" s="4">
        <f t="shared" si="10"/>
        <v>-23.437720551964176</v>
      </c>
      <c r="T48" s="4">
        <f t="shared" si="11"/>
        <v>0.38799552842676321</v>
      </c>
      <c r="U48" s="4">
        <f t="shared" si="12"/>
        <v>1.1795778825894776</v>
      </c>
      <c r="V48" s="4">
        <f t="shared" si="13"/>
        <v>3.3028180712505373</v>
      </c>
      <c r="W48" s="4">
        <f t="shared" si="14"/>
        <v>1.8914782010804707</v>
      </c>
    </row>
    <row r="49" spans="1:23" x14ac:dyDescent="0.2">
      <c r="A49">
        <v>26.444242860328373</v>
      </c>
      <c r="B49">
        <v>45.391658718665944</v>
      </c>
      <c r="G49">
        <f t="shared" si="0"/>
        <v>-41.130100535021811</v>
      </c>
      <c r="H49" s="4">
        <f t="shared" si="1"/>
        <v>-1.4249923940169427</v>
      </c>
      <c r="I49">
        <f t="shared" si="2"/>
        <v>26.444242860328373</v>
      </c>
      <c r="J49" s="4">
        <f t="shared" si="3"/>
        <v>-0.52730898121822833</v>
      </c>
      <c r="K49" s="4">
        <f t="shared" si="4"/>
        <v>0.33902875461959453</v>
      </c>
      <c r="M49">
        <f t="shared" si="5"/>
        <v>-616.95150802532714</v>
      </c>
      <c r="N49" s="4">
        <f t="shared" si="6"/>
        <v>-18.321330780217831</v>
      </c>
      <c r="O49" s="4">
        <f t="shared" si="7"/>
        <v>-45.80332695054458</v>
      </c>
      <c r="P49">
        <f t="shared" si="8"/>
        <v>-1850.8545240759815</v>
      </c>
      <c r="Q49" s="4">
        <f t="shared" si="9"/>
        <v>-10.546179624364568</v>
      </c>
      <c r="R49" s="4">
        <f t="shared" si="10"/>
        <v>-22.998784026979656</v>
      </c>
      <c r="T49" s="4">
        <f t="shared" si="11"/>
        <v>0.38796289503133286</v>
      </c>
      <c r="U49" s="4">
        <f t="shared" si="12"/>
        <v>1.1794786710556757</v>
      </c>
      <c r="V49" s="4">
        <f t="shared" si="13"/>
        <v>3.3025402789558918</v>
      </c>
      <c r="W49" s="4">
        <f t="shared" si="14"/>
        <v>1.8913191132777478</v>
      </c>
    </row>
    <row r="50" spans="1:23" x14ac:dyDescent="0.2">
      <c r="A50">
        <v>26.68897293885902</v>
      </c>
      <c r="B50">
        <v>46.260017179333609</v>
      </c>
      <c r="G50">
        <f t="shared" si="0"/>
        <v>-41.510741901351494</v>
      </c>
      <c r="H50" s="4">
        <f t="shared" si="1"/>
        <v>-1.438180084900561</v>
      </c>
      <c r="I50">
        <f t="shared" si="2"/>
        <v>26.68897293885902</v>
      </c>
      <c r="J50" s="4">
        <f t="shared" si="3"/>
        <v>-0.53218899873527559</v>
      </c>
      <c r="K50" s="4">
        <f t="shared" si="4"/>
        <v>0.34216631972896178</v>
      </c>
      <c r="M50">
        <f t="shared" si="5"/>
        <v>-622.66112852027243</v>
      </c>
      <c r="N50" s="4">
        <f t="shared" si="6"/>
        <v>-18.490886805864356</v>
      </c>
      <c r="O50" s="4">
        <f t="shared" si="7"/>
        <v>-46.227217014660894</v>
      </c>
      <c r="P50">
        <f t="shared" si="8"/>
        <v>-1867.9833855608172</v>
      </c>
      <c r="Q50" s="4">
        <f t="shared" si="9"/>
        <v>-10.64377997470551</v>
      </c>
      <c r="R50" s="4">
        <f t="shared" si="10"/>
        <v>-23.211627867915482</v>
      </c>
      <c r="T50" s="4">
        <f t="shared" si="11"/>
        <v>0.39538476221652658</v>
      </c>
      <c r="U50" s="4">
        <f t="shared" si="12"/>
        <v>1.2020425145480722</v>
      </c>
      <c r="V50" s="4">
        <f t="shared" si="13"/>
        <v>3.3657190407346018</v>
      </c>
      <c r="W50" s="4">
        <f t="shared" si="14"/>
        <v>1.9275007158055668</v>
      </c>
    </row>
    <row r="51" spans="1:23" x14ac:dyDescent="0.2">
      <c r="A51">
        <v>29.344065609768904</v>
      </c>
      <c r="B51">
        <v>51.725236364341974</v>
      </c>
      <c r="G51">
        <f t="shared" si="0"/>
        <v>-45.64034504639563</v>
      </c>
      <c r="H51" s="4">
        <f t="shared" si="1"/>
        <v>-1.5812542081205039</v>
      </c>
      <c r="I51">
        <f t="shared" si="2"/>
        <v>29.344065609768904</v>
      </c>
      <c r="J51" s="4">
        <f t="shared" si="3"/>
        <v>-0.58513262879994399</v>
      </c>
      <c r="K51" s="4">
        <f t="shared" si="4"/>
        <v>0.37620596935601158</v>
      </c>
      <c r="M51">
        <f t="shared" si="5"/>
        <v>-684.60517569593446</v>
      </c>
      <c r="N51" s="4">
        <f t="shared" si="6"/>
        <v>-20.330411247263619</v>
      </c>
      <c r="O51" s="4">
        <f t="shared" si="7"/>
        <v>-50.826028118159044</v>
      </c>
      <c r="P51">
        <f t="shared" si="8"/>
        <v>-2053.8155270878033</v>
      </c>
      <c r="Q51" s="4">
        <f t="shared" si="9"/>
        <v>-11.702652575998881</v>
      </c>
      <c r="R51" s="4">
        <f t="shared" si="10"/>
        <v>-25.520784656120636</v>
      </c>
      <c r="T51" s="4">
        <f t="shared" si="11"/>
        <v>0.44209603730206815</v>
      </c>
      <c r="U51" s="4">
        <f t="shared" si="12"/>
        <v>1.3440533959153769</v>
      </c>
      <c r="V51" s="4">
        <f t="shared" si="13"/>
        <v>3.7633495085630551</v>
      </c>
      <c r="W51" s="4">
        <f t="shared" si="14"/>
        <v>2.1552181818475824</v>
      </c>
    </row>
    <row r="52" spans="1:23" x14ac:dyDescent="0.2">
      <c r="A52">
        <v>29.448725698172787</v>
      </c>
      <c r="B52">
        <v>52.303055433202189</v>
      </c>
      <c r="G52">
        <f t="shared" si="0"/>
        <v>-45.803128302501399</v>
      </c>
      <c r="H52" s="4">
        <f t="shared" si="1"/>
        <v>-1.5868939925802212</v>
      </c>
      <c r="I52">
        <f t="shared" si="2"/>
        <v>29.448725698172787</v>
      </c>
      <c r="J52" s="4">
        <f t="shared" si="3"/>
        <v>-0.58721959362181286</v>
      </c>
      <c r="K52" s="4">
        <f t="shared" si="4"/>
        <v>0.37754776536118961</v>
      </c>
      <c r="M52">
        <f t="shared" si="5"/>
        <v>-687.04692453752102</v>
      </c>
      <c r="N52" s="4">
        <f t="shared" si="6"/>
        <v>-20.4029227617457</v>
      </c>
      <c r="O52" s="4">
        <f t="shared" si="7"/>
        <v>-51.007306904364249</v>
      </c>
      <c r="P52">
        <f t="shared" si="8"/>
        <v>-2061.140773612563</v>
      </c>
      <c r="Q52" s="4">
        <f t="shared" si="9"/>
        <v>-11.744391872436255</v>
      </c>
      <c r="R52" s="4">
        <f t="shared" si="10"/>
        <v>-25.611808429505224</v>
      </c>
      <c r="T52" s="4">
        <f t="shared" si="11"/>
        <v>0.44703466182224094</v>
      </c>
      <c r="U52" s="4">
        <f t="shared" si="12"/>
        <v>1.3590677242454763</v>
      </c>
      <c r="V52" s="4">
        <f t="shared" si="13"/>
        <v>3.8053896278873331</v>
      </c>
      <c r="W52" s="4">
        <f t="shared" si="14"/>
        <v>2.1792939763834247</v>
      </c>
    </row>
    <row r="53" spans="1:23" x14ac:dyDescent="0.2">
      <c r="A53">
        <v>30.514050591830472</v>
      </c>
      <c r="B53">
        <v>55.280821748133867</v>
      </c>
      <c r="G53">
        <f t="shared" si="0"/>
        <v>-47.460083285483201</v>
      </c>
      <c r="H53" s="4">
        <f t="shared" si="1"/>
        <v>-1.6443008118503819</v>
      </c>
      <c r="I53">
        <f t="shared" si="2"/>
        <v>30.514050591830472</v>
      </c>
      <c r="J53" s="4">
        <f t="shared" si="3"/>
        <v>-0.60846260622414361</v>
      </c>
      <c r="K53" s="4">
        <f t="shared" si="4"/>
        <v>0.3912057768183394</v>
      </c>
      <c r="M53">
        <f t="shared" si="5"/>
        <v>-711.90124928224805</v>
      </c>
      <c r="N53" s="4">
        <f t="shared" si="6"/>
        <v>-21.141010438076339</v>
      </c>
      <c r="O53" s="4">
        <f t="shared" si="7"/>
        <v>-52.852526095190846</v>
      </c>
      <c r="P53">
        <f t="shared" si="8"/>
        <v>-2135.7037478467441</v>
      </c>
      <c r="Q53" s="4">
        <f t="shared" si="9"/>
        <v>-12.169252124482872</v>
      </c>
      <c r="R53" s="4">
        <f t="shared" si="10"/>
        <v>-26.538330594545343</v>
      </c>
      <c r="T53" s="4">
        <f t="shared" si="11"/>
        <v>0.47248565596695613</v>
      </c>
      <c r="U53" s="4">
        <f t="shared" si="12"/>
        <v>1.4364434350036663</v>
      </c>
      <c r="V53" s="4">
        <f t="shared" si="13"/>
        <v>4.0220416180102658</v>
      </c>
      <c r="W53" s="4">
        <f t="shared" si="14"/>
        <v>2.3033675728389111</v>
      </c>
    </row>
    <row r="54" spans="1:23" x14ac:dyDescent="0.2">
      <c r="A54">
        <v>32.326579567133649</v>
      </c>
      <c r="B54">
        <v>59.570268448836117</v>
      </c>
      <c r="G54">
        <f t="shared" si="0"/>
        <v>-50.2792034762412</v>
      </c>
      <c r="H54" s="4">
        <f t="shared" si="1"/>
        <v>-1.7419719767002981</v>
      </c>
      <c r="I54">
        <f t="shared" si="2"/>
        <v>32.326579567133649</v>
      </c>
      <c r="J54" s="4">
        <f t="shared" si="3"/>
        <v>-0.6446051727723231</v>
      </c>
      <c r="K54" s="4">
        <f t="shared" si="4"/>
        <v>0.41444332778376475</v>
      </c>
      <c r="M54">
        <f t="shared" si="5"/>
        <v>-754.18805214361805</v>
      </c>
      <c r="N54" s="4">
        <f t="shared" si="6"/>
        <v>-22.396782557575261</v>
      </c>
      <c r="O54" s="4">
        <f t="shared" si="7"/>
        <v>-55.991956393938153</v>
      </c>
      <c r="P54">
        <f t="shared" si="8"/>
        <v>-2262.5641564308539</v>
      </c>
      <c r="Q54" s="4">
        <f t="shared" si="9"/>
        <v>-12.892103455446462</v>
      </c>
      <c r="R54" s="4">
        <f t="shared" si="10"/>
        <v>-28.114702535531322</v>
      </c>
      <c r="T54" s="4">
        <f t="shared" si="11"/>
        <v>0.50914759357979589</v>
      </c>
      <c r="U54" s="4">
        <f t="shared" si="12"/>
        <v>1.5479024791744393</v>
      </c>
      <c r="V54" s="4">
        <f t="shared" si="13"/>
        <v>4.3341269416884298</v>
      </c>
      <c r="W54" s="4">
        <f t="shared" si="14"/>
        <v>2.4820945187015049</v>
      </c>
    </row>
    <row r="55" spans="1:23" x14ac:dyDescent="0.2">
      <c r="A55">
        <v>31.592339572972342</v>
      </c>
      <c r="B55">
        <v>59.01526933357443</v>
      </c>
      <c r="G55">
        <f t="shared" si="0"/>
        <v>-49.137201985172105</v>
      </c>
      <c r="H55" s="4">
        <f t="shared" si="1"/>
        <v>-1.7024062227254495</v>
      </c>
      <c r="I55">
        <f t="shared" si="2"/>
        <v>31.592339572972342</v>
      </c>
      <c r="J55" s="4">
        <f t="shared" si="3"/>
        <v>-0.62996412801502699</v>
      </c>
      <c r="K55" s="4">
        <f t="shared" si="4"/>
        <v>0.40502999452528643</v>
      </c>
      <c r="M55">
        <f t="shared" si="5"/>
        <v>-737.05802977758162</v>
      </c>
      <c r="N55" s="4">
        <f t="shared" si="6"/>
        <v>-21.888080006470062</v>
      </c>
      <c r="O55" s="4">
        <f t="shared" si="7"/>
        <v>-54.720200016175156</v>
      </c>
      <c r="P55">
        <f t="shared" si="8"/>
        <v>-2211.1740893327446</v>
      </c>
      <c r="Q55" s="4">
        <f t="shared" si="9"/>
        <v>-12.599282560300539</v>
      </c>
      <c r="R55" s="4">
        <f t="shared" si="10"/>
        <v>-27.476127737270794</v>
      </c>
      <c r="T55" s="4">
        <f t="shared" si="11"/>
        <v>0.50440401139807201</v>
      </c>
      <c r="U55" s="4">
        <f t="shared" si="12"/>
        <v>1.5334811154837413</v>
      </c>
      <c r="V55" s="4">
        <f t="shared" si="13"/>
        <v>4.2937471233544757</v>
      </c>
      <c r="W55" s="4">
        <f t="shared" si="14"/>
        <v>2.4589695555656013</v>
      </c>
    </row>
    <row r="56" spans="1:23" x14ac:dyDescent="0.2">
      <c r="A56">
        <v>31.930334031321141</v>
      </c>
      <c r="B56">
        <v>60.581362898439252</v>
      </c>
      <c r="G56">
        <f t="shared" si="0"/>
        <v>-49.662902271831534</v>
      </c>
      <c r="H56" s="4">
        <f t="shared" si="1"/>
        <v>-1.7206196211922085</v>
      </c>
      <c r="I56">
        <f t="shared" si="2"/>
        <v>31.930334031321141</v>
      </c>
      <c r="J56" s="4">
        <f t="shared" si="3"/>
        <v>-0.63670387527989147</v>
      </c>
      <c r="K56" s="4">
        <f t="shared" si="4"/>
        <v>0.40936325681180952</v>
      </c>
      <c r="M56">
        <f t="shared" si="5"/>
        <v>-744.94353407747303</v>
      </c>
      <c r="N56" s="4">
        <f t="shared" si="6"/>
        <v>-22.12225227247125</v>
      </c>
      <c r="O56" s="4">
        <f t="shared" si="7"/>
        <v>-55.30563068117813</v>
      </c>
      <c r="P56">
        <f t="shared" si="8"/>
        <v>-2234.8306022324191</v>
      </c>
      <c r="Q56" s="4">
        <f t="shared" si="9"/>
        <v>-12.734077505597829</v>
      </c>
      <c r="R56" s="4">
        <f t="shared" si="10"/>
        <v>-27.770084406438347</v>
      </c>
      <c r="T56" s="4">
        <f t="shared" si="11"/>
        <v>0.51778942648238679</v>
      </c>
      <c r="U56" s="4">
        <f t="shared" si="12"/>
        <v>1.5741752431886629</v>
      </c>
      <c r="V56" s="4">
        <f t="shared" si="13"/>
        <v>4.4076906809282557</v>
      </c>
      <c r="W56" s="4">
        <f t="shared" si="14"/>
        <v>2.5242234541016355</v>
      </c>
    </row>
    <row r="57" spans="1:23" x14ac:dyDescent="0.2">
      <c r="A57">
        <v>33.184079862961489</v>
      </c>
      <c r="B57">
        <v>64.280009101204996</v>
      </c>
      <c r="G57">
        <f t="shared" si="0"/>
        <v>-51.612918098455651</v>
      </c>
      <c r="H57" s="4">
        <f t="shared" si="1"/>
        <v>-1.7881798188334943</v>
      </c>
      <c r="I57">
        <f t="shared" si="2"/>
        <v>33.184079862961489</v>
      </c>
      <c r="J57" s="4">
        <f t="shared" si="3"/>
        <v>-0.66170407818532884</v>
      </c>
      <c r="K57" s="4">
        <f t="shared" si="4"/>
        <v>0.42543692132001915</v>
      </c>
      <c r="M57">
        <f t="shared" si="5"/>
        <v>-774.19377147683474</v>
      </c>
      <c r="N57" s="4">
        <f t="shared" si="6"/>
        <v>-22.990883385002068</v>
      </c>
      <c r="O57" s="4">
        <f t="shared" si="7"/>
        <v>-57.477208462505168</v>
      </c>
      <c r="P57">
        <f t="shared" si="8"/>
        <v>-2322.5813144305043</v>
      </c>
      <c r="Q57" s="4">
        <f t="shared" si="9"/>
        <v>-13.234081563706576</v>
      </c>
      <c r="R57" s="4">
        <f t="shared" si="10"/>
        <v>-28.860477871621654</v>
      </c>
      <c r="T57" s="4">
        <f t="shared" si="11"/>
        <v>0.54940178718978627</v>
      </c>
      <c r="U57" s="4">
        <f t="shared" si="12"/>
        <v>1.6702826433385791</v>
      </c>
      <c r="V57" s="4">
        <f t="shared" si="13"/>
        <v>4.6767914013480212</v>
      </c>
      <c r="W57" s="4">
        <f t="shared" si="14"/>
        <v>2.678333712550208</v>
      </c>
    </row>
    <row r="58" spans="1:23" x14ac:dyDescent="0.2">
      <c r="A58">
        <v>33.062185049858201</v>
      </c>
      <c r="B58">
        <v>64.965729099613085</v>
      </c>
      <c r="G58">
        <f t="shared" si="0"/>
        <v>-51.423328782394826</v>
      </c>
      <c r="H58" s="4">
        <f t="shared" si="1"/>
        <v>-1.7816113123173598</v>
      </c>
      <c r="I58">
        <f t="shared" si="2"/>
        <v>33.062185049858201</v>
      </c>
      <c r="J58" s="4">
        <f t="shared" si="3"/>
        <v>-0.65927344592813875</v>
      </c>
      <c r="K58" s="4">
        <f t="shared" si="4"/>
        <v>0.42387416730587435</v>
      </c>
      <c r="M58">
        <f t="shared" si="5"/>
        <v>-771.34993173592238</v>
      </c>
      <c r="N58" s="4">
        <f t="shared" si="6"/>
        <v>-22.906431158366054</v>
      </c>
      <c r="O58" s="4">
        <f t="shared" si="7"/>
        <v>-57.266077895915132</v>
      </c>
      <c r="P58">
        <f t="shared" si="8"/>
        <v>-2314.0497952077671</v>
      </c>
      <c r="Q58" s="4">
        <f t="shared" si="9"/>
        <v>-13.185468918562776</v>
      </c>
      <c r="R58" s="4">
        <f t="shared" si="10"/>
        <v>-28.75446491086575</v>
      </c>
      <c r="T58" s="4">
        <f t="shared" si="11"/>
        <v>0.55526264187703489</v>
      </c>
      <c r="U58" s="4">
        <f t="shared" si="12"/>
        <v>1.6881007212689649</v>
      </c>
      <c r="V58" s="4">
        <f t="shared" si="13"/>
        <v>4.7266820195531016</v>
      </c>
      <c r="W58" s="4">
        <f t="shared" si="14"/>
        <v>2.7069053791505451</v>
      </c>
    </row>
    <row r="59" spans="1:23" x14ac:dyDescent="0.2">
      <c r="A59">
        <v>34.55240913966562</v>
      </c>
      <c r="B59">
        <v>68.719360617972924</v>
      </c>
      <c r="G59">
        <f t="shared" si="0"/>
        <v>-53.741151491754458</v>
      </c>
      <c r="H59" s="4">
        <f t="shared" si="1"/>
        <v>-1.861914537657275</v>
      </c>
      <c r="I59">
        <f t="shared" si="2"/>
        <v>34.55240913966562</v>
      </c>
      <c r="J59" s="4">
        <f t="shared" si="3"/>
        <v>-0.68898912168915971</v>
      </c>
      <c r="K59" s="4">
        <f t="shared" si="4"/>
        <v>0.44297960435468742</v>
      </c>
      <c r="M59">
        <f t="shared" si="5"/>
        <v>-806.11727237631692</v>
      </c>
      <c r="N59" s="4">
        <f t="shared" si="6"/>
        <v>-23.938901198450679</v>
      </c>
      <c r="O59" s="4">
        <f t="shared" si="7"/>
        <v>-59.847252996126699</v>
      </c>
      <c r="P59">
        <f t="shared" si="8"/>
        <v>-2418.3518171289506</v>
      </c>
      <c r="Q59" s="4">
        <f t="shared" si="9"/>
        <v>-13.779782433783195</v>
      </c>
      <c r="R59" s="4">
        <f t="shared" si="10"/>
        <v>-30.050525538288738</v>
      </c>
      <c r="T59" s="4">
        <f t="shared" si="11"/>
        <v>0.58734496254677715</v>
      </c>
      <c r="U59" s="4">
        <f t="shared" si="12"/>
        <v>1.7856368862799863</v>
      </c>
      <c r="V59" s="4">
        <f t="shared" si="13"/>
        <v>4.9997832815839613</v>
      </c>
      <c r="W59" s="4">
        <f t="shared" si="14"/>
        <v>2.8633066924155384</v>
      </c>
    </row>
    <row r="60" spans="1:23" x14ac:dyDescent="0.2">
      <c r="A60">
        <v>33.577262339519166</v>
      </c>
      <c r="B60">
        <v>67.47566827358429</v>
      </c>
      <c r="G60">
        <f t="shared" si="0"/>
        <v>-52.224455168162677</v>
      </c>
      <c r="H60" s="4">
        <f t="shared" si="1"/>
        <v>-1.8093671162545133</v>
      </c>
      <c r="I60">
        <f t="shared" si="2"/>
        <v>33.577262339519166</v>
      </c>
      <c r="J60" s="4">
        <f t="shared" si="3"/>
        <v>-0.66954429702772666</v>
      </c>
      <c r="K60" s="4">
        <f t="shared" si="4"/>
        <v>0.43047772230152775</v>
      </c>
      <c r="M60">
        <f t="shared" si="5"/>
        <v>-783.36682752244019</v>
      </c>
      <c r="N60" s="4">
        <f t="shared" si="6"/>
        <v>-23.263291494700884</v>
      </c>
      <c r="O60" s="4">
        <f t="shared" si="7"/>
        <v>-58.158228736752207</v>
      </c>
      <c r="P60">
        <f t="shared" si="8"/>
        <v>-2350.1004825673203</v>
      </c>
      <c r="Q60" s="4">
        <f t="shared" si="9"/>
        <v>-13.390885940554531</v>
      </c>
      <c r="R60" s="4">
        <f t="shared" si="10"/>
        <v>-29.202432031901616</v>
      </c>
      <c r="T60" s="4">
        <f t="shared" si="11"/>
        <v>0.57671511344943838</v>
      </c>
      <c r="U60" s="4">
        <f t="shared" si="12"/>
        <v>1.7533201868032517</v>
      </c>
      <c r="V60" s="4">
        <f t="shared" si="13"/>
        <v>4.9092965230491048</v>
      </c>
      <c r="W60" s="4">
        <f t="shared" si="14"/>
        <v>2.8114861780660121</v>
      </c>
    </row>
    <row r="61" spans="1:23" x14ac:dyDescent="0.2">
      <c r="A61">
        <v>33.623696751624479</v>
      </c>
      <c r="B61">
        <v>67.972849485579488</v>
      </c>
      <c r="G61">
        <f t="shared" si="0"/>
        <v>-52.296677014265939</v>
      </c>
      <c r="H61" s="4">
        <f t="shared" si="1"/>
        <v>-1.8118693124573011</v>
      </c>
      <c r="I61">
        <f t="shared" si="2"/>
        <v>33.623696751624479</v>
      </c>
      <c r="J61" s="4">
        <f t="shared" si="3"/>
        <v>-0.67047021813161467</v>
      </c>
      <c r="K61" s="4">
        <f t="shared" si="4"/>
        <v>0.43107303527723689</v>
      </c>
      <c r="M61">
        <f t="shared" si="5"/>
        <v>-784.45015521398909</v>
      </c>
      <c r="N61" s="4">
        <f t="shared" si="6"/>
        <v>-23.295462588736726</v>
      </c>
      <c r="O61" s="4">
        <f t="shared" si="7"/>
        <v>-58.238656471841814</v>
      </c>
      <c r="P61">
        <f t="shared" si="8"/>
        <v>-2353.3504656419673</v>
      </c>
      <c r="Q61" s="4">
        <f t="shared" si="9"/>
        <v>-13.409404362632293</v>
      </c>
      <c r="R61" s="4">
        <f t="shared" si="10"/>
        <v>-29.242816436971193</v>
      </c>
      <c r="T61" s="4">
        <f t="shared" si="11"/>
        <v>0.58096452551777344</v>
      </c>
      <c r="U61" s="4">
        <f t="shared" si="12"/>
        <v>1.7662391823136934</v>
      </c>
      <c r="V61" s="4">
        <f t="shared" si="13"/>
        <v>4.9454697104783412</v>
      </c>
      <c r="W61" s="4">
        <f t="shared" si="14"/>
        <v>2.8322020618991455</v>
      </c>
    </row>
    <row r="62" spans="1:23" x14ac:dyDescent="0.2">
      <c r="A62">
        <v>34.9224330006206</v>
      </c>
      <c r="B62">
        <v>71.283779424767502</v>
      </c>
      <c r="G62">
        <f t="shared" si="0"/>
        <v>-54.316668767171215</v>
      </c>
      <c r="H62" s="4">
        <f t="shared" si="1"/>
        <v>-1.8818538942215977</v>
      </c>
      <c r="I62">
        <f t="shared" si="2"/>
        <v>34.9224330006206</v>
      </c>
      <c r="J62" s="4">
        <f t="shared" si="3"/>
        <v>-0.69636754829706682</v>
      </c>
      <c r="K62" s="4">
        <f t="shared" si="4"/>
        <v>0.44772350000795641</v>
      </c>
      <c r="M62">
        <f t="shared" si="5"/>
        <v>-814.75003150756822</v>
      </c>
      <c r="N62" s="4">
        <f t="shared" si="6"/>
        <v>-24.195264354277683</v>
      </c>
      <c r="O62" s="4">
        <f t="shared" si="7"/>
        <v>-60.488160885694207</v>
      </c>
      <c r="P62">
        <f t="shared" si="8"/>
        <v>-2444.2500945227048</v>
      </c>
      <c r="Q62" s="4">
        <f t="shared" si="9"/>
        <v>-13.927350965941336</v>
      </c>
      <c r="R62" s="4">
        <f t="shared" si="10"/>
        <v>-30.372338452648997</v>
      </c>
      <c r="T62" s="4">
        <f t="shared" si="11"/>
        <v>0.60926307200655982</v>
      </c>
      <c r="U62" s="4">
        <f t="shared" si="12"/>
        <v>1.8522719767712805</v>
      </c>
      <c r="V62" s="4">
        <f t="shared" si="13"/>
        <v>5.1863615349595849</v>
      </c>
      <c r="W62" s="4">
        <f t="shared" si="14"/>
        <v>2.9701574760319791</v>
      </c>
    </row>
    <row r="63" spans="1:23" x14ac:dyDescent="0.2">
      <c r="A63">
        <v>35.132952030252561</v>
      </c>
      <c r="B63">
        <v>71.887807914798799</v>
      </c>
      <c r="G63">
        <f t="shared" si="0"/>
        <v>-54.644099917271859</v>
      </c>
      <c r="H63" s="4">
        <f t="shared" si="1"/>
        <v>-1.8931980653368696</v>
      </c>
      <c r="I63">
        <f t="shared" si="2"/>
        <v>35.132952030252561</v>
      </c>
      <c r="J63" s="4">
        <f t="shared" si="3"/>
        <v>-0.70056538355476738</v>
      </c>
      <c r="K63" s="4">
        <f t="shared" si="4"/>
        <v>0.45042246192631485</v>
      </c>
      <c r="M63">
        <f t="shared" si="5"/>
        <v>-819.66149875907786</v>
      </c>
      <c r="N63" s="4">
        <f t="shared" si="6"/>
        <v>-24.34111798290261</v>
      </c>
      <c r="O63" s="4">
        <f t="shared" si="7"/>
        <v>-60.852794957256521</v>
      </c>
      <c r="P63">
        <f t="shared" si="8"/>
        <v>-2458.9844962772336</v>
      </c>
      <c r="Q63" s="4">
        <f t="shared" si="9"/>
        <v>-14.011307671095349</v>
      </c>
      <c r="R63" s="4">
        <f t="shared" si="10"/>
        <v>-30.555428651965627</v>
      </c>
      <c r="T63" s="4">
        <f t="shared" si="11"/>
        <v>0.614425708673494</v>
      </c>
      <c r="U63" s="4">
        <f t="shared" si="12"/>
        <v>1.867967343294842</v>
      </c>
      <c r="V63" s="4">
        <f t="shared" si="13"/>
        <v>5.2303085612255575</v>
      </c>
      <c r="W63" s="4">
        <f t="shared" si="14"/>
        <v>2.9953253297832836</v>
      </c>
    </row>
    <row r="64" spans="1:23" x14ac:dyDescent="0.2">
      <c r="A64">
        <v>33.989002872355435</v>
      </c>
      <c r="B64">
        <v>69.693228712599407</v>
      </c>
      <c r="G64">
        <f t="shared" si="0"/>
        <v>-52.86485654396855</v>
      </c>
      <c r="H64" s="4">
        <f t="shared" si="1"/>
        <v>-1.8315544456743458</v>
      </c>
      <c r="I64">
        <f t="shared" si="2"/>
        <v>33.989002872355435</v>
      </c>
      <c r="J64" s="4">
        <f t="shared" si="3"/>
        <v>-0.67775457107651982</v>
      </c>
      <c r="K64" s="4">
        <f t="shared" si="4"/>
        <v>0.43575644708147998</v>
      </c>
      <c r="M64">
        <f t="shared" si="5"/>
        <v>-792.97284815952821</v>
      </c>
      <c r="N64" s="4">
        <f t="shared" si="6"/>
        <v>-23.548557158670157</v>
      </c>
      <c r="O64" s="4">
        <f t="shared" si="7"/>
        <v>-58.871392896675388</v>
      </c>
      <c r="P64">
        <f t="shared" si="8"/>
        <v>-2378.9185444785849</v>
      </c>
      <c r="Q64" s="4">
        <f t="shared" si="9"/>
        <v>-13.555091421530397</v>
      </c>
      <c r="R64" s="4">
        <f t="shared" si="10"/>
        <v>-29.56052629233745</v>
      </c>
      <c r="T64" s="4">
        <f t="shared" si="11"/>
        <v>0.5956686214752086</v>
      </c>
      <c r="U64" s="4">
        <f t="shared" si="12"/>
        <v>1.8109423427990541</v>
      </c>
      <c r="V64" s="4">
        <f t="shared" si="13"/>
        <v>5.0706385598373513</v>
      </c>
      <c r="W64" s="4">
        <f t="shared" si="14"/>
        <v>2.9038845296916418</v>
      </c>
    </row>
    <row r="65" spans="1:23" x14ac:dyDescent="0.2">
      <c r="A65">
        <v>35.873167139284597</v>
      </c>
      <c r="B65">
        <v>74.395480656957361</v>
      </c>
      <c r="G65">
        <f t="shared" si="0"/>
        <v>-55.795394813965736</v>
      </c>
      <c r="H65" s="4">
        <f t="shared" si="1"/>
        <v>-1.9330857984014256</v>
      </c>
      <c r="I65">
        <f t="shared" si="2"/>
        <v>35.873167139284597</v>
      </c>
      <c r="J65" s="4">
        <f t="shared" si="3"/>
        <v>-0.71532557453802226</v>
      </c>
      <c r="K65" s="4">
        <f t="shared" si="4"/>
        <v>0.45991239922159743</v>
      </c>
      <c r="M65">
        <f t="shared" si="5"/>
        <v>-836.93092220948608</v>
      </c>
      <c r="N65" s="4">
        <f t="shared" si="6"/>
        <v>-24.853960265161188</v>
      </c>
      <c r="O65" s="4">
        <f t="shared" si="7"/>
        <v>-62.134900662902972</v>
      </c>
      <c r="P65">
        <f t="shared" si="8"/>
        <v>-2510.7927666284581</v>
      </c>
      <c r="Q65" s="4">
        <f t="shared" si="9"/>
        <v>-14.306511490760446</v>
      </c>
      <c r="R65" s="4">
        <f t="shared" si="10"/>
        <v>-31.199200058696821</v>
      </c>
      <c r="T65" s="4">
        <f t="shared" si="11"/>
        <v>0.63585880903382364</v>
      </c>
      <c r="U65" s="4">
        <f t="shared" si="12"/>
        <v>1.9331279167758777</v>
      </c>
      <c r="V65" s="4">
        <f t="shared" si="13"/>
        <v>5.4127581669724574</v>
      </c>
      <c r="W65" s="4">
        <f t="shared" si="14"/>
        <v>3.0998116940398899</v>
      </c>
    </row>
    <row r="66" spans="1:23" x14ac:dyDescent="0.2">
      <c r="A66">
        <v>35.132952030252561</v>
      </c>
      <c r="B66">
        <v>71.887807914798799</v>
      </c>
      <c r="G66">
        <f t="shared" si="0"/>
        <v>-54.644099917271859</v>
      </c>
      <c r="H66" s="4">
        <f t="shared" si="1"/>
        <v>-1.8931980653368696</v>
      </c>
      <c r="I66">
        <f t="shared" si="2"/>
        <v>35.132952030252561</v>
      </c>
      <c r="J66" s="4">
        <f t="shared" si="3"/>
        <v>-0.70056538355476738</v>
      </c>
      <c r="K66" s="4">
        <f t="shared" si="4"/>
        <v>0.45042246192631485</v>
      </c>
      <c r="M66">
        <f t="shared" si="5"/>
        <v>-819.66149875907786</v>
      </c>
      <c r="N66" s="4">
        <f t="shared" si="6"/>
        <v>-24.34111798290261</v>
      </c>
      <c r="O66" s="4">
        <f t="shared" si="7"/>
        <v>-60.852794957256521</v>
      </c>
      <c r="P66">
        <f t="shared" si="8"/>
        <v>-2458.9844962772336</v>
      </c>
      <c r="Q66" s="4">
        <f t="shared" si="9"/>
        <v>-14.011307671095349</v>
      </c>
      <c r="R66" s="4">
        <f t="shared" si="10"/>
        <v>-30.555428651965627</v>
      </c>
      <c r="T66" s="4">
        <f t="shared" si="11"/>
        <v>0.614425708673494</v>
      </c>
      <c r="U66" s="4">
        <f t="shared" si="12"/>
        <v>1.867967343294842</v>
      </c>
      <c r="V66" s="4">
        <f t="shared" si="13"/>
        <v>5.2303085612255575</v>
      </c>
      <c r="W66" s="4">
        <f t="shared" si="14"/>
        <v>2.9953253297832836</v>
      </c>
    </row>
    <row r="67" spans="1:23" x14ac:dyDescent="0.2">
      <c r="A67">
        <v>36.273183322089551</v>
      </c>
      <c r="B67">
        <v>73.630059829891309</v>
      </c>
      <c r="G67">
        <f t="shared" si="0"/>
        <v>-56.417560700934125</v>
      </c>
      <c r="H67" s="4">
        <f t="shared" si="1"/>
        <v>-1.9546413415490007</v>
      </c>
      <c r="I67">
        <f t="shared" si="2"/>
        <v>36.273183322089551</v>
      </c>
      <c r="J67" s="4">
        <f t="shared" si="3"/>
        <v>-0.72330206026838617</v>
      </c>
      <c r="K67" s="4">
        <f t="shared" si="4"/>
        <v>0.4650408118216609</v>
      </c>
      <c r="M67">
        <f t="shared" si="5"/>
        <v>-846.26341051401187</v>
      </c>
      <c r="N67" s="4">
        <f t="shared" si="6"/>
        <v>-25.131102962772864</v>
      </c>
      <c r="O67" s="4">
        <f t="shared" si="7"/>
        <v>-62.827757406932164</v>
      </c>
      <c r="P67">
        <f t="shared" si="8"/>
        <v>-2538.7902315420356</v>
      </c>
      <c r="Q67" s="4">
        <f t="shared" si="9"/>
        <v>-14.466041205367725</v>
      </c>
      <c r="R67" s="4">
        <f t="shared" si="10"/>
        <v>-31.547097551705772</v>
      </c>
      <c r="T67" s="4">
        <f t="shared" si="11"/>
        <v>0.62931675068283166</v>
      </c>
      <c r="U67" s="4">
        <f t="shared" si="12"/>
        <v>1.9132388542170125</v>
      </c>
      <c r="V67" s="4">
        <f t="shared" si="13"/>
        <v>5.3570687918076345</v>
      </c>
      <c r="W67" s="4">
        <f t="shared" si="14"/>
        <v>3.0679191595788042</v>
      </c>
    </row>
    <row r="68" spans="1:23" x14ac:dyDescent="0.2">
      <c r="A68">
        <v>35.432036934914194</v>
      </c>
      <c r="B68">
        <v>71.612815073177245</v>
      </c>
      <c r="G68">
        <f t="shared" ref="G68:G108" si="15">-A68*$E$6/$E$5</f>
        <v>-55.109282159857251</v>
      </c>
      <c r="H68" s="4">
        <f t="shared" ref="H68:H108" si="16">(4/3)*G68/$E$12</f>
        <v>-1.9093147572217217</v>
      </c>
      <c r="I68">
        <f t="shared" ref="I68:I108" si="17">A68</f>
        <v>35.432036934914194</v>
      </c>
      <c r="J68" s="4">
        <f t="shared" ref="J68:J108" si="18">(3/2)*G68/$E$13</f>
        <v>-0.70652925845970826</v>
      </c>
      <c r="K68" s="4">
        <f t="shared" ref="K68:K108" si="19">(3/2)*I68/$E$13</f>
        <v>0.45425688378095119</v>
      </c>
      <c r="M68">
        <f t="shared" ref="M68:M108" si="20">(-A68*$E$6/$E$5)*$E$9</f>
        <v>-826.63923239785879</v>
      </c>
      <c r="N68" s="4">
        <f t="shared" ref="N68:N108" si="21">32*M68/(PI()*$E$15^3)</f>
        <v>-24.548332592850706</v>
      </c>
      <c r="O68" s="4">
        <f t="shared" ref="O68:O108" si="22">N68*2.5</f>
        <v>-61.370831482126761</v>
      </c>
      <c r="P68">
        <f t="shared" ref="P68:P108" si="23">-A68*$E$6</f>
        <v>-2479.9176971935763</v>
      </c>
      <c r="Q68" s="4">
        <f t="shared" ref="Q68:Q108" si="24">(P68*($E$18/2))/$E$17</f>
        <v>-14.130585169194168</v>
      </c>
      <c r="R68" s="4">
        <f t="shared" ref="R68:R108" si="25">2.1*6*P68/(($E$18-$E$20)*$E$19^2)</f>
        <v>-30.815545349742667</v>
      </c>
      <c r="T68" s="4">
        <f t="shared" ref="T68:T108" si="26">B68/$E$13</f>
        <v>0.61207534250578843</v>
      </c>
      <c r="U68" s="4">
        <f t="shared" ref="U68:U108" si="27">B68/$E$12</f>
        <v>1.8608217971627674</v>
      </c>
      <c r="V68" s="4">
        <f t="shared" ref="V68:V108" si="28">2.8*U68</f>
        <v>5.2103010320557486</v>
      </c>
      <c r="W68" s="4">
        <f t="shared" ref="W68:W108" si="29">3.25*B68/(($E$18-$E$20)*$E$19)</f>
        <v>2.9838672947157185</v>
      </c>
    </row>
    <row r="69" spans="1:23" x14ac:dyDescent="0.2">
      <c r="A69">
        <v>34.997159170796849</v>
      </c>
      <c r="B69">
        <v>69.966912371482934</v>
      </c>
      <c r="G69">
        <f t="shared" si="15"/>
        <v>-54.432894249904066</v>
      </c>
      <c r="H69" s="4">
        <f t="shared" si="16"/>
        <v>-1.8858806392752412</v>
      </c>
      <c r="I69">
        <f t="shared" si="17"/>
        <v>34.997159170796849</v>
      </c>
      <c r="J69" s="4">
        <f t="shared" si="18"/>
        <v>-0.6978576185885137</v>
      </c>
      <c r="K69" s="4">
        <f t="shared" si="19"/>
        <v>0.44868152783072884</v>
      </c>
      <c r="M69">
        <f t="shared" si="20"/>
        <v>-816.49341374856101</v>
      </c>
      <c r="N69" s="4">
        <f t="shared" si="21"/>
        <v>-24.247036790681669</v>
      </c>
      <c r="O69" s="4">
        <f t="shared" si="22"/>
        <v>-60.617591976704176</v>
      </c>
      <c r="P69">
        <f t="shared" si="23"/>
        <v>-2449.4802412456829</v>
      </c>
      <c r="Q69" s="4">
        <f t="shared" si="24"/>
        <v>-13.957152371770274</v>
      </c>
      <c r="R69" s="4">
        <f t="shared" si="25"/>
        <v>-30.437328441514406</v>
      </c>
      <c r="T69" s="4">
        <f t="shared" si="26"/>
        <v>0.59800779804686266</v>
      </c>
      <c r="U69" s="4">
        <f t="shared" si="27"/>
        <v>1.8180538704977951</v>
      </c>
      <c r="V69" s="4">
        <f t="shared" si="28"/>
        <v>5.0905508373938257</v>
      </c>
      <c r="W69" s="4">
        <f t="shared" si="29"/>
        <v>2.9152880154784557</v>
      </c>
    </row>
    <row r="70" spans="1:23" x14ac:dyDescent="0.2">
      <c r="A70">
        <v>34.892074602306202</v>
      </c>
      <c r="B70">
        <v>67.838669244395348</v>
      </c>
      <c r="G70">
        <f t="shared" si="15"/>
        <v>-54.269450777934452</v>
      </c>
      <c r="H70" s="4">
        <f t="shared" si="16"/>
        <v>-1.8802179809938662</v>
      </c>
      <c r="I70">
        <f t="shared" si="17"/>
        <v>34.892074602306202</v>
      </c>
      <c r="J70" s="4">
        <f t="shared" si="18"/>
        <v>-0.69576218946069812</v>
      </c>
      <c r="K70" s="4">
        <f t="shared" si="19"/>
        <v>0.44733428977315648</v>
      </c>
      <c r="M70">
        <f t="shared" si="20"/>
        <v>-814.04176166901675</v>
      </c>
      <c r="N70" s="4">
        <f t="shared" si="21"/>
        <v>-24.17423118420685</v>
      </c>
      <c r="O70" s="4">
        <f t="shared" si="22"/>
        <v>-60.435577960517122</v>
      </c>
      <c r="P70">
        <f t="shared" si="23"/>
        <v>-2442.1252850070505</v>
      </c>
      <c r="Q70" s="4">
        <f t="shared" si="24"/>
        <v>-13.915243789213964</v>
      </c>
      <c r="R70" s="4">
        <f t="shared" si="25"/>
        <v>-30.345935494170451</v>
      </c>
      <c r="T70" s="4">
        <f t="shared" si="26"/>
        <v>0.57981768584953286</v>
      </c>
      <c r="U70" s="4">
        <f t="shared" si="27"/>
        <v>1.7627525784525149</v>
      </c>
      <c r="V70" s="4">
        <f t="shared" si="28"/>
        <v>4.9357072196670417</v>
      </c>
      <c r="W70" s="4">
        <f t="shared" si="29"/>
        <v>2.8266112185164727</v>
      </c>
    </row>
    <row r="71" spans="1:23" x14ac:dyDescent="0.2">
      <c r="A71">
        <v>32.786708697466644</v>
      </c>
      <c r="B71">
        <v>62.503094110861916</v>
      </c>
      <c r="G71">
        <f t="shared" si="15"/>
        <v>-50.994866143901831</v>
      </c>
      <c r="H71" s="4">
        <f t="shared" si="16"/>
        <v>-1.7667668068814186</v>
      </c>
      <c r="I71">
        <f t="shared" si="17"/>
        <v>32.786708697466644</v>
      </c>
      <c r="J71" s="4">
        <f t="shared" si="18"/>
        <v>-0.65378033517822853</v>
      </c>
      <c r="K71" s="4">
        <f t="shared" si="19"/>
        <v>0.4203424191982903</v>
      </c>
      <c r="M71">
        <f t="shared" si="20"/>
        <v>-764.92299215852745</v>
      </c>
      <c r="N71" s="4">
        <f t="shared" si="21"/>
        <v>-22.71557323133252</v>
      </c>
      <c r="O71" s="4">
        <f t="shared" si="22"/>
        <v>-56.788933078331297</v>
      </c>
      <c r="P71">
        <f t="shared" si="23"/>
        <v>-2294.7689764755823</v>
      </c>
      <c r="Q71" s="4">
        <f t="shared" si="24"/>
        <v>-13.075606703564571</v>
      </c>
      <c r="R71" s="4">
        <f t="shared" si="25"/>
        <v>-28.514880772773513</v>
      </c>
      <c r="T71" s="4">
        <f t="shared" si="26"/>
        <v>0.53421447958001633</v>
      </c>
      <c r="U71" s="4">
        <f t="shared" si="27"/>
        <v>1.6241104304133238</v>
      </c>
      <c r="V71" s="4">
        <f t="shared" si="28"/>
        <v>4.5475092051573061</v>
      </c>
      <c r="W71" s="4">
        <f t="shared" si="29"/>
        <v>2.60429558795258</v>
      </c>
    </row>
    <row r="72" spans="1:23" x14ac:dyDescent="0.2">
      <c r="A72">
        <v>31.621333817759243</v>
      </c>
      <c r="B72">
        <v>58.437176121688594</v>
      </c>
      <c r="G72">
        <f t="shared" si="15"/>
        <v>-49.182298235774581</v>
      </c>
      <c r="H72" s="4">
        <f t="shared" si="16"/>
        <v>-1.7039686262516089</v>
      </c>
      <c r="I72">
        <f t="shared" si="17"/>
        <v>31.621333817759243</v>
      </c>
      <c r="J72" s="4">
        <f t="shared" si="18"/>
        <v>-0.6305422850740332</v>
      </c>
      <c r="K72" s="4">
        <f t="shared" si="19"/>
        <v>0.40540171561229799</v>
      </c>
      <c r="M72">
        <f t="shared" si="20"/>
        <v>-737.73447353661868</v>
      </c>
      <c r="N72" s="4">
        <f t="shared" si="21"/>
        <v>-21.908168051806395</v>
      </c>
      <c r="O72" s="4">
        <f t="shared" si="22"/>
        <v>-54.77042012951599</v>
      </c>
      <c r="P72">
        <f t="shared" si="23"/>
        <v>-2213.203420609856</v>
      </c>
      <c r="Q72" s="4">
        <f t="shared" si="24"/>
        <v>-12.61084570148066</v>
      </c>
      <c r="R72" s="4">
        <f t="shared" si="25"/>
        <v>-27.501344279767444</v>
      </c>
      <c r="T72" s="4">
        <f t="shared" si="26"/>
        <v>0.49946304377511619</v>
      </c>
      <c r="U72" s="4">
        <f t="shared" si="27"/>
        <v>1.5184596636895371</v>
      </c>
      <c r="V72" s="4">
        <f t="shared" si="28"/>
        <v>4.2516870583307034</v>
      </c>
      <c r="W72" s="4">
        <f t="shared" si="29"/>
        <v>2.4348823384036913</v>
      </c>
    </row>
    <row r="73" spans="1:23" x14ac:dyDescent="0.2">
      <c r="A73">
        <v>30.096883520047484</v>
      </c>
      <c r="B73">
        <v>54.534043263867297</v>
      </c>
      <c r="G73">
        <f t="shared" si="15"/>
        <v>-46.811241732599278</v>
      </c>
      <c r="H73" s="4">
        <f t="shared" si="16"/>
        <v>-1.621821064274894</v>
      </c>
      <c r="I73">
        <f t="shared" si="17"/>
        <v>30.096883520047484</v>
      </c>
      <c r="J73" s="4">
        <f t="shared" si="18"/>
        <v>-0.60014412477691381</v>
      </c>
      <c r="K73" s="4">
        <f t="shared" si="19"/>
        <v>0.38585748102624978</v>
      </c>
      <c r="M73">
        <f t="shared" si="20"/>
        <v>-702.16862598898922</v>
      </c>
      <c r="N73" s="4">
        <f t="shared" si="21"/>
        <v>-20.85198511210578</v>
      </c>
      <c r="O73" s="4">
        <f t="shared" si="22"/>
        <v>-52.129962780264449</v>
      </c>
      <c r="P73">
        <f t="shared" si="23"/>
        <v>-2106.5058779669675</v>
      </c>
      <c r="Q73" s="4">
        <f t="shared" si="24"/>
        <v>-12.002882495538277</v>
      </c>
      <c r="R73" s="4">
        <f t="shared" si="25"/>
        <v>-26.175516826808476</v>
      </c>
      <c r="T73" s="4">
        <f t="shared" si="26"/>
        <v>0.46610293387920765</v>
      </c>
      <c r="U73" s="4">
        <f t="shared" si="27"/>
        <v>1.4170387840378382</v>
      </c>
      <c r="V73" s="4">
        <f t="shared" si="28"/>
        <v>3.9677085953059468</v>
      </c>
      <c r="W73" s="4">
        <f t="shared" si="29"/>
        <v>2.2722518026611374</v>
      </c>
    </row>
    <row r="74" spans="1:23" x14ac:dyDescent="0.2">
      <c r="A74">
        <v>28.348307394861418</v>
      </c>
      <c r="B74">
        <v>49.619660210900129</v>
      </c>
      <c r="G74">
        <f t="shared" si="15"/>
        <v>-44.091590721908609</v>
      </c>
      <c r="H74" s="4">
        <f t="shared" si="16"/>
        <v>-1.5275961060520284</v>
      </c>
      <c r="I74">
        <f t="shared" si="17"/>
        <v>28.348307394861418</v>
      </c>
      <c r="J74" s="4">
        <f t="shared" si="18"/>
        <v>-0.56527680412703352</v>
      </c>
      <c r="K74" s="4">
        <f t="shared" si="19"/>
        <v>0.36343983839565919</v>
      </c>
      <c r="M74">
        <f t="shared" si="20"/>
        <v>-661.37386082862918</v>
      </c>
      <c r="N74" s="4">
        <f t="shared" si="21"/>
        <v>-19.64052136352608</v>
      </c>
      <c r="O74" s="4">
        <f t="shared" si="22"/>
        <v>-49.101303408815198</v>
      </c>
      <c r="P74">
        <f t="shared" si="23"/>
        <v>-1984.1215824858873</v>
      </c>
      <c r="Q74" s="4">
        <f t="shared" si="24"/>
        <v>-11.305536082540669</v>
      </c>
      <c r="R74" s="4">
        <f t="shared" si="25"/>
        <v>-24.654765226155998</v>
      </c>
      <c r="T74" s="4">
        <f t="shared" si="26"/>
        <v>0.42409965992222332</v>
      </c>
      <c r="U74" s="4">
        <f t="shared" si="27"/>
        <v>1.289341093404897</v>
      </c>
      <c r="V74" s="4">
        <f t="shared" si="28"/>
        <v>3.6101550615337112</v>
      </c>
      <c r="W74" s="4">
        <f t="shared" si="29"/>
        <v>2.0674858421208384</v>
      </c>
    </row>
    <row r="75" spans="1:23" x14ac:dyDescent="0.2">
      <c r="A75">
        <v>25.061971974091325</v>
      </c>
      <c r="B75">
        <v>42.192419405658576</v>
      </c>
      <c r="G75">
        <f t="shared" si="15"/>
        <v>-38.98018303434516</v>
      </c>
      <c r="H75" s="4">
        <f t="shared" si="16"/>
        <v>-1.3505064081725973</v>
      </c>
      <c r="I75">
        <f t="shared" si="17"/>
        <v>25.061971974091325</v>
      </c>
      <c r="J75" s="4">
        <f t="shared" si="18"/>
        <v>-0.49974593633775843</v>
      </c>
      <c r="K75" s="4">
        <f t="shared" si="19"/>
        <v>0.32130733300117087</v>
      </c>
      <c r="M75">
        <f t="shared" si="20"/>
        <v>-584.70274551517741</v>
      </c>
      <c r="N75" s="4">
        <f t="shared" si="21"/>
        <v>-17.363653819361961</v>
      </c>
      <c r="O75" s="4">
        <f t="shared" si="22"/>
        <v>-43.4091345484049</v>
      </c>
      <c r="P75">
        <f t="shared" si="23"/>
        <v>-1754.1082365455322</v>
      </c>
      <c r="Q75" s="4">
        <f t="shared" si="24"/>
        <v>-9.99491872675517</v>
      </c>
      <c r="R75" s="4">
        <f t="shared" si="25"/>
        <v>-21.796611223346854</v>
      </c>
      <c r="T75" s="4">
        <f t="shared" si="26"/>
        <v>0.36061896927913312</v>
      </c>
      <c r="U75" s="4">
        <f t="shared" si="27"/>
        <v>1.0963480994966484</v>
      </c>
      <c r="V75" s="4">
        <f t="shared" si="28"/>
        <v>3.069774678590615</v>
      </c>
      <c r="W75" s="4">
        <f t="shared" si="29"/>
        <v>1.7580174752357742</v>
      </c>
    </row>
    <row r="76" spans="1:23" x14ac:dyDescent="0.2">
      <c r="A76">
        <v>23.304426607710415</v>
      </c>
      <c r="B76">
        <v>38.215086019216088</v>
      </c>
      <c r="G76">
        <f t="shared" si="15"/>
        <v>-36.246581698284416</v>
      </c>
      <c r="H76" s="4">
        <f t="shared" si="16"/>
        <v>-1.2557981273395791</v>
      </c>
      <c r="I76">
        <f t="shared" si="17"/>
        <v>23.304426607710415</v>
      </c>
      <c r="J76" s="4">
        <f t="shared" si="18"/>
        <v>-0.4646997653626207</v>
      </c>
      <c r="K76" s="4">
        <f t="shared" si="19"/>
        <v>0.29877470009885149</v>
      </c>
      <c r="M76">
        <f t="shared" si="20"/>
        <v>-543.69872547426621</v>
      </c>
      <c r="N76" s="4">
        <f t="shared" si="21"/>
        <v>-16.145975922937442</v>
      </c>
      <c r="O76" s="4">
        <f t="shared" si="22"/>
        <v>-40.364939807343603</v>
      </c>
      <c r="P76">
        <f t="shared" si="23"/>
        <v>-1631.0961764227986</v>
      </c>
      <c r="Q76" s="4">
        <f t="shared" si="24"/>
        <v>-9.2939953072524126</v>
      </c>
      <c r="R76" s="4">
        <f t="shared" si="25"/>
        <v>-20.268058996969689</v>
      </c>
      <c r="T76" s="4">
        <f t="shared" si="26"/>
        <v>0.32662466683090674</v>
      </c>
      <c r="U76" s="4">
        <f t="shared" si="27"/>
        <v>0.99299915765554647</v>
      </c>
      <c r="V76" s="4">
        <f t="shared" si="28"/>
        <v>2.7803976414355298</v>
      </c>
      <c r="W76" s="4">
        <f t="shared" si="29"/>
        <v>1.5922952508006702</v>
      </c>
    </row>
    <row r="77" spans="1:23" x14ac:dyDescent="0.2">
      <c r="A77">
        <v>18.861376355140237</v>
      </c>
      <c r="B77">
        <v>29.93557921082089</v>
      </c>
      <c r="G77">
        <f t="shared" si="15"/>
        <v>-29.336075523629798</v>
      </c>
      <c r="H77" s="4">
        <f t="shared" si="16"/>
        <v>-1.0163769100414355</v>
      </c>
      <c r="I77">
        <f t="shared" si="17"/>
        <v>18.861376355140237</v>
      </c>
      <c r="J77" s="4">
        <f t="shared" si="18"/>
        <v>-0.37610353235422816</v>
      </c>
      <c r="K77" s="4">
        <f t="shared" si="19"/>
        <v>0.24181251737359277</v>
      </c>
      <c r="M77">
        <f t="shared" si="20"/>
        <v>-440.04113285444697</v>
      </c>
      <c r="N77" s="4">
        <f t="shared" si="21"/>
        <v>-13.067703129104169</v>
      </c>
      <c r="O77" s="4">
        <f t="shared" si="22"/>
        <v>-32.669257822760422</v>
      </c>
      <c r="P77">
        <f t="shared" si="23"/>
        <v>-1320.123398563341</v>
      </c>
      <c r="Q77" s="4">
        <f t="shared" si="24"/>
        <v>-7.522070647084564</v>
      </c>
      <c r="R77" s="4">
        <f t="shared" si="25"/>
        <v>-16.403900218834416</v>
      </c>
      <c r="T77" s="4">
        <f t="shared" si="26"/>
        <v>0.25585965137453753</v>
      </c>
      <c r="U77" s="4">
        <f t="shared" si="27"/>
        <v>0.77786047440344885</v>
      </c>
      <c r="V77" s="4">
        <f t="shared" si="28"/>
        <v>2.1780093283296567</v>
      </c>
      <c r="W77" s="4">
        <f t="shared" si="29"/>
        <v>1.2473158004508704</v>
      </c>
    </row>
    <row r="78" spans="1:23" x14ac:dyDescent="0.2">
      <c r="A78">
        <v>16.416492663496307</v>
      </c>
      <c r="B78">
        <v>24.97674280873569</v>
      </c>
      <c r="G78">
        <f t="shared" si="15"/>
        <v>-25.533421291293745</v>
      </c>
      <c r="H78" s="4">
        <f t="shared" si="16"/>
        <v>-0.88463025035259746</v>
      </c>
      <c r="I78">
        <f t="shared" si="17"/>
        <v>16.416492663496307</v>
      </c>
      <c r="J78" s="4">
        <f t="shared" si="18"/>
        <v>-0.32735155501658647</v>
      </c>
      <c r="K78" s="4">
        <f t="shared" si="19"/>
        <v>0.21046785466020906</v>
      </c>
      <c r="M78">
        <f t="shared" si="20"/>
        <v>-383.00131936940619</v>
      </c>
      <c r="N78" s="4">
        <f t="shared" si="21"/>
        <v>-11.373817504533395</v>
      </c>
      <c r="O78" s="4">
        <f t="shared" si="22"/>
        <v>-28.434543761333487</v>
      </c>
      <c r="P78">
        <f t="shared" si="23"/>
        <v>-1149.0039581082185</v>
      </c>
      <c r="Q78" s="4">
        <f t="shared" si="24"/>
        <v>-6.5470311003317292</v>
      </c>
      <c r="R78" s="4">
        <f t="shared" si="25"/>
        <v>-14.277563976492658</v>
      </c>
      <c r="T78" s="4">
        <f t="shared" si="26"/>
        <v>0.21347643426269819</v>
      </c>
      <c r="U78" s="4">
        <f t="shared" si="27"/>
        <v>0.64900768658697716</v>
      </c>
      <c r="V78" s="4">
        <f t="shared" si="28"/>
        <v>1.817221522443536</v>
      </c>
      <c r="W78" s="4">
        <f t="shared" si="29"/>
        <v>1.0406976170306537</v>
      </c>
    </row>
    <row r="79" spans="1:23" x14ac:dyDescent="0.2">
      <c r="A79">
        <v>14.781460700510088</v>
      </c>
      <c r="B79">
        <v>21.969580770551918</v>
      </c>
      <c r="G79">
        <f t="shared" si="15"/>
        <v>-22.990371396812396</v>
      </c>
      <c r="H79" s="4">
        <f t="shared" si="16"/>
        <v>-0.79652380981142101</v>
      </c>
      <c r="I79">
        <f t="shared" si="17"/>
        <v>14.781460700510088</v>
      </c>
      <c r="J79" s="4">
        <f t="shared" si="18"/>
        <v>-0.29474835124118459</v>
      </c>
      <c r="K79" s="4">
        <f t="shared" si="19"/>
        <v>0.18950590641679602</v>
      </c>
      <c r="M79">
        <f t="shared" si="20"/>
        <v>-344.85557095218593</v>
      </c>
      <c r="N79" s="4">
        <f t="shared" si="21"/>
        <v>-10.241020411861125</v>
      </c>
      <c r="O79" s="4">
        <f t="shared" si="22"/>
        <v>-25.602551029652815</v>
      </c>
      <c r="P79">
        <f t="shared" si="23"/>
        <v>-1034.5667128565578</v>
      </c>
      <c r="Q79" s="4">
        <f t="shared" si="24"/>
        <v>-5.8949670248236918</v>
      </c>
      <c r="R79" s="4">
        <f t="shared" si="25"/>
        <v>-12.855562704134744</v>
      </c>
      <c r="T79" s="4">
        <f t="shared" si="26"/>
        <v>0.18777419462010186</v>
      </c>
      <c r="U79" s="4">
        <f t="shared" si="27"/>
        <v>0.57086814323101864</v>
      </c>
      <c r="V79" s="4">
        <f t="shared" si="28"/>
        <v>1.5984308010468522</v>
      </c>
      <c r="W79" s="4">
        <f t="shared" si="29"/>
        <v>0.91539919877299647</v>
      </c>
    </row>
    <row r="80" spans="1:23" x14ac:dyDescent="0.2">
      <c r="A80">
        <v>12.526235819620462</v>
      </c>
      <c r="B80">
        <v>18.092469140999782</v>
      </c>
      <c r="G80">
        <f t="shared" si="15"/>
        <v>-19.482703335752959</v>
      </c>
      <c r="H80" s="4">
        <f t="shared" si="16"/>
        <v>-0.67499723334487982</v>
      </c>
      <c r="I80">
        <f t="shared" si="17"/>
        <v>12.526235819620462</v>
      </c>
      <c r="J80" s="4">
        <f t="shared" si="18"/>
        <v>-0.2497782478942687</v>
      </c>
      <c r="K80" s="4">
        <f t="shared" si="19"/>
        <v>0.16059276691821106</v>
      </c>
      <c r="M80">
        <f t="shared" si="20"/>
        <v>-292.24055003629439</v>
      </c>
      <c r="N80" s="4">
        <f t="shared" si="21"/>
        <v>-8.6785358572913118</v>
      </c>
      <c r="O80" s="4">
        <f t="shared" si="22"/>
        <v>-21.696339643228278</v>
      </c>
      <c r="P80">
        <f t="shared" si="23"/>
        <v>-876.72165010888307</v>
      </c>
      <c r="Q80" s="4">
        <f t="shared" si="24"/>
        <v>-4.9955649578853736</v>
      </c>
      <c r="R80" s="4">
        <f t="shared" si="25"/>
        <v>-10.894174350465413</v>
      </c>
      <c r="T80" s="4">
        <f t="shared" si="26"/>
        <v>0.15463648838461352</v>
      </c>
      <c r="U80" s="4">
        <f t="shared" si="27"/>
        <v>0.47012341167799071</v>
      </c>
      <c r="V80" s="4">
        <f t="shared" si="28"/>
        <v>1.3163455526983738</v>
      </c>
      <c r="W80" s="4">
        <f t="shared" si="29"/>
        <v>0.75385288087499092</v>
      </c>
    </row>
    <row r="81" spans="1:23" x14ac:dyDescent="0.2">
      <c r="A81">
        <v>10.209287899424554</v>
      </c>
      <c r="B81">
        <v>14.410187035511157</v>
      </c>
      <c r="G81">
        <f t="shared" si="15"/>
        <v>-15.879034234867834</v>
      </c>
      <c r="H81" s="4">
        <f t="shared" si="16"/>
        <v>-0.55014460734795068</v>
      </c>
      <c r="I81">
        <f t="shared" si="17"/>
        <v>10.209287899424554</v>
      </c>
      <c r="J81" s="4">
        <f t="shared" si="18"/>
        <v>-0.20357736198548507</v>
      </c>
      <c r="K81" s="4">
        <f t="shared" si="19"/>
        <v>0.13088830640287891</v>
      </c>
      <c r="M81">
        <f t="shared" si="20"/>
        <v>-238.18551352301751</v>
      </c>
      <c r="N81" s="4">
        <f t="shared" si="21"/>
        <v>-7.073287808759364</v>
      </c>
      <c r="O81" s="4">
        <f t="shared" si="22"/>
        <v>-17.683219521898408</v>
      </c>
      <c r="P81">
        <f t="shared" si="23"/>
        <v>-714.55654056905257</v>
      </c>
      <c r="Q81" s="4">
        <f t="shared" si="24"/>
        <v>-4.0715472397097008</v>
      </c>
      <c r="R81" s="4">
        <f t="shared" si="25"/>
        <v>-8.8791049419823107</v>
      </c>
      <c r="T81" s="4">
        <f t="shared" si="26"/>
        <v>0.12316399175650562</v>
      </c>
      <c r="U81" s="4">
        <f t="shared" si="27"/>
        <v>0.37444122409475045</v>
      </c>
      <c r="V81" s="4">
        <f t="shared" si="28"/>
        <v>1.0484354274653012</v>
      </c>
      <c r="W81" s="4">
        <f t="shared" si="29"/>
        <v>0.60042445981296488</v>
      </c>
    </row>
    <row r="82" spans="1:23" x14ac:dyDescent="0.2">
      <c r="A82">
        <v>9.7810730112888837</v>
      </c>
      <c r="B82">
        <v>13.628813193644346</v>
      </c>
      <c r="G82">
        <f t="shared" si="15"/>
        <v>-15.213009441016181</v>
      </c>
      <c r="H82" s="4">
        <f t="shared" si="16"/>
        <v>-0.52706952965254905</v>
      </c>
      <c r="I82">
        <f t="shared" si="17"/>
        <v>9.7810730112888837</v>
      </c>
      <c r="J82" s="4">
        <f t="shared" si="18"/>
        <v>-0.19503858257713053</v>
      </c>
      <c r="K82" s="4">
        <f t="shared" si="19"/>
        <v>0.12539837193960107</v>
      </c>
      <c r="M82">
        <f t="shared" si="20"/>
        <v>-228.19514161524273</v>
      </c>
      <c r="N82" s="4">
        <f t="shared" si="21"/>
        <v>-6.7766082383899153</v>
      </c>
      <c r="O82" s="4">
        <f t="shared" si="22"/>
        <v>-16.941520595974787</v>
      </c>
      <c r="P82">
        <f t="shared" si="23"/>
        <v>-684.5854248457282</v>
      </c>
      <c r="Q82" s="4">
        <f t="shared" si="24"/>
        <v>-3.9007716515426107</v>
      </c>
      <c r="R82" s="4">
        <f t="shared" si="25"/>
        <v>-8.5066827939410032</v>
      </c>
      <c r="T82" s="4">
        <f t="shared" si="26"/>
        <v>0.11648558285166108</v>
      </c>
      <c r="U82" s="4">
        <f t="shared" si="27"/>
        <v>0.35413763073380222</v>
      </c>
      <c r="V82" s="4">
        <f t="shared" si="28"/>
        <v>0.9915853660546462</v>
      </c>
      <c r="W82" s="4">
        <f t="shared" si="29"/>
        <v>0.56786721640184779</v>
      </c>
    </row>
    <row r="83" spans="1:23" x14ac:dyDescent="0.2">
      <c r="A83">
        <v>6.7277777517253972</v>
      </c>
      <c r="B83">
        <v>9.1738292772046055</v>
      </c>
      <c r="G83">
        <f t="shared" si="15"/>
        <v>-10.464061185917897</v>
      </c>
      <c r="H83" s="4">
        <f t="shared" si="16"/>
        <v>-0.36253759184868001</v>
      </c>
      <c r="I83">
        <f t="shared" si="17"/>
        <v>6.7277777517253972</v>
      </c>
      <c r="J83" s="4">
        <f t="shared" si="18"/>
        <v>-0.13415463058869098</v>
      </c>
      <c r="K83" s="4">
        <f t="shared" si="19"/>
        <v>8.6253560919556369E-2</v>
      </c>
      <c r="M83">
        <f t="shared" si="20"/>
        <v>-156.96091778876846</v>
      </c>
      <c r="N83" s="4">
        <f t="shared" si="21"/>
        <v>-4.6611976094830281</v>
      </c>
      <c r="O83" s="4">
        <f t="shared" si="22"/>
        <v>-11.652994023707571</v>
      </c>
      <c r="P83">
        <f t="shared" si="23"/>
        <v>-470.88275336630539</v>
      </c>
      <c r="Q83" s="4">
        <f t="shared" si="24"/>
        <v>-2.6830926117738203</v>
      </c>
      <c r="R83" s="4">
        <f t="shared" si="25"/>
        <v>-5.8512058110606002</v>
      </c>
      <c r="T83" s="4">
        <f t="shared" si="26"/>
        <v>7.8408797241065004E-2</v>
      </c>
      <c r="U83" s="4">
        <f t="shared" si="27"/>
        <v>0.23837718800787958</v>
      </c>
      <c r="V83" s="4">
        <f t="shared" si="28"/>
        <v>0.66745612642206276</v>
      </c>
      <c r="W83" s="4">
        <f t="shared" si="29"/>
        <v>0.3822428865501919</v>
      </c>
    </row>
    <row r="84" spans="1:23" x14ac:dyDescent="0.2">
      <c r="A84">
        <v>5.4623850632700535</v>
      </c>
      <c r="B84">
        <v>7.3479471826012386</v>
      </c>
      <c r="G84">
        <f t="shared" si="15"/>
        <v>-8.4959303996691897</v>
      </c>
      <c r="H84" s="4">
        <f t="shared" si="16"/>
        <v>-0.29434978378711368</v>
      </c>
      <c r="I84">
        <f t="shared" si="17"/>
        <v>5.4623850632700535</v>
      </c>
      <c r="J84" s="4">
        <f t="shared" si="18"/>
        <v>-0.10892218461114345</v>
      </c>
      <c r="K84" s="4">
        <f t="shared" si="19"/>
        <v>7.003057773423145E-2</v>
      </c>
      <c r="M84">
        <f t="shared" si="20"/>
        <v>-127.43895599503784</v>
      </c>
      <c r="N84" s="4">
        <f t="shared" si="21"/>
        <v>-3.7844972201200329</v>
      </c>
      <c r="O84" s="4">
        <f t="shared" si="22"/>
        <v>-9.4612430503000819</v>
      </c>
      <c r="P84">
        <f t="shared" si="23"/>
        <v>-382.31686798511356</v>
      </c>
      <c r="Q84" s="4">
        <f t="shared" si="24"/>
        <v>-2.1784436922228694</v>
      </c>
      <c r="R84" s="4">
        <f t="shared" si="25"/>
        <v>-4.7506829749629498</v>
      </c>
      <c r="T84" s="4">
        <f t="shared" si="26"/>
        <v>6.2802967372660154E-2</v>
      </c>
      <c r="U84" s="4">
        <f t="shared" si="27"/>
        <v>0.1909325903165964</v>
      </c>
      <c r="V84" s="4">
        <f t="shared" si="28"/>
        <v>0.53461125288646993</v>
      </c>
      <c r="W84" s="4">
        <f t="shared" si="29"/>
        <v>0.30616446594171831</v>
      </c>
    </row>
    <row r="85" spans="1:23" x14ac:dyDescent="0.2">
      <c r="A85">
        <v>4.7187399034203432</v>
      </c>
      <c r="B85">
        <v>6.2691696050379671</v>
      </c>
      <c r="G85">
        <f t="shared" si="15"/>
        <v>-7.3393005672875526</v>
      </c>
      <c r="H85" s="4">
        <f t="shared" si="16"/>
        <v>-0.2542772166793939</v>
      </c>
      <c r="I85">
        <f t="shared" si="17"/>
        <v>4.7187399034203432</v>
      </c>
      <c r="J85" s="4">
        <f t="shared" si="18"/>
        <v>-9.4093597016507088E-2</v>
      </c>
      <c r="K85" s="4">
        <f t="shared" si="19"/>
        <v>6.0496665428465941E-2</v>
      </c>
      <c r="M85">
        <f t="shared" si="20"/>
        <v>-110.08950850931329</v>
      </c>
      <c r="N85" s="4">
        <f t="shared" si="21"/>
        <v>-3.2692785001636353</v>
      </c>
      <c r="O85" s="4">
        <f t="shared" si="22"/>
        <v>-8.173196250409088</v>
      </c>
      <c r="P85">
        <f t="shared" si="23"/>
        <v>-330.26852552793986</v>
      </c>
      <c r="Q85" s="4">
        <f t="shared" si="24"/>
        <v>-1.8818719403301416</v>
      </c>
      <c r="R85" s="4">
        <f t="shared" si="25"/>
        <v>-4.1039284237199629</v>
      </c>
      <c r="T85" s="4">
        <f t="shared" si="26"/>
        <v>5.3582646196905705E-2</v>
      </c>
      <c r="U85" s="4">
        <f t="shared" si="27"/>
        <v>0.16290111538338903</v>
      </c>
      <c r="V85" s="4">
        <f t="shared" si="28"/>
        <v>0.45612312307348923</v>
      </c>
      <c r="W85" s="4">
        <f t="shared" si="29"/>
        <v>0.26121540020991529</v>
      </c>
    </row>
    <row r="86" spans="1:23" x14ac:dyDescent="0.2">
      <c r="A86">
        <v>1.8944199787864435</v>
      </c>
      <c r="B86">
        <v>2.3959144828753289</v>
      </c>
      <c r="G86">
        <f t="shared" si="15"/>
        <v>-2.9464895098181216</v>
      </c>
      <c r="H86" s="4">
        <f t="shared" si="16"/>
        <v>-0.10208399896728593</v>
      </c>
      <c r="I86">
        <f t="shared" si="17"/>
        <v>1.8944199787864435</v>
      </c>
      <c r="J86" s="4">
        <f t="shared" si="18"/>
        <v>-3.7775506536129766E-2</v>
      </c>
      <c r="K86" s="4">
        <f t="shared" si="19"/>
        <v>2.4287435625467226E-2</v>
      </c>
      <c r="M86">
        <f t="shared" si="20"/>
        <v>-44.197342647271824</v>
      </c>
      <c r="N86" s="4">
        <f t="shared" si="21"/>
        <v>-1.3125085581508189</v>
      </c>
      <c r="O86" s="4">
        <f t="shared" si="22"/>
        <v>-3.2812713953770474</v>
      </c>
      <c r="P86">
        <f t="shared" si="23"/>
        <v>-132.59202794181547</v>
      </c>
      <c r="Q86" s="4">
        <f t="shared" si="24"/>
        <v>-0.75551013072259532</v>
      </c>
      <c r="R86" s="4">
        <f t="shared" si="25"/>
        <v>-1.6475932466142753</v>
      </c>
      <c r="T86" s="4">
        <f t="shared" si="26"/>
        <v>2.0477901563036999E-2</v>
      </c>
      <c r="U86" s="4">
        <f t="shared" si="27"/>
        <v>6.2256593171440139E-2</v>
      </c>
      <c r="V86" s="4">
        <f t="shared" si="28"/>
        <v>0.17431846088003239</v>
      </c>
      <c r="W86" s="4">
        <f t="shared" si="29"/>
        <v>9.9829770119805372E-2</v>
      </c>
    </row>
    <row r="87" spans="1:23" x14ac:dyDescent="0.2">
      <c r="A87">
        <v>1.268532216122801</v>
      </c>
      <c r="B87">
        <v>1.5468287611073983</v>
      </c>
      <c r="G87">
        <f t="shared" si="15"/>
        <v>-1.9730138562339969</v>
      </c>
      <c r="H87" s="4">
        <f t="shared" si="16"/>
        <v>-6.8356986777348083E-2</v>
      </c>
      <c r="I87">
        <f t="shared" si="17"/>
        <v>1.268532216122801</v>
      </c>
      <c r="J87" s="4">
        <f t="shared" si="18"/>
        <v>-2.5295049438897394E-2</v>
      </c>
      <c r="K87" s="4">
        <f t="shared" si="19"/>
        <v>1.626323354003591E-2</v>
      </c>
      <c r="M87">
        <f t="shared" si="20"/>
        <v>-29.595207843509954</v>
      </c>
      <c r="N87" s="4">
        <f t="shared" si="21"/>
        <v>-0.87887554428018955</v>
      </c>
      <c r="O87" s="4">
        <f t="shared" si="22"/>
        <v>-2.1971888607004737</v>
      </c>
      <c r="P87">
        <f t="shared" si="23"/>
        <v>-88.785623530529861</v>
      </c>
      <c r="Q87" s="4">
        <f t="shared" si="24"/>
        <v>-0.50590098877794787</v>
      </c>
      <c r="R87" s="4">
        <f t="shared" si="25"/>
        <v>-1.1032533101426787</v>
      </c>
      <c r="T87" s="4">
        <f t="shared" si="26"/>
        <v>1.3220758641943576E-2</v>
      </c>
      <c r="U87" s="4">
        <f t="shared" si="27"/>
        <v>4.0193541787257953E-2</v>
      </c>
      <c r="V87" s="4">
        <f t="shared" si="28"/>
        <v>0.11254191700432226</v>
      </c>
      <c r="W87" s="4">
        <f t="shared" si="29"/>
        <v>6.4451198379474939E-2</v>
      </c>
    </row>
    <row r="88" spans="1:23" x14ac:dyDescent="0.2">
      <c r="A88">
        <v>0.21269046083291737</v>
      </c>
      <c r="B88">
        <v>0.13455228234076405</v>
      </c>
      <c r="G88">
        <f t="shared" si="15"/>
        <v>-0.33080848951140596</v>
      </c>
      <c r="H88" s="4">
        <f t="shared" si="16"/>
        <v>-1.1461182328708283E-2</v>
      </c>
      <c r="I88">
        <f t="shared" si="17"/>
        <v>0.21269046083291737</v>
      </c>
      <c r="J88" s="4">
        <f t="shared" si="18"/>
        <v>-4.2411344809154608E-3</v>
      </c>
      <c r="K88" s="4">
        <f t="shared" si="19"/>
        <v>2.7268007799091968E-3</v>
      </c>
      <c r="M88">
        <f t="shared" si="20"/>
        <v>-4.9621273426710895</v>
      </c>
      <c r="N88" s="4">
        <f t="shared" si="21"/>
        <v>-0.14735805851196362</v>
      </c>
      <c r="O88" s="4">
        <f t="shared" si="22"/>
        <v>-0.36839514627990905</v>
      </c>
      <c r="P88">
        <f t="shared" si="23"/>
        <v>-14.886382028013267</v>
      </c>
      <c r="Q88" s="4">
        <f t="shared" si="24"/>
        <v>-8.4822689618309216E-2</v>
      </c>
      <c r="R88" s="4">
        <f t="shared" si="25"/>
        <v>-0.18497871159069743</v>
      </c>
      <c r="T88" s="4">
        <f t="shared" si="26"/>
        <v>1.1500195071860175E-3</v>
      </c>
      <c r="U88" s="4">
        <f t="shared" si="27"/>
        <v>3.4962711573598266E-3</v>
      </c>
      <c r="V88" s="4">
        <f t="shared" si="28"/>
        <v>9.7895592406075146E-3</v>
      </c>
      <c r="W88" s="4">
        <f t="shared" si="29"/>
        <v>5.6063450975318355E-3</v>
      </c>
    </row>
    <row r="89" spans="1:23" x14ac:dyDescent="0.2">
      <c r="A89">
        <v>0.1440808029658974</v>
      </c>
      <c r="B89">
        <v>4.2802089127991418E-2</v>
      </c>
      <c r="G89">
        <f t="shared" si="15"/>
        <v>-0.22409633516277733</v>
      </c>
      <c r="H89" s="4">
        <f t="shared" si="16"/>
        <v>-7.7640358029788586E-3</v>
      </c>
      <c r="I89">
        <f t="shared" si="17"/>
        <v>0.1440808029658974</v>
      </c>
      <c r="J89" s="4">
        <f t="shared" si="18"/>
        <v>-2.8730299379843244E-3</v>
      </c>
      <c r="K89" s="4">
        <f t="shared" si="19"/>
        <v>1.847189781614069E-3</v>
      </c>
      <c r="M89">
        <f t="shared" si="20"/>
        <v>-3.3614450274416598</v>
      </c>
      <c r="N89" s="4">
        <f t="shared" si="21"/>
        <v>-9.9823317466871023E-2</v>
      </c>
      <c r="O89" s="4">
        <f t="shared" si="22"/>
        <v>-0.24955829366717755</v>
      </c>
      <c r="P89">
        <f t="shared" si="23"/>
        <v>-10.08433508232498</v>
      </c>
      <c r="Q89" s="4">
        <f t="shared" si="24"/>
        <v>-5.7460598759686496E-2</v>
      </c>
      <c r="R89" s="4">
        <f t="shared" si="25"/>
        <v>-0.12530830575670093</v>
      </c>
      <c r="T89" s="4">
        <f t="shared" si="26"/>
        <v>3.6582982160676426E-4</v>
      </c>
      <c r="U89" s="4">
        <f t="shared" si="27"/>
        <v>1.1121900505109725E-3</v>
      </c>
      <c r="V89" s="4">
        <f t="shared" si="28"/>
        <v>3.1141321414307225E-3</v>
      </c>
      <c r="W89" s="4">
        <f t="shared" si="29"/>
        <v>1.7834203803329758E-3</v>
      </c>
    </row>
    <row r="90" spans="1:23" x14ac:dyDescent="0.2">
      <c r="A90">
        <v>2.8173884178961819</v>
      </c>
      <c r="B90">
        <v>3.6143549261884487</v>
      </c>
      <c r="G90">
        <f t="shared" si="15"/>
        <v>-4.3820301260399583</v>
      </c>
      <c r="H90" s="4">
        <f t="shared" si="16"/>
        <v>-0.15181970184203769</v>
      </c>
      <c r="I90">
        <f t="shared" si="17"/>
        <v>2.8173884178961819</v>
      </c>
      <c r="J90" s="4">
        <f t="shared" si="18"/>
        <v>-5.6179873410768702E-2</v>
      </c>
      <c r="K90" s="4">
        <f t="shared" si="19"/>
        <v>3.612036433200233E-2</v>
      </c>
      <c r="M90">
        <f t="shared" si="20"/>
        <v>-65.730451890599369</v>
      </c>
      <c r="N90" s="4">
        <f t="shared" si="21"/>
        <v>-1.9519675951119124</v>
      </c>
      <c r="O90" s="4">
        <f t="shared" si="22"/>
        <v>-4.8799189877797815</v>
      </c>
      <c r="P90">
        <f t="shared" si="23"/>
        <v>-197.19135567179811</v>
      </c>
      <c r="Q90" s="4">
        <f t="shared" si="24"/>
        <v>-1.123597468215374</v>
      </c>
      <c r="R90" s="4">
        <f t="shared" si="25"/>
        <v>-2.4503067864542962</v>
      </c>
      <c r="T90" s="4">
        <f t="shared" si="26"/>
        <v>3.0891922446055115E-2</v>
      </c>
      <c r="U90" s="4">
        <f t="shared" si="27"/>
        <v>9.391713511696885E-2</v>
      </c>
      <c r="V90" s="4">
        <f t="shared" si="28"/>
        <v>0.26296797832751279</v>
      </c>
      <c r="W90" s="4">
        <f t="shared" si="29"/>
        <v>0.15059812192451869</v>
      </c>
    </row>
    <row r="91" spans="1:23" x14ac:dyDescent="0.2">
      <c r="A91">
        <v>2.363041752241231</v>
      </c>
      <c r="B91">
        <v>3.0222858027116533</v>
      </c>
      <c r="G91">
        <f t="shared" si="15"/>
        <v>-3.6753612251815873</v>
      </c>
      <c r="H91" s="4">
        <f t="shared" si="16"/>
        <v>-0.12733646947176799</v>
      </c>
      <c r="I91">
        <f t="shared" si="17"/>
        <v>2.363041752241231</v>
      </c>
      <c r="J91" s="4">
        <f t="shared" si="18"/>
        <v>-4.7120015707456248E-2</v>
      </c>
      <c r="K91" s="4">
        <f t="shared" si="19"/>
        <v>3.0295407080015782E-2</v>
      </c>
      <c r="M91">
        <f t="shared" si="20"/>
        <v>-55.130418377723807</v>
      </c>
      <c r="N91" s="4">
        <f t="shared" si="21"/>
        <v>-1.6371831789227314</v>
      </c>
      <c r="O91" s="4">
        <f t="shared" si="22"/>
        <v>-4.0929579473068287</v>
      </c>
      <c r="P91">
        <f t="shared" si="23"/>
        <v>-165.39125513317143</v>
      </c>
      <c r="Q91" s="4">
        <f t="shared" si="24"/>
        <v>-0.94240031414912495</v>
      </c>
      <c r="R91" s="4">
        <f t="shared" si="25"/>
        <v>-2.0551576081636687</v>
      </c>
      <c r="T91" s="4">
        <f t="shared" si="26"/>
        <v>2.5831502587279089E-2</v>
      </c>
      <c r="U91" s="4">
        <f t="shared" si="27"/>
        <v>7.8532526520492474E-2</v>
      </c>
      <c r="V91" s="4">
        <f t="shared" si="28"/>
        <v>0.21989107425737892</v>
      </c>
      <c r="W91" s="4">
        <f t="shared" si="29"/>
        <v>0.12592857511298555</v>
      </c>
    </row>
    <row r="92" spans="1:23" x14ac:dyDescent="0.2">
      <c r="A92">
        <v>1.8903650005263737</v>
      </c>
      <c r="B92">
        <v>2.3948179702532633</v>
      </c>
      <c r="G92">
        <f t="shared" si="15"/>
        <v>-2.940182592112635</v>
      </c>
      <c r="H92" s="4">
        <f t="shared" si="16"/>
        <v>-0.10186548966040115</v>
      </c>
      <c r="I92">
        <f t="shared" si="17"/>
        <v>1.8903650005263737</v>
      </c>
      <c r="J92" s="4">
        <f t="shared" si="18"/>
        <v>-3.7694648616828655E-2</v>
      </c>
      <c r="K92" s="4">
        <f t="shared" si="19"/>
        <v>2.4235448724697097E-2</v>
      </c>
      <c r="M92">
        <f t="shared" si="20"/>
        <v>-44.102738881689525</v>
      </c>
      <c r="N92" s="4">
        <f t="shared" si="21"/>
        <v>-1.309699152776586</v>
      </c>
      <c r="O92" s="4">
        <f t="shared" si="22"/>
        <v>-3.2742478819414651</v>
      </c>
      <c r="P92">
        <f t="shared" si="23"/>
        <v>-132.30821664506857</v>
      </c>
      <c r="Q92" s="4">
        <f t="shared" si="24"/>
        <v>-0.75389297233657304</v>
      </c>
      <c r="R92" s="4">
        <f t="shared" si="25"/>
        <v>-1.6440665973647575</v>
      </c>
      <c r="T92" s="4">
        <f t="shared" si="26"/>
        <v>2.0468529660284302E-2</v>
      </c>
      <c r="U92" s="4">
        <f t="shared" si="27"/>
        <v>6.222810086058881E-2</v>
      </c>
      <c r="V92" s="4">
        <f t="shared" si="28"/>
        <v>0.17423868240964865</v>
      </c>
      <c r="W92" s="4">
        <f t="shared" si="29"/>
        <v>9.9784082093885978E-2</v>
      </c>
    </row>
    <row r="93" spans="1:23" x14ac:dyDescent="0.2">
      <c r="A93">
        <v>6.0092041605370277</v>
      </c>
      <c r="B93">
        <v>8.1059218063671601</v>
      </c>
      <c r="G93">
        <f t="shared" si="15"/>
        <v>-9.3464264627953195</v>
      </c>
      <c r="H93" s="4">
        <f t="shared" si="16"/>
        <v>-0.32381604828272631</v>
      </c>
      <c r="I93">
        <f t="shared" si="17"/>
        <v>6.0092041605370277</v>
      </c>
      <c r="J93" s="4">
        <f t="shared" si="18"/>
        <v>-0.11982598029224768</v>
      </c>
      <c r="K93" s="4">
        <f t="shared" si="19"/>
        <v>7.7041078981243946E-2</v>
      </c>
      <c r="M93">
        <f t="shared" si="20"/>
        <v>-140.19639694192981</v>
      </c>
      <c r="N93" s="4">
        <f t="shared" si="21"/>
        <v>-4.1633491922064803</v>
      </c>
      <c r="O93" s="4">
        <f t="shared" si="22"/>
        <v>-10.408372980516202</v>
      </c>
      <c r="P93">
        <f t="shared" si="23"/>
        <v>-420.58919082578939</v>
      </c>
      <c r="Q93" s="4">
        <f t="shared" si="24"/>
        <v>-2.3965196058449538</v>
      </c>
      <c r="R93" s="4">
        <f t="shared" si="25"/>
        <v>-5.2262562173618807</v>
      </c>
      <c r="T93" s="4">
        <f t="shared" si="26"/>
        <v>6.9281382960403079E-2</v>
      </c>
      <c r="U93" s="4">
        <f t="shared" si="27"/>
        <v>0.21062816715097452</v>
      </c>
      <c r="V93" s="4">
        <f t="shared" si="28"/>
        <v>0.58975886802272859</v>
      </c>
      <c r="W93" s="4">
        <f t="shared" si="29"/>
        <v>0.33774674193196502</v>
      </c>
    </row>
    <row r="94" spans="1:23" x14ac:dyDescent="0.2">
      <c r="A94">
        <v>6.2449709921625365</v>
      </c>
      <c r="B94">
        <v>8.5151184234678503</v>
      </c>
      <c r="G94">
        <f t="shared" si="15"/>
        <v>-9.7131268269841655</v>
      </c>
      <c r="H94" s="4">
        <f t="shared" si="16"/>
        <v>-0.33652073956855011</v>
      </c>
      <c r="I94">
        <f t="shared" si="17"/>
        <v>6.2449709921625365</v>
      </c>
      <c r="J94" s="4">
        <f t="shared" si="18"/>
        <v>-0.1245272670126175</v>
      </c>
      <c r="K94" s="4">
        <f t="shared" si="19"/>
        <v>8.0063730668750471E-2</v>
      </c>
      <c r="M94">
        <f t="shared" si="20"/>
        <v>-145.69690240476248</v>
      </c>
      <c r="N94" s="4">
        <f t="shared" si="21"/>
        <v>-4.3266952230242151</v>
      </c>
      <c r="O94" s="4">
        <f t="shared" si="22"/>
        <v>-10.816738057560539</v>
      </c>
      <c r="P94">
        <f t="shared" si="23"/>
        <v>-437.09070721428748</v>
      </c>
      <c r="Q94" s="4">
        <f t="shared" si="24"/>
        <v>-2.4905453402523503</v>
      </c>
      <c r="R94" s="4">
        <f t="shared" si="25"/>
        <v>-5.4313046458580105</v>
      </c>
      <c r="T94" s="4">
        <f t="shared" si="26"/>
        <v>7.2778789944169656E-2</v>
      </c>
      <c r="U94" s="4">
        <f t="shared" si="27"/>
        <v>0.22126092867065722</v>
      </c>
      <c r="V94" s="4">
        <f t="shared" si="28"/>
        <v>0.61953060027784013</v>
      </c>
      <c r="W94" s="4">
        <f t="shared" si="29"/>
        <v>0.35479660097782711</v>
      </c>
    </row>
    <row r="95" spans="1:23" x14ac:dyDescent="0.2">
      <c r="A95">
        <v>7.389381213713718</v>
      </c>
      <c r="B95">
        <v>10.140336637824744</v>
      </c>
      <c r="G95">
        <f t="shared" si="15"/>
        <v>-11.493087316468273</v>
      </c>
      <c r="H95" s="4">
        <f t="shared" si="16"/>
        <v>-0.39818920441963368</v>
      </c>
      <c r="I95">
        <f t="shared" si="17"/>
        <v>7.389381213713718</v>
      </c>
      <c r="J95" s="4">
        <f t="shared" si="18"/>
        <v>-0.14734727328805478</v>
      </c>
      <c r="K95" s="4">
        <f t="shared" si="19"/>
        <v>9.4735656586073302E-2</v>
      </c>
      <c r="M95">
        <f t="shared" si="20"/>
        <v>-172.39630974702411</v>
      </c>
      <c r="N95" s="4">
        <f t="shared" si="21"/>
        <v>-5.1195754853952895</v>
      </c>
      <c r="O95" s="4">
        <f t="shared" si="22"/>
        <v>-12.798938713488223</v>
      </c>
      <c r="P95">
        <f t="shared" si="23"/>
        <v>-517.18892924107229</v>
      </c>
      <c r="Q95" s="4">
        <f t="shared" si="24"/>
        <v>-2.9469454657610958</v>
      </c>
      <c r="R95" s="4">
        <f t="shared" si="25"/>
        <v>-6.4266079964866973</v>
      </c>
      <c r="T95" s="4">
        <f t="shared" si="26"/>
        <v>8.6669543913031999E-2</v>
      </c>
      <c r="U95" s="4">
        <f t="shared" si="27"/>
        <v>0.26349137967765851</v>
      </c>
      <c r="V95" s="4">
        <f t="shared" si="28"/>
        <v>0.73777586309744381</v>
      </c>
      <c r="W95" s="4">
        <f t="shared" si="29"/>
        <v>0.42251402657603104</v>
      </c>
    </row>
    <row r="96" spans="1:23" x14ac:dyDescent="0.2">
      <c r="A96">
        <v>6.5475423604216312</v>
      </c>
      <c r="B96">
        <v>9.0103950337792487</v>
      </c>
      <c r="G96">
        <f t="shared" si="15"/>
        <v>-10.183731746975479</v>
      </c>
      <c r="H96" s="4">
        <f t="shared" si="16"/>
        <v>-0.3528253053938526</v>
      </c>
      <c r="I96">
        <f t="shared" si="17"/>
        <v>6.5475423604216312</v>
      </c>
      <c r="J96" s="4">
        <f t="shared" si="18"/>
        <v>-0.13056066342276254</v>
      </c>
      <c r="K96" s="4">
        <f t="shared" si="19"/>
        <v>8.3942850774636299E-2</v>
      </c>
      <c r="M96">
        <f t="shared" si="20"/>
        <v>-152.75597620463219</v>
      </c>
      <c r="N96" s="4">
        <f t="shared" si="21"/>
        <v>-4.536325355063819</v>
      </c>
      <c r="O96" s="4">
        <f t="shared" si="22"/>
        <v>-11.340813387659548</v>
      </c>
      <c r="P96">
        <f t="shared" si="23"/>
        <v>-458.26792861389657</v>
      </c>
      <c r="Q96" s="4">
        <f t="shared" si="24"/>
        <v>-2.6112132684552511</v>
      </c>
      <c r="R96" s="4">
        <f t="shared" si="25"/>
        <v>-5.6944535508235674</v>
      </c>
      <c r="T96" s="4">
        <f t="shared" si="26"/>
        <v>7.7011923365634602E-2</v>
      </c>
      <c r="U96" s="4">
        <f t="shared" si="27"/>
        <v>0.2341304340957768</v>
      </c>
      <c r="V96" s="4">
        <f t="shared" si="28"/>
        <v>0.65556521546817503</v>
      </c>
      <c r="W96" s="4">
        <f t="shared" si="29"/>
        <v>0.37543312640746873</v>
      </c>
    </row>
    <row r="97" spans="1:23" x14ac:dyDescent="0.2">
      <c r="A97">
        <v>6.9773041569094287</v>
      </c>
      <c r="B97">
        <v>9.5988188841245901</v>
      </c>
      <c r="G97">
        <f t="shared" si="15"/>
        <v>-10.852162527505499</v>
      </c>
      <c r="H97" s="4">
        <f t="shared" si="16"/>
        <v>-0.37598374084117264</v>
      </c>
      <c r="I97">
        <f t="shared" si="17"/>
        <v>6.9773041569094287</v>
      </c>
      <c r="J97" s="4">
        <f t="shared" si="18"/>
        <v>-0.13913028881417305</v>
      </c>
      <c r="K97" s="4">
        <f t="shared" si="19"/>
        <v>8.945261739627472E-2</v>
      </c>
      <c r="M97">
        <f t="shared" si="20"/>
        <v>-162.78243791258248</v>
      </c>
      <c r="N97" s="4">
        <f t="shared" si="21"/>
        <v>-4.834076667957933</v>
      </c>
      <c r="O97" s="4">
        <f t="shared" si="22"/>
        <v>-12.085191669894833</v>
      </c>
      <c r="P97">
        <f t="shared" si="23"/>
        <v>-488.34731373774747</v>
      </c>
      <c r="Q97" s="4">
        <f t="shared" si="24"/>
        <v>-2.7826057762834613</v>
      </c>
      <c r="R97" s="4">
        <f t="shared" si="25"/>
        <v>-6.0682210582797032</v>
      </c>
      <c r="T97" s="4">
        <f t="shared" si="26"/>
        <v>8.204118704379991E-2</v>
      </c>
      <c r="U97" s="4">
        <f t="shared" si="27"/>
        <v>0.24942032216363422</v>
      </c>
      <c r="V97" s="4">
        <f t="shared" si="28"/>
        <v>0.69837690205817582</v>
      </c>
      <c r="W97" s="4">
        <f t="shared" si="29"/>
        <v>0.39995078683852459</v>
      </c>
    </row>
    <row r="98" spans="1:23" x14ac:dyDescent="0.2">
      <c r="A98">
        <v>5.3984903455888542</v>
      </c>
      <c r="B98">
        <v>7.373779747242124</v>
      </c>
      <c r="G98">
        <f t="shared" si="15"/>
        <v>-8.396551635990269</v>
      </c>
      <c r="H98" s="4">
        <f t="shared" si="16"/>
        <v>-0.29090670972390575</v>
      </c>
      <c r="I98">
        <f t="shared" si="17"/>
        <v>5.3984903455888542</v>
      </c>
      <c r="J98" s="4">
        <f t="shared" si="18"/>
        <v>-0.10764809789731114</v>
      </c>
      <c r="K98" s="4">
        <f t="shared" si="19"/>
        <v>6.9211414687036593E-2</v>
      </c>
      <c r="M98">
        <f t="shared" si="20"/>
        <v>-125.94827453985404</v>
      </c>
      <c r="N98" s="4">
        <f t="shared" si="21"/>
        <v>-3.7402291250216448</v>
      </c>
      <c r="O98" s="4">
        <f t="shared" si="22"/>
        <v>-9.3505728125541125</v>
      </c>
      <c r="P98">
        <f t="shared" si="23"/>
        <v>-377.84482361956213</v>
      </c>
      <c r="Q98" s="4">
        <f t="shared" si="24"/>
        <v>-2.1529619579462231</v>
      </c>
      <c r="R98" s="4">
        <f t="shared" si="25"/>
        <v>-4.6951131929058016</v>
      </c>
      <c r="T98" s="4">
        <f t="shared" si="26"/>
        <v>6.302375852343696E-2</v>
      </c>
      <c r="U98" s="4">
        <f t="shared" si="27"/>
        <v>0.19160383608889645</v>
      </c>
      <c r="V98" s="4">
        <f t="shared" si="28"/>
        <v>0.53649074104891004</v>
      </c>
      <c r="W98" s="4">
        <f t="shared" si="29"/>
        <v>0.30724082280175519</v>
      </c>
    </row>
    <row r="99" spans="1:23" x14ac:dyDescent="0.2">
      <c r="A99">
        <v>4.8598618551499504</v>
      </c>
      <c r="B99">
        <v>6.6170074939171633</v>
      </c>
      <c r="G99">
        <f t="shared" si="15"/>
        <v>-7.5587948478761238</v>
      </c>
      <c r="H99" s="4">
        <f t="shared" si="16"/>
        <v>-0.26188180981921877</v>
      </c>
      <c r="I99">
        <f t="shared" si="17"/>
        <v>4.8598618551499504</v>
      </c>
      <c r="J99" s="4">
        <f t="shared" si="18"/>
        <v>-9.6907626254822105E-2</v>
      </c>
      <c r="K99" s="4">
        <f t="shared" si="19"/>
        <v>6.2305921219871156E-2</v>
      </c>
      <c r="M99">
        <f t="shared" si="20"/>
        <v>-113.38192271814185</v>
      </c>
      <c r="N99" s="4">
        <f t="shared" si="21"/>
        <v>-3.3670518405328123</v>
      </c>
      <c r="O99" s="4">
        <f t="shared" si="22"/>
        <v>-8.4176296013320311</v>
      </c>
      <c r="P99">
        <f t="shared" si="23"/>
        <v>-340.14576815442558</v>
      </c>
      <c r="Q99" s="4">
        <f t="shared" si="24"/>
        <v>-1.9381525250964422</v>
      </c>
      <c r="R99" s="4">
        <f t="shared" si="25"/>
        <v>-4.2266633912680103</v>
      </c>
      <c r="T99" s="4">
        <f t="shared" si="26"/>
        <v>5.6555619606129599E-2</v>
      </c>
      <c r="U99" s="4">
        <f t="shared" si="27"/>
        <v>0.17193950222580101</v>
      </c>
      <c r="V99" s="4">
        <f t="shared" si="28"/>
        <v>0.48143060623224282</v>
      </c>
      <c r="W99" s="4">
        <f t="shared" si="29"/>
        <v>0.27570864557988184</v>
      </c>
    </row>
    <row r="100" spans="1:23" x14ac:dyDescent="0.2">
      <c r="A100">
        <v>5.5430945667719209</v>
      </c>
      <c r="B100">
        <v>7.6080848477569285</v>
      </c>
      <c r="G100">
        <f t="shared" si="15"/>
        <v>-8.6214620706153671</v>
      </c>
      <c r="H100" s="4">
        <f t="shared" si="16"/>
        <v>-0.29869895079569481</v>
      </c>
      <c r="I100">
        <f t="shared" si="17"/>
        <v>5.5430945667719209</v>
      </c>
      <c r="J100" s="4">
        <f t="shared" si="18"/>
        <v>-0.11053156500788933</v>
      </c>
      <c r="K100" s="4">
        <f t="shared" si="19"/>
        <v>7.1065314958614373E-2</v>
      </c>
      <c r="M100">
        <f t="shared" si="20"/>
        <v>-129.32193105923051</v>
      </c>
      <c r="N100" s="4">
        <f t="shared" si="21"/>
        <v>-3.8404150816589326</v>
      </c>
      <c r="O100" s="4">
        <f t="shared" si="22"/>
        <v>-9.6010377041473323</v>
      </c>
      <c r="P100">
        <f t="shared" si="23"/>
        <v>-387.96579317769152</v>
      </c>
      <c r="Q100" s="4">
        <f t="shared" si="24"/>
        <v>-2.2106313001577864</v>
      </c>
      <c r="R100" s="4">
        <f t="shared" si="25"/>
        <v>-4.8208767199594815</v>
      </c>
      <c r="T100" s="4">
        <f t="shared" si="26"/>
        <v>6.5026366220144682E-2</v>
      </c>
      <c r="U100" s="4">
        <f t="shared" si="27"/>
        <v>0.1976921324053984</v>
      </c>
      <c r="V100" s="4">
        <f t="shared" si="28"/>
        <v>0.55353797073511546</v>
      </c>
      <c r="W100" s="4">
        <f t="shared" si="29"/>
        <v>0.31700353532320535</v>
      </c>
    </row>
    <row r="101" spans="1:23" x14ac:dyDescent="0.2">
      <c r="A101">
        <v>5.8102178611691002</v>
      </c>
      <c r="B101">
        <v>8.0334736384421728</v>
      </c>
      <c r="G101">
        <f t="shared" si="15"/>
        <v>-9.0369327653836642</v>
      </c>
      <c r="H101" s="4">
        <f t="shared" si="16"/>
        <v>-0.31309333768705777</v>
      </c>
      <c r="I101">
        <f t="shared" si="17"/>
        <v>5.8102178611691002</v>
      </c>
      <c r="J101" s="4">
        <f t="shared" si="18"/>
        <v>-0.11585811237671365</v>
      </c>
      <c r="K101" s="4">
        <f t="shared" si="19"/>
        <v>7.4489972579091027E-2</v>
      </c>
      <c r="M101">
        <f t="shared" si="20"/>
        <v>-135.55399148075497</v>
      </c>
      <c r="N101" s="4">
        <f t="shared" si="21"/>
        <v>-4.0254857702621711</v>
      </c>
      <c r="O101" s="4">
        <f t="shared" si="22"/>
        <v>-10.063714425655428</v>
      </c>
      <c r="P101">
        <f t="shared" si="23"/>
        <v>-406.66197444226486</v>
      </c>
      <c r="Q101" s="4">
        <f t="shared" si="24"/>
        <v>-2.3171622475342728</v>
      </c>
      <c r="R101" s="4">
        <f t="shared" si="25"/>
        <v>-5.0531961321228183</v>
      </c>
      <c r="T101" s="4">
        <f t="shared" si="26"/>
        <v>6.8662167849933106E-2</v>
      </c>
      <c r="U101" s="4">
        <f t="shared" si="27"/>
        <v>0.20874563914391928</v>
      </c>
      <c r="V101" s="4">
        <f t="shared" si="28"/>
        <v>0.58448778960297398</v>
      </c>
      <c r="W101" s="4">
        <f t="shared" si="29"/>
        <v>0.33472806826842383</v>
      </c>
    </row>
    <row r="102" spans="1:23" x14ac:dyDescent="0.2">
      <c r="A102">
        <v>6.9130464018543893</v>
      </c>
      <c r="B102">
        <v>9.6219742341223373</v>
      </c>
      <c r="G102">
        <f t="shared" si="15"/>
        <v>-10.752219112996418</v>
      </c>
      <c r="H102" s="4">
        <f t="shared" si="16"/>
        <v>-0.37252110389998028</v>
      </c>
      <c r="I102">
        <f t="shared" si="17"/>
        <v>6.9130464018543893</v>
      </c>
      <c r="J102" s="4">
        <f t="shared" si="18"/>
        <v>-0.13784896298713359</v>
      </c>
      <c r="K102" s="4">
        <f t="shared" si="19"/>
        <v>8.8628800023774226E-2</v>
      </c>
      <c r="M102">
        <f t="shared" si="20"/>
        <v>-161.28328669494627</v>
      </c>
      <c r="N102" s="4">
        <f t="shared" si="21"/>
        <v>-4.7895570501426032</v>
      </c>
      <c r="O102" s="4">
        <f t="shared" si="22"/>
        <v>-11.973892625356509</v>
      </c>
      <c r="P102">
        <f t="shared" si="23"/>
        <v>-483.84986008483884</v>
      </c>
      <c r="Q102" s="4">
        <f t="shared" si="24"/>
        <v>-2.7569792597426717</v>
      </c>
      <c r="R102" s="4">
        <f t="shared" si="25"/>
        <v>-6.0123355395157496</v>
      </c>
      <c r="T102" s="4">
        <f t="shared" si="26"/>
        <v>8.223909601813964E-2</v>
      </c>
      <c r="U102" s="4">
        <f t="shared" si="27"/>
        <v>0.25002200190423246</v>
      </c>
      <c r="V102" s="4">
        <f t="shared" si="28"/>
        <v>0.7000616053318508</v>
      </c>
      <c r="W102" s="4">
        <f t="shared" si="29"/>
        <v>0.40091559308843072</v>
      </c>
    </row>
    <row r="103" spans="1:23" x14ac:dyDescent="0.2">
      <c r="A103">
        <v>4.9107055425357151</v>
      </c>
      <c r="B103">
        <v>6.7843216526351151</v>
      </c>
      <c r="G103">
        <f t="shared" si="15"/>
        <v>-7.6378746681906211</v>
      </c>
      <c r="H103" s="4">
        <f t="shared" si="16"/>
        <v>-0.26462160721826555</v>
      </c>
      <c r="I103">
        <f t="shared" si="17"/>
        <v>4.9107055425357151</v>
      </c>
      <c r="J103" s="4">
        <f t="shared" si="18"/>
        <v>-9.7921470105007971E-2</v>
      </c>
      <c r="K103" s="4">
        <f t="shared" si="19"/>
        <v>6.2957763365842495E-2</v>
      </c>
      <c r="M103">
        <f t="shared" si="20"/>
        <v>-114.56812002285932</v>
      </c>
      <c r="N103" s="4">
        <f t="shared" si="21"/>
        <v>-3.4022778070919855</v>
      </c>
      <c r="O103" s="4">
        <f t="shared" si="22"/>
        <v>-8.5056945177299639</v>
      </c>
      <c r="P103">
        <f t="shared" si="23"/>
        <v>-343.70436006857796</v>
      </c>
      <c r="Q103" s="4">
        <f t="shared" si="24"/>
        <v>-1.9584294021001591</v>
      </c>
      <c r="R103" s="4">
        <f t="shared" si="25"/>
        <v>-4.2708825807338098</v>
      </c>
      <c r="T103" s="4">
        <f t="shared" si="26"/>
        <v>5.7985655150727476E-2</v>
      </c>
      <c r="U103" s="4">
        <f t="shared" si="27"/>
        <v>0.17628707372118452</v>
      </c>
      <c r="V103" s="4">
        <f t="shared" si="28"/>
        <v>0.49360380641931662</v>
      </c>
      <c r="W103" s="4">
        <f t="shared" si="29"/>
        <v>0.28268006885979646</v>
      </c>
    </row>
    <row r="104" spans="1:23" x14ac:dyDescent="0.2">
      <c r="A104">
        <v>7.2997774486609783</v>
      </c>
      <c r="B104">
        <v>10.134833568981877</v>
      </c>
      <c r="G104">
        <f t="shared" si="15"/>
        <v>-11.35372193987568</v>
      </c>
      <c r="H104" s="4">
        <f t="shared" si="16"/>
        <v>-0.39336075520481467</v>
      </c>
      <c r="I104">
        <f t="shared" si="17"/>
        <v>7.2997774486609783</v>
      </c>
      <c r="J104" s="4">
        <f t="shared" si="18"/>
        <v>-0.14556053769071384</v>
      </c>
      <c r="K104" s="4">
        <f t="shared" si="19"/>
        <v>9.3586890367448439E-2</v>
      </c>
      <c r="M104">
        <f t="shared" si="20"/>
        <v>-170.30582909813521</v>
      </c>
      <c r="N104" s="4">
        <f t="shared" si="21"/>
        <v>-5.0574954240619023</v>
      </c>
      <c r="O104" s="4">
        <f t="shared" si="22"/>
        <v>-12.643738560154755</v>
      </c>
      <c r="P104">
        <f t="shared" si="23"/>
        <v>-510.91748729440559</v>
      </c>
      <c r="Q104" s="4">
        <f t="shared" si="24"/>
        <v>-2.9112107538142769</v>
      </c>
      <c r="R104" s="4">
        <f t="shared" si="25"/>
        <v>-6.3486788362026729</v>
      </c>
      <c r="T104" s="4">
        <f t="shared" si="26"/>
        <v>8.6622509136597234E-2</v>
      </c>
      <c r="U104" s="4">
        <f t="shared" si="27"/>
        <v>0.26334838529259452</v>
      </c>
      <c r="V104" s="4">
        <f t="shared" si="28"/>
        <v>0.73737547881926457</v>
      </c>
      <c r="W104" s="4">
        <f t="shared" si="29"/>
        <v>0.42228473204091149</v>
      </c>
    </row>
    <row r="105" spans="1:23" x14ac:dyDescent="0.2">
      <c r="A105">
        <v>7.087557315195764</v>
      </c>
      <c r="B105">
        <v>9.7743135518091222</v>
      </c>
      <c r="G105">
        <f t="shared" si="15"/>
        <v>-11.02364497487871</v>
      </c>
      <c r="H105" s="4">
        <f t="shared" si="16"/>
        <v>-0.38192491725541861</v>
      </c>
      <c r="I105">
        <f t="shared" si="17"/>
        <v>7.087557315195764</v>
      </c>
      <c r="J105" s="4">
        <f t="shared" si="18"/>
        <v>-0.14132878172921426</v>
      </c>
      <c r="K105" s="4">
        <f t="shared" si="19"/>
        <v>9.0866119425586728E-2</v>
      </c>
      <c r="M105">
        <f t="shared" si="20"/>
        <v>-165.35467462318064</v>
      </c>
      <c r="N105" s="4">
        <f t="shared" si="21"/>
        <v>-4.9104632218553812</v>
      </c>
      <c r="O105" s="4">
        <f t="shared" si="22"/>
        <v>-12.276158054638453</v>
      </c>
      <c r="P105">
        <f t="shared" si="23"/>
        <v>-496.06402386954193</v>
      </c>
      <c r="Q105" s="4">
        <f t="shared" si="24"/>
        <v>-2.8265756345842843</v>
      </c>
      <c r="R105" s="4">
        <f t="shared" si="25"/>
        <v>-6.1641091723434212</v>
      </c>
      <c r="T105" s="4">
        <f t="shared" si="26"/>
        <v>8.3541141468454039E-2</v>
      </c>
      <c r="U105" s="4">
        <f t="shared" si="27"/>
        <v>0.25398045993477919</v>
      </c>
      <c r="V105" s="4">
        <f t="shared" si="28"/>
        <v>0.71114528781738173</v>
      </c>
      <c r="W105" s="4">
        <f t="shared" si="29"/>
        <v>0.40726306465871343</v>
      </c>
    </row>
    <row r="106" spans="1:23" x14ac:dyDescent="0.2">
      <c r="A106">
        <v>9.344098024795354</v>
      </c>
      <c r="B106">
        <v>13.029042148498608</v>
      </c>
      <c r="G106">
        <f t="shared" si="15"/>
        <v>-14.533359612480856</v>
      </c>
      <c r="H106" s="4">
        <f t="shared" si="16"/>
        <v>-0.50352239935966059</v>
      </c>
      <c r="I106">
        <f t="shared" si="17"/>
        <v>9.344098024795354</v>
      </c>
      <c r="J106" s="4">
        <f t="shared" si="18"/>
        <v>-0.18632512323693404</v>
      </c>
      <c r="K106" s="4">
        <f t="shared" si="19"/>
        <v>0.11979612852301735</v>
      </c>
      <c r="M106">
        <f t="shared" si="20"/>
        <v>-218.00039418721283</v>
      </c>
      <c r="N106" s="4">
        <f t="shared" si="21"/>
        <v>-6.473859420338492</v>
      </c>
      <c r="O106" s="4">
        <f t="shared" si="22"/>
        <v>-16.18464855084623</v>
      </c>
      <c r="P106">
        <f t="shared" si="23"/>
        <v>-654.00118256163853</v>
      </c>
      <c r="Q106" s="4">
        <f t="shared" si="24"/>
        <v>-3.7265024647386809</v>
      </c>
      <c r="R106" s="4">
        <f t="shared" si="25"/>
        <v>-8.1266419134878163</v>
      </c>
      <c r="T106" s="4">
        <f t="shared" si="26"/>
        <v>0.11135933460255221</v>
      </c>
      <c r="U106" s="4">
        <f t="shared" si="27"/>
        <v>0.33855289170386971</v>
      </c>
      <c r="V106" s="4">
        <f t="shared" si="28"/>
        <v>0.94794809677083514</v>
      </c>
      <c r="W106" s="4">
        <f t="shared" si="29"/>
        <v>0.54287675618744202</v>
      </c>
    </row>
    <row r="107" spans="1:23" x14ac:dyDescent="0.2">
      <c r="A107">
        <v>9.7525933024737146</v>
      </c>
      <c r="B107">
        <v>13.778048920234712</v>
      </c>
      <c r="G107">
        <f t="shared" si="15"/>
        <v>-15.168713474859656</v>
      </c>
      <c r="H107" s="4">
        <f t="shared" si="16"/>
        <v>-0.5255348527605016</v>
      </c>
      <c r="I107">
        <f t="shared" si="17"/>
        <v>9.7525933024737146</v>
      </c>
      <c r="J107" s="4">
        <f t="shared" si="18"/>
        <v>-0.19447068557512379</v>
      </c>
      <c r="K107" s="4">
        <f t="shared" si="19"/>
        <v>0.12503324746761174</v>
      </c>
      <c r="M107">
        <f t="shared" si="20"/>
        <v>-227.53070212289484</v>
      </c>
      <c r="N107" s="4">
        <f t="shared" si="21"/>
        <v>-6.7568766783493066</v>
      </c>
      <c r="O107" s="4">
        <f t="shared" si="22"/>
        <v>-16.892191695873265</v>
      </c>
      <c r="P107">
        <f t="shared" si="23"/>
        <v>-682.59210636868454</v>
      </c>
      <c r="Q107" s="4">
        <f t="shared" si="24"/>
        <v>-3.8894137115024763</v>
      </c>
      <c r="R107" s="4">
        <f t="shared" si="25"/>
        <v>-8.481913747776554</v>
      </c>
      <c r="T107" s="4">
        <f t="shared" si="26"/>
        <v>0.11776110188234797</v>
      </c>
      <c r="U107" s="4">
        <f t="shared" si="27"/>
        <v>0.35801544356200909</v>
      </c>
      <c r="V107" s="4">
        <f t="shared" si="28"/>
        <v>1.0024432419736253</v>
      </c>
      <c r="W107" s="4">
        <f t="shared" si="29"/>
        <v>0.57408537167644635</v>
      </c>
    </row>
    <row r="108" spans="1:23" x14ac:dyDescent="0.2">
      <c r="A108">
        <v>10.703210680892825</v>
      </c>
      <c r="B108">
        <v>15.307540931838814</v>
      </c>
      <c r="G108">
        <f t="shared" si="15"/>
        <v>-16.647257918397997</v>
      </c>
      <c r="H108" s="4">
        <f t="shared" si="16"/>
        <v>-0.57676046511863677</v>
      </c>
      <c r="I108">
        <f t="shared" si="17"/>
        <v>10.703210680892825</v>
      </c>
      <c r="J108" s="4">
        <f t="shared" si="18"/>
        <v>-0.2134263835692051</v>
      </c>
      <c r="K108" s="4">
        <f t="shared" si="19"/>
        <v>0.13722064975503623</v>
      </c>
      <c r="M108">
        <f t="shared" si="20"/>
        <v>-249.70886877596996</v>
      </c>
      <c r="N108" s="4">
        <f t="shared" si="21"/>
        <v>-7.4154916943824709</v>
      </c>
      <c r="O108" s="4">
        <f t="shared" si="22"/>
        <v>-18.538729235956176</v>
      </c>
      <c r="P108">
        <f t="shared" si="23"/>
        <v>-749.12660632790983</v>
      </c>
      <c r="Q108" s="4">
        <f t="shared" si="24"/>
        <v>-4.2685276713841018</v>
      </c>
      <c r="R108" s="4">
        <f t="shared" si="25"/>
        <v>-9.3086738064414831</v>
      </c>
      <c r="T108" s="4">
        <f t="shared" si="26"/>
        <v>0.13083368317810951</v>
      </c>
      <c r="U108" s="4">
        <f t="shared" si="27"/>
        <v>0.39775849891978204</v>
      </c>
      <c r="V108" s="4">
        <f t="shared" si="28"/>
        <v>1.1137237969753897</v>
      </c>
      <c r="W108" s="4">
        <f t="shared" si="29"/>
        <v>0.63781420549328394</v>
      </c>
    </row>
    <row r="110" spans="1:23" x14ac:dyDescent="0.2">
      <c r="F110" t="s">
        <v>29</v>
      </c>
      <c r="G110">
        <f>MAX(G3:G108)</f>
        <v>-0.17402710664227455</v>
      </c>
      <c r="H110">
        <f t="shared" ref="H110:W110" si="30">MAX(H3:H108)</f>
        <v>-6.0293386131370684E-3</v>
      </c>
      <c r="I110">
        <f t="shared" si="30"/>
        <v>36.273183322089551</v>
      </c>
      <c r="J110">
        <f t="shared" si="30"/>
        <v>-2.2311167518240332E-3</v>
      </c>
      <c r="K110">
        <f t="shared" si="30"/>
        <v>0.4650408118216609</v>
      </c>
      <c r="M110">
        <f t="shared" si="30"/>
        <v>-2.6104065996341181</v>
      </c>
      <c r="N110" s="4">
        <f t="shared" si="30"/>
        <v>-7.7520067883190866E-2</v>
      </c>
      <c r="O110" s="4">
        <f t="shared" si="30"/>
        <v>-0.19380016970797717</v>
      </c>
      <c r="P110">
        <f t="shared" si="30"/>
        <v>-7.8312197989023549</v>
      </c>
      <c r="Q110" s="4">
        <f t="shared" si="30"/>
        <v>-4.4622335036480651E-2</v>
      </c>
      <c r="R110" s="4">
        <f t="shared" si="30"/>
        <v>-9.7311015252632832E-2</v>
      </c>
      <c r="T110" s="4">
        <f t="shared" si="30"/>
        <v>0.63585880903382364</v>
      </c>
      <c r="U110" s="4">
        <f t="shared" si="30"/>
        <v>1.9331279167758777</v>
      </c>
      <c r="V110" s="4">
        <f t="shared" si="30"/>
        <v>5.4127581669724574</v>
      </c>
      <c r="W110" s="4">
        <f t="shared" si="30"/>
        <v>3.0998116940398899</v>
      </c>
    </row>
    <row r="111" spans="1:23" x14ac:dyDescent="0.2">
      <c r="F111" t="s">
        <v>30</v>
      </c>
      <c r="G111">
        <f>MIN(G3:G108)</f>
        <v>-56.417560700934125</v>
      </c>
      <c r="H111">
        <f t="shared" ref="H111:W111" si="31">MIN(H3:H108)</f>
        <v>-1.9546413415490007</v>
      </c>
      <c r="I111">
        <f t="shared" si="31"/>
        <v>0.11188922498280815</v>
      </c>
      <c r="J111">
        <f t="shared" si="31"/>
        <v>-0.72330206026838617</v>
      </c>
      <c r="K111">
        <f t="shared" si="31"/>
        <v>1.4344772433693351E-3</v>
      </c>
      <c r="M111">
        <f t="shared" si="31"/>
        <v>-846.26341051401187</v>
      </c>
      <c r="N111" s="4">
        <f t="shared" si="31"/>
        <v>-25.131102962772864</v>
      </c>
      <c r="O111" s="4">
        <f t="shared" si="31"/>
        <v>-62.827757406932164</v>
      </c>
      <c r="P111">
        <f t="shared" si="31"/>
        <v>-2538.7902315420356</v>
      </c>
      <c r="Q111" s="4">
        <f t="shared" si="31"/>
        <v>-14.466041205367725</v>
      </c>
      <c r="R111" s="4">
        <f t="shared" si="31"/>
        <v>-31.547097551705772</v>
      </c>
      <c r="T111" s="4">
        <f t="shared" si="31"/>
        <v>0</v>
      </c>
      <c r="U111" s="4">
        <f t="shared" si="31"/>
        <v>0</v>
      </c>
      <c r="V111" s="4">
        <f t="shared" si="31"/>
        <v>0</v>
      </c>
      <c r="W111" s="4">
        <f t="shared" si="31"/>
        <v>0</v>
      </c>
    </row>
    <row r="113" spans="7:23" x14ac:dyDescent="0.2">
      <c r="P113" s="11"/>
      <c r="S113" s="11"/>
    </row>
    <row r="114" spans="7:23" x14ac:dyDescent="0.2">
      <c r="H114" t="s">
        <v>789</v>
      </c>
      <c r="K114"/>
      <c r="L114" t="s">
        <v>802</v>
      </c>
      <c r="N114" s="4">
        <f>(N110+N111)/2</f>
        <v>-12.604311515328028</v>
      </c>
      <c r="O114" s="16">
        <f t="shared" ref="O114:W114" si="32">(O110+O111)/2</f>
        <v>-31.510778788320071</v>
      </c>
      <c r="P114" s="14"/>
      <c r="Q114" s="4">
        <f t="shared" si="32"/>
        <v>-7.255331770202103</v>
      </c>
      <c r="R114" s="4">
        <f t="shared" si="32"/>
        <v>-15.822204283479202</v>
      </c>
      <c r="S114" s="14"/>
      <c r="T114" s="4">
        <f t="shared" si="32"/>
        <v>0.31792940451691182</v>
      </c>
      <c r="U114" s="4">
        <f t="shared" si="32"/>
        <v>0.96656395838793885</v>
      </c>
      <c r="V114" s="16">
        <f t="shared" si="32"/>
        <v>2.7063790834862287</v>
      </c>
      <c r="W114" s="4">
        <f t="shared" si="32"/>
        <v>1.5499058470199449</v>
      </c>
    </row>
    <row r="115" spans="7:23" x14ac:dyDescent="0.2">
      <c r="G115" t="s">
        <v>790</v>
      </c>
      <c r="H115">
        <f>H117*H118*H119*H120*H121*H122</f>
        <v>26.31776</v>
      </c>
      <c r="K115"/>
      <c r="L115" t="s">
        <v>803</v>
      </c>
      <c r="N115" s="4">
        <f>N110-N114</f>
        <v>12.526791447444838</v>
      </c>
      <c r="O115" s="16">
        <f t="shared" ref="O115:W115" si="33">O110-O114</f>
        <v>31.316978618612094</v>
      </c>
      <c r="P115" s="14"/>
      <c r="Q115" s="4">
        <f t="shared" si="33"/>
        <v>7.2107094351656222</v>
      </c>
      <c r="R115" s="4">
        <f t="shared" si="33"/>
        <v>15.72489326822657</v>
      </c>
      <c r="S115" s="14"/>
      <c r="T115" s="4">
        <f t="shared" si="33"/>
        <v>0.31792940451691182</v>
      </c>
      <c r="U115" s="4">
        <f t="shared" si="33"/>
        <v>0.96656395838793885</v>
      </c>
      <c r="V115" s="16">
        <f t="shared" si="33"/>
        <v>2.7063790834862287</v>
      </c>
      <c r="W115" s="4">
        <f t="shared" si="33"/>
        <v>1.5499058470199449</v>
      </c>
    </row>
    <row r="116" spans="7:23" ht="34" x14ac:dyDescent="0.2">
      <c r="G116" t="s">
        <v>805</v>
      </c>
      <c r="H116">
        <f>'lever arm selection'!J7</f>
        <v>75.8</v>
      </c>
      <c r="K116"/>
      <c r="L116" s="1" t="s">
        <v>804</v>
      </c>
      <c r="N116" s="8">
        <f>1/((N115/$H$115)+(N114/$H$116))</f>
        <v>3.2289453994286688</v>
      </c>
      <c r="O116" s="17">
        <f t="shared" ref="O116:W116" si="34">1/((O115/$H$115)+(O114/$H$116))</f>
        <v>1.2915781597714675</v>
      </c>
      <c r="P116" s="15"/>
      <c r="Q116" s="8">
        <f t="shared" si="34"/>
        <v>5.6094793414596031</v>
      </c>
      <c r="R116" s="8">
        <f t="shared" si="34"/>
        <v>2.5722480225387954</v>
      </c>
      <c r="S116" s="15"/>
      <c r="T116" s="8">
        <f t="shared" si="34"/>
        <v>61.444943804372585</v>
      </c>
      <c r="U116" s="8">
        <f t="shared" si="34"/>
        <v>20.210927817834776</v>
      </c>
      <c r="V116" s="17">
        <f t="shared" si="34"/>
        <v>7.2181885063695628</v>
      </c>
      <c r="W116" s="8">
        <f t="shared" si="34"/>
        <v>12.604091036794378</v>
      </c>
    </row>
    <row r="117" spans="7:23" x14ac:dyDescent="0.2">
      <c r="G117" t="s">
        <v>791</v>
      </c>
      <c r="H117">
        <f>H116/2</f>
        <v>37.9</v>
      </c>
      <c r="K117"/>
      <c r="P117" s="11"/>
      <c r="S117" s="11"/>
    </row>
    <row r="118" spans="7:23" x14ac:dyDescent="0.2">
      <c r="G118" t="s">
        <v>793</v>
      </c>
      <c r="H118">
        <v>1</v>
      </c>
      <c r="I118" t="s">
        <v>838</v>
      </c>
      <c r="K118"/>
      <c r="P118" s="11"/>
      <c r="S118" s="11"/>
    </row>
    <row r="119" spans="7:23" x14ac:dyDescent="0.2">
      <c r="G119" t="s">
        <v>794</v>
      </c>
      <c r="H119">
        <v>1</v>
      </c>
      <c r="I119" t="s">
        <v>798</v>
      </c>
      <c r="K119"/>
      <c r="S119" s="11"/>
    </row>
    <row r="120" spans="7:23" x14ac:dyDescent="0.2">
      <c r="G120" t="s">
        <v>795</v>
      </c>
      <c r="H120">
        <v>0.8</v>
      </c>
      <c r="I120" t="s">
        <v>799</v>
      </c>
      <c r="K120"/>
    </row>
    <row r="121" spans="7:23" x14ac:dyDescent="0.2">
      <c r="G121" t="s">
        <v>796</v>
      </c>
      <c r="H121">
        <v>1</v>
      </c>
      <c r="I121" t="s">
        <v>801</v>
      </c>
      <c r="K121"/>
    </row>
    <row r="122" spans="7:23" x14ac:dyDescent="0.2">
      <c r="G122" t="s">
        <v>792</v>
      </c>
      <c r="H122">
        <v>0.86799999999999999</v>
      </c>
      <c r="I122" t="s">
        <v>800</v>
      </c>
      <c r="K122"/>
    </row>
    <row r="123" spans="7:23" x14ac:dyDescent="0.2">
      <c r="H123"/>
      <c r="K123"/>
    </row>
    <row r="124" spans="7:23" x14ac:dyDescent="0.2">
      <c r="J124"/>
      <c r="K124"/>
    </row>
    <row r="125" spans="7:23" x14ac:dyDescent="0.2">
      <c r="J125"/>
      <c r="K125"/>
    </row>
    <row r="126" spans="7:23" x14ac:dyDescent="0.2">
      <c r="H126"/>
      <c r="J126"/>
      <c r="K126"/>
    </row>
    <row r="127" spans="7:23" x14ac:dyDescent="0.2">
      <c r="J127"/>
      <c r="K127"/>
    </row>
    <row r="128" spans="7:23" x14ac:dyDescent="0.2">
      <c r="I128" s="4"/>
      <c r="J128"/>
      <c r="K128"/>
    </row>
  </sheetData>
  <mergeCells count="3">
    <mergeCell ref="G1:K1"/>
    <mergeCell ref="M1:Q1"/>
    <mergeCell ref="T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1"/>
  <sheetViews>
    <sheetView topLeftCell="A5" workbookViewId="0">
      <selection activeCell="L24" sqref="L24"/>
    </sheetView>
  </sheetViews>
  <sheetFormatPr baseColWidth="10" defaultRowHeight="16" x14ac:dyDescent="0.2"/>
  <cols>
    <col min="1" max="1" width="14.5" customWidth="1"/>
    <col min="2" max="2" width="13.83203125" customWidth="1"/>
    <col min="9" max="9" width="17" customWidth="1"/>
    <col min="10" max="11" width="12.1640625" bestFit="1" customWidth="1"/>
  </cols>
  <sheetData>
    <row r="1" spans="1:16" x14ac:dyDescent="0.2">
      <c r="A1" t="s">
        <v>31</v>
      </c>
    </row>
    <row r="2" spans="1:16" x14ac:dyDescent="0.2">
      <c r="I2" t="s">
        <v>32</v>
      </c>
      <c r="P2" t="s">
        <v>769</v>
      </c>
    </row>
    <row r="3" spans="1:16" x14ac:dyDescent="0.2">
      <c r="A3" t="s">
        <v>9</v>
      </c>
      <c r="C3" t="s">
        <v>12</v>
      </c>
      <c r="I3" t="s">
        <v>739</v>
      </c>
      <c r="P3" s="4">
        <f>((C15/2*(C15*7))+((C15+(C16/2))*C16*J14))/((C15*7)+(C16*J14))</f>
        <v>63.654321250648024</v>
      </c>
    </row>
    <row r="4" spans="1:16" x14ac:dyDescent="0.2">
      <c r="A4" t="s">
        <v>10</v>
      </c>
      <c r="B4">
        <v>70</v>
      </c>
      <c r="C4">
        <f>-2.234+(0.106*B4)-(0.0008*B4^2)</f>
        <v>1.2659999999999996</v>
      </c>
      <c r="I4" t="s">
        <v>33</v>
      </c>
      <c r="J4">
        <v>68.900000000000006</v>
      </c>
    </row>
    <row r="5" spans="1:16" x14ac:dyDescent="0.2">
      <c r="A5" t="s">
        <v>11</v>
      </c>
      <c r="B5">
        <v>79</v>
      </c>
      <c r="C5">
        <f>-2.234+(0.106*B5)-(0.0008*B5^2)</f>
        <v>1.1472000000000007</v>
      </c>
      <c r="I5" t="s">
        <v>34</v>
      </c>
      <c r="J5">
        <f>J4*1000</f>
        <v>68900</v>
      </c>
    </row>
    <row r="6" spans="1:16" x14ac:dyDescent="0.2">
      <c r="B6" t="s">
        <v>16</v>
      </c>
      <c r="C6" s="4">
        <f>AVERAGE(C4:C5)</f>
        <v>1.2066000000000001</v>
      </c>
      <c r="I6" t="s">
        <v>35</v>
      </c>
      <c r="J6">
        <v>24.1</v>
      </c>
    </row>
    <row r="7" spans="1:16" x14ac:dyDescent="0.2">
      <c r="B7" t="s">
        <v>15</v>
      </c>
      <c r="C7">
        <f>C6/4*100</f>
        <v>30.165000000000003</v>
      </c>
      <c r="I7" t="s">
        <v>36</v>
      </c>
      <c r="J7">
        <v>75.8</v>
      </c>
    </row>
    <row r="8" spans="1:16" x14ac:dyDescent="0.2">
      <c r="I8" t="s">
        <v>760</v>
      </c>
      <c r="J8">
        <v>2710</v>
      </c>
    </row>
    <row r="9" spans="1:16" ht="51" x14ac:dyDescent="0.2">
      <c r="A9" s="1" t="s">
        <v>13</v>
      </c>
      <c r="B9">
        <v>106.6</v>
      </c>
    </row>
    <row r="10" spans="1:16" x14ac:dyDescent="0.2">
      <c r="A10" t="s">
        <v>14</v>
      </c>
      <c r="B10">
        <f>B9/(2*PI())</f>
        <v>16.965916933596041</v>
      </c>
    </row>
    <row r="12" spans="1:16" x14ac:dyDescent="0.2">
      <c r="B12" t="s">
        <v>746</v>
      </c>
      <c r="C12" t="s">
        <v>744</v>
      </c>
    </row>
    <row r="13" spans="1:16" x14ac:dyDescent="0.2">
      <c r="A13" t="s">
        <v>745</v>
      </c>
      <c r="B13">
        <f>C7-B10</f>
        <v>13.199083066403961</v>
      </c>
      <c r="C13">
        <f>B13*10</f>
        <v>131.99083066403961</v>
      </c>
      <c r="I13" t="s">
        <v>37</v>
      </c>
      <c r="J13" t="s">
        <v>41</v>
      </c>
    </row>
    <row r="14" spans="1:16" x14ac:dyDescent="0.2">
      <c r="A14" t="s">
        <v>740</v>
      </c>
      <c r="B14">
        <v>1</v>
      </c>
      <c r="C14">
        <f>B14*10</f>
        <v>10</v>
      </c>
      <c r="I14" t="s">
        <v>38</v>
      </c>
      <c r="J14">
        <v>9</v>
      </c>
    </row>
    <row r="15" spans="1:16" x14ac:dyDescent="0.2">
      <c r="A15" t="s">
        <v>741</v>
      </c>
      <c r="B15">
        <v>3</v>
      </c>
      <c r="C15">
        <f t="shared" ref="C15:C17" si="0">B15*10</f>
        <v>30</v>
      </c>
      <c r="I15" t="s">
        <v>39</v>
      </c>
      <c r="J15">
        <v>13</v>
      </c>
    </row>
    <row r="16" spans="1:16" x14ac:dyDescent="0.2">
      <c r="A16" t="s">
        <v>742</v>
      </c>
      <c r="B16">
        <f>B13-B15-B14</f>
        <v>9.1990830664039613</v>
      </c>
      <c r="C16">
        <f t="shared" si="0"/>
        <v>91.990830664039606</v>
      </c>
    </row>
    <row r="17" spans="1:12" x14ac:dyDescent="0.2">
      <c r="A17" t="s">
        <v>747</v>
      </c>
      <c r="B17">
        <v>0.8</v>
      </c>
      <c r="C17">
        <f t="shared" si="0"/>
        <v>8</v>
      </c>
    </row>
    <row r="19" spans="1:12" x14ac:dyDescent="0.2">
      <c r="A19" s="4" t="s">
        <v>18</v>
      </c>
      <c r="B19" s="4">
        <v>173.1</v>
      </c>
      <c r="I19" t="s">
        <v>40</v>
      </c>
      <c r="J19" s="4">
        <f>J15*(J14^3)/12</f>
        <v>789.75</v>
      </c>
      <c r="K19" t="s">
        <v>42</v>
      </c>
    </row>
    <row r="20" spans="1:12" x14ac:dyDescent="0.2">
      <c r="A20" t="s">
        <v>19</v>
      </c>
      <c r="B20">
        <f>0.245*B19</f>
        <v>42.409500000000001</v>
      </c>
    </row>
    <row r="21" spans="1:12" x14ac:dyDescent="0.2">
      <c r="A21" t="s">
        <v>20</v>
      </c>
      <c r="B21" s="3">
        <f>(7/8)*B20</f>
        <v>37.108312500000004</v>
      </c>
      <c r="C21" t="s">
        <v>45</v>
      </c>
      <c r="I21" t="s">
        <v>737</v>
      </c>
      <c r="J21" s="4">
        <f>J14*J15</f>
        <v>117</v>
      </c>
      <c r="K21" t="s">
        <v>738</v>
      </c>
    </row>
    <row r="22" spans="1:12" x14ac:dyDescent="0.2">
      <c r="A22" t="s">
        <v>21</v>
      </c>
      <c r="B22">
        <f>0.1*B19</f>
        <v>17.309999999999999</v>
      </c>
    </row>
    <row r="23" spans="1:12" x14ac:dyDescent="0.2">
      <c r="I23" t="s">
        <v>767</v>
      </c>
      <c r="J23">
        <f>J21*C16</f>
        <v>10762.927187692634</v>
      </c>
      <c r="K23" t="s">
        <v>766</v>
      </c>
    </row>
    <row r="24" spans="1:12" x14ac:dyDescent="0.2">
      <c r="J24">
        <f>J23*10^-9</f>
        <v>1.0762927187692635E-5</v>
      </c>
      <c r="K24" t="s">
        <v>759</v>
      </c>
      <c r="L24">
        <f>J23+J25</f>
        <v>11917.462487886884</v>
      </c>
    </row>
    <row r="25" spans="1:12" x14ac:dyDescent="0.2">
      <c r="I25" t="s">
        <v>768</v>
      </c>
      <c r="J25">
        <f>PI()*(3.5^2)*30</f>
        <v>1154.535300194249</v>
      </c>
      <c r="K25" t="s">
        <v>766</v>
      </c>
    </row>
    <row r="26" spans="1:12" x14ac:dyDescent="0.2">
      <c r="J26">
        <f>J25*10^-9</f>
        <v>1.1545353001942491E-6</v>
      </c>
      <c r="K26" t="s">
        <v>759</v>
      </c>
    </row>
    <row r="28" spans="1:12" x14ac:dyDescent="0.2">
      <c r="I28" t="s">
        <v>770</v>
      </c>
      <c r="J28">
        <f>J24+J26</f>
        <v>1.1917462487886885E-5</v>
      </c>
      <c r="K28" t="s">
        <v>759</v>
      </c>
    </row>
    <row r="30" spans="1:12" x14ac:dyDescent="0.2">
      <c r="I30" t="s">
        <v>771</v>
      </c>
      <c r="J30">
        <f>J28*J8</f>
        <v>3.2296323342173458E-2</v>
      </c>
    </row>
    <row r="31" spans="1:12" x14ac:dyDescent="0.2">
      <c r="I31" s="2" t="s">
        <v>772</v>
      </c>
      <c r="J31" s="2">
        <f>J30*9.81</f>
        <v>0.31682693198672163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E97D-F2EF-0546-A5B0-C289392FEC51}">
  <dimension ref="A1:X127"/>
  <sheetViews>
    <sheetView workbookViewId="0">
      <selection activeCell="B19" sqref="B19"/>
    </sheetView>
  </sheetViews>
  <sheetFormatPr baseColWidth="10" defaultRowHeight="16" x14ac:dyDescent="0.2"/>
  <cols>
    <col min="1" max="1" width="16.6640625" customWidth="1"/>
    <col min="2" max="2" width="13.33203125" customWidth="1"/>
    <col min="3" max="3" width="11.1640625" bestFit="1" customWidth="1"/>
  </cols>
  <sheetData>
    <row r="1" spans="1:24" ht="32" customHeight="1" x14ac:dyDescent="0.2">
      <c r="I1" t="s">
        <v>775</v>
      </c>
      <c r="M1" s="9" t="s">
        <v>780</v>
      </c>
      <c r="N1" s="9"/>
      <c r="O1" s="9"/>
      <c r="P1" s="9"/>
      <c r="Q1" s="9"/>
      <c r="S1" s="9" t="s">
        <v>781</v>
      </c>
      <c r="T1" s="9"/>
      <c r="U1" s="9"/>
      <c r="W1" s="10" t="s">
        <v>806</v>
      </c>
      <c r="X1" s="10"/>
    </row>
    <row r="2" spans="1:24" s="1" customFormat="1" ht="62" customHeight="1" x14ac:dyDescent="0.2">
      <c r="A2" s="5" t="s">
        <v>752</v>
      </c>
      <c r="B2" s="5" t="s">
        <v>755</v>
      </c>
      <c r="C2" s="1" t="s">
        <v>759</v>
      </c>
      <c r="E2" s="5" t="s">
        <v>774</v>
      </c>
      <c r="F2" s="5" t="s">
        <v>26</v>
      </c>
      <c r="G2" s="5" t="s">
        <v>27</v>
      </c>
      <c r="I2" s="5" t="s">
        <v>26</v>
      </c>
      <c r="J2" s="5" t="s">
        <v>27</v>
      </c>
      <c r="M2" s="1" t="s">
        <v>776</v>
      </c>
      <c r="N2" s="1" t="s">
        <v>777</v>
      </c>
      <c r="O2" s="1" t="s">
        <v>779</v>
      </c>
      <c r="P2" s="1" t="s">
        <v>788</v>
      </c>
      <c r="Q2" s="1" t="s">
        <v>778</v>
      </c>
      <c r="S2" s="1" t="s">
        <v>786</v>
      </c>
      <c r="T2" s="1" t="s">
        <v>787</v>
      </c>
      <c r="U2" s="1" t="s">
        <v>778</v>
      </c>
      <c r="W2" s="1" t="s">
        <v>807</v>
      </c>
      <c r="X2" s="1" t="s">
        <v>810</v>
      </c>
    </row>
    <row r="3" spans="1:24" x14ac:dyDescent="0.2">
      <c r="A3" t="s">
        <v>753</v>
      </c>
      <c r="B3">
        <v>508.52</v>
      </c>
      <c r="C3">
        <f>B3*10^(-9)</f>
        <v>5.0852E-7</v>
      </c>
      <c r="E3" cm="1">
        <f t="array" ref="E3:G108">spring_gait_parameters!X3:Z108</f>
        <v>65.541969080362463</v>
      </c>
      <c r="F3">
        <v>57.693780425242196</v>
      </c>
      <c r="G3">
        <v>31.099476059495434</v>
      </c>
      <c r="I3">
        <f>F3/2</f>
        <v>28.846890212621098</v>
      </c>
      <c r="J3">
        <f>G3/2</f>
        <v>15.549738029747717</v>
      </c>
      <c r="M3">
        <f>E3/2</f>
        <v>32.770984540181232</v>
      </c>
      <c r="N3">
        <f>-E3/2</f>
        <v>-32.770984540181232</v>
      </c>
      <c r="O3">
        <f>(4/3)*M3/$B$16</f>
        <v>2.2253500499447147</v>
      </c>
      <c r="P3">
        <f>(4/3)*N3/$B$16</f>
        <v>-2.2253500499447147</v>
      </c>
      <c r="Q3">
        <f>'lever arm selection'!$J$6/O3</f>
        <v>10.829756873800024</v>
      </c>
      <c r="S3">
        <f>E3*$B$18/4</f>
        <v>229.39689178126861</v>
      </c>
      <c r="T3">
        <f>32*S3/(PI()*($B$17^3))</f>
        <v>18.692940419535606</v>
      </c>
      <c r="U3">
        <f>'lever arm selection'!$J$6/pulley!T3</f>
        <v>1.2892567706904789</v>
      </c>
      <c r="W3">
        <f>(E3*$B$18^2)/(16*$B$19*$B$23)</f>
        <v>3.7982752666690633E-4</v>
      </c>
      <c r="X3">
        <f>(E3*$B$18^3)/(48*$B$19*$B$23)</f>
        <v>1.7725284577788966E-3</v>
      </c>
    </row>
    <row r="4" spans="1:24" x14ac:dyDescent="0.2">
      <c r="A4" t="s">
        <v>754</v>
      </c>
      <c r="B4">
        <f>PI()*(2.5^2)*14</f>
        <v>274.88935718910693</v>
      </c>
      <c r="C4">
        <f t="shared" ref="C4:C8" si="0">B4*10^(-9)</f>
        <v>2.7488935718910693E-7</v>
      </c>
      <c r="E4">
        <v>62.385318375480161</v>
      </c>
      <c r="F4">
        <v>54.502206824513401</v>
      </c>
      <c r="G4">
        <v>30.355187366708627</v>
      </c>
      <c r="I4">
        <f t="shared" ref="I4:I67" si="1">F4/2</f>
        <v>27.2511034122567</v>
      </c>
      <c r="J4">
        <f t="shared" ref="J4:J67" si="2">G4/2</f>
        <v>15.177593683354313</v>
      </c>
      <c r="M4">
        <f t="shared" ref="M4:M67" si="3">E4/2</f>
        <v>31.19265918774008</v>
      </c>
      <c r="N4">
        <f t="shared" ref="N4:N67" si="4">-E4/2</f>
        <v>-31.19265918774008</v>
      </c>
      <c r="O4">
        <f t="shared" ref="O4:O19" si="5">(4/3)*M4/$B$16</f>
        <v>2.1181721164414542</v>
      </c>
      <c r="P4">
        <f t="shared" ref="P4:P19" si="6">(4/3)*N4/$B$16</f>
        <v>-2.1181721164414542</v>
      </c>
      <c r="Q4">
        <f>'lever arm selection'!$J$6/O4</f>
        <v>11.377734515969454</v>
      </c>
      <c r="S4">
        <f t="shared" ref="S4:S67" si="7">E4*$B$18/4</f>
        <v>218.34861431418057</v>
      </c>
      <c r="T4">
        <f t="shared" ref="T4:T67" si="8">32*S4/(PI()*($B$17^3))</f>
        <v>17.79264577810822</v>
      </c>
      <c r="U4">
        <f>'lever arm selection'!$J$6/pulley!T4</f>
        <v>1.3544922042820775</v>
      </c>
      <c r="W4">
        <f t="shared" ref="W4:W67" si="9">(E4*$B$18^2)/(16*$B$19*$B$23)</f>
        <v>3.615341667540131E-4</v>
      </c>
      <c r="X4">
        <f t="shared" ref="X4:X67" si="10">(E4*$B$18^3)/(48*$B$19*$B$23)</f>
        <v>1.6871594448520614E-3</v>
      </c>
    </row>
    <row r="5" spans="1:24" x14ac:dyDescent="0.2">
      <c r="A5" t="s">
        <v>756</v>
      </c>
      <c r="B5">
        <f>2*386.72*2</f>
        <v>1546.88</v>
      </c>
      <c r="C5">
        <f t="shared" si="0"/>
        <v>1.5468800000000003E-6</v>
      </c>
      <c r="E5">
        <v>55.268397881743269</v>
      </c>
      <c r="F5">
        <v>47.978145553538674</v>
      </c>
      <c r="G5">
        <v>27.435257492105681</v>
      </c>
      <c r="I5">
        <f t="shared" si="1"/>
        <v>23.989072776769337</v>
      </c>
      <c r="J5">
        <f t="shared" si="2"/>
        <v>13.71762874605284</v>
      </c>
      <c r="M5">
        <f t="shared" si="3"/>
        <v>27.634198940871634</v>
      </c>
      <c r="N5">
        <f t="shared" si="4"/>
        <v>-27.634198940871634</v>
      </c>
      <c r="O5">
        <f t="shared" si="5"/>
        <v>1.87653092685847</v>
      </c>
      <c r="P5">
        <f t="shared" si="6"/>
        <v>-1.87653092685847</v>
      </c>
      <c r="Q5">
        <f>'lever arm selection'!$J$6/O5</f>
        <v>12.842847221466364</v>
      </c>
      <c r="S5">
        <f t="shared" si="7"/>
        <v>193.43939258610143</v>
      </c>
      <c r="T5">
        <f t="shared" si="8"/>
        <v>15.76285978561115</v>
      </c>
      <c r="U5">
        <f>'lever arm selection'!$J$6/pulley!T5</f>
        <v>1.5289103835079003</v>
      </c>
      <c r="W5">
        <f t="shared" si="9"/>
        <v>3.2029032946089415E-4</v>
      </c>
      <c r="X5">
        <f t="shared" si="10"/>
        <v>1.4946882041508396E-3</v>
      </c>
    </row>
    <row r="6" spans="1:24" x14ac:dyDescent="0.2">
      <c r="A6" t="s">
        <v>757</v>
      </c>
      <c r="B6">
        <v>1878.43</v>
      </c>
      <c r="C6">
        <f t="shared" si="0"/>
        <v>1.8784300000000003E-6</v>
      </c>
      <c r="E6">
        <v>51.264196306515046</v>
      </c>
      <c r="F6">
        <v>44.155414942975312</v>
      </c>
      <c r="G6">
        <v>26.044522536736643</v>
      </c>
      <c r="I6">
        <f t="shared" si="1"/>
        <v>22.077707471487656</v>
      </c>
      <c r="J6">
        <f t="shared" si="2"/>
        <v>13.022261268368322</v>
      </c>
      <c r="M6">
        <f t="shared" si="3"/>
        <v>25.632098153257523</v>
      </c>
      <c r="N6">
        <f t="shared" si="4"/>
        <v>-25.632098153257523</v>
      </c>
      <c r="O6">
        <f t="shared" si="5"/>
        <v>1.740576052440566</v>
      </c>
      <c r="P6">
        <f t="shared" si="6"/>
        <v>-1.740576052440566</v>
      </c>
      <c r="Q6">
        <f>'lever arm selection'!$J$6/O6</f>
        <v>13.845990794948573</v>
      </c>
      <c r="S6">
        <f t="shared" si="7"/>
        <v>179.42468707280267</v>
      </c>
      <c r="T6">
        <f t="shared" si="8"/>
        <v>14.620838840500756</v>
      </c>
      <c r="U6">
        <f>'lever arm selection'!$J$6/pulley!T6</f>
        <v>1.6483322374938776</v>
      </c>
      <c r="W6">
        <f t="shared" si="9"/>
        <v>2.9708525945865101E-4</v>
      </c>
      <c r="X6">
        <f t="shared" si="10"/>
        <v>1.386397877473705E-3</v>
      </c>
    </row>
    <row r="7" spans="1:24" x14ac:dyDescent="0.2">
      <c r="E7">
        <v>41.309748152624721</v>
      </c>
      <c r="F7">
        <v>35.221442798319238</v>
      </c>
      <c r="G7">
        <v>21.585765208535179</v>
      </c>
      <c r="I7">
        <f t="shared" si="1"/>
        <v>17.610721399159619</v>
      </c>
      <c r="J7">
        <f t="shared" si="2"/>
        <v>10.792882604267589</v>
      </c>
      <c r="M7">
        <f t="shared" si="3"/>
        <v>20.65487407631236</v>
      </c>
      <c r="N7">
        <f t="shared" si="4"/>
        <v>-20.65487407631236</v>
      </c>
      <c r="O7">
        <f t="shared" si="5"/>
        <v>1.40259213149259</v>
      </c>
      <c r="P7">
        <f t="shared" si="6"/>
        <v>-1.40259213149259</v>
      </c>
      <c r="Q7">
        <f>'lever arm selection'!$J$6/O7</f>
        <v>17.182471980898406</v>
      </c>
      <c r="S7">
        <f t="shared" si="7"/>
        <v>144.58411853418653</v>
      </c>
      <c r="T7">
        <f t="shared" si="8"/>
        <v>11.781773904537758</v>
      </c>
      <c r="U7">
        <f>'lever arm selection'!$J$6/pulley!T7</f>
        <v>2.0455323786783812</v>
      </c>
      <c r="W7">
        <f t="shared" si="9"/>
        <v>2.3939743782805311E-4</v>
      </c>
      <c r="X7">
        <f t="shared" si="10"/>
        <v>1.1171880431975812E-3</v>
      </c>
    </row>
    <row r="8" spans="1:24" x14ac:dyDescent="0.2">
      <c r="A8" t="s">
        <v>758</v>
      </c>
      <c r="B8">
        <f>SUM(B3:B6)</f>
        <v>4208.7193571891075</v>
      </c>
      <c r="C8">
        <f t="shared" si="0"/>
        <v>4.2087193571891076E-6</v>
      </c>
      <c r="E8">
        <v>37.779062485941182</v>
      </c>
      <c r="F8">
        <v>31.943591852084143</v>
      </c>
      <c r="G8">
        <v>20.1708825266549</v>
      </c>
      <c r="I8">
        <f t="shared" si="1"/>
        <v>15.971795926042072</v>
      </c>
      <c r="J8">
        <f t="shared" si="2"/>
        <v>10.08544126332745</v>
      </c>
      <c r="M8">
        <f t="shared" si="3"/>
        <v>18.889531242970591</v>
      </c>
      <c r="N8">
        <f t="shared" si="4"/>
        <v>-18.889531242970591</v>
      </c>
      <c r="O8">
        <f t="shared" si="5"/>
        <v>1.2827145685365602</v>
      </c>
      <c r="P8">
        <f t="shared" si="6"/>
        <v>-1.2827145685365602</v>
      </c>
      <c r="Q8">
        <f>'lever arm selection'!$J$6/O8</f>
        <v>18.788279630670694</v>
      </c>
      <c r="S8">
        <f t="shared" si="7"/>
        <v>132.22671870079415</v>
      </c>
      <c r="T8">
        <f t="shared" si="8"/>
        <v>10.774802375707109</v>
      </c>
      <c r="U8">
        <f>'lever arm selection'!$J$6/pulley!T8</f>
        <v>2.2366999560322247</v>
      </c>
      <c r="W8">
        <f t="shared" si="9"/>
        <v>2.1893647788084108E-4</v>
      </c>
      <c r="X8">
        <f t="shared" si="10"/>
        <v>1.0217035634439251E-3</v>
      </c>
    </row>
    <row r="9" spans="1:24" x14ac:dyDescent="0.2">
      <c r="E9">
        <v>30.959642372540927</v>
      </c>
      <c r="F9">
        <v>25.881832796723156</v>
      </c>
      <c r="G9">
        <v>16.989119662834124</v>
      </c>
      <c r="I9">
        <f t="shared" si="1"/>
        <v>12.940916398361578</v>
      </c>
      <c r="J9">
        <f t="shared" si="2"/>
        <v>8.4945598314170621</v>
      </c>
      <c r="M9">
        <f t="shared" si="3"/>
        <v>15.479821186270463</v>
      </c>
      <c r="N9">
        <f t="shared" si="4"/>
        <v>-15.479821186270463</v>
      </c>
      <c r="O9">
        <f t="shared" si="5"/>
        <v>1.0511744255887323</v>
      </c>
      <c r="P9">
        <f t="shared" si="6"/>
        <v>-1.0511744255887323</v>
      </c>
      <c r="Q9">
        <f>'lever arm selection'!$J$6/O9</f>
        <v>22.926737383762251</v>
      </c>
      <c r="S9">
        <f t="shared" si="7"/>
        <v>108.35874830389324</v>
      </c>
      <c r="T9">
        <f t="shared" si="8"/>
        <v>8.8298651749453523</v>
      </c>
      <c r="U9">
        <f>'lever arm selection'!$J$6/pulley!T9</f>
        <v>2.7293734980669346</v>
      </c>
      <c r="W9">
        <f t="shared" si="9"/>
        <v>1.7941670892486925E-4</v>
      </c>
      <c r="X9">
        <f t="shared" si="10"/>
        <v>8.3727797498272323E-4</v>
      </c>
    </row>
    <row r="10" spans="1:24" x14ac:dyDescent="0.2">
      <c r="E10">
        <v>21.797961314042183</v>
      </c>
      <c r="F10">
        <v>18.066966597327955</v>
      </c>
      <c r="G10">
        <v>12.195730212640637</v>
      </c>
      <c r="I10">
        <f t="shared" si="1"/>
        <v>9.0334832986639775</v>
      </c>
      <c r="J10">
        <f t="shared" si="2"/>
        <v>6.0978651063203184</v>
      </c>
      <c r="M10">
        <f t="shared" si="3"/>
        <v>10.898980657021092</v>
      </c>
      <c r="N10">
        <f t="shared" si="4"/>
        <v>-10.898980657021092</v>
      </c>
      <c r="O10">
        <f t="shared" si="5"/>
        <v>0.74010736905722019</v>
      </c>
      <c r="P10">
        <f t="shared" si="6"/>
        <v>-0.74010736905722019</v>
      </c>
      <c r="Q10">
        <f>'lever arm selection'!$J$6/O10</f>
        <v>32.562842916561678</v>
      </c>
      <c r="S10">
        <f t="shared" si="7"/>
        <v>76.292864599147634</v>
      </c>
      <c r="T10">
        <f t="shared" si="8"/>
        <v>6.21690190008065</v>
      </c>
      <c r="U10">
        <f>'lever arm selection'!$J$6/pulley!T10</f>
        <v>3.8765289186382947</v>
      </c>
      <c r="W10">
        <f t="shared" si="9"/>
        <v>1.2632311553139201E-4</v>
      </c>
      <c r="X10">
        <f t="shared" si="10"/>
        <v>5.8950787247982945E-4</v>
      </c>
    </row>
    <row r="11" spans="1:24" x14ac:dyDescent="0.2">
      <c r="A11" t="s">
        <v>761</v>
      </c>
      <c r="B11">
        <f>'lever arm selection'!J8*pulley!C8</f>
        <v>1.1405629457982482E-2</v>
      </c>
      <c r="E11">
        <v>18.978514477461164</v>
      </c>
      <c r="F11">
        <v>15.62819042197167</v>
      </c>
      <c r="G11">
        <v>10.767714516358426</v>
      </c>
      <c r="I11">
        <f t="shared" si="1"/>
        <v>7.814095210985835</v>
      </c>
      <c r="J11">
        <f t="shared" si="2"/>
        <v>5.383857258179213</v>
      </c>
      <c r="M11">
        <f t="shared" si="3"/>
        <v>9.4892572387305822</v>
      </c>
      <c r="N11">
        <f t="shared" si="4"/>
        <v>-9.4892572387305822</v>
      </c>
      <c r="O11">
        <f t="shared" si="5"/>
        <v>0.64437853688086255</v>
      </c>
      <c r="P11">
        <f t="shared" si="6"/>
        <v>-0.64437853688086255</v>
      </c>
      <c r="Q11">
        <f>'lever arm selection'!$J$6/O11</f>
        <v>37.400376674022873</v>
      </c>
      <c r="S11">
        <f t="shared" si="7"/>
        <v>66.42480067111407</v>
      </c>
      <c r="T11">
        <f t="shared" si="8"/>
        <v>5.4127797097992456</v>
      </c>
      <c r="U11">
        <f>'lever arm selection'!$J$6/pulley!T11</f>
        <v>4.4524257945265324</v>
      </c>
      <c r="W11">
        <f t="shared" si="9"/>
        <v>1.0998391282610949E-4</v>
      </c>
      <c r="X11">
        <f t="shared" si="10"/>
        <v>5.1325825985517768E-4</v>
      </c>
    </row>
    <row r="12" spans="1:24" x14ac:dyDescent="0.2">
      <c r="A12" s="2" t="s">
        <v>765</v>
      </c>
      <c r="B12" s="2">
        <f>B11*9.81</f>
        <v>0.11188922498280815</v>
      </c>
      <c r="E12">
        <v>19.101134830578239</v>
      </c>
      <c r="F12">
        <v>15.628264971687493</v>
      </c>
      <c r="G12">
        <v>10.982289642449558</v>
      </c>
      <c r="I12">
        <f t="shared" si="1"/>
        <v>7.8141324858437464</v>
      </c>
      <c r="J12">
        <f t="shared" si="2"/>
        <v>5.4911448212247791</v>
      </c>
      <c r="M12">
        <f t="shared" si="3"/>
        <v>9.5505674152891196</v>
      </c>
      <c r="N12">
        <f t="shared" si="4"/>
        <v>-9.5505674152891196</v>
      </c>
      <c r="O12">
        <f t="shared" si="5"/>
        <v>0.64854187241627714</v>
      </c>
      <c r="P12">
        <f t="shared" si="6"/>
        <v>-0.64854187241627714</v>
      </c>
      <c r="Q12">
        <f>'lever arm selection'!$J$6/O12</f>
        <v>37.160283745767188</v>
      </c>
      <c r="S12">
        <f t="shared" si="7"/>
        <v>66.853971907023833</v>
      </c>
      <c r="T12">
        <f t="shared" si="8"/>
        <v>5.4477517282967289</v>
      </c>
      <c r="U12">
        <f>'lever arm selection'!$J$6/pulley!T12</f>
        <v>4.4238433030675219</v>
      </c>
      <c r="W12">
        <f t="shared" si="9"/>
        <v>1.1069451987830797E-4</v>
      </c>
      <c r="X12">
        <f t="shared" si="10"/>
        <v>5.1657442609877064E-4</v>
      </c>
    </row>
    <row r="13" spans="1:24" x14ac:dyDescent="0.2">
      <c r="E13">
        <v>11.50195657824421</v>
      </c>
      <c r="F13">
        <v>9.3359389894029636</v>
      </c>
      <c r="G13">
        <v>6.7182771834720256</v>
      </c>
      <c r="I13">
        <f t="shared" si="1"/>
        <v>4.6679694947014818</v>
      </c>
      <c r="J13">
        <f t="shared" si="2"/>
        <v>3.3591385917360128</v>
      </c>
      <c r="M13">
        <f t="shared" si="3"/>
        <v>5.7509782891221048</v>
      </c>
      <c r="N13">
        <f t="shared" si="4"/>
        <v>-5.7509782891221048</v>
      </c>
      <c r="O13">
        <f t="shared" si="5"/>
        <v>0.3905265588599271</v>
      </c>
      <c r="P13">
        <f t="shared" si="6"/>
        <v>-0.3905265588599271</v>
      </c>
      <c r="Q13">
        <f>'lever arm selection'!$J$6/O13</f>
        <v>61.711551886139752</v>
      </c>
      <c r="S13">
        <f t="shared" si="7"/>
        <v>40.256848023854737</v>
      </c>
      <c r="T13">
        <f t="shared" si="8"/>
        <v>3.2804230944233885</v>
      </c>
      <c r="U13">
        <f>'lever arm selection'!$J$6/pulley!T13</f>
        <v>7.3466133197785402</v>
      </c>
      <c r="W13">
        <f t="shared" si="9"/>
        <v>6.6655911933131254E-5</v>
      </c>
      <c r="X13">
        <f t="shared" si="10"/>
        <v>3.1106092235461249E-4</v>
      </c>
    </row>
    <row r="14" spans="1:24" x14ac:dyDescent="0.2">
      <c r="E14">
        <v>9.9240868963138187</v>
      </c>
      <c r="F14">
        <v>8.0192386068108057</v>
      </c>
      <c r="G14">
        <v>5.8463076289759783</v>
      </c>
      <c r="I14">
        <f t="shared" si="1"/>
        <v>4.0096193034054028</v>
      </c>
      <c r="J14">
        <f t="shared" si="2"/>
        <v>2.9231538144879892</v>
      </c>
      <c r="M14">
        <f t="shared" si="3"/>
        <v>4.9620434481569093</v>
      </c>
      <c r="N14">
        <f t="shared" si="4"/>
        <v>-4.9620434481569093</v>
      </c>
      <c r="O14">
        <f t="shared" si="5"/>
        <v>0.33695306351399468</v>
      </c>
      <c r="P14">
        <f t="shared" si="6"/>
        <v>-0.33695306351399468</v>
      </c>
      <c r="Q14">
        <f>'lever arm selection'!$J$6/O14</f>
        <v>71.523314697505512</v>
      </c>
      <c r="S14">
        <f t="shared" si="7"/>
        <v>34.734304137098363</v>
      </c>
      <c r="T14">
        <f t="shared" si="8"/>
        <v>2.8304057335175554</v>
      </c>
      <c r="U14">
        <f>'lever arm selection'!$J$6/pulley!T14</f>
        <v>8.5146803211316069</v>
      </c>
      <c r="W14">
        <f t="shared" si="9"/>
        <v>5.7511872669442336E-5</v>
      </c>
      <c r="X14">
        <f t="shared" si="10"/>
        <v>2.6838873912406425E-4</v>
      </c>
    </row>
    <row r="15" spans="1:24" x14ac:dyDescent="0.2">
      <c r="A15" t="s">
        <v>782</v>
      </c>
      <c r="E15">
        <v>3.9881877293634362</v>
      </c>
      <c r="F15">
        <v>3.20542150548604</v>
      </c>
      <c r="G15">
        <v>2.3729547692302719</v>
      </c>
      <c r="I15">
        <f t="shared" si="1"/>
        <v>1.60271075274302</v>
      </c>
      <c r="J15">
        <f t="shared" si="2"/>
        <v>1.186477384615136</v>
      </c>
      <c r="M15">
        <f t="shared" si="3"/>
        <v>1.9940938646817181</v>
      </c>
      <c r="N15">
        <f t="shared" si="4"/>
        <v>-1.9940938646817181</v>
      </c>
      <c r="O15">
        <f t="shared" si="5"/>
        <v>0.1354111554360817</v>
      </c>
      <c r="P15">
        <f t="shared" si="6"/>
        <v>-0.1354111554360817</v>
      </c>
      <c r="Q15">
        <f>'lever arm selection'!$J$6/O15</f>
        <v>177.97647411240024</v>
      </c>
      <c r="S15">
        <f t="shared" si="7"/>
        <v>13.958657052772027</v>
      </c>
      <c r="T15">
        <f t="shared" si="8"/>
        <v>1.1374537056630865</v>
      </c>
      <c r="U15">
        <f>'lever arm selection'!$J$6/pulley!T15</f>
        <v>21.187675489571454</v>
      </c>
      <c r="W15">
        <f t="shared" si="9"/>
        <v>2.3112266878495223E-5</v>
      </c>
      <c r="X15">
        <f t="shared" si="10"/>
        <v>1.078572454329777E-4</v>
      </c>
    </row>
    <row r="16" spans="1:24" x14ac:dyDescent="0.2">
      <c r="A16" t="s">
        <v>737</v>
      </c>
      <c r="B16">
        <f>(2.5^2)*PI()</f>
        <v>19.634954084936208</v>
      </c>
      <c r="C16" t="s">
        <v>783</v>
      </c>
      <c r="E16">
        <v>4.8295937019557709</v>
      </c>
      <c r="F16">
        <v>3.8799345735612563</v>
      </c>
      <c r="G16">
        <v>2.8759490661092872</v>
      </c>
      <c r="I16">
        <f t="shared" si="1"/>
        <v>1.9399672867806281</v>
      </c>
      <c r="J16">
        <f t="shared" si="2"/>
        <v>1.4379745330546436</v>
      </c>
      <c r="M16">
        <f t="shared" si="3"/>
        <v>2.4147968509778854</v>
      </c>
      <c r="N16">
        <f t="shared" si="4"/>
        <v>-2.4147968509778854</v>
      </c>
      <c r="O16">
        <f t="shared" si="5"/>
        <v>0.16397945830223931</v>
      </c>
      <c r="P16">
        <f t="shared" si="6"/>
        <v>-0.16397945830223931</v>
      </c>
      <c r="Q16">
        <f>'lever arm selection'!$J$6/O16</f>
        <v>146.96962808341519</v>
      </c>
      <c r="S16">
        <f t="shared" si="7"/>
        <v>16.903577956845197</v>
      </c>
      <c r="T16">
        <f t="shared" si="8"/>
        <v>1.3774274497388104</v>
      </c>
      <c r="U16">
        <f>'lever arm selection'!$J$6/pulley!T16</f>
        <v>17.496384295644663</v>
      </c>
      <c r="W16">
        <f t="shared" si="9"/>
        <v>2.7988366177566537E-5</v>
      </c>
      <c r="X16">
        <f t="shared" si="10"/>
        <v>1.3061237549531052E-4</v>
      </c>
    </row>
    <row r="17" spans="1:24" x14ac:dyDescent="0.2">
      <c r="A17" t="s">
        <v>784</v>
      </c>
      <c r="B17">
        <v>5</v>
      </c>
      <c r="C17" t="s">
        <v>744</v>
      </c>
      <c r="E17">
        <v>1.0736840334604241</v>
      </c>
      <c r="F17">
        <v>0.86015567604541776</v>
      </c>
      <c r="G17">
        <v>0.64259599802262657</v>
      </c>
      <c r="I17">
        <f t="shared" si="1"/>
        <v>0.43007783802270888</v>
      </c>
      <c r="J17">
        <f t="shared" si="2"/>
        <v>0.32129799901131328</v>
      </c>
      <c r="M17">
        <f t="shared" si="3"/>
        <v>0.53684201673021203</v>
      </c>
      <c r="N17">
        <f t="shared" si="4"/>
        <v>-0.53684201673021203</v>
      </c>
      <c r="O17">
        <f t="shared" si="5"/>
        <v>3.6454852532068358E-2</v>
      </c>
      <c r="P17">
        <f t="shared" si="6"/>
        <v>-3.6454852532068358E-2</v>
      </c>
      <c r="Q17">
        <f>'lever arm selection'!$J$6/O17</f>
        <v>661.09168810379572</v>
      </c>
      <c r="S17">
        <f t="shared" si="7"/>
        <v>3.7578941171114844</v>
      </c>
      <c r="T17">
        <f t="shared" si="8"/>
        <v>0.30622076126937425</v>
      </c>
      <c r="U17">
        <f>'lever arm selection'!$J$6/pulley!T17</f>
        <v>78.701391440928049</v>
      </c>
      <c r="W17">
        <f t="shared" si="9"/>
        <v>6.2221925366781417E-6</v>
      </c>
      <c r="X17">
        <f t="shared" si="10"/>
        <v>2.9036898504497995E-5</v>
      </c>
    </row>
    <row r="18" spans="1:24" x14ac:dyDescent="0.2">
      <c r="A18" t="s">
        <v>785</v>
      </c>
      <c r="B18">
        <v>14</v>
      </c>
      <c r="C18" t="s">
        <v>744</v>
      </c>
      <c r="E18">
        <v>0.95207687995124524</v>
      </c>
      <c r="F18">
        <v>0.76165873762012304</v>
      </c>
      <c r="G18">
        <v>0.57124981640663874</v>
      </c>
      <c r="I18">
        <f t="shared" si="1"/>
        <v>0.38082936881006152</v>
      </c>
      <c r="J18">
        <f t="shared" si="2"/>
        <v>0.28562490820331937</v>
      </c>
      <c r="M18">
        <f t="shared" si="3"/>
        <v>0.47603843997562262</v>
      </c>
      <c r="N18">
        <f t="shared" si="4"/>
        <v>-0.47603843997562262</v>
      </c>
      <c r="O18">
        <f t="shared" si="5"/>
        <v>3.2325918218186603E-2</v>
      </c>
      <c r="P18">
        <f t="shared" si="6"/>
        <v>-3.2325918218186603E-2</v>
      </c>
      <c r="Q18">
        <f>'lever arm selection'!$J$6/O18</f>
        <v>745.53180012814948</v>
      </c>
      <c r="S18">
        <f t="shared" si="7"/>
        <v>3.3322690798293584</v>
      </c>
      <c r="T18">
        <f t="shared" si="8"/>
        <v>0.27153771303276752</v>
      </c>
      <c r="U18">
        <f>'lever arm selection'!$J$6/pulley!T18</f>
        <v>88.75378572954159</v>
      </c>
      <c r="W18">
        <f t="shared" si="9"/>
        <v>5.5174571588661021E-6</v>
      </c>
      <c r="X18">
        <f t="shared" si="10"/>
        <v>2.574813340804181E-5</v>
      </c>
    </row>
    <row r="19" spans="1:24" x14ac:dyDescent="0.2">
      <c r="A19" t="s">
        <v>808</v>
      </c>
      <c r="B19">
        <f>(PI()*B17^4)/64</f>
        <v>30.679615757712824</v>
      </c>
      <c r="C19" t="s">
        <v>809</v>
      </c>
      <c r="E19">
        <v>3.6289352328070061E-2</v>
      </c>
      <c r="F19">
        <v>2.9021041829615863E-2</v>
      </c>
      <c r="G19">
        <v>2.1787524492573502E-2</v>
      </c>
      <c r="I19">
        <f t="shared" si="1"/>
        <v>1.4510520914807932E-2</v>
      </c>
      <c r="J19">
        <f t="shared" si="2"/>
        <v>1.0893762246286751E-2</v>
      </c>
      <c r="M19">
        <f t="shared" si="3"/>
        <v>1.8144676164035031E-2</v>
      </c>
      <c r="N19">
        <f t="shared" si="4"/>
        <v>-1.8144676164035031E-2</v>
      </c>
      <c r="O19">
        <f t="shared" si="5"/>
        <v>1.2321343583180224E-3</v>
      </c>
      <c r="P19">
        <f t="shared" si="6"/>
        <v>-1.2321343583180224E-3</v>
      </c>
      <c r="Q19">
        <f>'lever arm selection'!$J$6/O19</f>
        <v>19559.55520378373</v>
      </c>
      <c r="S19">
        <f t="shared" si="7"/>
        <v>0.12701273314824521</v>
      </c>
      <c r="T19">
        <f t="shared" si="8"/>
        <v>1.0349928609871389E-2</v>
      </c>
      <c r="U19">
        <f>'lever arm selection'!$J$6/pulley!T19</f>
        <v>2328.5184766409202</v>
      </c>
      <c r="W19">
        <f t="shared" si="9"/>
        <v>2.1030333895239393E-7</v>
      </c>
      <c r="X19">
        <f t="shared" si="10"/>
        <v>9.8141558177783853E-7</v>
      </c>
    </row>
    <row r="20" spans="1:24" x14ac:dyDescent="0.2">
      <c r="E20">
        <v>0</v>
      </c>
      <c r="F20">
        <v>0</v>
      </c>
      <c r="G20">
        <v>0</v>
      </c>
      <c r="I20">
        <f t="shared" si="1"/>
        <v>0</v>
      </c>
      <c r="J20">
        <f t="shared" si="2"/>
        <v>0</v>
      </c>
      <c r="M20">
        <f t="shared" si="3"/>
        <v>0</v>
      </c>
      <c r="N20">
        <f t="shared" si="4"/>
        <v>0</v>
      </c>
      <c r="O20">
        <f t="shared" ref="O20:O67" si="11">(4/3)*M20/$B$16</f>
        <v>0</v>
      </c>
      <c r="P20">
        <f t="shared" ref="P20:P67" si="12">(4/3)*N20/$B$16</f>
        <v>0</v>
      </c>
      <c r="S20">
        <f t="shared" si="7"/>
        <v>0</v>
      </c>
      <c r="T20">
        <f t="shared" si="8"/>
        <v>0</v>
      </c>
      <c r="W20">
        <f t="shared" si="9"/>
        <v>0</v>
      </c>
      <c r="X20">
        <f t="shared" si="10"/>
        <v>0</v>
      </c>
    </row>
    <row r="21" spans="1:24" x14ac:dyDescent="0.2">
      <c r="E21">
        <v>2.9170110940488385</v>
      </c>
      <c r="F21">
        <v>2.3386406946381624</v>
      </c>
      <c r="G21">
        <v>1.7434773942286532</v>
      </c>
      <c r="I21">
        <f t="shared" si="1"/>
        <v>1.1693203473190812</v>
      </c>
      <c r="J21">
        <f t="shared" si="2"/>
        <v>0.87173869711432661</v>
      </c>
      <c r="M21">
        <f t="shared" si="3"/>
        <v>1.4585055470244193</v>
      </c>
      <c r="N21">
        <f t="shared" si="4"/>
        <v>-1.4585055470244193</v>
      </c>
      <c r="O21">
        <f t="shared" si="11"/>
        <v>9.9041436729977644E-2</v>
      </c>
      <c r="P21">
        <f t="shared" si="12"/>
        <v>-9.9041436729977644E-2</v>
      </c>
      <c r="Q21">
        <f>'lever arm selection'!$J$6/O21</f>
        <v>243.33249593001378</v>
      </c>
      <c r="S21">
        <f t="shared" si="7"/>
        <v>10.209538829170935</v>
      </c>
      <c r="T21">
        <f t="shared" si="8"/>
        <v>0.83194806853181236</v>
      </c>
      <c r="U21">
        <f>'lever arm selection'!$J$6/pulley!T21</f>
        <v>28.968154277382588</v>
      </c>
      <c r="W21">
        <f t="shared" si="9"/>
        <v>1.6904605166103586E-5</v>
      </c>
      <c r="X21">
        <f t="shared" si="10"/>
        <v>7.8888157441816739E-5</v>
      </c>
    </row>
    <row r="22" spans="1:24" x14ac:dyDescent="0.2">
      <c r="E22">
        <v>1.2936402361095873</v>
      </c>
      <c r="F22">
        <v>1.0386573487006348</v>
      </c>
      <c r="G22">
        <v>0.77116533407035159</v>
      </c>
      <c r="I22">
        <f t="shared" si="1"/>
        <v>0.51932867435031738</v>
      </c>
      <c r="J22">
        <f t="shared" si="2"/>
        <v>0.3855826670351758</v>
      </c>
      <c r="M22">
        <f t="shared" si="3"/>
        <v>0.64682011805479367</v>
      </c>
      <c r="N22">
        <f t="shared" si="4"/>
        <v>-0.64682011805479367</v>
      </c>
      <c r="O22">
        <f t="shared" si="11"/>
        <v>4.3923037474006915E-2</v>
      </c>
      <c r="P22">
        <f t="shared" si="12"/>
        <v>-4.3923037474006915E-2</v>
      </c>
      <c r="Q22">
        <f>'lever arm selection'!$J$6/O22</f>
        <v>548.68700768388499</v>
      </c>
      <c r="S22">
        <f t="shared" si="7"/>
        <v>4.5277408263835559</v>
      </c>
      <c r="T22">
        <f t="shared" si="8"/>
        <v>0.36895351478165817</v>
      </c>
      <c r="U22">
        <f>'lever arm selection'!$J$6/pulley!T22</f>
        <v>65.319881867129155</v>
      </c>
      <c r="W22">
        <f t="shared" si="9"/>
        <v>7.4968783845329655E-6</v>
      </c>
      <c r="X22">
        <f t="shared" si="10"/>
        <v>3.498543246115384E-5</v>
      </c>
    </row>
    <row r="23" spans="1:24" x14ac:dyDescent="0.2">
      <c r="A23" t="s">
        <v>34</v>
      </c>
      <c r="B23">
        <f>'lever arm selection'!J5</f>
        <v>68900</v>
      </c>
      <c r="E23">
        <v>2.5534517718666225</v>
      </c>
      <c r="F23">
        <v>2.0567765961163107</v>
      </c>
      <c r="G23">
        <v>1.5132038808161301</v>
      </c>
      <c r="I23">
        <f t="shared" si="1"/>
        <v>1.0283882980581553</v>
      </c>
      <c r="J23">
        <f t="shared" si="2"/>
        <v>0.75660194040806505</v>
      </c>
      <c r="M23">
        <f t="shared" si="3"/>
        <v>1.2767258859333113</v>
      </c>
      <c r="N23">
        <f t="shared" si="4"/>
        <v>-1.2767258859333113</v>
      </c>
      <c r="O23">
        <f t="shared" si="11"/>
        <v>8.6697487240390739E-2</v>
      </c>
      <c r="P23">
        <f t="shared" si="12"/>
        <v>-8.6697487240390739E-2</v>
      </c>
      <c r="Q23">
        <f>'lever arm selection'!$J$6/O23</f>
        <v>277.97806795918603</v>
      </c>
      <c r="S23">
        <f t="shared" si="7"/>
        <v>8.9370812015331786</v>
      </c>
      <c r="T23">
        <f t="shared" si="8"/>
        <v>0.72825889281928236</v>
      </c>
      <c r="U23">
        <f>'lever arm selection'!$J$6/pulley!T23</f>
        <v>33.092627137998335</v>
      </c>
      <c r="W23">
        <f t="shared" si="9"/>
        <v>1.479771335191575E-5</v>
      </c>
      <c r="X23">
        <f t="shared" si="10"/>
        <v>6.905599564227351E-5</v>
      </c>
    </row>
    <row r="24" spans="1:24" x14ac:dyDescent="0.2">
      <c r="E24">
        <v>5.6497276364250011</v>
      </c>
      <c r="F24">
        <v>4.5681392057255401</v>
      </c>
      <c r="G24">
        <v>3.3243836365404125</v>
      </c>
      <c r="I24">
        <f t="shared" si="1"/>
        <v>2.2840696028627701</v>
      </c>
      <c r="J24">
        <f t="shared" si="2"/>
        <v>1.6621918182702062</v>
      </c>
      <c r="M24">
        <f t="shared" si="3"/>
        <v>2.8248638182125005</v>
      </c>
      <c r="N24">
        <f t="shared" si="4"/>
        <v>-2.8248638182125005</v>
      </c>
      <c r="O24">
        <f t="shared" si="11"/>
        <v>0.19182551049811827</v>
      </c>
      <c r="P24">
        <f t="shared" si="12"/>
        <v>-0.19182551049811827</v>
      </c>
      <c r="Q24">
        <f>'lever arm selection'!$J$6/O24</f>
        <v>125.63501036655087</v>
      </c>
      <c r="S24">
        <f t="shared" si="7"/>
        <v>19.774046727487505</v>
      </c>
      <c r="T24">
        <f t="shared" si="8"/>
        <v>1.6113342881841937</v>
      </c>
      <c r="U24">
        <f>'lever arm selection'!$J$6/pulley!T24</f>
        <v>14.956548853160816</v>
      </c>
      <c r="W24">
        <f t="shared" si="9"/>
        <v>3.2741190180810902E-5</v>
      </c>
      <c r="X24">
        <f t="shared" si="10"/>
        <v>1.5279222084378422E-4</v>
      </c>
    </row>
    <row r="25" spans="1:24" x14ac:dyDescent="0.2">
      <c r="E25">
        <v>7.8947065106517931</v>
      </c>
      <c r="F25">
        <v>6.4053098021328978</v>
      </c>
      <c r="G25">
        <v>4.6150186595536136</v>
      </c>
      <c r="I25">
        <f t="shared" si="1"/>
        <v>3.2026549010664489</v>
      </c>
      <c r="J25">
        <f t="shared" si="2"/>
        <v>2.3075093297768068</v>
      </c>
      <c r="M25">
        <f t="shared" si="3"/>
        <v>3.9473532553258965</v>
      </c>
      <c r="N25">
        <f t="shared" si="4"/>
        <v>-3.9473532553258965</v>
      </c>
      <c r="O25">
        <f t="shared" si="11"/>
        <v>0.26804940062506699</v>
      </c>
      <c r="P25">
        <f t="shared" si="12"/>
        <v>-0.26804940062506699</v>
      </c>
      <c r="Q25">
        <f>'lever arm selection'!$J$6/O25</f>
        <v>89.908800183104233</v>
      </c>
      <c r="S25">
        <f t="shared" si="7"/>
        <v>27.631472787281275</v>
      </c>
      <c r="T25">
        <f t="shared" si="8"/>
        <v>2.2516149652505635</v>
      </c>
      <c r="U25">
        <f>'lever arm selection'!$J$6/pulley!T25</f>
        <v>10.70342859322669</v>
      </c>
      <c r="W25">
        <f t="shared" si="9"/>
        <v>4.5751247479692138E-5</v>
      </c>
      <c r="X25">
        <f t="shared" si="10"/>
        <v>2.1350582157189665E-4</v>
      </c>
    </row>
    <row r="26" spans="1:24" x14ac:dyDescent="0.2">
      <c r="E26">
        <v>11.75242758186744</v>
      </c>
      <c r="F26">
        <v>9.5529219617404841</v>
      </c>
      <c r="G26">
        <v>6.8455267189555924</v>
      </c>
      <c r="I26">
        <f t="shared" si="1"/>
        <v>4.7764609808702421</v>
      </c>
      <c r="J26">
        <f t="shared" si="2"/>
        <v>3.4227633594777962</v>
      </c>
      <c r="M26">
        <f t="shared" si="3"/>
        <v>5.8762137909337202</v>
      </c>
      <c r="N26">
        <f t="shared" si="4"/>
        <v>-5.8762137909337202</v>
      </c>
      <c r="O26">
        <f t="shared" si="11"/>
        <v>0.3990308145031965</v>
      </c>
      <c r="P26">
        <f t="shared" si="12"/>
        <v>-0.3990308145031965</v>
      </c>
      <c r="Q26">
        <f>'lever arm selection'!$J$6/O26</f>
        <v>60.396338137457164</v>
      </c>
      <c r="S26">
        <f t="shared" si="7"/>
        <v>41.133496536536043</v>
      </c>
      <c r="T26">
        <f t="shared" si="8"/>
        <v>3.3518588418268509</v>
      </c>
      <c r="U26">
        <f>'lever arm selection'!$J$6/pulley!T26</f>
        <v>7.190040254459185</v>
      </c>
      <c r="W26">
        <f t="shared" si="9"/>
        <v>6.8107436553811198E-5</v>
      </c>
      <c r="X26">
        <f t="shared" si="10"/>
        <v>3.1783470391778552E-4</v>
      </c>
    </row>
    <row r="27" spans="1:24" x14ac:dyDescent="0.2">
      <c r="E27">
        <v>10.410540145249325</v>
      </c>
      <c r="F27">
        <v>8.4810463062964274</v>
      </c>
      <c r="G27">
        <v>6.0374828915951024</v>
      </c>
      <c r="I27">
        <f t="shared" si="1"/>
        <v>4.2405231531482137</v>
      </c>
      <c r="J27">
        <f t="shared" si="2"/>
        <v>3.0187414457975512</v>
      </c>
      <c r="M27">
        <f t="shared" si="3"/>
        <v>5.2052700726246623</v>
      </c>
      <c r="N27">
        <f t="shared" si="4"/>
        <v>-5.2052700726246623</v>
      </c>
      <c r="O27">
        <f t="shared" si="11"/>
        <v>0.35346963719958358</v>
      </c>
      <c r="P27">
        <f t="shared" si="12"/>
        <v>-0.35346963719958358</v>
      </c>
      <c r="Q27">
        <f>'lever arm selection'!$J$6/O27</f>
        <v>68.181245186816838</v>
      </c>
      <c r="S27">
        <f t="shared" si="7"/>
        <v>36.436890508372635</v>
      </c>
      <c r="T27">
        <f t="shared" si="8"/>
        <v>2.9691449524765021</v>
      </c>
      <c r="U27">
        <f>'lever arm selection'!$J$6/pulley!T27</f>
        <v>8.1168149031924806</v>
      </c>
      <c r="W27">
        <f t="shared" si="9"/>
        <v>6.0330956944370147E-5</v>
      </c>
      <c r="X27">
        <f t="shared" si="10"/>
        <v>2.8154446574039406E-4</v>
      </c>
    </row>
    <row r="28" spans="1:24" x14ac:dyDescent="0.2">
      <c r="E28">
        <v>8.8498812555066522</v>
      </c>
      <c r="F28">
        <v>7.2162774709585502</v>
      </c>
      <c r="G28">
        <v>5.1230594080787375</v>
      </c>
      <c r="I28">
        <f t="shared" si="1"/>
        <v>3.6081387354792751</v>
      </c>
      <c r="J28">
        <f t="shared" si="2"/>
        <v>2.5615297040393687</v>
      </c>
      <c r="M28">
        <f t="shared" si="3"/>
        <v>4.4249406277533261</v>
      </c>
      <c r="N28">
        <f t="shared" si="4"/>
        <v>-4.4249406277533261</v>
      </c>
      <c r="O28">
        <f t="shared" si="11"/>
        <v>0.30048050081924105</v>
      </c>
      <c r="P28">
        <f t="shared" si="12"/>
        <v>-0.30048050081924105</v>
      </c>
      <c r="Q28">
        <f>'lever arm selection'!$J$6/O28</f>
        <v>80.204871644891696</v>
      </c>
      <c r="S28">
        <f t="shared" si="7"/>
        <v>30.974584394273283</v>
      </c>
      <c r="T28">
        <f t="shared" si="8"/>
        <v>2.5240362068816253</v>
      </c>
      <c r="U28">
        <f>'lever arm selection'!$J$6/pulley!T28</f>
        <v>9.548199005344248</v>
      </c>
      <c r="W28">
        <f t="shared" si="9"/>
        <v>5.1286657324154935E-5</v>
      </c>
      <c r="X28">
        <f t="shared" si="10"/>
        <v>2.393377341793897E-4</v>
      </c>
    </row>
    <row r="29" spans="1:24" x14ac:dyDescent="0.2">
      <c r="E29">
        <v>12.575319521558241</v>
      </c>
      <c r="F29">
        <v>10.264830512664734</v>
      </c>
      <c r="G29">
        <v>7.2644280996889785</v>
      </c>
      <c r="I29">
        <f t="shared" si="1"/>
        <v>5.1324152563323668</v>
      </c>
      <c r="J29">
        <f t="shared" si="2"/>
        <v>3.6322140498444893</v>
      </c>
      <c r="M29">
        <f t="shared" si="3"/>
        <v>6.2876597607791203</v>
      </c>
      <c r="N29">
        <f t="shared" si="4"/>
        <v>-6.2876597607791203</v>
      </c>
      <c r="O29">
        <f t="shared" si="11"/>
        <v>0.42697050940074716</v>
      </c>
      <c r="P29">
        <f t="shared" si="12"/>
        <v>-0.42697050940074716</v>
      </c>
      <c r="Q29">
        <f>'lever arm selection'!$J$6/O29</f>
        <v>56.444179327102326</v>
      </c>
      <c r="S29">
        <f t="shared" si="7"/>
        <v>44.013618325453841</v>
      </c>
      <c r="T29">
        <f t="shared" si="8"/>
        <v>3.5865522789662765</v>
      </c>
      <c r="U29">
        <f>'lever arm selection'!$J$6/pulley!T29</f>
        <v>6.7195451579883709</v>
      </c>
      <c r="W29">
        <f t="shared" si="9"/>
        <v>7.287624369452521E-5</v>
      </c>
      <c r="X29">
        <f t="shared" si="10"/>
        <v>3.4008913724111763E-4</v>
      </c>
    </row>
    <row r="30" spans="1:24" x14ac:dyDescent="0.2">
      <c r="E30">
        <v>8.562785909386065</v>
      </c>
      <c r="F30">
        <v>6.9723602497050781</v>
      </c>
      <c r="G30">
        <v>4.9706634444823443</v>
      </c>
      <c r="I30">
        <f t="shared" si="1"/>
        <v>3.486180124852539</v>
      </c>
      <c r="J30">
        <f t="shared" si="2"/>
        <v>2.4853317222411722</v>
      </c>
      <c r="M30">
        <f t="shared" si="3"/>
        <v>4.2813929546930325</v>
      </c>
      <c r="N30">
        <f t="shared" si="4"/>
        <v>-4.2813929546930325</v>
      </c>
      <c r="O30">
        <f t="shared" si="11"/>
        <v>0.29073273687817008</v>
      </c>
      <c r="P30">
        <f t="shared" si="12"/>
        <v>-0.29073273687817008</v>
      </c>
      <c r="Q30">
        <f>'lever arm selection'!$J$6/O30</f>
        <v>82.894001751508881</v>
      </c>
      <c r="S30">
        <f t="shared" si="7"/>
        <v>29.969750682851227</v>
      </c>
      <c r="T30">
        <f t="shared" si="8"/>
        <v>2.442154989776629</v>
      </c>
      <c r="U30">
        <f>'lever arm selection'!$J$6/pulley!T30</f>
        <v>9.8683335418462939</v>
      </c>
      <c r="W30">
        <f t="shared" si="9"/>
        <v>4.9622888036099863E-5</v>
      </c>
      <c r="X30">
        <f t="shared" si="10"/>
        <v>2.3157347750179939E-4</v>
      </c>
    </row>
    <row r="31" spans="1:24" x14ac:dyDescent="0.2">
      <c r="E31">
        <v>11.78295918293116</v>
      </c>
      <c r="F31">
        <v>9.6219742341221917</v>
      </c>
      <c r="G31">
        <v>6.8011571768714774</v>
      </c>
      <c r="I31">
        <f t="shared" si="1"/>
        <v>4.8109871170610958</v>
      </c>
      <c r="J31">
        <f t="shared" si="2"/>
        <v>3.4005785884357387</v>
      </c>
      <c r="M31">
        <f t="shared" si="3"/>
        <v>5.89147959146558</v>
      </c>
      <c r="N31">
        <f t="shared" si="4"/>
        <v>-5.89147959146558</v>
      </c>
      <c r="O31">
        <f t="shared" si="11"/>
        <v>0.40006745561888729</v>
      </c>
      <c r="P31">
        <f t="shared" si="12"/>
        <v>-0.40006745561888729</v>
      </c>
      <c r="Q31">
        <f>'lever arm selection'!$J$6/O31</f>
        <v>60.239841210573672</v>
      </c>
      <c r="S31">
        <f t="shared" si="7"/>
        <v>41.240357140259057</v>
      </c>
      <c r="T31">
        <f t="shared" si="8"/>
        <v>3.3605666271986538</v>
      </c>
      <c r="U31">
        <f>'lever arm selection'!$J$6/pulley!T31</f>
        <v>7.1714096679254364</v>
      </c>
      <c r="W31">
        <f t="shared" si="9"/>
        <v>6.8284372686184538E-5</v>
      </c>
      <c r="X31">
        <f t="shared" si="10"/>
        <v>3.1866040586886121E-4</v>
      </c>
    </row>
    <row r="32" spans="1:24" x14ac:dyDescent="0.2">
      <c r="E32">
        <v>11.171130203291627</v>
      </c>
      <c r="F32">
        <v>9.133253737048344</v>
      </c>
      <c r="G32">
        <v>6.4325598476490615</v>
      </c>
      <c r="I32">
        <f t="shared" si="1"/>
        <v>4.566626868524172</v>
      </c>
      <c r="J32">
        <f t="shared" si="2"/>
        <v>3.2162799238245308</v>
      </c>
      <c r="M32">
        <f t="shared" si="3"/>
        <v>5.5855651016458134</v>
      </c>
      <c r="N32">
        <f t="shared" si="4"/>
        <v>-5.5855651016458134</v>
      </c>
      <c r="O32">
        <f t="shared" si="11"/>
        <v>0.37929399291243349</v>
      </c>
      <c r="P32">
        <f t="shared" si="12"/>
        <v>-0.37929399291243349</v>
      </c>
      <c r="Q32">
        <f>'lever arm selection'!$J$6/O32</f>
        <v>63.539102781319023</v>
      </c>
      <c r="S32">
        <f t="shared" si="7"/>
        <v>39.098955711520695</v>
      </c>
      <c r="T32">
        <f t="shared" si="8"/>
        <v>3.1860695404644419</v>
      </c>
      <c r="U32">
        <f>'lever arm selection'!$J$6/pulley!T32</f>
        <v>7.5641789025379778</v>
      </c>
      <c r="W32">
        <f t="shared" si="9"/>
        <v>6.4738713449204895E-5</v>
      </c>
      <c r="X32">
        <f t="shared" si="10"/>
        <v>3.0211399609628961E-4</v>
      </c>
    </row>
    <row r="33" spans="5:24" x14ac:dyDescent="0.2">
      <c r="E33">
        <v>12.776549172846771</v>
      </c>
      <c r="F33">
        <v>10.478182997503573</v>
      </c>
      <c r="G33">
        <v>7.3108063739233664</v>
      </c>
      <c r="I33">
        <f t="shared" si="1"/>
        <v>5.2390914987517867</v>
      </c>
      <c r="J33">
        <f t="shared" si="2"/>
        <v>3.6554031869616832</v>
      </c>
      <c r="M33">
        <f t="shared" si="3"/>
        <v>6.3882745864233854</v>
      </c>
      <c r="N33">
        <f t="shared" si="4"/>
        <v>-6.3882745864233854</v>
      </c>
      <c r="O33">
        <f t="shared" si="11"/>
        <v>0.43380287072324913</v>
      </c>
      <c r="P33">
        <f t="shared" si="12"/>
        <v>-0.43380287072324913</v>
      </c>
      <c r="Q33">
        <f>'lever arm selection'!$J$6/O33</f>
        <v>55.555187912472228</v>
      </c>
      <c r="S33">
        <f t="shared" si="7"/>
        <v>44.717922104963698</v>
      </c>
      <c r="T33">
        <f t="shared" si="8"/>
        <v>3.6439441140752931</v>
      </c>
      <c r="U33">
        <f>'lever arm selection'!$J$6/pulley!T33</f>
        <v>6.6137128467228834</v>
      </c>
      <c r="W33">
        <f t="shared" si="9"/>
        <v>7.4042405801239624E-5</v>
      </c>
      <c r="X33">
        <f t="shared" si="10"/>
        <v>3.455312270724516E-4</v>
      </c>
    </row>
    <row r="34" spans="5:24" x14ac:dyDescent="0.2">
      <c r="E34">
        <v>15.305473295409515</v>
      </c>
      <c r="F34">
        <v>12.59339768351556</v>
      </c>
      <c r="G34">
        <v>8.6984968575794017</v>
      </c>
      <c r="I34">
        <f t="shared" si="1"/>
        <v>6.2966988417577801</v>
      </c>
      <c r="J34">
        <f t="shared" si="2"/>
        <v>4.3492484287897009</v>
      </c>
      <c r="M34">
        <f t="shared" si="3"/>
        <v>7.6527366477047574</v>
      </c>
      <c r="N34">
        <f t="shared" si="4"/>
        <v>-7.6527366477047574</v>
      </c>
      <c r="O34">
        <f t="shared" si="11"/>
        <v>0.51966756934942404</v>
      </c>
      <c r="P34">
        <f t="shared" si="12"/>
        <v>-0.51966756934942404</v>
      </c>
      <c r="Q34">
        <f>'lever arm selection'!$J$6/O34</f>
        <v>46.37580141891668</v>
      </c>
      <c r="S34">
        <f t="shared" si="7"/>
        <v>53.569156533933302</v>
      </c>
      <c r="T34">
        <f t="shared" si="8"/>
        <v>4.3652075825351622</v>
      </c>
      <c r="U34">
        <f>'lever arm selection'!$J$6/pulley!T34</f>
        <v>5.5209287403472231</v>
      </c>
      <c r="W34">
        <f t="shared" si="9"/>
        <v>8.8697977003617218E-5</v>
      </c>
      <c r="X34">
        <f t="shared" si="10"/>
        <v>4.13923892683547E-4</v>
      </c>
    </row>
    <row r="35" spans="5:24" x14ac:dyDescent="0.2">
      <c r="E35">
        <v>15.55836395734684</v>
      </c>
      <c r="F35">
        <v>12.810199688246783</v>
      </c>
      <c r="G35">
        <v>8.8295794337279307</v>
      </c>
      <c r="I35">
        <f t="shared" si="1"/>
        <v>6.4050998441233915</v>
      </c>
      <c r="J35">
        <f t="shared" si="2"/>
        <v>4.4147897168639654</v>
      </c>
      <c r="M35">
        <f t="shared" si="3"/>
        <v>7.77918197867342</v>
      </c>
      <c r="N35">
        <f t="shared" si="4"/>
        <v>-7.77918197867342</v>
      </c>
      <c r="O35">
        <f t="shared" si="11"/>
        <v>0.52825397978336674</v>
      </c>
      <c r="P35">
        <f t="shared" si="12"/>
        <v>-0.52825397978336674</v>
      </c>
      <c r="Q35">
        <f>'lever arm selection'!$J$6/O35</f>
        <v>45.621994196585597</v>
      </c>
      <c r="S35">
        <f t="shared" si="7"/>
        <v>54.454273850713939</v>
      </c>
      <c r="T35">
        <f t="shared" si="8"/>
        <v>4.4373334301802814</v>
      </c>
      <c r="U35">
        <f>'lever arm selection'!$J$6/pulley!T35</f>
        <v>5.4311897853078079</v>
      </c>
      <c r="W35">
        <f t="shared" si="9"/>
        <v>9.0163523980441119E-5</v>
      </c>
      <c r="X35">
        <f t="shared" si="10"/>
        <v>4.2076311190872523E-4</v>
      </c>
    </row>
    <row r="36" spans="5:24" x14ac:dyDescent="0.2">
      <c r="E36">
        <v>14.573521451612542</v>
      </c>
      <c r="F36">
        <v>11.957358541033042</v>
      </c>
      <c r="G36">
        <v>8.3312126501365409</v>
      </c>
      <c r="I36">
        <f t="shared" si="1"/>
        <v>5.9786792705165208</v>
      </c>
      <c r="J36">
        <f t="shared" si="2"/>
        <v>4.1656063250682704</v>
      </c>
      <c r="M36">
        <f t="shared" si="3"/>
        <v>7.2867607258062712</v>
      </c>
      <c r="N36">
        <f t="shared" si="4"/>
        <v>-7.2867607258062712</v>
      </c>
      <c r="O36">
        <f t="shared" si="11"/>
        <v>0.49481556848638075</v>
      </c>
      <c r="P36">
        <f t="shared" si="12"/>
        <v>-0.49481556848638075</v>
      </c>
      <c r="Q36">
        <f>'lever arm selection'!$J$6/O36</f>
        <v>48.705015635867824</v>
      </c>
      <c r="S36">
        <f t="shared" si="7"/>
        <v>51.007325080643895</v>
      </c>
      <c r="T36">
        <f t="shared" si="8"/>
        <v>4.1564507752855988</v>
      </c>
      <c r="U36">
        <f>'lever arm selection'!$J$6/pulley!T36</f>
        <v>5.7982161471271212</v>
      </c>
      <c r="W36">
        <f t="shared" si="9"/>
        <v>8.4456184113205211E-5</v>
      </c>
      <c r="X36">
        <f t="shared" si="10"/>
        <v>3.9412885919495769E-4</v>
      </c>
    </row>
    <row r="37" spans="5:24" x14ac:dyDescent="0.2">
      <c r="E37">
        <v>17.595765126559055</v>
      </c>
      <c r="F37">
        <v>14.410187035511157</v>
      </c>
      <c r="G37">
        <v>10.097398674441745</v>
      </c>
      <c r="I37">
        <f t="shared" si="1"/>
        <v>7.2050935177555786</v>
      </c>
      <c r="J37">
        <f t="shared" si="2"/>
        <v>5.0486993372208726</v>
      </c>
      <c r="M37">
        <f t="shared" si="3"/>
        <v>8.7978825632795274</v>
      </c>
      <c r="N37">
        <f t="shared" si="4"/>
        <v>-8.7978825632795274</v>
      </c>
      <c r="O37">
        <f t="shared" si="11"/>
        <v>0.59742997277351739</v>
      </c>
      <c r="P37">
        <f t="shared" si="12"/>
        <v>-0.59742997277351739</v>
      </c>
      <c r="Q37">
        <f>'lever arm selection'!$J$6/O37</f>
        <v>40.33945583298712</v>
      </c>
      <c r="S37">
        <f t="shared" si="7"/>
        <v>61.58517794295669</v>
      </c>
      <c r="T37">
        <f t="shared" si="8"/>
        <v>5.0184117712975471</v>
      </c>
      <c r="U37">
        <f>'lever arm selection'!$J$6/pulley!T37</f>
        <v>4.8023161705937039</v>
      </c>
      <c r="W37">
        <f t="shared" si="9"/>
        <v>1.0197063105684418E-4</v>
      </c>
      <c r="X37">
        <f t="shared" si="10"/>
        <v>4.7586294493193963E-4</v>
      </c>
    </row>
    <row r="38" spans="5:24" x14ac:dyDescent="0.2">
      <c r="E38">
        <v>16.559230939299677</v>
      </c>
      <c r="F38">
        <v>13.602402906142302</v>
      </c>
      <c r="G38">
        <v>9.4436626623376991</v>
      </c>
      <c r="I38">
        <f t="shared" si="1"/>
        <v>6.8012014530711511</v>
      </c>
      <c r="J38">
        <f t="shared" si="2"/>
        <v>4.7218313311688496</v>
      </c>
      <c r="M38">
        <f t="shared" si="3"/>
        <v>8.2796154696498387</v>
      </c>
      <c r="N38">
        <f t="shared" si="4"/>
        <v>-8.2796154696498387</v>
      </c>
      <c r="O38">
        <f t="shared" si="11"/>
        <v>0.56223647099515572</v>
      </c>
      <c r="P38">
        <f t="shared" si="12"/>
        <v>-0.56223647099515572</v>
      </c>
      <c r="Q38">
        <f>'lever arm selection'!$J$6/O38</f>
        <v>42.864526303928884</v>
      </c>
      <c r="S38">
        <f t="shared" si="7"/>
        <v>57.957308287548869</v>
      </c>
      <c r="T38">
        <f t="shared" si="8"/>
        <v>4.7227863563593093</v>
      </c>
      <c r="U38">
        <f>'lever arm selection'!$J$6/pulley!T38</f>
        <v>5.1029197980867709</v>
      </c>
      <c r="W38">
        <f t="shared" si="9"/>
        <v>9.5963728576241387E-5</v>
      </c>
      <c r="X38">
        <f t="shared" si="10"/>
        <v>4.4783073335579322E-4</v>
      </c>
    </row>
    <row r="39" spans="5:24" x14ac:dyDescent="0.2">
      <c r="E39">
        <v>17.488884224493948</v>
      </c>
      <c r="F39">
        <v>14.415813124403607</v>
      </c>
      <c r="G39">
        <v>9.9017878880546597</v>
      </c>
      <c r="I39">
        <f t="shared" si="1"/>
        <v>7.2079065622018037</v>
      </c>
      <c r="J39">
        <f t="shared" si="2"/>
        <v>4.9508939440273299</v>
      </c>
      <c r="M39">
        <f t="shared" si="3"/>
        <v>8.7444421122469738</v>
      </c>
      <c r="N39">
        <f t="shared" si="4"/>
        <v>-8.7444421122469738</v>
      </c>
      <c r="O39">
        <f t="shared" si="11"/>
        <v>0.59380103967788378</v>
      </c>
      <c r="P39">
        <f t="shared" si="12"/>
        <v>-0.59380103967788378</v>
      </c>
      <c r="Q39">
        <f>'lever arm selection'!$J$6/O39</f>
        <v>40.585984849527051</v>
      </c>
      <c r="S39">
        <f t="shared" si="7"/>
        <v>61.211094785728818</v>
      </c>
      <c r="T39">
        <f t="shared" si="8"/>
        <v>4.9879287332942246</v>
      </c>
      <c r="U39">
        <f>'lever arm selection'!$J$6/pulley!T39</f>
        <v>4.8316648630389336</v>
      </c>
      <c r="W39">
        <f t="shared" si="9"/>
        <v>1.0135123696098568E-4</v>
      </c>
      <c r="X39">
        <f t="shared" si="10"/>
        <v>4.7297243915126651E-4</v>
      </c>
    </row>
    <row r="40" spans="5:24" x14ac:dyDescent="0.2">
      <c r="E40">
        <v>25.960842984299376</v>
      </c>
      <c r="F40">
        <v>21.561513892280239</v>
      </c>
      <c r="G40">
        <v>14.459131617370815</v>
      </c>
      <c r="I40">
        <f t="shared" si="1"/>
        <v>10.780756946140119</v>
      </c>
      <c r="J40">
        <f t="shared" si="2"/>
        <v>7.2295658086854075</v>
      </c>
      <c r="M40">
        <f t="shared" si="3"/>
        <v>12.980421492149688</v>
      </c>
      <c r="N40">
        <f t="shared" si="4"/>
        <v>-12.980421492149688</v>
      </c>
      <c r="O40">
        <f t="shared" si="11"/>
        <v>0.88144991739387679</v>
      </c>
      <c r="P40">
        <f t="shared" si="12"/>
        <v>-0.88144991739387679</v>
      </c>
      <c r="Q40">
        <f>'lever arm selection'!$J$6/O40</f>
        <v>27.341315172227638</v>
      </c>
      <c r="S40">
        <f t="shared" si="7"/>
        <v>90.862950445047815</v>
      </c>
      <c r="T40">
        <f t="shared" si="8"/>
        <v>7.4041793061085661</v>
      </c>
      <c r="U40">
        <f>'lever arm selection'!$J$6/pulley!T40</f>
        <v>3.254918472884242</v>
      </c>
      <c r="W40">
        <f t="shared" si="9"/>
        <v>1.5044776529103037E-4</v>
      </c>
      <c r="X40">
        <f t="shared" si="10"/>
        <v>7.0208957135814171E-4</v>
      </c>
    </row>
    <row r="41" spans="5:24" x14ac:dyDescent="0.2">
      <c r="E41">
        <v>26.906340506653645</v>
      </c>
      <c r="F41">
        <v>22.407468436479554</v>
      </c>
      <c r="G41">
        <v>14.894848697726449</v>
      </c>
      <c r="I41">
        <f t="shared" si="1"/>
        <v>11.203734218239777</v>
      </c>
      <c r="J41">
        <f t="shared" si="2"/>
        <v>7.4474243488632244</v>
      </c>
      <c r="M41">
        <f t="shared" si="3"/>
        <v>13.453170253326823</v>
      </c>
      <c r="N41">
        <f t="shared" si="4"/>
        <v>-13.453170253326823</v>
      </c>
      <c r="O41">
        <f t="shared" si="11"/>
        <v>0.91355244632482535</v>
      </c>
      <c r="P41">
        <f t="shared" si="12"/>
        <v>-0.91355244632482535</v>
      </c>
      <c r="Q41">
        <f>'lever arm selection'!$J$6/O41</f>
        <v>26.380532499204687</v>
      </c>
      <c r="S41">
        <f t="shared" si="7"/>
        <v>94.172191773287764</v>
      </c>
      <c r="T41">
        <f t="shared" si="8"/>
        <v>7.6738405491285349</v>
      </c>
      <c r="U41">
        <f>'lever arm selection'!$J$6/pulley!T41</f>
        <v>3.1405395832386525</v>
      </c>
      <c r="W41">
        <f t="shared" si="9"/>
        <v>1.5592709388650142E-4</v>
      </c>
      <c r="X41">
        <f t="shared" si="10"/>
        <v>7.2765977147033994E-4</v>
      </c>
    </row>
    <row r="42" spans="5:24" x14ac:dyDescent="0.2">
      <c r="E42">
        <v>34.830435066168775</v>
      </c>
      <c r="F42">
        <v>29.206680683807338</v>
      </c>
      <c r="G42">
        <v>18.977065377257745</v>
      </c>
      <c r="I42">
        <f t="shared" si="1"/>
        <v>14.603340341903669</v>
      </c>
      <c r="J42">
        <f t="shared" si="2"/>
        <v>9.4885326886288723</v>
      </c>
      <c r="M42">
        <f t="shared" si="3"/>
        <v>17.415217533084387</v>
      </c>
      <c r="N42">
        <f t="shared" si="4"/>
        <v>-17.415217533084387</v>
      </c>
      <c r="O42">
        <f t="shared" si="11"/>
        <v>1.1825996609753699</v>
      </c>
      <c r="P42">
        <f t="shared" si="12"/>
        <v>-1.1825996609753699</v>
      </c>
      <c r="Q42">
        <f>'lever arm selection'!$J$6/O42</f>
        <v>20.378832157048905</v>
      </c>
      <c r="S42">
        <f t="shared" si="7"/>
        <v>121.90652273159071</v>
      </c>
      <c r="T42">
        <f t="shared" si="8"/>
        <v>9.9338371521931101</v>
      </c>
      <c r="U42">
        <f>'lever arm selection'!$J$6/pulley!T42</f>
        <v>2.4260514472677261</v>
      </c>
      <c r="W42">
        <f t="shared" si="9"/>
        <v>2.0184865040740713E-4</v>
      </c>
      <c r="X42">
        <f t="shared" si="10"/>
        <v>9.4196036856789998E-4</v>
      </c>
    </row>
    <row r="43" spans="5:24" x14ac:dyDescent="0.2">
      <c r="E43">
        <v>36.450094438412137</v>
      </c>
      <c r="F43">
        <v>30.739320092288658</v>
      </c>
      <c r="G43">
        <v>19.588353295593329</v>
      </c>
      <c r="I43">
        <f t="shared" si="1"/>
        <v>15.369660046144329</v>
      </c>
      <c r="J43">
        <f t="shared" si="2"/>
        <v>9.7941766477966645</v>
      </c>
      <c r="M43">
        <f t="shared" si="3"/>
        <v>18.225047219206068</v>
      </c>
      <c r="N43">
        <f t="shared" si="4"/>
        <v>-18.225047219206068</v>
      </c>
      <c r="O43">
        <f t="shared" si="11"/>
        <v>1.2375920439551347</v>
      </c>
      <c r="P43">
        <f t="shared" si="12"/>
        <v>-1.2375920439551347</v>
      </c>
      <c r="Q43">
        <f>'lever arm selection'!$J$6/O43</f>
        <v>19.473299071138566</v>
      </c>
      <c r="S43">
        <f t="shared" si="7"/>
        <v>127.57533053444249</v>
      </c>
      <c r="T43">
        <f t="shared" si="8"/>
        <v>10.395773169223133</v>
      </c>
      <c r="U43">
        <f>'lever arm selection'!$J$6/pulley!T43</f>
        <v>2.3182498894212573</v>
      </c>
      <c r="W43">
        <f t="shared" si="9"/>
        <v>2.1123486846026684E-4</v>
      </c>
      <c r="X43">
        <f t="shared" si="10"/>
        <v>9.8576271948124525E-4</v>
      </c>
    </row>
    <row r="44" spans="5:24" x14ac:dyDescent="0.2">
      <c r="E44">
        <v>41.496895665666287</v>
      </c>
      <c r="F44">
        <v>35.165447067320258</v>
      </c>
      <c r="G44">
        <v>22.031424884530065</v>
      </c>
      <c r="I44">
        <f t="shared" si="1"/>
        <v>17.582723533660129</v>
      </c>
      <c r="J44">
        <f t="shared" si="2"/>
        <v>11.015712442265032</v>
      </c>
      <c r="M44">
        <f t="shared" si="3"/>
        <v>20.748447832833143</v>
      </c>
      <c r="N44">
        <f t="shared" si="4"/>
        <v>-20.748447832833143</v>
      </c>
      <c r="O44">
        <f t="shared" si="11"/>
        <v>1.4089463612073463</v>
      </c>
      <c r="P44">
        <f t="shared" si="12"/>
        <v>-1.4089463612073463</v>
      </c>
      <c r="Q44">
        <f>'lever arm selection'!$J$6/O44</f>
        <v>17.104980475870185</v>
      </c>
      <c r="S44">
        <f t="shared" si="7"/>
        <v>145.23913482983201</v>
      </c>
      <c r="T44">
        <f t="shared" si="8"/>
        <v>11.835149434141711</v>
      </c>
      <c r="U44">
        <f>'lever arm selection'!$J$6/pulley!T44</f>
        <v>2.036307199508355</v>
      </c>
      <c r="W44">
        <f t="shared" si="9"/>
        <v>2.4048199140491136E-4</v>
      </c>
      <c r="X44">
        <f t="shared" si="10"/>
        <v>1.1222492932229198E-3</v>
      </c>
    </row>
    <row r="45" spans="5:24" x14ac:dyDescent="0.2">
      <c r="E45">
        <v>47.223534404675028</v>
      </c>
      <c r="F45">
        <v>40.300836458799928</v>
      </c>
      <c r="G45">
        <v>24.615133198717185</v>
      </c>
      <c r="I45">
        <f t="shared" si="1"/>
        <v>20.150418229399964</v>
      </c>
      <c r="J45">
        <f t="shared" si="2"/>
        <v>12.307566599358593</v>
      </c>
      <c r="M45">
        <f t="shared" si="3"/>
        <v>23.611767202337514</v>
      </c>
      <c r="N45">
        <f t="shared" si="4"/>
        <v>-23.611767202337514</v>
      </c>
      <c r="O45">
        <f t="shared" si="11"/>
        <v>1.6033832385651661</v>
      </c>
      <c r="P45">
        <f t="shared" si="12"/>
        <v>-1.6033832385651661</v>
      </c>
      <c r="Q45">
        <f>'lever arm selection'!$J$6/O45</f>
        <v>15.030717186220922</v>
      </c>
      <c r="S45">
        <f t="shared" si="7"/>
        <v>165.2823704163626</v>
      </c>
      <c r="T45">
        <f t="shared" si="8"/>
        <v>13.468419203947395</v>
      </c>
      <c r="U45">
        <f>'lever arm selection'!$J$6/pulley!T45</f>
        <v>1.7893710935977287</v>
      </c>
      <c r="W45">
        <f t="shared" si="9"/>
        <v>2.7366889529065826E-4</v>
      </c>
      <c r="X45">
        <f t="shared" si="10"/>
        <v>1.2771215113564051E-3</v>
      </c>
    </row>
    <row r="46" spans="5:24" x14ac:dyDescent="0.2">
      <c r="E46">
        <v>38.853730162901037</v>
      </c>
      <c r="F46">
        <v>33.143418518314888</v>
      </c>
      <c r="G46">
        <v>20.276246114390791</v>
      </c>
      <c r="I46">
        <f t="shared" si="1"/>
        <v>16.571709259157444</v>
      </c>
      <c r="J46">
        <f t="shared" si="2"/>
        <v>10.138123057195395</v>
      </c>
      <c r="M46">
        <f t="shared" si="3"/>
        <v>19.426865081450519</v>
      </c>
      <c r="N46">
        <f t="shared" si="4"/>
        <v>-19.426865081450519</v>
      </c>
      <c r="O46">
        <f t="shared" si="11"/>
        <v>1.3192028187699991</v>
      </c>
      <c r="P46">
        <f t="shared" si="12"/>
        <v>-1.3192028187699991</v>
      </c>
      <c r="Q46">
        <f>'lever arm selection'!$J$6/O46</f>
        <v>18.268608630225948</v>
      </c>
      <c r="S46">
        <f t="shared" si="7"/>
        <v>135.98805557015362</v>
      </c>
      <c r="T46">
        <f t="shared" si="8"/>
        <v>11.081303677667995</v>
      </c>
      <c r="U46">
        <f>'lever arm selection'!$J$6/pulley!T46</f>
        <v>2.1748343607411837</v>
      </c>
      <c r="W46">
        <f t="shared" si="9"/>
        <v>2.2516437080892878E-4</v>
      </c>
      <c r="X46">
        <f t="shared" si="10"/>
        <v>1.0507670637750009E-3</v>
      </c>
    </row>
    <row r="47" spans="5:24" x14ac:dyDescent="0.2">
      <c r="E47">
        <v>49.193114456967749</v>
      </c>
      <c r="F47">
        <v>42.240992254276257</v>
      </c>
      <c r="G47">
        <v>25.212320070761081</v>
      </c>
      <c r="I47">
        <f t="shared" si="1"/>
        <v>21.120496127138129</v>
      </c>
      <c r="J47">
        <f t="shared" si="2"/>
        <v>12.60616003538054</v>
      </c>
      <c r="M47">
        <f t="shared" si="3"/>
        <v>24.596557228483874</v>
      </c>
      <c r="N47">
        <f t="shared" si="4"/>
        <v>-24.596557228483874</v>
      </c>
      <c r="O47">
        <f t="shared" si="11"/>
        <v>1.6702564974745162</v>
      </c>
      <c r="P47">
        <f t="shared" si="12"/>
        <v>-1.6702564974745162</v>
      </c>
      <c r="Q47">
        <f>'lever arm selection'!$J$6/O47</f>
        <v>14.428921567699337</v>
      </c>
      <c r="S47">
        <f t="shared" si="7"/>
        <v>172.17590059938712</v>
      </c>
      <c r="T47">
        <f t="shared" si="8"/>
        <v>14.03015457878594</v>
      </c>
      <c r="U47">
        <f>'lever arm selection'!$J$6/pulley!T47</f>
        <v>1.7177287580594445</v>
      </c>
      <c r="W47">
        <f t="shared" si="9"/>
        <v>2.8508296676778392E-4</v>
      </c>
      <c r="X47">
        <f t="shared" si="10"/>
        <v>1.3303871782496585E-3</v>
      </c>
    </row>
    <row r="48" spans="5:24" x14ac:dyDescent="0.2">
      <c r="E48">
        <v>52.734964038512025</v>
      </c>
      <c r="F48">
        <v>45.395476825931297</v>
      </c>
      <c r="G48">
        <v>26.837047451042206</v>
      </c>
      <c r="I48">
        <f t="shared" si="1"/>
        <v>22.697738412965649</v>
      </c>
      <c r="J48">
        <f t="shared" si="2"/>
        <v>13.418523725521103</v>
      </c>
      <c r="M48">
        <f t="shared" si="3"/>
        <v>26.367482019256013</v>
      </c>
      <c r="N48">
        <f t="shared" si="4"/>
        <v>-26.367482019256013</v>
      </c>
      <c r="O48">
        <f t="shared" si="11"/>
        <v>1.7905131094405393</v>
      </c>
      <c r="P48">
        <f t="shared" si="12"/>
        <v>-1.7905131094405393</v>
      </c>
      <c r="Q48">
        <f>'lever arm selection'!$J$6/O48</f>
        <v>13.459828846229586</v>
      </c>
      <c r="S48">
        <f t="shared" si="7"/>
        <v>184.57237413479208</v>
      </c>
      <c r="T48">
        <f t="shared" si="8"/>
        <v>15.040310119300532</v>
      </c>
      <c r="U48">
        <f>'lever arm selection'!$J$6/pulley!T48</f>
        <v>1.6023605769320932</v>
      </c>
      <c r="W48">
        <f t="shared" si="9"/>
        <v>3.0560862361423433E-4</v>
      </c>
      <c r="X48">
        <f t="shared" si="10"/>
        <v>1.4261735768664268E-3</v>
      </c>
    </row>
    <row r="49" spans="5:24" x14ac:dyDescent="0.2">
      <c r="E49">
        <v>52.476618881257387</v>
      </c>
      <c r="F49">
        <v>45.391658718665944</v>
      </c>
      <c r="G49">
        <v>26.332353635345566</v>
      </c>
      <c r="I49">
        <f t="shared" si="1"/>
        <v>22.695829359332972</v>
      </c>
      <c r="J49">
        <f t="shared" si="2"/>
        <v>13.166176817672783</v>
      </c>
      <c r="M49">
        <f t="shared" si="3"/>
        <v>26.238309440628694</v>
      </c>
      <c r="N49">
        <f t="shared" si="4"/>
        <v>-26.238309440628694</v>
      </c>
      <c r="O49">
        <f t="shared" si="11"/>
        <v>1.7817415022296743</v>
      </c>
      <c r="P49">
        <f t="shared" si="12"/>
        <v>-1.7817415022296743</v>
      </c>
      <c r="Q49">
        <f>'lever arm selection'!$J$6/O49</f>
        <v>13.526092292199076</v>
      </c>
      <c r="S49">
        <f t="shared" si="7"/>
        <v>183.66816608440087</v>
      </c>
      <c r="T49">
        <f t="shared" si="8"/>
        <v>14.966628618729269</v>
      </c>
      <c r="U49">
        <f>'lever arm selection'!$J$6/pulley!T49</f>
        <v>1.6102490824046516</v>
      </c>
      <c r="W49">
        <f t="shared" si="9"/>
        <v>3.0411146685371511E-4</v>
      </c>
      <c r="X49">
        <f t="shared" si="10"/>
        <v>1.4191868453173374E-3</v>
      </c>
    </row>
    <row r="50" spans="5:24" x14ac:dyDescent="0.2">
      <c r="E50">
        <v>53.351012812941285</v>
      </c>
      <c r="F50">
        <v>46.260017179333609</v>
      </c>
      <c r="G50">
        <v>26.577083713876213</v>
      </c>
      <c r="I50">
        <f t="shared" si="1"/>
        <v>23.130008589666804</v>
      </c>
      <c r="J50">
        <f t="shared" si="2"/>
        <v>13.288541856938107</v>
      </c>
      <c r="M50">
        <f t="shared" si="3"/>
        <v>26.675506406470642</v>
      </c>
      <c r="N50">
        <f t="shared" si="4"/>
        <v>-26.675506406470642</v>
      </c>
      <c r="O50">
        <f t="shared" si="11"/>
        <v>1.8114298470695784</v>
      </c>
      <c r="P50">
        <f t="shared" si="12"/>
        <v>-1.8114298470695784</v>
      </c>
      <c r="Q50">
        <f>'lever arm selection'!$J$6/O50</f>
        <v>13.304407034579629</v>
      </c>
      <c r="S50">
        <f t="shared" si="7"/>
        <v>186.72854484529449</v>
      </c>
      <c r="T50">
        <f t="shared" si="8"/>
        <v>15.21601071538446</v>
      </c>
      <c r="U50">
        <f>'lever arm selection'!$J$6/pulley!T50</f>
        <v>1.5838579803070987</v>
      </c>
      <c r="W50">
        <f t="shared" si="9"/>
        <v>3.0917873732276113E-4</v>
      </c>
      <c r="X50">
        <f t="shared" si="10"/>
        <v>1.4428341075062186E-3</v>
      </c>
    </row>
    <row r="51" spans="5:24" x14ac:dyDescent="0.2">
      <c r="E51">
        <v>59.413973214541805</v>
      </c>
      <c r="F51">
        <v>51.725236364341974</v>
      </c>
      <c r="G51">
        <v>29.232176384786097</v>
      </c>
      <c r="I51">
        <f t="shared" si="1"/>
        <v>25.862618182170987</v>
      </c>
      <c r="J51">
        <f t="shared" si="2"/>
        <v>14.616088192393049</v>
      </c>
      <c r="M51">
        <f t="shared" si="3"/>
        <v>29.706986607270903</v>
      </c>
      <c r="N51">
        <f t="shared" si="4"/>
        <v>-29.706986607270903</v>
      </c>
      <c r="O51">
        <f t="shared" si="11"/>
        <v>2.017285872175743</v>
      </c>
      <c r="P51">
        <f t="shared" si="12"/>
        <v>-2.017285872175743</v>
      </c>
      <c r="Q51">
        <f>'lever arm selection'!$J$6/O51</f>
        <v>11.94674504610839</v>
      </c>
      <c r="S51">
        <f t="shared" si="7"/>
        <v>207.94890625089633</v>
      </c>
      <c r="T51">
        <f t="shared" si="8"/>
        <v>16.945201326276244</v>
      </c>
      <c r="U51">
        <f>'lever arm selection'!$J$6/pulley!T51</f>
        <v>1.4222315531081415</v>
      </c>
      <c r="W51">
        <f t="shared" si="9"/>
        <v>3.4431468587498888E-4</v>
      </c>
      <c r="X51">
        <f t="shared" si="10"/>
        <v>1.606801867416615E-3</v>
      </c>
    </row>
    <row r="52" spans="5:24" x14ac:dyDescent="0.2">
      <c r="E52">
        <v>59.968821748499536</v>
      </c>
      <c r="F52">
        <v>52.303055433202189</v>
      </c>
      <c r="G52">
        <v>29.33683647318998</v>
      </c>
      <c r="I52">
        <f t="shared" si="1"/>
        <v>26.151527716601095</v>
      </c>
      <c r="J52">
        <f t="shared" si="2"/>
        <v>14.66841823659499</v>
      </c>
      <c r="M52">
        <f t="shared" si="3"/>
        <v>29.984410874249768</v>
      </c>
      <c r="N52">
        <f t="shared" si="4"/>
        <v>-29.984410874249768</v>
      </c>
      <c r="O52">
        <f t="shared" si="11"/>
        <v>2.0361246747030313</v>
      </c>
      <c r="P52">
        <f t="shared" si="12"/>
        <v>-2.0361246747030313</v>
      </c>
      <c r="Q52">
        <f>'lever arm selection'!$J$6/O52</f>
        <v>11.836210375238926</v>
      </c>
      <c r="S52">
        <f t="shared" si="7"/>
        <v>209.89087611974838</v>
      </c>
      <c r="T52">
        <f t="shared" si="8"/>
        <v>17.103447267505466</v>
      </c>
      <c r="U52">
        <f>'lever arm selection'!$J$6/pulley!T52</f>
        <v>1.4090726637189195</v>
      </c>
      <c r="W52">
        <f t="shared" si="9"/>
        <v>3.4753013315685992E-4</v>
      </c>
      <c r="X52">
        <f t="shared" si="10"/>
        <v>1.6218072880653464E-3</v>
      </c>
    </row>
    <row r="53" spans="5:24" x14ac:dyDescent="0.2">
      <c r="E53">
        <v>63.089307088640581</v>
      </c>
      <c r="F53">
        <v>55.280821748133867</v>
      </c>
      <c r="G53">
        <v>30.402161366847665</v>
      </c>
      <c r="I53">
        <f t="shared" si="1"/>
        <v>27.640410874066934</v>
      </c>
      <c r="J53">
        <f t="shared" si="2"/>
        <v>15.201080683423832</v>
      </c>
      <c r="M53">
        <f t="shared" si="3"/>
        <v>31.54465354432029</v>
      </c>
      <c r="N53">
        <f t="shared" si="4"/>
        <v>-31.54465354432029</v>
      </c>
      <c r="O53">
        <f t="shared" si="11"/>
        <v>2.1420746836052693</v>
      </c>
      <c r="P53">
        <f t="shared" si="12"/>
        <v>-2.1420746836052693</v>
      </c>
      <c r="Q53">
        <f>'lever arm selection'!$J$6/O53</f>
        <v>11.250774860677559</v>
      </c>
      <c r="S53">
        <f t="shared" si="7"/>
        <v>220.81257481024204</v>
      </c>
      <c r="T53">
        <f t="shared" si="8"/>
        <v>17.993427342284267</v>
      </c>
      <c r="U53">
        <f>'lever arm selection'!$J$6/pulley!T53</f>
        <v>1.339377959604471</v>
      </c>
      <c r="W53">
        <f t="shared" si="9"/>
        <v>3.6561390826121871E-4</v>
      </c>
      <c r="X53">
        <f t="shared" si="10"/>
        <v>1.706198238552354E-3</v>
      </c>
    </row>
    <row r="54" spans="5:24" x14ac:dyDescent="0.2">
      <c r="E54">
        <v>67.722988393211551</v>
      </c>
      <c r="F54">
        <v>59.570268448836117</v>
      </c>
      <c r="G54">
        <v>32.214690342150838</v>
      </c>
      <c r="I54">
        <f t="shared" si="1"/>
        <v>29.785134224418059</v>
      </c>
      <c r="J54">
        <f t="shared" si="2"/>
        <v>16.107345171075419</v>
      </c>
      <c r="M54">
        <f t="shared" si="3"/>
        <v>33.861494196605776</v>
      </c>
      <c r="N54">
        <f t="shared" si="4"/>
        <v>-33.861494196605776</v>
      </c>
      <c r="O54">
        <f t="shared" si="11"/>
        <v>2.29940231759673</v>
      </c>
      <c r="P54">
        <f t="shared" si="12"/>
        <v>-2.29940231759673</v>
      </c>
      <c r="Q54">
        <f>'lever arm selection'!$J$6/O54</f>
        <v>10.480984478257218</v>
      </c>
      <c r="S54">
        <f t="shared" si="7"/>
        <v>237.03045937624043</v>
      </c>
      <c r="T54">
        <f t="shared" si="8"/>
        <v>19.314979467812535</v>
      </c>
      <c r="U54">
        <f>'lever arm selection'!$J$6/pulley!T54</f>
        <v>1.2477362474115734</v>
      </c>
      <c r="W54">
        <f t="shared" si="9"/>
        <v>3.9246692677703256E-4</v>
      </c>
      <c r="X54">
        <f t="shared" si="10"/>
        <v>1.8315123249594855E-3</v>
      </c>
    </row>
    <row r="55" spans="5:24" x14ac:dyDescent="0.2">
      <c r="E55">
        <v>66.886626231456503</v>
      </c>
      <c r="F55">
        <v>59.01526933357443</v>
      </c>
      <c r="G55">
        <v>31.480450347989535</v>
      </c>
      <c r="I55">
        <f t="shared" si="1"/>
        <v>29.507634666787215</v>
      </c>
      <c r="J55">
        <f t="shared" si="2"/>
        <v>15.740225173994768</v>
      </c>
      <c r="M55">
        <f t="shared" si="3"/>
        <v>33.443313115728252</v>
      </c>
      <c r="N55">
        <f t="shared" si="4"/>
        <v>-33.443313115728252</v>
      </c>
      <c r="O55">
        <f t="shared" si="11"/>
        <v>2.2710052675149512</v>
      </c>
      <c r="P55">
        <f t="shared" si="12"/>
        <v>-2.2710052675149512</v>
      </c>
      <c r="Q55">
        <f>'lever arm selection'!$J$6/O55</f>
        <v>10.612040555225766</v>
      </c>
      <c r="S55">
        <f t="shared" si="7"/>
        <v>234.10319181009777</v>
      </c>
      <c r="T55">
        <f t="shared" si="8"/>
        <v>19.076444247125593</v>
      </c>
      <c r="U55">
        <f>'lever arm selection'!$J$6/pulley!T55</f>
        <v>1.2633381613364005</v>
      </c>
      <c r="W55">
        <f t="shared" si="9"/>
        <v>3.8762005727105696E-4</v>
      </c>
      <c r="X55">
        <f t="shared" si="10"/>
        <v>1.808893600598266E-3</v>
      </c>
    </row>
    <row r="56" spans="5:24" x14ac:dyDescent="0.2">
      <c r="E56">
        <v>68.42890442295851</v>
      </c>
      <c r="F56">
        <v>60.581362898439252</v>
      </c>
      <c r="G56">
        <v>31.818444806338334</v>
      </c>
      <c r="I56">
        <f t="shared" si="1"/>
        <v>30.290681449219626</v>
      </c>
      <c r="J56">
        <f t="shared" si="2"/>
        <v>15.909222403169167</v>
      </c>
      <c r="M56">
        <f t="shared" si="3"/>
        <v>34.214452211479255</v>
      </c>
      <c r="N56">
        <f t="shared" si="4"/>
        <v>-34.214452211479255</v>
      </c>
      <c r="O56">
        <f t="shared" si="11"/>
        <v>2.323370323045697</v>
      </c>
      <c r="P56">
        <f t="shared" si="12"/>
        <v>-2.323370323045697</v>
      </c>
      <c r="Q56">
        <f>'lever arm selection'!$J$6/O56</f>
        <v>10.372862113693269</v>
      </c>
      <c r="S56">
        <f t="shared" si="7"/>
        <v>239.50116548035479</v>
      </c>
      <c r="T56">
        <f t="shared" si="8"/>
        <v>19.516310713583859</v>
      </c>
      <c r="U56">
        <f>'lever arm selection'!$J$6/pulley!T56</f>
        <v>1.2348645373444365</v>
      </c>
      <c r="W56">
        <f t="shared" si="9"/>
        <v>3.9655783743131208E-4</v>
      </c>
      <c r="X56">
        <f t="shared" si="10"/>
        <v>1.8506032413461231E-3</v>
      </c>
    </row>
    <row r="57" spans="5:24" x14ac:dyDescent="0.2">
      <c r="E57">
        <v>72.288929744780432</v>
      </c>
      <c r="F57">
        <v>64.280009101204996</v>
      </c>
      <c r="G57">
        <v>33.072190637978679</v>
      </c>
      <c r="I57">
        <f t="shared" si="1"/>
        <v>32.140004550602498</v>
      </c>
      <c r="J57">
        <f t="shared" si="2"/>
        <v>16.536095318989339</v>
      </c>
      <c r="M57">
        <f t="shared" si="3"/>
        <v>36.144464872390216</v>
      </c>
      <c r="N57">
        <f t="shared" si="4"/>
        <v>-36.144464872390216</v>
      </c>
      <c r="O57">
        <f t="shared" si="11"/>
        <v>2.4544299732703037</v>
      </c>
      <c r="P57">
        <f t="shared" si="12"/>
        <v>-2.4544299732703037</v>
      </c>
      <c r="Q57">
        <f>'lever arm selection'!$J$6/O57</f>
        <v>9.8189804811945613</v>
      </c>
      <c r="S57">
        <f t="shared" si="7"/>
        <v>253.01125410673151</v>
      </c>
      <c r="T57">
        <f t="shared" si="8"/>
        <v>20.617211775470555</v>
      </c>
      <c r="U57">
        <f>'lever arm selection'!$J$6/pulley!T57</f>
        <v>1.1689262477612572</v>
      </c>
      <c r="W57">
        <f t="shared" si="9"/>
        <v>4.1892738005310269E-4</v>
      </c>
      <c r="X57">
        <f t="shared" si="10"/>
        <v>1.9549944402478129E-3</v>
      </c>
    </row>
    <row r="58" spans="5:24" x14ac:dyDescent="0.2">
      <c r="E58">
        <v>72.844134646456709</v>
      </c>
      <c r="F58">
        <v>64.965729099613085</v>
      </c>
      <c r="G58">
        <v>32.95029582487539</v>
      </c>
      <c r="I58">
        <f t="shared" si="1"/>
        <v>32.482864549806543</v>
      </c>
      <c r="J58">
        <f t="shared" si="2"/>
        <v>16.475147912437695</v>
      </c>
      <c r="M58">
        <f t="shared" si="3"/>
        <v>36.422067323228354</v>
      </c>
      <c r="N58">
        <f t="shared" si="4"/>
        <v>-36.422067323228354</v>
      </c>
      <c r="O58">
        <f t="shared" si="11"/>
        <v>2.4732808755701714</v>
      </c>
      <c r="P58">
        <f t="shared" si="12"/>
        <v>-2.4732808755701714</v>
      </c>
      <c r="Q58">
        <f>'lever arm selection'!$J$6/O58</f>
        <v>9.7441419767757562</v>
      </c>
      <c r="S58">
        <f t="shared" si="7"/>
        <v>254.95447126259847</v>
      </c>
      <c r="T58">
        <f t="shared" si="8"/>
        <v>20.775559354789443</v>
      </c>
      <c r="U58">
        <f>'lever arm selection'!$J$6/pulley!T58</f>
        <v>1.1600169019971136</v>
      </c>
      <c r="W58">
        <f t="shared" si="9"/>
        <v>4.2214489255014827E-4</v>
      </c>
      <c r="X58">
        <f t="shared" si="10"/>
        <v>1.9700094985673588E-3</v>
      </c>
    </row>
    <row r="59" spans="5:24" x14ac:dyDescent="0.2">
      <c r="E59">
        <v>76.866767433896115</v>
      </c>
      <c r="F59">
        <v>68.719360617972924</v>
      </c>
      <c r="G59">
        <v>34.44051991468281</v>
      </c>
      <c r="I59">
        <f t="shared" si="1"/>
        <v>34.359680308986462</v>
      </c>
      <c r="J59">
        <f t="shared" si="2"/>
        <v>17.220259957341405</v>
      </c>
      <c r="M59">
        <f t="shared" si="3"/>
        <v>38.433383716948057</v>
      </c>
      <c r="N59">
        <f t="shared" si="4"/>
        <v>-38.433383716948057</v>
      </c>
      <c r="O59">
        <f t="shared" si="11"/>
        <v>2.6098615459412668</v>
      </c>
      <c r="P59">
        <f t="shared" si="12"/>
        <v>-2.6098615459412668</v>
      </c>
      <c r="Q59">
        <f>'lever arm selection'!$J$6/O59</f>
        <v>9.2342063269521635</v>
      </c>
      <c r="S59">
        <f t="shared" si="7"/>
        <v>269.03368601863639</v>
      </c>
      <c r="T59">
        <f t="shared" si="8"/>
        <v>21.922836985906645</v>
      </c>
      <c r="U59">
        <f>'lever arm selection'!$J$6/pulley!T59</f>
        <v>1.0993102770181145</v>
      </c>
      <c r="W59">
        <f t="shared" si="9"/>
        <v>4.4545677474991732E-4</v>
      </c>
      <c r="X59">
        <f t="shared" si="10"/>
        <v>2.078798282166281E-3</v>
      </c>
    </row>
    <row r="60" spans="5:24" x14ac:dyDescent="0.2">
      <c r="E60">
        <v>75.318636516216372</v>
      </c>
      <c r="F60">
        <v>67.47566827358429</v>
      </c>
      <c r="G60">
        <v>33.465373114536355</v>
      </c>
      <c r="I60">
        <f t="shared" si="1"/>
        <v>33.737834136792145</v>
      </c>
      <c r="J60">
        <f t="shared" si="2"/>
        <v>16.732686557268178</v>
      </c>
      <c r="M60">
        <f t="shared" si="3"/>
        <v>37.659318258108186</v>
      </c>
      <c r="N60">
        <f t="shared" si="4"/>
        <v>-37.659318258108186</v>
      </c>
      <c r="O60">
        <f t="shared" si="11"/>
        <v>2.557297772479481</v>
      </c>
      <c r="P60">
        <f t="shared" si="12"/>
        <v>-2.557297772479481</v>
      </c>
      <c r="Q60">
        <f>'lever arm selection'!$J$6/O60</f>
        <v>9.4240100857059552</v>
      </c>
      <c r="S60">
        <f t="shared" si="7"/>
        <v>263.61522780675728</v>
      </c>
      <c r="T60">
        <f t="shared" si="8"/>
        <v>21.481301288827641</v>
      </c>
      <c r="U60">
        <f>'lever arm selection'!$J$6/pulley!T60</f>
        <v>1.1219059625840422</v>
      </c>
      <c r="W60">
        <f t="shared" si="9"/>
        <v>4.3648507698633811E-4</v>
      </c>
      <c r="X60">
        <f t="shared" si="10"/>
        <v>2.0369303592695778E-3</v>
      </c>
    </row>
    <row r="61" spans="5:24" x14ac:dyDescent="0.2">
      <c r="E61">
        <v>75.784889726725353</v>
      </c>
      <c r="F61">
        <v>67.972849485579488</v>
      </c>
      <c r="G61">
        <v>33.511807526641668</v>
      </c>
      <c r="I61">
        <f t="shared" si="1"/>
        <v>33.986424742789744</v>
      </c>
      <c r="J61">
        <f t="shared" si="2"/>
        <v>16.755903763320834</v>
      </c>
      <c r="M61">
        <f t="shared" si="3"/>
        <v>37.892444863362677</v>
      </c>
      <c r="N61">
        <f t="shared" si="4"/>
        <v>-37.892444863362677</v>
      </c>
      <c r="O61">
        <f t="shared" si="11"/>
        <v>2.5731284931589413</v>
      </c>
      <c r="P61">
        <f t="shared" si="12"/>
        <v>-2.5731284931589413</v>
      </c>
      <c r="Q61">
        <f>'lever arm selection'!$J$6/O61</f>
        <v>9.3660305204631502</v>
      </c>
      <c r="S61">
        <f t="shared" si="7"/>
        <v>265.24711404353872</v>
      </c>
      <c r="T61">
        <f t="shared" si="8"/>
        <v>21.614279342535106</v>
      </c>
      <c r="U61">
        <f>'lever arm selection'!$J$6/pulley!T61</f>
        <v>1.1150036333884703</v>
      </c>
      <c r="W61">
        <f t="shared" si="9"/>
        <v>4.3918709839693975E-4</v>
      </c>
      <c r="X61">
        <f t="shared" si="10"/>
        <v>2.0495397925190525E-3</v>
      </c>
    </row>
    <row r="62" spans="5:24" x14ac:dyDescent="0.2">
      <c r="E62">
        <v>79.329384007658234</v>
      </c>
      <c r="F62">
        <v>71.283779424767502</v>
      </c>
      <c r="G62">
        <v>34.81054377563779</v>
      </c>
      <c r="I62">
        <f t="shared" si="1"/>
        <v>35.641889712383751</v>
      </c>
      <c r="J62">
        <f t="shared" si="2"/>
        <v>17.405271887818895</v>
      </c>
      <c r="M62">
        <f t="shared" si="3"/>
        <v>39.664692003829117</v>
      </c>
      <c r="N62">
        <f t="shared" si="4"/>
        <v>-39.664692003829117</v>
      </c>
      <c r="O62">
        <f t="shared" si="11"/>
        <v>2.6934749007475109</v>
      </c>
      <c r="P62">
        <f t="shared" si="12"/>
        <v>-2.6934749007475109</v>
      </c>
      <c r="Q62">
        <f>'lever arm selection'!$J$6/O62</f>
        <v>8.9475494994631699</v>
      </c>
      <c r="S62">
        <f t="shared" si="7"/>
        <v>277.65284402680379</v>
      </c>
      <c r="T62">
        <f t="shared" si="8"/>
        <v>22.625189166279092</v>
      </c>
      <c r="U62">
        <f>'lever arm selection'!$J$6/pulley!T62</f>
        <v>1.0651844642218058</v>
      </c>
      <c r="W62">
        <f t="shared" si="9"/>
        <v>4.5972808175313103E-4</v>
      </c>
      <c r="X62">
        <f t="shared" si="10"/>
        <v>2.145397714847945E-3</v>
      </c>
    </row>
    <row r="63" spans="5:24" x14ac:dyDescent="0.2">
      <c r="E63">
        <v>79.964565695098088</v>
      </c>
      <c r="F63">
        <v>71.887807914798799</v>
      </c>
      <c r="G63">
        <v>35.02106280526975</v>
      </c>
      <c r="I63">
        <f t="shared" si="1"/>
        <v>35.943903957399399</v>
      </c>
      <c r="J63">
        <f t="shared" si="2"/>
        <v>17.510531402634875</v>
      </c>
      <c r="M63">
        <f t="shared" si="3"/>
        <v>39.982282847549044</v>
      </c>
      <c r="N63">
        <f t="shared" si="4"/>
        <v>-39.982282847549044</v>
      </c>
      <c r="O63">
        <f t="shared" si="11"/>
        <v>2.7150412592152451</v>
      </c>
      <c r="P63">
        <f t="shared" si="12"/>
        <v>-2.7150412592152451</v>
      </c>
      <c r="Q63">
        <f>'lever arm selection'!$J$6/O63</f>
        <v>8.8764765243257706</v>
      </c>
      <c r="S63">
        <f t="shared" si="7"/>
        <v>279.87597993284328</v>
      </c>
      <c r="T63">
        <f t="shared" si="8"/>
        <v>22.80634657740806</v>
      </c>
      <c r="U63">
        <f>'lever arm selection'!$J$6/pulley!T63</f>
        <v>1.0567233957530677</v>
      </c>
      <c r="W63">
        <f t="shared" si="9"/>
        <v>4.634090741418183E-4</v>
      </c>
      <c r="X63">
        <f t="shared" si="10"/>
        <v>2.1625756793284857E-3</v>
      </c>
    </row>
    <row r="64" spans="5:24" x14ac:dyDescent="0.2">
      <c r="E64">
        <v>77.490676584113601</v>
      </c>
      <c r="F64">
        <v>69.693228712599407</v>
      </c>
      <c r="G64">
        <v>33.877113647372624</v>
      </c>
      <c r="I64">
        <f t="shared" si="1"/>
        <v>34.846614356299703</v>
      </c>
      <c r="J64">
        <f t="shared" si="2"/>
        <v>16.938556823686312</v>
      </c>
      <c r="M64">
        <f t="shared" si="3"/>
        <v>38.7453382920568</v>
      </c>
      <c r="N64">
        <f t="shared" si="4"/>
        <v>-38.7453382920568</v>
      </c>
      <c r="O64">
        <f t="shared" si="11"/>
        <v>2.6310451673380406</v>
      </c>
      <c r="P64">
        <f t="shared" si="12"/>
        <v>-2.6310451673380406</v>
      </c>
      <c r="Q64">
        <f>'lever arm selection'!$J$6/O64</f>
        <v>9.1598579527173882</v>
      </c>
      <c r="S64">
        <f t="shared" si="7"/>
        <v>271.21736804439763</v>
      </c>
      <c r="T64">
        <f t="shared" si="8"/>
        <v>22.100779405639546</v>
      </c>
      <c r="U64">
        <f>'lever arm selection'!$J$6/pulley!T64</f>
        <v>1.0904592800854032</v>
      </c>
      <c r="W64">
        <f t="shared" si="9"/>
        <v>4.4907244075319827E-4</v>
      </c>
      <c r="X64">
        <f t="shared" si="10"/>
        <v>2.0956713901815918E-3</v>
      </c>
    </row>
    <row r="65" spans="5:24" x14ac:dyDescent="0.2">
      <c r="E65">
        <v>82.544270184208699</v>
      </c>
      <c r="F65">
        <v>74.395480656957361</v>
      </c>
      <c r="G65">
        <v>35.761277914301786</v>
      </c>
      <c r="I65">
        <f t="shared" si="1"/>
        <v>37.19774032847868</v>
      </c>
      <c r="J65">
        <f t="shared" si="2"/>
        <v>17.880638957150893</v>
      </c>
      <c r="M65">
        <f t="shared" si="3"/>
        <v>41.272135092104349</v>
      </c>
      <c r="N65">
        <f t="shared" si="4"/>
        <v>-41.272135092104349</v>
      </c>
      <c r="O65">
        <f t="shared" si="11"/>
        <v>2.8026301063956836</v>
      </c>
      <c r="P65">
        <f t="shared" si="12"/>
        <v>-2.8026301063956836</v>
      </c>
      <c r="Q65">
        <f>'lever arm selection'!$J$6/O65</f>
        <v>8.5990655509633971</v>
      </c>
      <c r="S65">
        <f t="shared" si="7"/>
        <v>288.90494564473045</v>
      </c>
      <c r="T65">
        <f t="shared" si="8"/>
        <v>23.542092893723748</v>
      </c>
      <c r="U65">
        <f>'lever arm selection'!$J$6/pulley!T65</f>
        <v>1.0236982798765946</v>
      </c>
      <c r="W65">
        <f t="shared" si="9"/>
        <v>4.7835892672297881E-4</v>
      </c>
      <c r="X65">
        <f t="shared" si="10"/>
        <v>2.2323416580405679E-3</v>
      </c>
    </row>
    <row r="66" spans="5:24" x14ac:dyDescent="0.2">
      <c r="E66">
        <v>79.964565695098088</v>
      </c>
      <c r="F66">
        <v>71.887807914798799</v>
      </c>
      <c r="G66">
        <v>35.02106280526975</v>
      </c>
      <c r="I66">
        <f t="shared" si="1"/>
        <v>35.943903957399399</v>
      </c>
      <c r="J66">
        <f t="shared" si="2"/>
        <v>17.510531402634875</v>
      </c>
      <c r="M66">
        <f t="shared" si="3"/>
        <v>39.982282847549044</v>
      </c>
      <c r="N66">
        <f t="shared" si="4"/>
        <v>-39.982282847549044</v>
      </c>
      <c r="O66">
        <f t="shared" si="11"/>
        <v>2.7150412592152451</v>
      </c>
      <c r="P66">
        <f t="shared" si="12"/>
        <v>-2.7150412592152451</v>
      </c>
      <c r="Q66">
        <f>'lever arm selection'!$J$6/O66</f>
        <v>8.8764765243257706</v>
      </c>
      <c r="S66">
        <f t="shared" si="7"/>
        <v>279.87597993284328</v>
      </c>
      <c r="T66">
        <f t="shared" si="8"/>
        <v>22.80634657740806</v>
      </c>
      <c r="U66">
        <f>'lever arm selection'!$J$6/pulley!T66</f>
        <v>1.0567233957530677</v>
      </c>
      <c r="W66">
        <f t="shared" si="9"/>
        <v>4.634090741418183E-4</v>
      </c>
      <c r="X66">
        <f t="shared" si="10"/>
        <v>2.1625756793284857E-3</v>
      </c>
    </row>
    <row r="67" spans="5:24" x14ac:dyDescent="0.2">
      <c r="E67">
        <v>82.030633920083901</v>
      </c>
      <c r="F67">
        <v>73.630059829891309</v>
      </c>
      <c r="G67">
        <v>36.16129409710674</v>
      </c>
      <c r="I67">
        <f t="shared" si="1"/>
        <v>36.815029914945654</v>
      </c>
      <c r="J67">
        <f t="shared" si="2"/>
        <v>18.08064704855337</v>
      </c>
      <c r="M67">
        <f t="shared" si="3"/>
        <v>41.01531696004195</v>
      </c>
      <c r="N67">
        <f t="shared" si="4"/>
        <v>-41.01531696004195</v>
      </c>
      <c r="O67">
        <f t="shared" si="11"/>
        <v>2.7851905863131843</v>
      </c>
      <c r="P67">
        <f t="shared" si="12"/>
        <v>-2.7851905863131843</v>
      </c>
      <c r="Q67">
        <f>'lever arm selection'!$J$6/O67</f>
        <v>8.6529087518932339</v>
      </c>
      <c r="S67">
        <f t="shared" si="7"/>
        <v>287.10721872029364</v>
      </c>
      <c r="T67">
        <f t="shared" si="8"/>
        <v>23.395600925030752</v>
      </c>
      <c r="U67">
        <f>'lever arm selection'!$J$6/pulley!T67</f>
        <v>1.0301081847491944</v>
      </c>
      <c r="W67">
        <f t="shared" si="9"/>
        <v>4.753823119745E-4</v>
      </c>
      <c r="X67">
        <f t="shared" si="10"/>
        <v>2.2184507892143335E-3</v>
      </c>
    </row>
    <row r="68" spans="5:24" x14ac:dyDescent="0.2">
      <c r="E68">
        <v>79.849283759821247</v>
      </c>
      <c r="F68">
        <v>71.612815073177245</v>
      </c>
      <c r="G68">
        <v>35.320147709931383</v>
      </c>
      <c r="I68">
        <f t="shared" ref="I68:I108" si="13">F68/2</f>
        <v>35.806407536588623</v>
      </c>
      <c r="J68">
        <f t="shared" ref="J68:J108" si="14">G68/2</f>
        <v>17.660073854965692</v>
      </c>
      <c r="M68">
        <f t="shared" ref="M68:M108" si="15">E68/2</f>
        <v>39.924641879910624</v>
      </c>
      <c r="N68">
        <f t="shared" ref="N68:N108" si="16">-E68/2</f>
        <v>-39.924641879910624</v>
      </c>
      <c r="O68">
        <f t="shared" ref="O68:O108" si="17">(4/3)*M68/$B$16</f>
        <v>2.7111270853808964</v>
      </c>
      <c r="P68">
        <f t="shared" ref="P68:P108" si="18">(4/3)*N68/$B$16</f>
        <v>-2.7111270853808964</v>
      </c>
      <c r="Q68">
        <f>'lever arm selection'!$J$6/O68</f>
        <v>8.8892918852655338</v>
      </c>
      <c r="S68">
        <f t="shared" ref="S68:S108" si="19">E68*$B$18/4</f>
        <v>279.47249315937438</v>
      </c>
      <c r="T68">
        <f t="shared" ref="T68:T108" si="20">32*S68/(PI()*($B$17^3))</f>
        <v>22.773467517199535</v>
      </c>
      <c r="U68">
        <f>'lever arm selection'!$J$6/pulley!T68</f>
        <v>1.0582490339601824</v>
      </c>
      <c r="W68">
        <f t="shared" ref="W68:W108" si="21">(E68*$B$18^2)/(16*$B$19*$B$23)</f>
        <v>4.6274099454396726E-4</v>
      </c>
      <c r="X68">
        <f t="shared" ref="X68:X108" si="22">(E68*$B$18^3)/(48*$B$19*$B$23)</f>
        <v>2.1594579745385142E-3</v>
      </c>
    </row>
    <row r="69" spans="5:24" x14ac:dyDescent="0.2">
      <c r="E69">
        <v>78.18152522169855</v>
      </c>
      <c r="F69">
        <v>69.966912371482934</v>
      </c>
      <c r="G69">
        <v>34.885269945814038</v>
      </c>
      <c r="I69">
        <f t="shared" si="13"/>
        <v>34.983456185741467</v>
      </c>
      <c r="J69">
        <f t="shared" si="14"/>
        <v>17.442634972907019</v>
      </c>
      <c r="M69">
        <f t="shared" si="15"/>
        <v>39.090762610849275</v>
      </c>
      <c r="N69">
        <f t="shared" si="16"/>
        <v>-39.090762610849275</v>
      </c>
      <c r="O69">
        <f t="shared" si="17"/>
        <v>2.6545015887993624</v>
      </c>
      <c r="P69">
        <f t="shared" si="18"/>
        <v>-2.6545015887993624</v>
      </c>
      <c r="Q69">
        <f>'lever arm selection'!$J$6/O69</f>
        <v>9.0789171502814927</v>
      </c>
      <c r="S69">
        <f t="shared" si="19"/>
        <v>273.63533827594495</v>
      </c>
      <c r="T69">
        <f t="shared" si="20"/>
        <v>22.297813345914651</v>
      </c>
      <c r="U69">
        <f>'lever arm selection'!$J$6/pulley!T69</f>
        <v>1.080823470271606</v>
      </c>
      <c r="W69">
        <f t="shared" si="21"/>
        <v>4.5307603315356318E-4</v>
      </c>
      <c r="X69">
        <f t="shared" si="22"/>
        <v>2.1143548213832953E-3</v>
      </c>
    </row>
    <row r="70" spans="5:24" x14ac:dyDescent="0.2">
      <c r="E70">
        <v>76.234810550898928</v>
      </c>
      <c r="F70">
        <v>67.838669244395348</v>
      </c>
      <c r="G70">
        <v>34.780185377323392</v>
      </c>
      <c r="I70">
        <f t="shared" si="13"/>
        <v>33.919334622197674</v>
      </c>
      <c r="J70">
        <f t="shared" si="14"/>
        <v>17.390092688661696</v>
      </c>
      <c r="M70">
        <f t="shared" si="15"/>
        <v>38.117405275449464</v>
      </c>
      <c r="N70">
        <f t="shared" si="16"/>
        <v>-38.117405275449464</v>
      </c>
      <c r="O70">
        <f t="shared" si="17"/>
        <v>2.5884046794346114</v>
      </c>
      <c r="P70">
        <f t="shared" si="18"/>
        <v>-2.5884046794346114</v>
      </c>
      <c r="Q70">
        <f>'lever arm selection'!$J$6/O70</f>
        <v>9.3107543003145068</v>
      </c>
      <c r="S70">
        <f t="shared" si="19"/>
        <v>266.82183692814624</v>
      </c>
      <c r="T70">
        <f t="shared" si="20"/>
        <v>21.742599307250739</v>
      </c>
      <c r="U70">
        <f>'lever arm selection'!$J$6/pulley!T70</f>
        <v>1.108423130989822</v>
      </c>
      <c r="W70">
        <f t="shared" si="21"/>
        <v>4.4179447068434005E-4</v>
      </c>
      <c r="X70">
        <f t="shared" si="22"/>
        <v>2.0617075298602536E-3</v>
      </c>
    </row>
    <row r="71" spans="5:24" x14ac:dyDescent="0.2">
      <c r="E71">
        <v>70.52858002959276</v>
      </c>
      <c r="F71">
        <v>62.503094110861916</v>
      </c>
      <c r="G71">
        <v>32.674819472483833</v>
      </c>
      <c r="I71">
        <f t="shared" si="13"/>
        <v>31.251547055430958</v>
      </c>
      <c r="J71">
        <f t="shared" si="14"/>
        <v>16.337409736241916</v>
      </c>
      <c r="M71">
        <f t="shared" si="15"/>
        <v>35.26429001479638</v>
      </c>
      <c r="N71">
        <f t="shared" si="16"/>
        <v>-35.26429001479638</v>
      </c>
      <c r="O71">
        <f t="shared" si="17"/>
        <v>2.3946607234052308</v>
      </c>
      <c r="P71">
        <f t="shared" si="18"/>
        <v>-2.3946607234052308</v>
      </c>
      <c r="Q71">
        <f>'lever arm selection'!$J$6/O71</f>
        <v>10.064056158122295</v>
      </c>
      <c r="S71">
        <f t="shared" si="19"/>
        <v>246.85003010357465</v>
      </c>
      <c r="T71">
        <f t="shared" si="20"/>
        <v>20.115150076603943</v>
      </c>
      <c r="U71">
        <f>'lever arm selection'!$J$6/pulley!T71</f>
        <v>1.1981019235859871</v>
      </c>
      <c r="W71">
        <f t="shared" si="21"/>
        <v>4.0872583609935438E-4</v>
      </c>
      <c r="X71">
        <f t="shared" si="22"/>
        <v>1.9073872351303206E-3</v>
      </c>
    </row>
    <row r="72" spans="5:24" x14ac:dyDescent="0.2">
      <c r="E72">
        <v>66.390877774152827</v>
      </c>
      <c r="F72">
        <v>58.437176121688594</v>
      </c>
      <c r="G72">
        <v>31.509444592776436</v>
      </c>
      <c r="I72">
        <f t="shared" si="13"/>
        <v>29.218588060844297</v>
      </c>
      <c r="J72">
        <f t="shared" si="14"/>
        <v>15.754722296388218</v>
      </c>
      <c r="M72">
        <f t="shared" si="15"/>
        <v>33.195438887076413</v>
      </c>
      <c r="N72">
        <f t="shared" si="16"/>
        <v>-33.195438887076413</v>
      </c>
      <c r="O72">
        <f t="shared" si="17"/>
        <v>2.2541730931128048</v>
      </c>
      <c r="P72">
        <f t="shared" si="18"/>
        <v>-2.2541730931128048</v>
      </c>
      <c r="Q72">
        <f>'lever arm selection'!$J$6/O72</f>
        <v>10.691281904496574</v>
      </c>
      <c r="S72">
        <f t="shared" si="19"/>
        <v>232.36807220953489</v>
      </c>
      <c r="T72">
        <f t="shared" si="20"/>
        <v>18.935053982147561</v>
      </c>
      <c r="U72">
        <f>'lever arm selection'!$J$6/pulley!T72</f>
        <v>1.2727716552972113</v>
      </c>
      <c r="W72">
        <f t="shared" si="21"/>
        <v>3.8474710558790393E-4</v>
      </c>
      <c r="X72">
        <f t="shared" si="22"/>
        <v>1.7954864927435519E-3</v>
      </c>
    </row>
    <row r="73" spans="5:24" x14ac:dyDescent="0.2">
      <c r="E73">
        <v>62.23392770491359</v>
      </c>
      <c r="F73">
        <v>54.534043263867297</v>
      </c>
      <c r="G73">
        <v>29.984994295064677</v>
      </c>
      <c r="I73">
        <f t="shared" si="13"/>
        <v>27.267021631933648</v>
      </c>
      <c r="J73">
        <f t="shared" si="14"/>
        <v>14.992497147532339</v>
      </c>
      <c r="M73">
        <f t="shared" si="15"/>
        <v>31.116963852456795</v>
      </c>
      <c r="N73">
        <f t="shared" si="16"/>
        <v>-31.116963852456795</v>
      </c>
      <c r="O73">
        <f t="shared" si="17"/>
        <v>2.1130319407489386</v>
      </c>
      <c r="P73">
        <f t="shared" si="18"/>
        <v>-2.1130319407489386</v>
      </c>
      <c r="Q73">
        <f>'lever arm selection'!$J$6/O73</f>
        <v>11.405412069378396</v>
      </c>
      <c r="S73">
        <f t="shared" si="19"/>
        <v>217.81874696719757</v>
      </c>
      <c r="T73">
        <f t="shared" si="20"/>
        <v>17.749468302291088</v>
      </c>
      <c r="U73">
        <f>'lever arm selection'!$J$6/pulley!T73</f>
        <v>1.3577871511164754</v>
      </c>
      <c r="W73">
        <f t="shared" si="21"/>
        <v>3.6065683052550828E-4</v>
      </c>
      <c r="X73">
        <f t="shared" si="22"/>
        <v>1.6830652091190386E-3</v>
      </c>
    </row>
    <row r="74" spans="5:24" x14ac:dyDescent="0.2">
      <c r="E74">
        <v>57.091207646269282</v>
      </c>
      <c r="F74">
        <v>49.619660210900129</v>
      </c>
      <c r="G74">
        <v>28.236418169878611</v>
      </c>
      <c r="I74">
        <f t="shared" si="13"/>
        <v>24.809830105450065</v>
      </c>
      <c r="J74">
        <f t="shared" si="14"/>
        <v>14.118209084939306</v>
      </c>
      <c r="M74">
        <f t="shared" si="15"/>
        <v>28.545603823134641</v>
      </c>
      <c r="N74">
        <f t="shared" si="16"/>
        <v>-28.545603823134641</v>
      </c>
      <c r="O74">
        <f t="shared" si="17"/>
        <v>1.938420886184441</v>
      </c>
      <c r="P74">
        <f t="shared" si="18"/>
        <v>-1.938420886184441</v>
      </c>
      <c r="Q74">
        <f>'lever arm selection'!$J$6/O74</f>
        <v>12.432800415929322</v>
      </c>
      <c r="S74">
        <f t="shared" si="19"/>
        <v>199.8192267619425</v>
      </c>
      <c r="T74">
        <f t="shared" si="20"/>
        <v>16.282735443949306</v>
      </c>
      <c r="U74">
        <f>'lever arm selection'!$J$6/pulley!T74</f>
        <v>1.4800952876106332</v>
      </c>
      <c r="W74">
        <f t="shared" si="21"/>
        <v>3.3085384066079861E-4</v>
      </c>
      <c r="X74">
        <f t="shared" si="22"/>
        <v>1.5439845897503939E-3</v>
      </c>
    </row>
    <row r="75" spans="5:24" x14ac:dyDescent="0.2">
      <c r="E75">
        <v>49.017414094282422</v>
      </c>
      <c r="F75">
        <v>42.192419405658576</v>
      </c>
      <c r="G75">
        <v>24.950082749108518</v>
      </c>
      <c r="I75">
        <f t="shared" si="13"/>
        <v>21.096209702829288</v>
      </c>
      <c r="J75">
        <f t="shared" si="14"/>
        <v>12.475041374554259</v>
      </c>
      <c r="M75">
        <f t="shared" si="15"/>
        <v>24.508707047141211</v>
      </c>
      <c r="N75">
        <f t="shared" si="16"/>
        <v>-24.508707047141211</v>
      </c>
      <c r="O75">
        <f t="shared" si="17"/>
        <v>1.664290933479976</v>
      </c>
      <c r="P75">
        <f t="shared" si="18"/>
        <v>-1.664290933479976</v>
      </c>
      <c r="Q75">
        <f>'lever arm selection'!$J$6/O75</f>
        <v>14.480641284037832</v>
      </c>
      <c r="S75">
        <f t="shared" si="19"/>
        <v>171.56094932998849</v>
      </c>
      <c r="T75">
        <f t="shared" si="20"/>
        <v>13.980043841231801</v>
      </c>
      <c r="U75">
        <f>'lever arm selection'!$J$6/pulley!T75</f>
        <v>1.7238858671473607</v>
      </c>
      <c r="W75">
        <f t="shared" si="21"/>
        <v>2.840647514909219E-4</v>
      </c>
      <c r="X75">
        <f t="shared" si="22"/>
        <v>1.3256355069576353E-3</v>
      </c>
    </row>
    <row r="76" spans="5:24" x14ac:dyDescent="0.2">
      <c r="E76">
        <v>44.702198935905855</v>
      </c>
      <c r="F76">
        <v>38.215086019216088</v>
      </c>
      <c r="G76">
        <v>23.192537382727608</v>
      </c>
      <c r="I76">
        <f t="shared" si="13"/>
        <v>19.107543009608044</v>
      </c>
      <c r="J76">
        <f t="shared" si="14"/>
        <v>11.596268691363804</v>
      </c>
      <c r="M76">
        <f t="shared" si="15"/>
        <v>22.351099467952928</v>
      </c>
      <c r="N76">
        <f t="shared" si="16"/>
        <v>-22.351099467952928</v>
      </c>
      <c r="O76">
        <f t="shared" si="17"/>
        <v>1.517776197915025</v>
      </c>
      <c r="P76">
        <f t="shared" si="18"/>
        <v>-1.517776197915025</v>
      </c>
      <c r="Q76">
        <f>'lever arm selection'!$J$6/O76</f>
        <v>15.878493834009429</v>
      </c>
      <c r="S76">
        <f t="shared" si="19"/>
        <v>156.45769627567049</v>
      </c>
      <c r="T76">
        <f t="shared" si="20"/>
        <v>12.749320062486213</v>
      </c>
      <c r="U76">
        <f>'lever arm selection'!$J$6/pulley!T76</f>
        <v>1.8902968850011224</v>
      </c>
      <c r="W76">
        <f t="shared" si="21"/>
        <v>2.5905730170508993E-4</v>
      </c>
      <c r="X76">
        <f t="shared" si="22"/>
        <v>1.208934074623753E-3</v>
      </c>
    </row>
    <row r="77" spans="5:24" x14ac:dyDescent="0.2">
      <c r="E77">
        <v>35.322544788438883</v>
      </c>
      <c r="F77">
        <v>29.93557921082089</v>
      </c>
      <c r="G77">
        <v>18.74948713015743</v>
      </c>
      <c r="I77">
        <f t="shared" si="13"/>
        <v>14.967789605410445</v>
      </c>
      <c r="J77">
        <f t="shared" si="14"/>
        <v>9.374743565078715</v>
      </c>
      <c r="M77">
        <f t="shared" si="15"/>
        <v>17.661272394219441</v>
      </c>
      <c r="N77">
        <f t="shared" si="16"/>
        <v>-17.661272394219441</v>
      </c>
      <c r="O77">
        <f t="shared" si="17"/>
        <v>1.199308289208515</v>
      </c>
      <c r="P77">
        <f t="shared" si="18"/>
        <v>-1.199308289208515</v>
      </c>
      <c r="Q77">
        <f>'lever arm selection'!$J$6/O77</f>
        <v>20.094916558864799</v>
      </c>
      <c r="S77">
        <f t="shared" si="19"/>
        <v>123.62890675953609</v>
      </c>
      <c r="T77">
        <f t="shared" si="20"/>
        <v>10.074189629351528</v>
      </c>
      <c r="U77">
        <f>'lever arm selection'!$J$6/pulley!T77</f>
        <v>2.3922519712934278</v>
      </c>
      <c r="W77">
        <f t="shared" si="21"/>
        <v>2.0470051496505279E-4</v>
      </c>
      <c r="X77">
        <f t="shared" si="22"/>
        <v>9.5526906983691307E-4</v>
      </c>
    </row>
    <row r="78" spans="5:24" x14ac:dyDescent="0.2">
      <c r="E78">
        <v>29.827466781825713</v>
      </c>
      <c r="F78">
        <v>24.97674280873569</v>
      </c>
      <c r="G78">
        <v>16.304603438513499</v>
      </c>
      <c r="I78">
        <f t="shared" si="13"/>
        <v>12.488371404367845</v>
      </c>
      <c r="J78">
        <f t="shared" si="14"/>
        <v>8.1523017192567497</v>
      </c>
      <c r="M78">
        <f t="shared" si="15"/>
        <v>14.913733390912856</v>
      </c>
      <c r="N78">
        <f t="shared" si="16"/>
        <v>-14.913733390912856</v>
      </c>
      <c r="O78">
        <f t="shared" si="17"/>
        <v>1.0127336060238654</v>
      </c>
      <c r="P78">
        <f t="shared" si="18"/>
        <v>-1.0127336060238654</v>
      </c>
      <c r="Q78">
        <f>'lever arm selection'!$J$6/O78</f>
        <v>23.796978649321208</v>
      </c>
      <c r="S78">
        <f t="shared" si="19"/>
        <v>104.39613373639</v>
      </c>
      <c r="T78">
        <f t="shared" si="20"/>
        <v>8.5069622906004714</v>
      </c>
      <c r="U78">
        <f>'lever arm selection'!$J$6/pulley!T78</f>
        <v>2.8329736487287147</v>
      </c>
      <c r="W78">
        <f t="shared" si="21"/>
        <v>1.7285554726909519E-4</v>
      </c>
      <c r="X78">
        <f t="shared" si="22"/>
        <v>8.0665922058911093E-4</v>
      </c>
    </row>
    <row r="79" spans="5:24" x14ac:dyDescent="0.2">
      <c r="E79">
        <v>26.417017365883837</v>
      </c>
      <c r="F79">
        <v>21.969580770551918</v>
      </c>
      <c r="G79">
        <v>14.669571475527279</v>
      </c>
      <c r="I79">
        <f t="shared" si="13"/>
        <v>10.984790385275959</v>
      </c>
      <c r="J79">
        <f t="shared" si="14"/>
        <v>7.3347857377636396</v>
      </c>
      <c r="M79">
        <f t="shared" si="15"/>
        <v>13.208508682941918</v>
      </c>
      <c r="N79">
        <f t="shared" si="16"/>
        <v>-13.208508682941918</v>
      </c>
      <c r="O79">
        <f t="shared" si="17"/>
        <v>0.89693843104530191</v>
      </c>
      <c r="P79">
        <f t="shared" si="18"/>
        <v>-0.89693843104530191</v>
      </c>
      <c r="Q79">
        <f>'lever arm selection'!$J$6/O79</f>
        <v>26.869179829783405</v>
      </c>
      <c r="S79">
        <f t="shared" si="19"/>
        <v>92.459560780593421</v>
      </c>
      <c r="T79">
        <f t="shared" si="20"/>
        <v>7.5342828207805361</v>
      </c>
      <c r="U79">
        <f>'lever arm selection'!$J$6/pulley!T79</f>
        <v>3.1987118844980245</v>
      </c>
      <c r="W79">
        <f t="shared" si="21"/>
        <v>1.5309137807101235E-4</v>
      </c>
      <c r="X79">
        <f t="shared" si="22"/>
        <v>7.1442643099805766E-4</v>
      </c>
    </row>
    <row r="80" spans="5:24" x14ac:dyDescent="0.2">
      <c r="E80">
        <v>21.94204732903976</v>
      </c>
      <c r="F80">
        <v>18.092469140999782</v>
      </c>
      <c r="G80">
        <v>12.414346594637653</v>
      </c>
      <c r="I80">
        <f t="shared" si="13"/>
        <v>9.046234570499891</v>
      </c>
      <c r="J80">
        <f t="shared" si="14"/>
        <v>6.2071732973188265</v>
      </c>
      <c r="M80">
        <f t="shared" si="15"/>
        <v>10.97102366451988</v>
      </c>
      <c r="N80">
        <f t="shared" si="16"/>
        <v>-10.97102366451988</v>
      </c>
      <c r="O80">
        <f t="shared" si="17"/>
        <v>0.74499952938090597</v>
      </c>
      <c r="P80">
        <f t="shared" si="18"/>
        <v>-0.74499952938090597</v>
      </c>
      <c r="Q80">
        <f>'lever arm selection'!$J$6/O80</f>
        <v>32.349013723575212</v>
      </c>
      <c r="S80">
        <f t="shared" si="19"/>
        <v>76.797165651639162</v>
      </c>
      <c r="T80">
        <f t="shared" si="20"/>
        <v>6.2579960467996116</v>
      </c>
      <c r="U80">
        <f>'lever arm selection'!$J$6/pulley!T80</f>
        <v>3.8510730623303813</v>
      </c>
      <c r="W80">
        <f t="shared" si="21"/>
        <v>1.271581199639979E-4</v>
      </c>
      <c r="X80">
        <f t="shared" si="22"/>
        <v>5.9340455983199019E-4</v>
      </c>
    </row>
    <row r="81" spans="5:24" x14ac:dyDescent="0.2">
      <c r="E81">
        <v>17.595765126559055</v>
      </c>
      <c r="F81">
        <v>14.410187035511157</v>
      </c>
      <c r="G81">
        <v>10.097398674441745</v>
      </c>
      <c r="I81">
        <f t="shared" si="13"/>
        <v>7.2050935177555786</v>
      </c>
      <c r="J81">
        <f t="shared" si="14"/>
        <v>5.0486993372208726</v>
      </c>
      <c r="M81">
        <f t="shared" si="15"/>
        <v>8.7978825632795274</v>
      </c>
      <c r="N81">
        <f t="shared" si="16"/>
        <v>-8.7978825632795274</v>
      </c>
      <c r="O81">
        <f t="shared" si="17"/>
        <v>0.59742997277351739</v>
      </c>
      <c r="P81">
        <f t="shared" si="18"/>
        <v>-0.59742997277351739</v>
      </c>
      <c r="Q81">
        <f>'lever arm selection'!$J$6/O81</f>
        <v>40.33945583298712</v>
      </c>
      <c r="S81">
        <f t="shared" si="19"/>
        <v>61.58517794295669</v>
      </c>
      <c r="T81">
        <f t="shared" si="20"/>
        <v>5.0184117712975471</v>
      </c>
      <c r="U81">
        <f>'lever arm selection'!$J$6/pulley!T81</f>
        <v>4.8023161705937039</v>
      </c>
      <c r="W81">
        <f t="shared" si="21"/>
        <v>1.0197063105684418E-4</v>
      </c>
      <c r="X81">
        <f t="shared" si="22"/>
        <v>4.7586294493193963E-4</v>
      </c>
    </row>
    <row r="82" spans="5:24" x14ac:dyDescent="0.2">
      <c r="E82">
        <v>16.710405864628736</v>
      </c>
      <c r="F82">
        <v>13.628813193644346</v>
      </c>
      <c r="G82">
        <v>9.6691837863060748</v>
      </c>
      <c r="I82">
        <f t="shared" si="13"/>
        <v>6.814406596822173</v>
      </c>
      <c r="J82">
        <f t="shared" si="14"/>
        <v>4.8345918931530374</v>
      </c>
      <c r="M82">
        <f t="shared" si="15"/>
        <v>8.3552029323143682</v>
      </c>
      <c r="N82">
        <f t="shared" si="16"/>
        <v>-8.3552029323143682</v>
      </c>
      <c r="O82">
        <f t="shared" si="17"/>
        <v>0.56736932147785823</v>
      </c>
      <c r="P82">
        <f t="shared" si="18"/>
        <v>-0.56736932147785823</v>
      </c>
      <c r="Q82">
        <f>'lever arm selection'!$J$6/O82</f>
        <v>42.476741493927449</v>
      </c>
      <c r="S82">
        <f t="shared" si="19"/>
        <v>58.486420526200575</v>
      </c>
      <c r="T82">
        <f t="shared" si="20"/>
        <v>4.7659023004140098</v>
      </c>
      <c r="U82">
        <f>'lever arm selection'!$J$6/pulley!T82</f>
        <v>5.056754939753267</v>
      </c>
      <c r="W82">
        <f t="shared" si="21"/>
        <v>9.6839814522200473E-5</v>
      </c>
      <c r="X82">
        <f t="shared" si="22"/>
        <v>4.519191344369356E-4</v>
      </c>
    </row>
    <row r="83" spans="5:24" x14ac:dyDescent="0.2">
      <c r="E83">
        <v>11.31057578576708</v>
      </c>
      <c r="F83">
        <v>9.1738292772046055</v>
      </c>
      <c r="G83">
        <v>6.6158885267425891</v>
      </c>
      <c r="I83">
        <f t="shared" si="13"/>
        <v>4.5869146386023028</v>
      </c>
      <c r="J83">
        <f t="shared" si="14"/>
        <v>3.3079442633712945</v>
      </c>
      <c r="M83">
        <f t="shared" si="15"/>
        <v>5.6552878928835399</v>
      </c>
      <c r="N83">
        <f t="shared" si="16"/>
        <v>-5.6552878928835399</v>
      </c>
      <c r="O83">
        <f t="shared" si="17"/>
        <v>0.38402859637767017</v>
      </c>
      <c r="P83">
        <f t="shared" si="18"/>
        <v>-0.38402859637767017</v>
      </c>
      <c r="Q83">
        <f>'lever arm selection'!$J$6/O83</f>
        <v>62.75574326318926</v>
      </c>
      <c r="S83">
        <f t="shared" si="19"/>
        <v>39.587015250184777</v>
      </c>
      <c r="T83">
        <f t="shared" si="20"/>
        <v>3.2258402095724295</v>
      </c>
      <c r="U83">
        <f>'lever arm selection'!$J$6/pulley!T83</f>
        <v>7.4709218170463405</v>
      </c>
      <c r="W83">
        <f t="shared" si="21"/>
        <v>6.5546825738772144E-5</v>
      </c>
      <c r="X83">
        <f t="shared" si="22"/>
        <v>3.0588518678093674E-4</v>
      </c>
    </row>
    <row r="84" spans="5:24" x14ac:dyDescent="0.2">
      <c r="E84">
        <v>9.0895617888777576</v>
      </c>
      <c r="F84">
        <v>7.3479471826012386</v>
      </c>
      <c r="G84">
        <v>5.3504958382872454</v>
      </c>
      <c r="I84">
        <f t="shared" si="13"/>
        <v>3.6739735913006193</v>
      </c>
      <c r="J84">
        <f t="shared" si="14"/>
        <v>2.6752479191436227</v>
      </c>
      <c r="M84">
        <f t="shared" si="15"/>
        <v>4.5447808944388788</v>
      </c>
      <c r="N84">
        <f t="shared" si="16"/>
        <v>-4.5447808944388788</v>
      </c>
      <c r="O84">
        <f t="shared" si="17"/>
        <v>0.30861838703767591</v>
      </c>
      <c r="P84">
        <f t="shared" si="18"/>
        <v>-0.30861838703767591</v>
      </c>
      <c r="Q84">
        <f>'lever arm selection'!$J$6/O84</f>
        <v>78.089968103740659</v>
      </c>
      <c r="S84">
        <f t="shared" si="19"/>
        <v>31.813466261072151</v>
      </c>
      <c r="T84">
        <f t="shared" si="20"/>
        <v>2.592394451116478</v>
      </c>
      <c r="U84">
        <f>'lever arm selection'!$J$6/pulley!T84</f>
        <v>9.2964247742548398</v>
      </c>
      <c r="W84">
        <f t="shared" si="21"/>
        <v>5.2675649224427703E-5</v>
      </c>
      <c r="X84">
        <f t="shared" si="22"/>
        <v>2.4581969638066259E-4</v>
      </c>
    </row>
    <row r="85" spans="5:24" x14ac:dyDescent="0.2">
      <c r="E85">
        <v>7.7798175242194647</v>
      </c>
      <c r="F85">
        <v>6.2691696050379671</v>
      </c>
      <c r="G85">
        <v>4.6068506784375352</v>
      </c>
      <c r="I85">
        <f t="shared" si="13"/>
        <v>3.1345848025189835</v>
      </c>
      <c r="J85">
        <f t="shared" si="14"/>
        <v>2.3034253392187676</v>
      </c>
      <c r="M85">
        <f t="shared" si="15"/>
        <v>3.8899087621097324</v>
      </c>
      <c r="N85">
        <f t="shared" si="16"/>
        <v>-3.8899087621097324</v>
      </c>
      <c r="O85">
        <f t="shared" si="17"/>
        <v>0.26414856860426217</v>
      </c>
      <c r="P85">
        <f t="shared" si="18"/>
        <v>-0.26414856860426217</v>
      </c>
      <c r="Q85">
        <f>'lever arm selection'!$J$6/O85</f>
        <v>91.236534528058527</v>
      </c>
      <c r="S85">
        <f t="shared" si="19"/>
        <v>27.229361334768125</v>
      </c>
      <c r="T85">
        <f t="shared" si="20"/>
        <v>2.2188479762758022</v>
      </c>
      <c r="U85">
        <f>'lever arm selection'!$J$6/pulley!T85</f>
        <v>10.861492205721254</v>
      </c>
      <c r="W85">
        <f t="shared" si="21"/>
        <v>4.5085445091235454E-5</v>
      </c>
      <c r="X85">
        <f t="shared" si="22"/>
        <v>2.1039874375909884E-4</v>
      </c>
    </row>
    <row r="86" spans="5:24" x14ac:dyDescent="0.2">
      <c r="E86">
        <v>2.9862722745100641</v>
      </c>
      <c r="F86">
        <v>2.3959144828753289</v>
      </c>
      <c r="G86">
        <v>1.7825307538036355</v>
      </c>
      <c r="I86">
        <f t="shared" si="13"/>
        <v>1.1979572414376645</v>
      </c>
      <c r="J86">
        <f t="shared" si="14"/>
        <v>0.89126537690181773</v>
      </c>
      <c r="M86">
        <f t="shared" si="15"/>
        <v>1.493136137255032</v>
      </c>
      <c r="N86">
        <f t="shared" si="16"/>
        <v>-1.493136137255032</v>
      </c>
      <c r="O86">
        <f t="shared" si="17"/>
        <v>0.10139306536673154</v>
      </c>
      <c r="P86">
        <f t="shared" si="18"/>
        <v>-0.10139306536673154</v>
      </c>
      <c r="Q86">
        <f>'lever arm selection'!$J$6/O86</f>
        <v>237.68883910188541</v>
      </c>
      <c r="S86">
        <f t="shared" si="19"/>
        <v>10.451952960785224</v>
      </c>
      <c r="T86">
        <f t="shared" si="20"/>
        <v>0.85170174908054497</v>
      </c>
      <c r="U86">
        <f>'lever arm selection'!$J$6/pulley!T86</f>
        <v>28.296290369272068</v>
      </c>
      <c r="W86">
        <f t="shared" si="21"/>
        <v>1.7305986193218619E-5</v>
      </c>
      <c r="X86">
        <f t="shared" si="22"/>
        <v>8.0761268901686896E-5</v>
      </c>
    </row>
    <row r="87" spans="5:24" x14ac:dyDescent="0.2">
      <c r="E87">
        <v>1.931450808367202</v>
      </c>
      <c r="F87">
        <v>1.5468287611073983</v>
      </c>
      <c r="G87">
        <v>1.1566429911399929</v>
      </c>
      <c r="I87">
        <f t="shared" si="13"/>
        <v>0.77341438055369915</v>
      </c>
      <c r="J87">
        <f t="shared" si="14"/>
        <v>0.57832149556999646</v>
      </c>
      <c r="M87">
        <f t="shared" si="15"/>
        <v>0.96572540418360098</v>
      </c>
      <c r="N87">
        <f t="shared" si="16"/>
        <v>-0.96572540418360098</v>
      </c>
      <c r="O87">
        <f t="shared" si="17"/>
        <v>6.5578654611301815E-2</v>
      </c>
      <c r="P87">
        <f t="shared" si="18"/>
        <v>-6.5578654611301815E-2</v>
      </c>
      <c r="Q87">
        <f>'lever arm selection'!$J$6/O87</f>
        <v>367.49762773947805</v>
      </c>
      <c r="S87">
        <f t="shared" si="19"/>
        <v>6.7600778292852066</v>
      </c>
      <c r="T87">
        <f t="shared" si="20"/>
        <v>0.55086069873493526</v>
      </c>
      <c r="U87">
        <f>'lever arm selection'!$J$6/pulley!T87</f>
        <v>43.7497175880331</v>
      </c>
      <c r="W87">
        <f t="shared" si="21"/>
        <v>1.1193105634672123E-5</v>
      </c>
      <c r="X87">
        <f t="shared" si="22"/>
        <v>5.2234492961803249E-5</v>
      </c>
    </row>
    <row r="88" spans="5:24" x14ac:dyDescent="0.2">
      <c r="E88">
        <v>0.16812259167648477</v>
      </c>
      <c r="F88">
        <v>0.13455228234076405</v>
      </c>
      <c r="G88">
        <v>0.10080123585010921</v>
      </c>
      <c r="I88">
        <f t="shared" si="13"/>
        <v>6.7276141170382026E-2</v>
      </c>
      <c r="J88">
        <f t="shared" si="14"/>
        <v>5.0400617925054604E-2</v>
      </c>
      <c r="M88">
        <f t="shared" si="15"/>
        <v>8.4061295838242386E-2</v>
      </c>
      <c r="N88">
        <f t="shared" si="16"/>
        <v>-8.4061295838242386E-2</v>
      </c>
      <c r="O88">
        <f t="shared" si="17"/>
        <v>5.7082755222896834E-3</v>
      </c>
      <c r="P88">
        <f t="shared" si="18"/>
        <v>-5.7082755222896834E-3</v>
      </c>
      <c r="Q88">
        <f>'lever arm selection'!$J$6/O88</f>
        <v>4221.9405678465037</v>
      </c>
      <c r="S88">
        <f t="shared" si="19"/>
        <v>0.58842907086769669</v>
      </c>
      <c r="T88">
        <f t="shared" si="20"/>
        <v>4.7949514387233341E-2</v>
      </c>
      <c r="U88">
        <f>'lever arm selection'!$J$6/pulley!T88</f>
        <v>502.61197236267896</v>
      </c>
      <c r="W88">
        <f t="shared" si="21"/>
        <v>9.7430072775220139E-7</v>
      </c>
      <c r="X88">
        <f t="shared" si="22"/>
        <v>4.5467367295102736E-6</v>
      </c>
    </row>
    <row r="89" spans="5:24" x14ac:dyDescent="0.2">
      <c r="E89">
        <v>5.3556666501583507E-2</v>
      </c>
      <c r="F89">
        <v>4.2802089127991418E-2</v>
      </c>
      <c r="G89">
        <v>3.2191577983089241E-2</v>
      </c>
      <c r="I89">
        <f t="shared" si="13"/>
        <v>2.1401044563995709E-2</v>
      </c>
      <c r="J89">
        <f t="shared" si="14"/>
        <v>1.609578899154462E-2</v>
      </c>
      <c r="M89">
        <f t="shared" si="15"/>
        <v>2.6778333250791753E-2</v>
      </c>
      <c r="N89">
        <f t="shared" si="16"/>
        <v>-2.6778333250791753E-2</v>
      </c>
      <c r="O89">
        <f t="shared" si="17"/>
        <v>1.8184124179735765E-3</v>
      </c>
      <c r="P89">
        <f t="shared" si="18"/>
        <v>-1.8184124179735765E-3</v>
      </c>
      <c r="Q89">
        <f>'lever arm selection'!$J$6/O89</f>
        <v>13253.319083058637</v>
      </c>
      <c r="S89">
        <f t="shared" si="19"/>
        <v>0.18744833275554226</v>
      </c>
      <c r="T89">
        <f t="shared" si="20"/>
        <v>1.5274664310978044E-2</v>
      </c>
      <c r="U89">
        <f>'lever arm selection'!$J$6/pulley!T89</f>
        <v>1577.7760813165044</v>
      </c>
      <c r="W89">
        <f t="shared" si="21"/>
        <v>3.103705375235016E-7</v>
      </c>
      <c r="X89">
        <f t="shared" si="22"/>
        <v>1.4483958417763411E-6</v>
      </c>
    </row>
    <row r="90" spans="5:24" x14ac:dyDescent="0.2">
      <c r="E90">
        <v>4.5147854229539659</v>
      </c>
      <c r="F90">
        <v>3.6143549261884487</v>
      </c>
      <c r="G90">
        <v>2.7054991929133738</v>
      </c>
      <c r="I90">
        <f t="shared" si="13"/>
        <v>1.8071774630942243</v>
      </c>
      <c r="J90">
        <f t="shared" si="14"/>
        <v>1.3527495964566869</v>
      </c>
      <c r="M90">
        <f t="shared" si="15"/>
        <v>2.2573927114769829</v>
      </c>
      <c r="N90">
        <f t="shared" si="16"/>
        <v>-2.2573927114769829</v>
      </c>
      <c r="O90">
        <f t="shared" si="17"/>
        <v>0.15329075563996949</v>
      </c>
      <c r="P90">
        <f t="shared" si="18"/>
        <v>-0.15329075563996949</v>
      </c>
      <c r="Q90">
        <f>'lever arm selection'!$J$6/O90</f>
        <v>157.21756931385428</v>
      </c>
      <c r="S90">
        <f t="shared" si="19"/>
        <v>15.80174898033888</v>
      </c>
      <c r="T90">
        <f t="shared" si="20"/>
        <v>1.2876423473757439</v>
      </c>
      <c r="U90">
        <f>'lever arm selection'!$J$6/pulley!T90</f>
        <v>18.716377299268363</v>
      </c>
      <c r="W90">
        <f t="shared" si="21"/>
        <v>2.6163995447402632E-5</v>
      </c>
      <c r="X90">
        <f t="shared" si="22"/>
        <v>1.2209864542121228E-4</v>
      </c>
    </row>
    <row r="91" spans="5:24" x14ac:dyDescent="0.2">
      <c r="E91">
        <v>3.7685407221170379</v>
      </c>
      <c r="F91">
        <v>3.0222858027116533</v>
      </c>
      <c r="G91">
        <v>2.251152527258423</v>
      </c>
      <c r="I91">
        <f t="shared" si="13"/>
        <v>1.5111429013558266</v>
      </c>
      <c r="J91">
        <f t="shared" si="14"/>
        <v>1.1255762636292115</v>
      </c>
      <c r="M91">
        <f t="shared" si="15"/>
        <v>1.884270361058519</v>
      </c>
      <c r="N91">
        <f t="shared" si="16"/>
        <v>-1.884270361058519</v>
      </c>
      <c r="O91">
        <f t="shared" si="17"/>
        <v>0.1279534686225125</v>
      </c>
      <c r="P91">
        <f t="shared" si="18"/>
        <v>-0.1279534686225125</v>
      </c>
      <c r="Q91">
        <f>'lever arm selection'!$J$6/O91</f>
        <v>188.34972009316658</v>
      </c>
      <c r="S91">
        <f t="shared" si="19"/>
        <v>13.189892527409633</v>
      </c>
      <c r="T91">
        <f t="shared" si="20"/>
        <v>1.074809136429105</v>
      </c>
      <c r="U91">
        <f>'lever arm selection'!$J$6/pulley!T91</f>
        <v>22.422585725376972</v>
      </c>
      <c r="W91">
        <f t="shared" si="21"/>
        <v>2.1839372873740885E-5</v>
      </c>
      <c r="X91">
        <f t="shared" si="22"/>
        <v>1.019170734107908E-4</v>
      </c>
    </row>
    <row r="92" spans="5:24" x14ac:dyDescent="0.2">
      <c r="E92">
        <v>2.9829732138997236</v>
      </c>
      <c r="F92">
        <v>2.3948179702532633</v>
      </c>
      <c r="G92">
        <v>1.7784757755435656</v>
      </c>
      <c r="I92">
        <f t="shared" si="13"/>
        <v>1.1974089851266316</v>
      </c>
      <c r="J92">
        <f t="shared" si="14"/>
        <v>0.88923788777178281</v>
      </c>
      <c r="M92">
        <f t="shared" si="15"/>
        <v>1.4914866069498618</v>
      </c>
      <c r="N92">
        <f t="shared" si="16"/>
        <v>-1.4914866069498618</v>
      </c>
      <c r="O92">
        <f t="shared" si="17"/>
        <v>0.10128105218194317</v>
      </c>
      <c r="P92">
        <f t="shared" si="18"/>
        <v>-0.10128105218194317</v>
      </c>
      <c r="Q92">
        <f>'lever arm selection'!$J$6/O92</f>
        <v>237.95171437107814</v>
      </c>
      <c r="S92">
        <f t="shared" si="19"/>
        <v>10.440406248649033</v>
      </c>
      <c r="T92">
        <f t="shared" si="20"/>
        <v>0.85076083832832283</v>
      </c>
      <c r="U92">
        <f>'lever arm selection'!$J$6/pulley!T92</f>
        <v>28.327585044175962</v>
      </c>
      <c r="W92">
        <f t="shared" si="21"/>
        <v>1.7286867542230068E-5</v>
      </c>
      <c r="X92">
        <f t="shared" si="22"/>
        <v>8.0672048530406991E-5</v>
      </c>
    </row>
    <row r="93" spans="5:24" x14ac:dyDescent="0.2">
      <c r="E93">
        <v>10.024185342462973</v>
      </c>
      <c r="F93">
        <v>8.1059218063671601</v>
      </c>
      <c r="G93">
        <v>5.8973149355542196</v>
      </c>
      <c r="I93">
        <f t="shared" si="13"/>
        <v>4.05296090318358</v>
      </c>
      <c r="J93">
        <f t="shared" si="14"/>
        <v>2.9486574677771098</v>
      </c>
      <c r="M93">
        <f t="shared" si="15"/>
        <v>5.0120926712314864</v>
      </c>
      <c r="N93">
        <f t="shared" si="16"/>
        <v>-5.0120926712314864</v>
      </c>
      <c r="O93">
        <f t="shared" si="17"/>
        <v>0.34035171151409188</v>
      </c>
      <c r="P93">
        <f t="shared" si="18"/>
        <v>-0.34035171151409188</v>
      </c>
      <c r="Q93">
        <f>'lever arm selection'!$J$6/O93</f>
        <v>70.80910477220317</v>
      </c>
      <c r="S93">
        <f t="shared" si="19"/>
        <v>35.084648698620406</v>
      </c>
      <c r="T93">
        <f t="shared" si="20"/>
        <v>2.8589543767183723</v>
      </c>
      <c r="U93">
        <f>'lever arm selection'!$J$6/pulley!T93</f>
        <v>8.4296553300241861</v>
      </c>
      <c r="W93">
        <f t="shared" si="21"/>
        <v>5.8091961210532958E-5</v>
      </c>
      <c r="X93">
        <f t="shared" si="22"/>
        <v>2.7109581898248714E-4</v>
      </c>
    </row>
    <row r="94" spans="5:24" x14ac:dyDescent="0.2">
      <c r="E94">
        <v>10.493899834122395</v>
      </c>
      <c r="F94">
        <v>8.5151184234678503</v>
      </c>
      <c r="G94">
        <v>6.1330817671797284</v>
      </c>
      <c r="I94">
        <f t="shared" si="13"/>
        <v>4.2575592117339252</v>
      </c>
      <c r="J94">
        <f t="shared" si="14"/>
        <v>3.0665408835898642</v>
      </c>
      <c r="M94">
        <f t="shared" si="15"/>
        <v>5.2469499170611975</v>
      </c>
      <c r="N94">
        <f t="shared" si="16"/>
        <v>-5.2469499170611975</v>
      </c>
      <c r="O94">
        <f t="shared" si="17"/>
        <v>0.35629995326118391</v>
      </c>
      <c r="P94">
        <f t="shared" si="18"/>
        <v>-0.35629995326118391</v>
      </c>
      <c r="Q94">
        <f>'lever arm selection'!$J$6/O94</f>
        <v>67.639638398531076</v>
      </c>
      <c r="S94">
        <f t="shared" si="19"/>
        <v>36.728649419428379</v>
      </c>
      <c r="T94">
        <f t="shared" si="20"/>
        <v>2.992919607393945</v>
      </c>
      <c r="U94">
        <f>'lever arm selection'!$J$6/pulley!T94</f>
        <v>8.0523379045870325</v>
      </c>
      <c r="W94">
        <f t="shared" si="21"/>
        <v>6.0814041369398017E-5</v>
      </c>
      <c r="X94">
        <f t="shared" si="22"/>
        <v>2.8379885972385741E-4</v>
      </c>
    </row>
    <row r="95" spans="5:24" x14ac:dyDescent="0.2">
      <c r="E95">
        <v>12.481519009097147</v>
      </c>
      <c r="F95">
        <v>10.140336637824744</v>
      </c>
      <c r="G95">
        <v>7.27749198873091</v>
      </c>
      <c r="I95">
        <f t="shared" si="13"/>
        <v>5.0701683189123719</v>
      </c>
      <c r="J95">
        <f t="shared" si="14"/>
        <v>3.638745994365455</v>
      </c>
      <c r="M95">
        <f t="shared" si="15"/>
        <v>6.2407595045485733</v>
      </c>
      <c r="N95">
        <f t="shared" si="16"/>
        <v>-6.2407595045485733</v>
      </c>
      <c r="O95">
        <f t="shared" si="17"/>
        <v>0.42378569548656347</v>
      </c>
      <c r="P95">
        <f t="shared" si="18"/>
        <v>-0.42378569548656347</v>
      </c>
      <c r="Q95">
        <f>'lever arm selection'!$J$6/O95</f>
        <v>56.868365913884688</v>
      </c>
      <c r="S95">
        <f t="shared" si="19"/>
        <v>43.685316531840016</v>
      </c>
      <c r="T95">
        <f t="shared" si="20"/>
        <v>3.5597998420871337</v>
      </c>
      <c r="U95">
        <f>'lever arm selection'!$J$6/pulley!T95</f>
        <v>6.7700435611767471</v>
      </c>
      <c r="W95">
        <f t="shared" si="21"/>
        <v>7.2332652814542615E-5</v>
      </c>
      <c r="X95">
        <f t="shared" si="22"/>
        <v>3.3755237980119887E-4</v>
      </c>
    </row>
    <row r="96" spans="5:24" x14ac:dyDescent="0.2">
      <c r="E96">
        <v>11.072707435150507</v>
      </c>
      <c r="F96">
        <v>9.0103950337792487</v>
      </c>
      <c r="G96">
        <v>6.4356531354388231</v>
      </c>
      <c r="I96">
        <f t="shared" si="13"/>
        <v>4.5051975168896243</v>
      </c>
      <c r="J96">
        <f t="shared" si="14"/>
        <v>3.2178265677194116</v>
      </c>
      <c r="M96">
        <f t="shared" si="15"/>
        <v>5.5363537175752535</v>
      </c>
      <c r="N96">
        <f t="shared" si="16"/>
        <v>-5.5363537175752535</v>
      </c>
      <c r="O96">
        <f t="shared" si="17"/>
        <v>0.37595223929911148</v>
      </c>
      <c r="P96">
        <f t="shared" si="18"/>
        <v>-0.37595223929911148</v>
      </c>
      <c r="Q96">
        <f>'lever arm selection'!$J$6/O96</f>
        <v>64.103887357951848</v>
      </c>
      <c r="S96">
        <f t="shared" si="19"/>
        <v>38.754476023026776</v>
      </c>
      <c r="T96">
        <f t="shared" si="20"/>
        <v>3.1579988101125371</v>
      </c>
      <c r="U96">
        <f>'lever arm selection'!$J$6/pulley!T96</f>
        <v>7.6314151616609331</v>
      </c>
      <c r="W96">
        <f t="shared" si="21"/>
        <v>6.4168335764260552E-5</v>
      </c>
      <c r="X96">
        <f t="shared" si="22"/>
        <v>2.9945223356654926E-4</v>
      </c>
    </row>
    <row r="97" spans="5:24" x14ac:dyDescent="0.2">
      <c r="E97">
        <v>11.801323915465918</v>
      </c>
      <c r="F97">
        <v>9.5988188841245901</v>
      </c>
      <c r="G97">
        <v>6.8654149319266207</v>
      </c>
      <c r="I97">
        <f t="shared" si="13"/>
        <v>4.799409442062295</v>
      </c>
      <c r="J97">
        <f t="shared" si="14"/>
        <v>3.4327074659633103</v>
      </c>
      <c r="M97">
        <f t="shared" si="15"/>
        <v>5.9006619577329591</v>
      </c>
      <c r="N97">
        <f t="shared" si="16"/>
        <v>-5.9006619577329591</v>
      </c>
      <c r="O97">
        <f t="shared" si="17"/>
        <v>0.40069099438400035</v>
      </c>
      <c r="P97">
        <f t="shared" si="18"/>
        <v>-0.40069099438400035</v>
      </c>
      <c r="Q97">
        <f>'lever arm selection'!$J$6/O97</f>
        <v>60.146098459362626</v>
      </c>
      <c r="S97">
        <f t="shared" si="19"/>
        <v>41.304633704130715</v>
      </c>
      <c r="T97">
        <f t="shared" si="20"/>
        <v>3.3658043528256036</v>
      </c>
      <c r="U97">
        <f>'lever arm selection'!$J$6/pulley!T97</f>
        <v>7.1602498165907873</v>
      </c>
      <c r="W97">
        <f t="shared" si="21"/>
        <v>6.839079962200064E-5</v>
      </c>
      <c r="X97">
        <f t="shared" si="22"/>
        <v>3.191570649026697E-4</v>
      </c>
    </row>
    <row r="98" spans="5:24" x14ac:dyDescent="0.2">
      <c r="E98">
        <v>9.0730799163917446</v>
      </c>
      <c r="F98">
        <v>7.373779747242124</v>
      </c>
      <c r="G98">
        <v>5.2866011206060461</v>
      </c>
      <c r="I98">
        <f t="shared" si="13"/>
        <v>3.686889873621062</v>
      </c>
      <c r="J98">
        <f t="shared" si="14"/>
        <v>2.6433005603030231</v>
      </c>
      <c r="M98">
        <f t="shared" si="15"/>
        <v>4.5365399581958723</v>
      </c>
      <c r="N98">
        <f t="shared" si="16"/>
        <v>-4.5365399581958723</v>
      </c>
      <c r="O98">
        <f t="shared" si="17"/>
        <v>0.30805877712246327</v>
      </c>
      <c r="P98">
        <f t="shared" si="18"/>
        <v>-0.30805877712246327</v>
      </c>
      <c r="Q98">
        <f>'lever arm selection'!$J$6/O98</f>
        <v>78.23182389125526</v>
      </c>
      <c r="S98">
        <f t="shared" si="19"/>
        <v>31.755779707371104</v>
      </c>
      <c r="T98">
        <f t="shared" si="20"/>
        <v>2.5876937278286918</v>
      </c>
      <c r="U98">
        <f>'lever arm selection'!$J$6/pulley!T98</f>
        <v>9.3133123680065779</v>
      </c>
      <c r="W98">
        <f t="shared" si="21"/>
        <v>5.2580133802034368E-5</v>
      </c>
      <c r="X98">
        <f t="shared" si="22"/>
        <v>2.4537395774282706E-4</v>
      </c>
    </row>
    <row r="99" spans="5:24" x14ac:dyDescent="0.2">
      <c r="E99">
        <v>8.1442023717103318</v>
      </c>
      <c r="F99">
        <v>6.6170074939171633</v>
      </c>
      <c r="G99">
        <v>4.7479726301671423</v>
      </c>
      <c r="I99">
        <f t="shared" si="13"/>
        <v>3.3085037469585816</v>
      </c>
      <c r="J99">
        <f t="shared" si="14"/>
        <v>2.3739863150835712</v>
      </c>
      <c r="M99">
        <f t="shared" si="15"/>
        <v>4.0721011858551659</v>
      </c>
      <c r="N99">
        <f t="shared" si="16"/>
        <v>-4.0721011858551659</v>
      </c>
      <c r="O99">
        <f t="shared" si="17"/>
        <v>0.27652054719966651</v>
      </c>
      <c r="P99">
        <f t="shared" si="18"/>
        <v>-0.27652054719966651</v>
      </c>
      <c r="Q99">
        <f>'lever arm selection'!$J$6/O99</f>
        <v>87.154463724528128</v>
      </c>
      <c r="S99">
        <f t="shared" si="19"/>
        <v>28.504708300986159</v>
      </c>
      <c r="T99">
        <f t="shared" si="20"/>
        <v>2.3227725964771988</v>
      </c>
      <c r="U99">
        <f>'lever arm selection'!$J$6/pulley!T99</f>
        <v>10.375531395777157</v>
      </c>
      <c r="W99">
        <f t="shared" si="21"/>
        <v>4.719712097341188E-5</v>
      </c>
      <c r="X99">
        <f t="shared" si="22"/>
        <v>2.2025323120925544E-4</v>
      </c>
    </row>
    <row r="100" spans="5:24" x14ac:dyDescent="0.2">
      <c r="E100">
        <v>9.3477776244060902</v>
      </c>
      <c r="F100">
        <v>7.6080848477569285</v>
      </c>
      <c r="G100">
        <v>5.4312053417891129</v>
      </c>
      <c r="I100">
        <f t="shared" si="13"/>
        <v>3.8040424238784643</v>
      </c>
      <c r="J100">
        <f t="shared" si="14"/>
        <v>2.7156026708945564</v>
      </c>
      <c r="M100">
        <f t="shared" si="15"/>
        <v>4.6738888122030451</v>
      </c>
      <c r="N100">
        <f t="shared" si="16"/>
        <v>-4.6738888122030451</v>
      </c>
      <c r="O100">
        <f t="shared" si="17"/>
        <v>0.31738560338091598</v>
      </c>
      <c r="P100">
        <f t="shared" si="18"/>
        <v>-0.31738560338091598</v>
      </c>
      <c r="Q100">
        <f>'lever arm selection'!$J$6/O100</f>
        <v>75.932870751783781</v>
      </c>
      <c r="S100">
        <f t="shared" si="19"/>
        <v>32.717221685421315</v>
      </c>
      <c r="T100">
        <f t="shared" si="20"/>
        <v>2.6660390683996948</v>
      </c>
      <c r="U100">
        <f>'lever arm selection'!$J$6/pulley!T100</f>
        <v>9.0396274704504478</v>
      </c>
      <c r="W100">
        <f t="shared" si="21"/>
        <v>5.4172056542228916E-5</v>
      </c>
      <c r="X100">
        <f t="shared" si="22"/>
        <v>2.5280293053040164E-4</v>
      </c>
    </row>
    <row r="101" spans="5:24" x14ac:dyDescent="0.2">
      <c r="E101">
        <v>9.8492460597512768</v>
      </c>
      <c r="F101">
        <v>8.0334736384421728</v>
      </c>
      <c r="G101">
        <v>5.6983286361862922</v>
      </c>
      <c r="I101">
        <f t="shared" si="13"/>
        <v>4.0167368192210864</v>
      </c>
      <c r="J101">
        <f t="shared" si="14"/>
        <v>2.8491643180931461</v>
      </c>
      <c r="M101">
        <f t="shared" si="15"/>
        <v>4.9246230298756384</v>
      </c>
      <c r="N101">
        <f t="shared" si="16"/>
        <v>-4.9246230298756384</v>
      </c>
      <c r="O101">
        <f t="shared" si="17"/>
        <v>0.33441198850939496</v>
      </c>
      <c r="P101">
        <f t="shared" si="18"/>
        <v>-0.33441198850939496</v>
      </c>
      <c r="Q101">
        <f>'lever arm selection'!$J$6/O101</f>
        <v>72.066794337796111</v>
      </c>
      <c r="S101">
        <f t="shared" si="19"/>
        <v>34.472361209129467</v>
      </c>
      <c r="T101">
        <f t="shared" si="20"/>
        <v>2.8090607034789179</v>
      </c>
      <c r="U101">
        <f>'lever arm selection'!$J$6/pulley!T101</f>
        <v>8.5793802783090598</v>
      </c>
      <c r="W101">
        <f t="shared" si="21"/>
        <v>5.7078156529324887E-5</v>
      </c>
      <c r="X101">
        <f t="shared" si="22"/>
        <v>2.6636473047018282E-4</v>
      </c>
    </row>
    <row r="102" spans="5:24" x14ac:dyDescent="0.2">
      <c r="E102">
        <v>11.782959182931339</v>
      </c>
      <c r="F102">
        <v>9.6219742341223373</v>
      </c>
      <c r="G102">
        <v>6.8011571768715813</v>
      </c>
      <c r="I102">
        <f t="shared" si="13"/>
        <v>4.8109871170611687</v>
      </c>
      <c r="J102">
        <f t="shared" si="14"/>
        <v>3.4005785884357906</v>
      </c>
      <c r="M102">
        <f t="shared" si="15"/>
        <v>5.8914795914656697</v>
      </c>
      <c r="N102">
        <f t="shared" si="16"/>
        <v>-5.8914795914656697</v>
      </c>
      <c r="O102">
        <f t="shared" si="17"/>
        <v>0.4000674556188934</v>
      </c>
      <c r="P102">
        <f t="shared" si="18"/>
        <v>-0.4000674556188934</v>
      </c>
      <c r="Q102">
        <f>'lever arm selection'!$J$6/O102</f>
        <v>60.239841210572756</v>
      </c>
      <c r="S102">
        <f t="shared" si="19"/>
        <v>41.24035714025969</v>
      </c>
      <c r="T102">
        <f t="shared" si="20"/>
        <v>3.3605666271987054</v>
      </c>
      <c r="U102">
        <f>'lever arm selection'!$J$6/pulley!T102</f>
        <v>7.1714096679253263</v>
      </c>
      <c r="W102">
        <f t="shared" si="21"/>
        <v>6.8284372686185581E-5</v>
      </c>
      <c r="X102">
        <f t="shared" si="22"/>
        <v>3.1866040586886609E-4</v>
      </c>
    </row>
    <row r="103" spans="5:24" x14ac:dyDescent="0.2">
      <c r="E103">
        <v>8.3099734257111617</v>
      </c>
      <c r="F103">
        <v>6.7843216526351151</v>
      </c>
      <c r="G103">
        <v>4.7988163175529071</v>
      </c>
      <c r="I103">
        <f t="shared" si="13"/>
        <v>3.3921608263175576</v>
      </c>
      <c r="J103">
        <f t="shared" si="14"/>
        <v>2.3994081587764535</v>
      </c>
      <c r="M103">
        <f t="shared" si="15"/>
        <v>4.1549867128555809</v>
      </c>
      <c r="N103">
        <f t="shared" si="16"/>
        <v>-4.1549867128555809</v>
      </c>
      <c r="O103">
        <f t="shared" si="17"/>
        <v>0.28214898083503409</v>
      </c>
      <c r="P103">
        <f t="shared" si="18"/>
        <v>-0.28214898083503409</v>
      </c>
      <c r="Q103">
        <f>'lever arm selection'!$J$6/O103</f>
        <v>85.415867633740305</v>
      </c>
      <c r="S103">
        <f t="shared" si="19"/>
        <v>29.084906989989065</v>
      </c>
      <c r="T103">
        <f t="shared" si="20"/>
        <v>2.3700514390142868</v>
      </c>
      <c r="U103">
        <f>'lever arm selection'!$J$6/pulley!T103</f>
        <v>10.168555670683368</v>
      </c>
      <c r="W103">
        <f t="shared" si="21"/>
        <v>4.8157794116400594E-5</v>
      </c>
      <c r="X103">
        <f t="shared" si="22"/>
        <v>2.2473637254320281E-4</v>
      </c>
    </row>
    <row r="104" spans="5:24" x14ac:dyDescent="0.2">
      <c r="E104">
        <v>12.424998534690186</v>
      </c>
      <c r="F104">
        <v>10.134833568981877</v>
      </c>
      <c r="G104">
        <v>7.1878882236781703</v>
      </c>
      <c r="I104">
        <f t="shared" si="13"/>
        <v>5.0674167844909386</v>
      </c>
      <c r="J104">
        <f t="shared" si="14"/>
        <v>3.5939441118390851</v>
      </c>
      <c r="M104">
        <f t="shared" si="15"/>
        <v>6.2124992673450929</v>
      </c>
      <c r="N104">
        <f t="shared" si="16"/>
        <v>-6.2124992673450929</v>
      </c>
      <c r="O104">
        <f t="shared" si="17"/>
        <v>0.42186665273717316</v>
      </c>
      <c r="P104">
        <f t="shared" si="18"/>
        <v>-0.42186665273717316</v>
      </c>
      <c r="Q104">
        <f>'lever arm selection'!$J$6/O104</f>
        <v>57.127056247829394</v>
      </c>
      <c r="S104">
        <f t="shared" si="19"/>
        <v>43.487494871415649</v>
      </c>
      <c r="T104">
        <f t="shared" si="20"/>
        <v>3.5436798829922553</v>
      </c>
      <c r="U104">
        <f>'lever arm selection'!$J$6/pulley!T104</f>
        <v>6.8008400295034974</v>
      </c>
      <c r="W104">
        <f t="shared" si="21"/>
        <v>7.2005106475894873E-5</v>
      </c>
      <c r="X104">
        <f t="shared" si="22"/>
        <v>3.3602383022084278E-4</v>
      </c>
    </row>
    <row r="105" spans="5:24" x14ac:dyDescent="0.2">
      <c r="E105">
        <v>12.00821180334086</v>
      </c>
      <c r="F105">
        <v>9.7743135518091222</v>
      </c>
      <c r="G105">
        <v>6.975668090212956</v>
      </c>
      <c r="I105">
        <f t="shared" si="13"/>
        <v>4.8871567759045611</v>
      </c>
      <c r="J105">
        <f t="shared" si="14"/>
        <v>3.487834045106478</v>
      </c>
      <c r="M105">
        <f t="shared" si="15"/>
        <v>6.0041059016704299</v>
      </c>
      <c r="N105">
        <f t="shared" si="16"/>
        <v>-6.0041059016704299</v>
      </c>
      <c r="O105">
        <f t="shared" si="17"/>
        <v>0.40771547012184328</v>
      </c>
      <c r="P105">
        <f t="shared" si="18"/>
        <v>-0.40771547012184328</v>
      </c>
      <c r="Q105">
        <f>'lever arm selection'!$J$6/O105</f>
        <v>59.109849309367299</v>
      </c>
      <c r="S105">
        <f t="shared" si="19"/>
        <v>42.028741311693011</v>
      </c>
      <c r="T105">
        <f t="shared" si="20"/>
        <v>3.424809949023484</v>
      </c>
      <c r="U105">
        <f>'lever arm selection'!$J$6/pulley!T105</f>
        <v>7.0368868225437247</v>
      </c>
      <c r="W105">
        <f t="shared" si="21"/>
        <v>6.9589752229795029E-5</v>
      </c>
      <c r="X105">
        <f t="shared" si="22"/>
        <v>3.2475217707237682E-4</v>
      </c>
    </row>
    <row r="106" spans="5:24" x14ac:dyDescent="0.2">
      <c r="E106">
        <v>15.968394366081062</v>
      </c>
      <c r="F106">
        <v>13.029042148498608</v>
      </c>
      <c r="G106">
        <v>9.2322087998125451</v>
      </c>
      <c r="I106">
        <f t="shared" si="13"/>
        <v>6.5145210742493038</v>
      </c>
      <c r="J106">
        <f t="shared" si="14"/>
        <v>4.6161043999062725</v>
      </c>
      <c r="M106">
        <f t="shared" si="15"/>
        <v>7.9841971830405312</v>
      </c>
      <c r="N106">
        <f t="shared" si="16"/>
        <v>-7.9841971830405312</v>
      </c>
      <c r="O106">
        <f t="shared" si="17"/>
        <v>0.54217576460854899</v>
      </c>
      <c r="P106">
        <f t="shared" si="18"/>
        <v>-0.54217576460854899</v>
      </c>
      <c r="Q106">
        <f>'lever arm selection'!$J$6/O106</f>
        <v>44.450529833992498</v>
      </c>
      <c r="S106">
        <f t="shared" si="19"/>
        <v>55.889380281283721</v>
      </c>
      <c r="T106">
        <f t="shared" si="20"/>
        <v>4.5542764227118129</v>
      </c>
      <c r="U106">
        <f>'lever arm selection'!$J$6/pulley!T106</f>
        <v>5.2917297421419622</v>
      </c>
      <c r="W106">
        <f t="shared" si="21"/>
        <v>9.2539724118962792E-5</v>
      </c>
      <c r="X106">
        <f t="shared" si="22"/>
        <v>4.3185204588849302E-4</v>
      </c>
    </row>
    <row r="107" spans="5:24" x14ac:dyDescent="0.2">
      <c r="E107">
        <v>16.815998547755964</v>
      </c>
      <c r="F107">
        <v>13.778048920234712</v>
      </c>
      <c r="G107">
        <v>9.6407040774909056</v>
      </c>
      <c r="I107">
        <f t="shared" si="13"/>
        <v>6.8890244601173558</v>
      </c>
      <c r="J107">
        <f t="shared" si="14"/>
        <v>4.8203520387454528</v>
      </c>
      <c r="M107">
        <f t="shared" si="15"/>
        <v>8.4079992738779818</v>
      </c>
      <c r="N107">
        <f t="shared" si="16"/>
        <v>-8.4079992738779818</v>
      </c>
      <c r="O107">
        <f t="shared" si="17"/>
        <v>0.57095451560565225</v>
      </c>
      <c r="P107">
        <f t="shared" si="18"/>
        <v>-0.57095451560565225</v>
      </c>
      <c r="Q107">
        <f>'lever arm selection'!$J$6/O107</f>
        <v>42.210017332878799</v>
      </c>
      <c r="S107">
        <f t="shared" si="19"/>
        <v>58.855994917145871</v>
      </c>
      <c r="T107">
        <f t="shared" si="20"/>
        <v>4.7960179310874791</v>
      </c>
      <c r="U107">
        <f>'lever arm selection'!$J$6/pulley!T107</f>
        <v>5.0250020634379524</v>
      </c>
      <c r="W107">
        <f t="shared" si="21"/>
        <v>9.7451743157075048E-5</v>
      </c>
      <c r="X107">
        <f t="shared" si="22"/>
        <v>4.5477480139968356E-4</v>
      </c>
    </row>
    <row r="108" spans="5:24" x14ac:dyDescent="0.2">
      <c r="E108">
        <v>18.614427188671172</v>
      </c>
      <c r="F108">
        <v>15.307540931838814</v>
      </c>
      <c r="G108">
        <v>10.591321455910016</v>
      </c>
      <c r="I108">
        <f t="shared" si="13"/>
        <v>7.6537704659194068</v>
      </c>
      <c r="J108">
        <f t="shared" si="14"/>
        <v>5.2956607279550081</v>
      </c>
      <c r="M108">
        <f t="shared" si="15"/>
        <v>9.307213594335586</v>
      </c>
      <c r="N108">
        <f t="shared" si="16"/>
        <v>-9.307213594335586</v>
      </c>
      <c r="O108">
        <f t="shared" si="17"/>
        <v>0.63201666131225376</v>
      </c>
      <c r="P108">
        <f t="shared" si="18"/>
        <v>-0.63201666131225376</v>
      </c>
      <c r="Q108">
        <f>'lever arm selection'!$J$6/O108</f>
        <v>38.131906127223395</v>
      </c>
      <c r="S108">
        <f t="shared" si="19"/>
        <v>65.150495160349095</v>
      </c>
      <c r="T108">
        <f t="shared" si="20"/>
        <v>5.3089399550229315</v>
      </c>
      <c r="U108">
        <f>'lever arm selection'!$J$6/pulley!T108</f>
        <v>4.5395126341932608</v>
      </c>
      <c r="W108">
        <f t="shared" si="21"/>
        <v>1.0787396135024824E-4</v>
      </c>
      <c r="X108">
        <f t="shared" si="22"/>
        <v>5.0341181963449184E-4</v>
      </c>
    </row>
    <row r="109" spans="5:24" x14ac:dyDescent="0.2">
      <c r="V109" s="11"/>
      <c r="W109" s="11"/>
      <c r="X109" s="11"/>
    </row>
    <row r="110" spans="5:24" x14ac:dyDescent="0.2">
      <c r="M110">
        <f t="shared" ref="M110:N110" si="23">MAX(M3:M108)</f>
        <v>41.272135092104349</v>
      </c>
      <c r="N110">
        <f t="shared" si="23"/>
        <v>0</v>
      </c>
      <c r="O110">
        <f t="shared" ref="O110:P110" si="24">MAX(O3:O108)</f>
        <v>2.8026301063956836</v>
      </c>
      <c r="P110">
        <f t="shared" si="24"/>
        <v>0</v>
      </c>
      <c r="Q110">
        <f>MAX(Q3:Q108)</f>
        <v>19559.55520378373</v>
      </c>
      <c r="R110" t="s">
        <v>29</v>
      </c>
      <c r="S110">
        <f t="shared" ref="S110:U110" si="25">MAX(S3:S108)</f>
        <v>288.90494564473045</v>
      </c>
      <c r="T110" s="3">
        <f t="shared" si="25"/>
        <v>23.542092893723748</v>
      </c>
      <c r="U110">
        <f t="shared" si="25"/>
        <v>2328.5184766409202</v>
      </c>
      <c r="V110" s="11"/>
      <c r="W110" s="11">
        <f t="shared" ref="V110:X110" si="26">MAX(W3:W108)</f>
        <v>4.7835892672297881E-4</v>
      </c>
      <c r="X110" s="11">
        <f t="shared" si="26"/>
        <v>2.2323416580405679E-3</v>
      </c>
    </row>
    <row r="111" spans="5:24" x14ac:dyDescent="0.2">
      <c r="M111">
        <f t="shared" ref="M111:N111" si="27">MIN(M3:M108)</f>
        <v>0</v>
      </c>
      <c r="N111">
        <f t="shared" si="27"/>
        <v>-41.272135092104349</v>
      </c>
      <c r="O111">
        <f t="shared" ref="O111:P111" si="28">MIN(O3:O108)</f>
        <v>0</v>
      </c>
      <c r="P111">
        <f t="shared" si="28"/>
        <v>-2.8026301063956836</v>
      </c>
      <c r="Q111">
        <f>MIN(Q3:Q108)</f>
        <v>8.5990655509633971</v>
      </c>
      <c r="R111" t="s">
        <v>30</v>
      </c>
      <c r="S111">
        <f t="shared" ref="S111:U111" si="29">MIN(S3:S108)</f>
        <v>0</v>
      </c>
      <c r="T111" s="3">
        <f t="shared" si="29"/>
        <v>0</v>
      </c>
      <c r="U111" s="2">
        <f t="shared" si="29"/>
        <v>1.0236982798765946</v>
      </c>
      <c r="V111" s="11"/>
      <c r="W111" s="11">
        <f t="shared" ref="V111:X111" si="30">MIN(W3:W108)</f>
        <v>0</v>
      </c>
      <c r="X111" s="11">
        <f t="shared" si="30"/>
        <v>0</v>
      </c>
    </row>
    <row r="112" spans="5:24" x14ac:dyDescent="0.2">
      <c r="V112" s="11"/>
      <c r="W112" s="11"/>
      <c r="X112" s="11"/>
    </row>
    <row r="113" spans="17:24" x14ac:dyDescent="0.2">
      <c r="V113" s="11"/>
      <c r="W113" s="11"/>
      <c r="X113" s="11"/>
    </row>
    <row r="114" spans="17:24" x14ac:dyDescent="0.2">
      <c r="R114" t="s">
        <v>789</v>
      </c>
    </row>
    <row r="115" spans="17:24" x14ac:dyDescent="0.2">
      <c r="Q115" t="s">
        <v>790</v>
      </c>
      <c r="R115">
        <f>R117*R118*R119*R120*R121*R122</f>
        <v>26.31776</v>
      </c>
    </row>
    <row r="116" spans="17:24" x14ac:dyDescent="0.2">
      <c r="Q116" t="s">
        <v>805</v>
      </c>
      <c r="R116">
        <f>'lever arm selection'!J7</f>
        <v>75.8</v>
      </c>
    </row>
    <row r="117" spans="17:24" x14ac:dyDescent="0.2">
      <c r="Q117" t="s">
        <v>791</v>
      </c>
      <c r="R117">
        <f>R116/2</f>
        <v>37.9</v>
      </c>
    </row>
    <row r="118" spans="17:24" x14ac:dyDescent="0.2">
      <c r="Q118" t="s">
        <v>793</v>
      </c>
      <c r="R118">
        <v>1</v>
      </c>
      <c r="S118" t="s">
        <v>797</v>
      </c>
    </row>
    <row r="119" spans="17:24" x14ac:dyDescent="0.2">
      <c r="Q119" t="s">
        <v>794</v>
      </c>
      <c r="R119">
        <v>1</v>
      </c>
      <c r="S119" t="s">
        <v>798</v>
      </c>
    </row>
    <row r="120" spans="17:24" x14ac:dyDescent="0.2">
      <c r="Q120" t="s">
        <v>795</v>
      </c>
      <c r="R120">
        <v>0.8</v>
      </c>
      <c r="S120" t="s">
        <v>799</v>
      </c>
    </row>
    <row r="121" spans="17:24" x14ac:dyDescent="0.2">
      <c r="Q121" t="s">
        <v>796</v>
      </c>
      <c r="R121">
        <v>1</v>
      </c>
      <c r="S121" t="s">
        <v>801</v>
      </c>
    </row>
    <row r="122" spans="17:24" x14ac:dyDescent="0.2">
      <c r="Q122" t="s">
        <v>792</v>
      </c>
      <c r="R122">
        <v>0.86799999999999999</v>
      </c>
      <c r="S122" t="s">
        <v>800</v>
      </c>
    </row>
    <row r="124" spans="17:24" x14ac:dyDescent="0.2">
      <c r="Q124" t="s">
        <v>802</v>
      </c>
      <c r="R124">
        <f>(T110+T111)/2</f>
        <v>11.771046446861874</v>
      </c>
    </row>
    <row r="125" spans="17:24" x14ac:dyDescent="0.2">
      <c r="Q125" t="s">
        <v>803</v>
      </c>
      <c r="R125">
        <f>T110-R124</f>
        <v>11.771046446861874</v>
      </c>
    </row>
    <row r="127" spans="17:24" ht="34" x14ac:dyDescent="0.2">
      <c r="Q127" s="1" t="s">
        <v>804</v>
      </c>
      <c r="R127" s="8">
        <f>1/((R125/R115)+(R124/R116))</f>
        <v>1.6595936888438074</v>
      </c>
    </row>
  </sheetData>
  <mergeCells count="3">
    <mergeCell ref="M1:Q1"/>
    <mergeCell ref="S1:U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spring_gait_parameters</vt:lpstr>
      <vt:lpstr>LA stresses + SF</vt:lpstr>
      <vt:lpstr>lever arm selection</vt:lpstr>
      <vt:lpstr>pulley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Rodriguez Munoz</dc:creator>
  <cp:lastModifiedBy>Mariana Rodriguez Munoz</cp:lastModifiedBy>
  <dcterms:created xsi:type="dcterms:W3CDTF">2024-02-02T06:33:12Z</dcterms:created>
  <dcterms:modified xsi:type="dcterms:W3CDTF">2024-02-08T13:44:37Z</dcterms:modified>
</cp:coreProperties>
</file>