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93070A8C-6025-FA40-A344-363CC45907E9}" xr6:coauthVersionLast="47" xr6:coauthVersionMax="47" xr10:uidLastSave="{00000000-0000-0000-0000-000000000000}"/>
  <bookViews>
    <workbookView xWindow="1920" yWindow="2620" windowWidth="32640" windowHeight="16980" activeTab="1" xr2:uid="{F242D5BF-7FE8-8140-BE99-0C3A78D64ADB}"/>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3" i="2" l="1"/>
  <c r="T8" i="2"/>
  <c r="S8" i="2"/>
  <c r="U8" i="2"/>
  <c r="I14" i="2"/>
  <c r="I17" i="2" s="1"/>
  <c r="I19" i="2" s="1"/>
  <c r="I26" i="2" s="1"/>
  <c r="I28" i="2" s="1"/>
  <c r="J14" i="2"/>
  <c r="J17" i="2" s="1"/>
  <c r="J19" i="2" s="1"/>
  <c r="J26" i="2" s="1"/>
  <c r="J28" i="2" s="1"/>
  <c r="C13" i="2"/>
  <c r="D13" i="2"/>
  <c r="E13" i="2"/>
  <c r="F13" i="2"/>
  <c r="G13" i="2"/>
  <c r="H13" i="2"/>
  <c r="I13" i="2"/>
  <c r="J13" i="2"/>
  <c r="C10" i="2"/>
  <c r="C38" i="2" s="1"/>
  <c r="D10" i="2"/>
  <c r="D38" i="2" s="1"/>
  <c r="E10" i="2"/>
  <c r="F10" i="2"/>
  <c r="G10" i="2"/>
  <c r="G38" i="2" s="1"/>
  <c r="H10" i="2"/>
  <c r="H38" i="2" s="1"/>
  <c r="I10" i="2"/>
  <c r="I38" i="2" s="1"/>
  <c r="J10" i="2"/>
  <c r="J38" i="2" s="1"/>
  <c r="K13" i="2"/>
  <c r="U36" i="2"/>
  <c r="S13" i="2"/>
  <c r="T13" i="2"/>
  <c r="T10" i="2"/>
  <c r="T38" i="2" s="1"/>
  <c r="U13" i="2"/>
  <c r="U10" i="2"/>
  <c r="U14" i="2" s="1"/>
  <c r="U17" i="2" s="1"/>
  <c r="U19" i="2" s="1"/>
  <c r="K10" i="2"/>
  <c r="K38" i="2" s="1"/>
  <c r="K4" i="1" a="1"/>
  <c r="K4" i="1" s="1"/>
  <c r="K3" i="1" a="1"/>
  <c r="K3" i="1" s="1"/>
  <c r="F14" i="2" l="1"/>
  <c r="F17" i="2" s="1"/>
  <c r="F19" i="2" s="1"/>
  <c r="F26" i="2" s="1"/>
  <c r="F28" i="2" s="1"/>
  <c r="E14" i="2"/>
  <c r="E17" i="2" s="1"/>
  <c r="E19" i="2" s="1"/>
  <c r="E26" i="2" s="1"/>
  <c r="E28" i="2" s="1"/>
  <c r="T36" i="2"/>
  <c r="S10" i="2"/>
  <c r="S38" i="2" s="1"/>
  <c r="C14" i="2"/>
  <c r="C17" i="2" s="1"/>
  <c r="C19" i="2" s="1"/>
  <c r="C26" i="2" s="1"/>
  <c r="C28" i="2" s="1"/>
  <c r="D14" i="2"/>
  <c r="D17" i="2" s="1"/>
  <c r="D19" i="2" s="1"/>
  <c r="D26" i="2" s="1"/>
  <c r="D28" i="2" s="1"/>
  <c r="K14" i="2"/>
  <c r="K17" i="2" s="1"/>
  <c r="K19" i="2" s="1"/>
  <c r="K21" i="2" s="1"/>
  <c r="U26" i="2"/>
  <c r="U28" i="2" s="1"/>
  <c r="U21" i="2"/>
  <c r="K26" i="2"/>
  <c r="K28" i="2" s="1"/>
  <c r="K29" i="2" s="1"/>
  <c r="U38" i="2"/>
  <c r="H14" i="2"/>
  <c r="H17" i="2" s="1"/>
  <c r="H19" i="2" s="1"/>
  <c r="H26" i="2" s="1"/>
  <c r="H28" i="2" s="1"/>
  <c r="E38" i="2"/>
  <c r="G14" i="2"/>
  <c r="G17" i="2" s="1"/>
  <c r="G19" i="2" s="1"/>
  <c r="G26" i="2" s="1"/>
  <c r="G28" i="2" s="1"/>
  <c r="F38" i="2"/>
  <c r="S14" i="2"/>
  <c r="S17" i="2" s="1"/>
  <c r="S19" i="2" s="1"/>
  <c r="T14" i="2"/>
  <c r="T17" i="2" s="1"/>
  <c r="T19" i="2" s="1"/>
  <c r="K5" i="1"/>
  <c r="K8" i="1" s="1"/>
  <c r="K9" i="1" s="1"/>
  <c r="T26" i="2" l="1"/>
  <c r="T28" i="2" s="1"/>
  <c r="T29" i="2" s="1"/>
  <c r="T21" i="2"/>
  <c r="S26" i="2"/>
  <c r="S28" i="2" s="1"/>
  <c r="S29" i="2" s="1"/>
  <c r="S21" i="2"/>
  <c r="U29" i="2"/>
  <c r="U37" i="2" l="1"/>
  <c r="T37" i="2"/>
  <c r="Z34" i="2"/>
  <c r="Z35" i="2" s="1"/>
  <c r="Z3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<sst xmlns="http://schemas.openxmlformats.org/spreadsheetml/2006/main" count="46" uniqueCount="45">
  <si>
    <t>Price</t>
  </si>
  <si>
    <t>S/O</t>
  </si>
  <si>
    <t>MC</t>
  </si>
  <si>
    <t>Cash</t>
  </si>
  <si>
    <t>Debt</t>
  </si>
  <si>
    <t>EV</t>
  </si>
  <si>
    <t>EV/Share</t>
  </si>
  <si>
    <t>Revenue</t>
  </si>
  <si>
    <t>COGS</t>
  </si>
  <si>
    <t>Gross Profit</t>
  </si>
  <si>
    <t>Gross Profit Margin</t>
  </si>
  <si>
    <t>Main</t>
  </si>
  <si>
    <t>In Millions</t>
  </si>
  <si>
    <t>SG&amp;A</t>
  </si>
  <si>
    <t>Other Operating Expenses</t>
  </si>
  <si>
    <t>Operating Expenses</t>
  </si>
  <si>
    <t>Operating Income</t>
  </si>
  <si>
    <t>Interest Expense</t>
  </si>
  <si>
    <t>Other Expense</t>
  </si>
  <si>
    <t>Pretax Income</t>
  </si>
  <si>
    <t>Income Tax</t>
  </si>
  <si>
    <t>Net Income</t>
  </si>
  <si>
    <t>Shares</t>
  </si>
  <si>
    <t>EPS</t>
  </si>
  <si>
    <t>Dep &amp; Amortization</t>
  </si>
  <si>
    <t>Share-Based Compensation</t>
  </si>
  <si>
    <t>Other Operating Activities</t>
  </si>
  <si>
    <t>Operating Cash Flow</t>
  </si>
  <si>
    <t>Captial Expenditure</t>
  </si>
  <si>
    <t>Free Cash Flow</t>
  </si>
  <si>
    <t>Revenue YoY</t>
  </si>
  <si>
    <t>Growth</t>
  </si>
  <si>
    <t>WACC</t>
  </si>
  <si>
    <t>NPV</t>
  </si>
  <si>
    <t>+Cash</t>
  </si>
  <si>
    <t>-Debt</t>
  </si>
  <si>
    <t>Per Share</t>
  </si>
  <si>
    <t>FCF/Share</t>
  </si>
  <si>
    <t>FCF YoY</t>
  </si>
  <si>
    <t>Stimulation Services</t>
  </si>
  <si>
    <t>Proppant Production</t>
  </si>
  <si>
    <t>Manufacturing</t>
  </si>
  <si>
    <t>Other</t>
  </si>
  <si>
    <t>Eliminations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</si>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</sst>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1" applyNumberFormat="1"/>
    <xf numFmtId="9" fontId="0" fillId="0" borderId="0" xfId="0" applyNumberFormat="1"/>
    <xf numFmtId="3" fontId="1" fillId="0" borderId="0" xfId="0" applyNumberFormat="1" applyFont="1"/>
    <xf numFmtId="4" fontId="0" fillId="0" borderId="0" xfId="0" applyNumberFormat="1"/>
    <xf numFmtId="3" fontId="0" fillId="0" borderId="0" xfId="0" quotePrefix="1" applyNumberFormat="1"/>
    <xf numFmtId="2" fontId="0" fillId="0" borderId="0" xfId="0" applyNumberFormat="1"/>
    <xf numFmtId="3"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21</xdr:col>
      <xdr:colOff>266700</xdr:colOff>
      <xdr:row>0</xdr:row>
      <xdr:rowOff>76200</xdr:rowOff>
    </xdr:from>
    <xdr:to>
      <xdr:col>21</xdr:col>
      <xdr:colOff>266700</xdr:colOff>
      <xdr:row>35</xdr:row>
      <xdr:rowOff>114300</xdr:rowOff>
    </xdr:to>
    <xdr:cxnSp macro="">
      <xdr:nvCxnSpPr>
        <xdr:cNvPr id="3" name="Straight Connector 2">
          <a:extLst>
            <a:ext uri="{FF2B5EF4-FFF2-40B4-BE49-F238E27FC236}">
              <a16:creationId xmlns:a16="http://schemas.microsoft.com/office/drawing/2014/main" id="{05A6D070-B193-AB85-40B3-F2735A199861}"/>
            </a:ext>
          </a:extLst>
        </xdr:cNvPr>
        <xdr:cNvCxnSpPr/>
      </xdr:nvCxnSpPr>
      <xdr:spPr>
        <a:xfrm>
          <a:off x="18097500" y="76200"/>
          <a:ext cx="0" cy="7150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342900</xdr:colOff>
      <xdr:row>0</xdr:row>
      <xdr:rowOff>50800</xdr:rowOff>
    </xdr:from>
    <xdr:to>
      <xdr:col>11</xdr:col>
      <xdr:colOff>342900</xdr:colOff>
      <xdr:row>37</xdr:row>
      <xdr:rowOff>25400</xdr:rowOff>
    </xdr:to>
    <xdr:cxnSp macro="">
      <xdr:nvCxnSpPr>
        <xdr:cNvPr id="5" name="Straight Connector 4">
          <a:extLst>
            <a:ext uri="{FF2B5EF4-FFF2-40B4-BE49-F238E27FC236}">
              <a16:creationId xmlns:a16="http://schemas.microsoft.com/office/drawing/2014/main" id="{729FE6AF-BEF7-3F13-4CDA-053A151B668E}"/>
            </a:ext>
          </a:extLst>
        </xdr:cNvPr>
        <xdr:cNvCxnSpPr/>
      </xdr:nvCxnSpPr>
      <xdr:spPr>
        <a:xfrm>
          <a:off x="9918700" y="50800"/>
          <a:ext cx="0" cy="7493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https://www.bing.com/financeapi/forcetrigger?t=c48jsm&amp;q=XNAS%3aPFHC&amp;form=skydnc</v>
    <v>Learn more on Bing</v>
  </rv>
  <rv s="1">
    <v>0</v>
    <v>ProFrac Holding Corp (XNAS:ACDC)</v>
    <v>2</v>
    <v>3</v>
    <v>Finance</v>
    <v>4</v>
    <v>en-GB</v>
    <v>c48jsm</v>
    <v>268435456</v>
    <v>1</v>
    <v>Powered by Refinitiv</v>
    <v>27</v>
    <v>10.15</v>
    <v>1.2709999999999999</v>
    <v>-0.28000000000000003</v>
    <v>-2.0833000000000001E-2</v>
    <v>USD</v>
    <v>ProFrac Holding Corp. is a vertically integrated energy services company. The Company is engaged in providing hydraulic fracturing, completion services and other complementary products and services to upstream oil and gas companies engaged in the exploration and production (E&amp;P) of North American unconventional oil and natural gas resources. It provides in-basin sand in North America. Its four mines produces approximately 10.4 million tons per year of proppant. Its solutions to the North American Oil and Gas industry include project design and manufacturing, sand and chemical supply, logistics coordination and data reporting, automation technology, emissions reduction, and additive manufacturing. The Company also provides pressure pumping services with operations in the Rockies and Eagle Ford. It operates frac fleets totaling 204,500 hydraulic horsepower that offer opportunity for upgrades through the additions of dynamic gas blending (DGB) engines and engine idle reduction systems.</v>
    <v>3664</v>
    <v>Nasdaq Stock Market</v>
    <v>XNAS</v>
    <v>XNAS</v>
    <v>333 Shops Boulevard, Suite 301, WILLOW PARK, TX, 76087 US</v>
    <v>13.4</v>
    <v>Oil &amp; Gas Related Equipment and Services</v>
    <v>Stock</v>
    <v>45022.996467198434</v>
    <v>0</v>
    <v>13.085000000000001</v>
    <v>2091100000</v>
    <v>ProFrac Holding Corp</v>
    <v>ProFrac Holding Corp</v>
    <v>13.31</v>
    <v>5.0960999999999999</v>
    <v>13.44</v>
    <v>13.16</v>
    <v>158898200</v>
    <v>ACDC</v>
    <v>ProFrac Holding Corp (XNAS:ACDC)</v>
    <v>116</v>
    <v>975933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A925E-F266-5F41-8A47-29036C1351AD}">
  <dimension ref="A1:K9"/>
  <sheetViews>
    <sheetView workbookViewId="0">
      <selection activeCell="K10" sqref="K10"/>
    </sheetView>
  </sheetViews>
  <sheetFormatPr baseColWidth="10" defaultRowHeight="16" x14ac:dyDescent="0.2"/>
  <sheetData>
    <row r="1" spans="1:11" x14ac:dyDescent="0.2">
      <c r="A1" t="e" vm="1">
        <v>#VALUE!</v>
      </c>
    </row>
    <row r="3" spans="1:11" x14ac:dyDescent="0.2">
      <c r="J3" t="s">
        <v>0</v>
      </c>
      <c r="K3" s="1" cm="1">
        <f t="array" ref="K3">_FV(A1,"Price")</f>
        <v>13.16</v>
      </c>
    </row>
    <row r="4" spans="1:11" x14ac:dyDescent="0.2">
      <c r="J4" t="s">
        <v>1</v>
      </c>
      <c r="K4" s="2" cm="1">
        <f t="array" ref="K4">_FV(A1,"Shares outstanding",TRUE)/1000000</f>
        <v>158.8982</v>
      </c>
    </row>
    <row r="5" spans="1:11" x14ac:dyDescent="0.2">
      <c r="J5" t="s">
        <v>2</v>
      </c>
      <c r="K5" s="2">
        <f>K3*K4</f>
        <v>2091.100312</v>
      </c>
    </row>
    <row r="6" spans="1:11" x14ac:dyDescent="0.2">
      <c r="J6" t="s">
        <v>3</v>
      </c>
      <c r="K6" s="2">
        <v>35.1</v>
      </c>
    </row>
    <row r="7" spans="1:11" x14ac:dyDescent="0.2">
      <c r="J7" t="s">
        <v>4</v>
      </c>
      <c r="K7" s="2">
        <v>878.8</v>
      </c>
    </row>
    <row r="8" spans="1:11" x14ac:dyDescent="0.2">
      <c r="J8" t="s">
        <v>5</v>
      </c>
      <c r="K8" s="2">
        <f>K5+K7-K6</f>
        <v>2934.8003119999998</v>
      </c>
    </row>
    <row r="9" spans="1:11" x14ac:dyDescent="0.2">
      <c r="J9" t="s">
        <v>6</v>
      </c>
      <c r="K9" s="2">
        <f>K8/K4</f>
        <v>18.469688844807553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EB36-605D-1B4E-AC2C-AF731EAD0404}">
  <dimension ref="A1:BQ38"/>
  <sheetViews>
    <sheetView tabSelected="1" workbookViewId="0">
      <pane xSplit="2" ySplit="2" topLeftCell="C3" activePane="bottomRight" state="frozen"/>
      <selection pane="topRight" activeCell="C1" sqref="C1"/>
      <selection pane="bottomLeft" activeCell="A3" sqref="A3"/>
      <selection pane="bottomRight" activeCell="Y26" sqref="Y26"/>
    </sheetView>
  </sheetViews>
  <sheetFormatPr baseColWidth="10" defaultRowHeight="16" x14ac:dyDescent="0.2"/>
  <cols>
    <col min="1" max="1" width="5.33203125" style="2" bestFit="1" customWidth="1"/>
    <col min="2" max="2" width="22.83203125" style="2" bestFit="1" customWidth="1"/>
    <col min="3" max="25" width="10.83203125" style="2"/>
    <col min="26" max="26" width="10.83203125" style="2" customWidth="1"/>
    <col min="27" max="16384" width="10.83203125" style="2"/>
  </cols>
  <sheetData>
    <row r="1" spans="1:69" customFormat="1" x14ac:dyDescent="0.2">
      <c r="A1" s="4" t="s">
        <v>11</v>
      </c>
      <c r="B1" t="s">
        <v>12</v>
      </c>
    </row>
    <row r="2" spans="1:69" customFormat="1" x14ac:dyDescent="0.2">
      <c r="J2" s="3">
        <v>44834</v>
      </c>
      <c r="K2" s="3">
        <v>44926</v>
      </c>
      <c r="S2">
        <v>2020</v>
      </c>
      <c r="T2">
        <v>2021</v>
      </c>
      <c r="U2">
        <v>2022</v>
      </c>
      <c r="V2">
        <v>2023</v>
      </c>
      <c r="W2">
        <v>2024</v>
      </c>
      <c r="X2">
        <v>2025</v>
      </c>
      <c r="Y2">
        <v>2026</v>
      </c>
      <c r="Z2">
        <v>2027</v>
      </c>
      <c r="AA2">
        <v>2028</v>
      </c>
      <c r="AB2">
        <v>2029</v>
      </c>
      <c r="AC2">
        <v>2030</v>
      </c>
      <c r="AD2">
        <v>2031</v>
      </c>
      <c r="AE2">
        <v>2032</v>
      </c>
      <c r="AF2">
        <v>2033</v>
      </c>
      <c r="AG2">
        <v>2034</v>
      </c>
      <c r="AH2">
        <v>2035</v>
      </c>
      <c r="AI2">
        <v>2036</v>
      </c>
      <c r="AJ2">
        <v>2037</v>
      </c>
      <c r="AK2">
        <v>2038</v>
      </c>
      <c r="AL2">
        <v>2039</v>
      </c>
      <c r="AM2">
        <v>2040</v>
      </c>
      <c r="AN2">
        <v>2041</v>
      </c>
      <c r="AO2">
        <v>2042</v>
      </c>
      <c r="AP2">
        <v>2043</v>
      </c>
      <c r="AQ2">
        <v>2044</v>
      </c>
      <c r="AR2">
        <v>2045</v>
      </c>
      <c r="AS2">
        <v>2046</v>
      </c>
      <c r="AT2">
        <v>2047</v>
      </c>
      <c r="AU2">
        <v>2048</v>
      </c>
      <c r="AV2">
        <v>2049</v>
      </c>
      <c r="AW2">
        <v>2050</v>
      </c>
      <c r="AX2">
        <v>2051</v>
      </c>
      <c r="AY2">
        <v>2052</v>
      </c>
      <c r="AZ2">
        <v>2053</v>
      </c>
      <c r="BA2">
        <v>2054</v>
      </c>
      <c r="BB2">
        <v>2055</v>
      </c>
      <c r="BC2">
        <v>2056</v>
      </c>
      <c r="BD2">
        <v>2057</v>
      </c>
      <c r="BE2">
        <v>2058</v>
      </c>
      <c r="BF2">
        <v>2059</v>
      </c>
      <c r="BG2">
        <v>2060</v>
      </c>
      <c r="BH2">
        <v>2061</v>
      </c>
      <c r="BI2">
        <v>2062</v>
      </c>
      <c r="BJ2">
        <v>2063</v>
      </c>
      <c r="BK2">
        <v>2064</v>
      </c>
      <c r="BL2">
        <v>2065</v>
      </c>
      <c r="BM2">
        <v>2066</v>
      </c>
      <c r="BN2">
        <v>2067</v>
      </c>
      <c r="BO2">
        <v>2068</v>
      </c>
      <c r="BP2">
        <v>2069</v>
      </c>
      <c r="BQ2">
        <v>2070</v>
      </c>
    </row>
    <row r="3" spans="1:69" x14ac:dyDescent="0.2">
      <c r="B3" s="2" t="s">
        <v>39</v>
      </c>
      <c r="S3" s="2">
        <v>538.29999999999995</v>
      </c>
      <c r="T3" s="2">
        <v>745.4</v>
      </c>
      <c r="U3" s="2">
        <v>2348.6999999999998</v>
      </c>
    </row>
    <row r="4" spans="1:69" x14ac:dyDescent="0.2">
      <c r="B4" s="2" t="s">
        <v>40</v>
      </c>
      <c r="S4" s="2">
        <v>10.199999999999999</v>
      </c>
      <c r="T4" s="2">
        <v>27.2</v>
      </c>
      <c r="U4" s="2">
        <v>90</v>
      </c>
    </row>
    <row r="5" spans="1:69" x14ac:dyDescent="0.2">
      <c r="B5" s="2" t="s">
        <v>41</v>
      </c>
      <c r="S5" s="2">
        <v>46.2</v>
      </c>
      <c r="T5" s="2">
        <v>76.400000000000006</v>
      </c>
      <c r="U5" s="2">
        <v>166.7</v>
      </c>
    </row>
    <row r="6" spans="1:69" x14ac:dyDescent="0.2">
      <c r="B6" s="2" t="s">
        <v>42</v>
      </c>
      <c r="S6" s="10" t="s">
        <v>44</v>
      </c>
      <c r="T6" s="10" t="s">
        <v>44</v>
      </c>
      <c r="U6" s="2">
        <v>111.8</v>
      </c>
    </row>
    <row r="7" spans="1:69" x14ac:dyDescent="0.2">
      <c r="B7" s="2" t="s">
        <v>43</v>
      </c>
      <c r="S7" s="2">
        <v>-47</v>
      </c>
      <c r="T7" s="2">
        <v>-80.599999999999994</v>
      </c>
      <c r="U7" s="2">
        <v>-291.60000000000002</v>
      </c>
    </row>
    <row r="8" spans="1:69" s="6" customFormat="1" x14ac:dyDescent="0.2">
      <c r="B8" s="6" t="s">
        <v>7</v>
      </c>
      <c r="J8" s="6">
        <v>696.73</v>
      </c>
      <c r="K8" s="6">
        <v>794.05</v>
      </c>
      <c r="S8" s="6">
        <f>SUM(S3:S7)</f>
        <v>547.70000000000005</v>
      </c>
      <c r="T8" s="6">
        <f>SUM(T3:T7)</f>
        <v>768.4</v>
      </c>
      <c r="U8" s="6">
        <f>SUM(U3:U7)</f>
        <v>2425.6</v>
      </c>
    </row>
    <row r="9" spans="1:69" x14ac:dyDescent="0.2">
      <c r="B9" s="2" t="s">
        <v>8</v>
      </c>
      <c r="J9" s="2">
        <v>388.07</v>
      </c>
      <c r="K9" s="2">
        <v>477.43</v>
      </c>
      <c r="S9" s="2">
        <v>427</v>
      </c>
      <c r="T9" s="2">
        <v>570.1</v>
      </c>
      <c r="U9" s="2">
        <v>1438.7</v>
      </c>
    </row>
    <row r="10" spans="1:69" x14ac:dyDescent="0.2">
      <c r="B10" s="2" t="s">
        <v>9</v>
      </c>
      <c r="C10" s="2">
        <f t="shared" ref="C10:J10" si="0">C8-C9</f>
        <v>0</v>
      </c>
      <c r="D10" s="2">
        <f t="shared" si="0"/>
        <v>0</v>
      </c>
      <c r="E10" s="2">
        <f t="shared" si="0"/>
        <v>0</v>
      </c>
      <c r="F10" s="2">
        <f t="shared" si="0"/>
        <v>0</v>
      </c>
      <c r="G10" s="2">
        <f t="shared" si="0"/>
        <v>0</v>
      </c>
      <c r="H10" s="2">
        <f t="shared" si="0"/>
        <v>0</v>
      </c>
      <c r="I10" s="2">
        <f t="shared" si="0"/>
        <v>0</v>
      </c>
      <c r="J10" s="2">
        <f t="shared" si="0"/>
        <v>308.66000000000003</v>
      </c>
      <c r="K10" s="2">
        <f>K8-K9</f>
        <v>316.61999999999995</v>
      </c>
      <c r="S10" s="2">
        <f t="shared" ref="S10" si="1">S8-S9</f>
        <v>120.70000000000005</v>
      </c>
      <c r="T10" s="2">
        <f>T8-T9</f>
        <v>198.29999999999995</v>
      </c>
      <c r="U10" s="2">
        <f>U8-U9</f>
        <v>986.89999999999986</v>
      </c>
    </row>
    <row r="11" spans="1:69" x14ac:dyDescent="0.2">
      <c r="B11" s="2" t="s">
        <v>13</v>
      </c>
      <c r="J11" s="2">
        <v>70.290000000000006</v>
      </c>
      <c r="K11" s="2">
        <v>51.14</v>
      </c>
      <c r="S11" s="2">
        <v>48.2</v>
      </c>
      <c r="T11" s="2">
        <v>64.2</v>
      </c>
      <c r="U11" s="2">
        <v>243.1</v>
      </c>
    </row>
    <row r="12" spans="1:69" x14ac:dyDescent="0.2">
      <c r="B12" s="2" t="s">
        <v>14</v>
      </c>
      <c r="K12" s="2">
        <v>151.71</v>
      </c>
      <c r="S12" s="2">
        <v>167.5</v>
      </c>
      <c r="T12" s="2">
        <v>152.1</v>
      </c>
      <c r="U12" s="2">
        <v>331.4</v>
      </c>
    </row>
    <row r="13" spans="1:69" x14ac:dyDescent="0.2">
      <c r="B13" s="2" t="s">
        <v>15</v>
      </c>
      <c r="C13" s="2">
        <f t="shared" ref="C13:J13" si="2">SUM(C11:C12)</f>
        <v>0</v>
      </c>
      <c r="D13" s="2">
        <f t="shared" si="2"/>
        <v>0</v>
      </c>
      <c r="E13" s="2">
        <f t="shared" si="2"/>
        <v>0</v>
      </c>
      <c r="F13" s="2">
        <f t="shared" si="2"/>
        <v>0</v>
      </c>
      <c r="G13" s="2">
        <f t="shared" si="2"/>
        <v>0</v>
      </c>
      <c r="H13" s="2">
        <f t="shared" si="2"/>
        <v>0</v>
      </c>
      <c r="I13" s="2">
        <f t="shared" si="2"/>
        <v>0</v>
      </c>
      <c r="J13" s="2">
        <f t="shared" si="2"/>
        <v>70.290000000000006</v>
      </c>
      <c r="K13" s="2">
        <f>SUM(K11:K12)</f>
        <v>202.85000000000002</v>
      </c>
      <c r="S13" s="2">
        <f t="shared" ref="S13:T13" si="3">SUM(S11:S12)</f>
        <v>215.7</v>
      </c>
      <c r="T13" s="2">
        <f t="shared" si="3"/>
        <v>216.3</v>
      </c>
      <c r="U13" s="2">
        <f>SUM(U11:U12)</f>
        <v>574.5</v>
      </c>
    </row>
    <row r="14" spans="1:69" x14ac:dyDescent="0.2">
      <c r="B14" s="2" t="s">
        <v>16</v>
      </c>
      <c r="C14" s="2">
        <f t="shared" ref="C14:J14" si="4">C10-C13</f>
        <v>0</v>
      </c>
      <c r="D14" s="2">
        <f t="shared" si="4"/>
        <v>0</v>
      </c>
      <c r="E14" s="2">
        <f t="shared" si="4"/>
        <v>0</v>
      </c>
      <c r="F14" s="2">
        <f t="shared" si="4"/>
        <v>0</v>
      </c>
      <c r="G14" s="2">
        <f t="shared" si="4"/>
        <v>0</v>
      </c>
      <c r="H14" s="2">
        <f t="shared" si="4"/>
        <v>0</v>
      </c>
      <c r="I14" s="2">
        <f t="shared" si="4"/>
        <v>0</v>
      </c>
      <c r="J14" s="2">
        <f t="shared" si="4"/>
        <v>238.37</v>
      </c>
      <c r="K14" s="2">
        <f>K10-K13</f>
        <v>113.76999999999992</v>
      </c>
      <c r="S14" s="2">
        <f t="shared" ref="S14:T14" si="5">S10-S13</f>
        <v>-94.999999999999943</v>
      </c>
      <c r="T14" s="2">
        <f t="shared" si="5"/>
        <v>-18.000000000000057</v>
      </c>
      <c r="U14" s="2">
        <f>U10-U13</f>
        <v>412.39999999999986</v>
      </c>
    </row>
    <row r="15" spans="1:69" x14ac:dyDescent="0.2">
      <c r="B15" s="2" t="s">
        <v>17</v>
      </c>
      <c r="K15" s="2">
        <v>20.52</v>
      </c>
      <c r="S15" s="2">
        <v>23.3</v>
      </c>
      <c r="T15" s="2">
        <v>25.8</v>
      </c>
      <c r="U15" s="2">
        <v>59.5</v>
      </c>
    </row>
    <row r="16" spans="1:69" x14ac:dyDescent="0.2">
      <c r="B16" s="2" t="s">
        <v>18</v>
      </c>
      <c r="K16" s="2">
        <v>57.16</v>
      </c>
      <c r="S16" s="2">
        <v>-118.8</v>
      </c>
      <c r="T16" s="2">
        <v>-43.6</v>
      </c>
      <c r="U16" s="2">
        <v>252.3</v>
      </c>
    </row>
    <row r="17" spans="2:26" x14ac:dyDescent="0.2">
      <c r="B17" s="2" t="s">
        <v>19</v>
      </c>
      <c r="C17" s="2">
        <f t="shared" ref="C17:J17" si="6">C14-SUM(C15:C16)</f>
        <v>0</v>
      </c>
      <c r="D17" s="2">
        <f t="shared" si="6"/>
        <v>0</v>
      </c>
      <c r="E17" s="2">
        <f t="shared" si="6"/>
        <v>0</v>
      </c>
      <c r="F17" s="2">
        <f t="shared" si="6"/>
        <v>0</v>
      </c>
      <c r="G17" s="2">
        <f t="shared" si="6"/>
        <v>0</v>
      </c>
      <c r="H17" s="2">
        <f t="shared" si="6"/>
        <v>0</v>
      </c>
      <c r="I17" s="2">
        <f t="shared" si="6"/>
        <v>0</v>
      </c>
      <c r="J17" s="2">
        <f t="shared" si="6"/>
        <v>238.37</v>
      </c>
      <c r="K17" s="2">
        <f>K14-SUM(K15:K16)</f>
        <v>36.089999999999932</v>
      </c>
      <c r="S17" s="2">
        <f t="shared" ref="S17:T17" si="7">S14-SUM(S15:S16)</f>
        <v>0.50000000000005684</v>
      </c>
      <c r="T17" s="2">
        <f t="shared" si="7"/>
        <v>-0.20000000000005613</v>
      </c>
      <c r="U17" s="2">
        <f>U14-SUM(U15:U16)</f>
        <v>100.59999999999985</v>
      </c>
    </row>
    <row r="18" spans="2:26" x14ac:dyDescent="0.2">
      <c r="B18" s="2" t="s">
        <v>20</v>
      </c>
      <c r="K18" s="2">
        <v>-3.92</v>
      </c>
      <c r="S18" s="2">
        <v>0.5</v>
      </c>
      <c r="T18" s="2">
        <v>-0.2</v>
      </c>
      <c r="U18" s="2">
        <v>9.1</v>
      </c>
    </row>
    <row r="19" spans="2:26" x14ac:dyDescent="0.2">
      <c r="B19" s="2" t="s">
        <v>21</v>
      </c>
      <c r="C19" s="2">
        <f t="shared" ref="C19:J19" si="8">C17-C18</f>
        <v>0</v>
      </c>
      <c r="D19" s="2">
        <f t="shared" si="8"/>
        <v>0</v>
      </c>
      <c r="E19" s="2">
        <f t="shared" si="8"/>
        <v>0</v>
      </c>
      <c r="F19" s="2">
        <f t="shared" si="8"/>
        <v>0</v>
      </c>
      <c r="G19" s="2">
        <f t="shared" si="8"/>
        <v>0</v>
      </c>
      <c r="H19" s="2">
        <f t="shared" si="8"/>
        <v>0</v>
      </c>
      <c r="I19" s="2">
        <f t="shared" si="8"/>
        <v>0</v>
      </c>
      <c r="J19" s="2">
        <f t="shared" si="8"/>
        <v>238.37</v>
      </c>
      <c r="K19" s="2">
        <f>K17-K18</f>
        <v>40.009999999999934</v>
      </c>
      <c r="S19" s="2">
        <f t="shared" ref="S19:T19" si="9">S17-S18</f>
        <v>5.6843418860808015E-14</v>
      </c>
      <c r="T19" s="2">
        <f t="shared" si="9"/>
        <v>-5.6121773894801663E-14</v>
      </c>
      <c r="U19" s="2">
        <f>U17-U18</f>
        <v>91.499999999999858</v>
      </c>
    </row>
    <row r="20" spans="2:26" x14ac:dyDescent="0.2">
      <c r="B20" s="2" t="s">
        <v>22</v>
      </c>
      <c r="K20" s="2">
        <v>44.5</v>
      </c>
      <c r="S20" s="2">
        <v>13.99</v>
      </c>
      <c r="T20" s="2">
        <v>14.036</v>
      </c>
      <c r="U20" s="2">
        <v>44.5</v>
      </c>
    </row>
    <row r="21" spans="2:26" x14ac:dyDescent="0.2">
      <c r="B21" s="2" t="s">
        <v>23</v>
      </c>
      <c r="K21" s="7">
        <f>K19/K20</f>
        <v>0.89910112359550409</v>
      </c>
      <c r="S21" s="7">
        <f>S19/S20</f>
        <v>4.0631464518090076E-15</v>
      </c>
      <c r="T21" s="7">
        <f>T19/T20</f>
        <v>-3.9984164929325776E-15</v>
      </c>
      <c r="U21" s="7">
        <f>U19/U20</f>
        <v>2.0561797752808957</v>
      </c>
    </row>
    <row r="23" spans="2:26" x14ac:dyDescent="0.2">
      <c r="B23" s="2" t="s">
        <v>24</v>
      </c>
      <c r="K23" s="2">
        <v>90.26</v>
      </c>
      <c r="S23" s="2">
        <v>150.69999999999999</v>
      </c>
      <c r="T23" s="2">
        <v>140.69999999999999</v>
      </c>
      <c r="U23" s="2">
        <v>267.3</v>
      </c>
    </row>
    <row r="24" spans="2:26" x14ac:dyDescent="0.2">
      <c r="B24" s="2" t="s">
        <v>25</v>
      </c>
      <c r="K24" s="2">
        <v>14.17</v>
      </c>
      <c r="S24" s="2">
        <v>0</v>
      </c>
      <c r="T24" s="2">
        <v>0</v>
      </c>
      <c r="U24" s="2">
        <v>67.400000000000006</v>
      </c>
    </row>
    <row r="25" spans="2:26" x14ac:dyDescent="0.2">
      <c r="B25" s="2" t="s">
        <v>26</v>
      </c>
      <c r="K25" s="2">
        <v>14.09</v>
      </c>
      <c r="S25" s="2">
        <v>-105.6</v>
      </c>
      <c r="T25" s="2">
        <v>-96.8</v>
      </c>
      <c r="U25" s="2">
        <v>-11</v>
      </c>
    </row>
    <row r="26" spans="2:26" x14ac:dyDescent="0.2">
      <c r="B26" s="2" t="s">
        <v>27</v>
      </c>
      <c r="C26" s="2">
        <f t="shared" ref="C26" si="10">C19+SUM(C23:C25)</f>
        <v>0</v>
      </c>
      <c r="D26" s="2">
        <f t="shared" ref="D26" si="11">D19+SUM(D23:D25)</f>
        <v>0</v>
      </c>
      <c r="E26" s="2">
        <f t="shared" ref="E26" si="12">E19+SUM(E23:E25)</f>
        <v>0</v>
      </c>
      <c r="F26" s="2">
        <f t="shared" ref="F26" si="13">F19+SUM(F23:F25)</f>
        <v>0</v>
      </c>
      <c r="G26" s="2">
        <f t="shared" ref="G26" si="14">G19+SUM(G23:G25)</f>
        <v>0</v>
      </c>
      <c r="H26" s="2">
        <f t="shared" ref="H26" si="15">H19+SUM(H23:H25)</f>
        <v>0</v>
      </c>
      <c r="I26" s="2">
        <f t="shared" ref="I26" si="16">I19+SUM(I23:I25)</f>
        <v>0</v>
      </c>
      <c r="J26" s="2">
        <f t="shared" ref="J26" si="17">J19+SUM(J23:J25)</f>
        <v>238.37</v>
      </c>
      <c r="K26" s="2">
        <f t="shared" ref="K26" si="18">K19+SUM(K23:K25)</f>
        <v>158.52999999999994</v>
      </c>
      <c r="S26" s="2">
        <f t="shared" ref="S26:T26" si="19">S19+SUM(S23:S25)</f>
        <v>45.100000000000051</v>
      </c>
      <c r="T26" s="2">
        <f t="shared" si="19"/>
        <v>43.899999999999935</v>
      </c>
      <c r="U26" s="2">
        <f>U19+SUM(U23:U25)</f>
        <v>415.19999999999993</v>
      </c>
    </row>
    <row r="27" spans="2:26" x14ac:dyDescent="0.2">
      <c r="B27" s="2" t="s">
        <v>28</v>
      </c>
      <c r="K27" s="2">
        <v>115.11</v>
      </c>
      <c r="S27" s="2">
        <v>43.3</v>
      </c>
      <c r="T27" s="2">
        <v>69.900000000000006</v>
      </c>
      <c r="U27" s="2">
        <v>307.89999999999998</v>
      </c>
    </row>
    <row r="28" spans="2:26" s="6" customFormat="1" x14ac:dyDescent="0.2">
      <c r="B28" s="6" t="s">
        <v>29</v>
      </c>
      <c r="C28" s="6">
        <f t="shared" ref="C28" si="20">C26-C27</f>
        <v>0</v>
      </c>
      <c r="D28" s="6">
        <f t="shared" ref="D28" si="21">D26-D27</f>
        <v>0</v>
      </c>
      <c r="E28" s="6">
        <f t="shared" ref="E28" si="22">E26-E27</f>
        <v>0</v>
      </c>
      <c r="F28" s="6">
        <f t="shared" ref="F28" si="23">F26-F27</f>
        <v>0</v>
      </c>
      <c r="G28" s="6">
        <f t="shared" ref="G28" si="24">G26-G27</f>
        <v>0</v>
      </c>
      <c r="H28" s="6">
        <f t="shared" ref="H28" si="25">H26-H27</f>
        <v>0</v>
      </c>
      <c r="I28" s="6">
        <f t="shared" ref="I28" si="26">I26-I27</f>
        <v>0</v>
      </c>
      <c r="J28" s="6">
        <f t="shared" ref="J28" si="27">J26-J27</f>
        <v>238.37</v>
      </c>
      <c r="K28" s="6">
        <f t="shared" ref="K28" si="28">K26-K27</f>
        <v>43.419999999999945</v>
      </c>
      <c r="S28" s="6">
        <f t="shared" ref="S28:T28" si="29">S26-S27</f>
        <v>1.800000000000054</v>
      </c>
      <c r="T28" s="6">
        <f t="shared" si="29"/>
        <v>-26.000000000000071</v>
      </c>
      <c r="U28" s="6">
        <f>U26-U27</f>
        <v>107.29999999999995</v>
      </c>
    </row>
    <row r="29" spans="2:26" x14ac:dyDescent="0.2">
      <c r="B29" s="2" t="s">
        <v>37</v>
      </c>
      <c r="K29" s="7">
        <f>K28/K20</f>
        <v>0.97573033707865042</v>
      </c>
      <c r="S29" s="7">
        <f t="shared" ref="S29:T29" si="30">S28/S20</f>
        <v>0.12866333095068291</v>
      </c>
      <c r="T29" s="7">
        <f t="shared" si="30"/>
        <v>-1.8523795953263089</v>
      </c>
      <c r="U29" s="7">
        <f>U28/U20</f>
        <v>2.4112359550561786</v>
      </c>
    </row>
    <row r="31" spans="2:26" x14ac:dyDescent="0.2">
      <c r="Y31" s="2" t="s">
        <v>31</v>
      </c>
      <c r="Z31" s="5">
        <v>0.05</v>
      </c>
    </row>
    <row r="32" spans="2:26" x14ac:dyDescent="0.2">
      <c r="Y32" s="2" t="s">
        <v>32</v>
      </c>
      <c r="Z32" s="5">
        <v>7.0000000000000007E-2</v>
      </c>
    </row>
    <row r="33" spans="2:26" x14ac:dyDescent="0.2">
      <c r="Y33" s="2" t="s">
        <v>33</v>
      </c>
      <c r="Z33" s="2">
        <f>NPV(Z32,V28)</f>
        <v>0</v>
      </c>
    </row>
    <row r="34" spans="2:26" x14ac:dyDescent="0.2">
      <c r="Y34" s="8" t="s">
        <v>34</v>
      </c>
      <c r="Z34" s="2">
        <f>Z33+Main!K6</f>
        <v>35.1</v>
      </c>
    </row>
    <row r="35" spans="2:26" x14ac:dyDescent="0.2">
      <c r="Y35" s="8" t="s">
        <v>35</v>
      </c>
      <c r="Z35" s="2">
        <f>Z34-Main!K7</f>
        <v>-843.69999999999993</v>
      </c>
    </row>
    <row r="36" spans="2:26" s="5" customFormat="1" x14ac:dyDescent="0.2">
      <c r="B36" s="5" t="s">
        <v>30</v>
      </c>
      <c r="T36" s="5">
        <f>T8/S8</f>
        <v>1.4029578236260725</v>
      </c>
      <c r="U36" s="5">
        <f>U8/T8</f>
        <v>3.1566892243623115</v>
      </c>
      <c r="Y36" s="5" t="s">
        <v>36</v>
      </c>
      <c r="Z36" s="9">
        <f>Z35/Main!K4</f>
        <v>-5.3096888448075559</v>
      </c>
    </row>
    <row r="37" spans="2:26" x14ac:dyDescent="0.2">
      <c r="B37" s="2" t="s">
        <v>38</v>
      </c>
      <c r="T37" s="5">
        <f>T28/S28</f>
        <v>-14.44444444444405</v>
      </c>
      <c r="U37" s="5">
        <f>U28/T28</f>
        <v>-4.126923076923064</v>
      </c>
    </row>
    <row r="38" spans="2:26" x14ac:dyDescent="0.2">
      <c r="B38" s="2" t="s">
        <v>10</v>
      </c>
      <c r="C38" s="5" t="e">
        <f t="shared" ref="C38:K38" si="31">C10/C8</f>
        <v>#DIV/0!</v>
      </c>
      <c r="D38" s="5" t="e">
        <f t="shared" si="31"/>
        <v>#DIV/0!</v>
      </c>
      <c r="E38" s="5" t="e">
        <f t="shared" si="31"/>
        <v>#DIV/0!</v>
      </c>
      <c r="F38" s="5" t="e">
        <f t="shared" si="31"/>
        <v>#DIV/0!</v>
      </c>
      <c r="G38" s="5" t="e">
        <f t="shared" si="31"/>
        <v>#DIV/0!</v>
      </c>
      <c r="H38" s="5" t="e">
        <f t="shared" si="31"/>
        <v>#DIV/0!</v>
      </c>
      <c r="I38" s="5" t="e">
        <f t="shared" si="31"/>
        <v>#DIV/0!</v>
      </c>
      <c r="J38" s="5">
        <f t="shared" si="31"/>
        <v>0.44301235772824482</v>
      </c>
      <c r="K38" s="5">
        <f t="shared" si="31"/>
        <v>0.3987406334613689</v>
      </c>
      <c r="S38" s="5">
        <f>S10/S8</f>
        <v>0.2203761183129451</v>
      </c>
      <c r="T38" s="5">
        <f>T10/T8</f>
        <v>0.25806871421134819</v>
      </c>
      <c r="U38" s="5">
        <f>U10/U8</f>
        <v>0.40686840369393135</v>
      </c>
    </row>
  </sheetData>
  <hyperlinks>
    <hyperlink ref="A1" location="Main!A1" display="Main" xr:uid="{03E7D394-8B4E-BE4E-9297-BF3E82E0DB60}"/>
  </hyperlinks>
  <pageMargins left="0.7" right="0.7" top="0.75" bottom="0.75" header="0.3" footer="0.3"/>
  <ignoredErrors>
    <ignoredError sqref="U8"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2023-04-09T19:40:00Z</dcterms:created>
  <dcterms:modified xsi:type="dcterms:W3CDTF">2023-04-10T11:28:17Z</dcterms:modified>
</cp:coreProperties>
</file>