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defaultThemeVersion="166925"/>
  <mc:AlternateContent xmlns:mc="http://schemas.openxmlformats.org/markup-compatibility/2006">
    <mc:Choice Requires="x15">
      <x15ac:absPath xmlns:x15ac="http://schemas.microsoft.com/office/spreadsheetml/2010/11/ac" url="/Users/luka/Documents/Finance/"/>
    </mc:Choice>
  </mc:AlternateContent>
  <xr:revisionPtr revIDLastSave="0" documentId="13_ncr:1_{0C6D2673-65EA-D942-933B-811C8CCC9A0E}" xr6:coauthVersionLast="47" xr6:coauthVersionMax="47" xr10:uidLastSave="{00000000-0000-0000-0000-000000000000}"/>
  <bookViews>
    <workbookView xWindow="2120" yWindow="2100" windowWidth="30500" windowHeight="17120" activeTab="1" xr2:uid="{BDA33475-4A8C-0E4E-8312-964607691478}"/>
  </bookViews>
  <sheets>
    <sheet name="Main" sheetId="1" r:id="rId1"/>
    <sheet name="Model" sheetId="2" r:id="rId2"/>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19" i="2" l="1"/>
  <c r="P19" i="2"/>
  <c r="U19" i="2" s="1"/>
  <c r="M19" i="2"/>
  <c r="N19" i="2" s="1"/>
  <c r="S19" i="2" s="1"/>
  <c r="X19" i="2" s="1"/>
  <c r="AC19" i="2" s="1"/>
  <c r="O19" i="2"/>
  <c r="T19" i="2" s="1"/>
  <c r="Y19" i="2" s="1"/>
  <c r="AH19" i="2" l="1"/>
  <c r="AM19" i="2" s="1"/>
  <c r="AR19" i="2" s="1"/>
  <c r="AW19" i="2" s="1"/>
  <c r="AD19" i="2"/>
  <c r="AI19" i="2" s="1"/>
  <c r="AN19" i="2" s="1"/>
  <c r="AS19" i="2" s="1"/>
  <c r="V19" i="2"/>
  <c r="AA19" i="2" s="1"/>
  <c r="AF19" i="2" s="1"/>
  <c r="AK19" i="2" s="1"/>
  <c r="Z19" i="2"/>
  <c r="AE19" i="2" s="1"/>
  <c r="AJ19" i="2" s="1"/>
  <c r="AO19" i="2" s="1"/>
  <c r="R19" i="2"/>
  <c r="AT19" i="2"/>
  <c r="AY19" i="2" s="1"/>
  <c r="BD19" i="2" s="1"/>
  <c r="AX19" i="2"/>
  <c r="BC19" i="2" s="1"/>
  <c r="BH19" i="2" s="1"/>
  <c r="AP19" i="2"/>
  <c r="AU19" i="2" s="1"/>
  <c r="AZ19" i="2" s="1"/>
  <c r="BE19" i="2" s="1"/>
  <c r="AL19" i="2"/>
  <c r="AQ19" i="2" s="1"/>
  <c r="AV19" i="2" s="1"/>
  <c r="BA19" i="2" s="1"/>
  <c r="W19" i="2" l="1"/>
  <c r="AB19" i="2" s="1"/>
  <c r="AG19" i="2" s="1"/>
  <c r="BB19" i="2"/>
  <c r="BG19" i="2" s="1"/>
  <c r="BF19" i="2"/>
  <c r="O29" i="2" l="1"/>
  <c r="L8" i="2" l="1"/>
  <c r="K8" i="2"/>
  <c r="J8" i="2"/>
  <c r="J31" i="2" s="1"/>
  <c r="E31" i="2"/>
  <c r="F31" i="2"/>
  <c r="G31" i="2"/>
  <c r="H31" i="2"/>
  <c r="I31" i="2"/>
  <c r="K31" i="2"/>
  <c r="D31" i="2"/>
  <c r="D13" i="2"/>
  <c r="D14" i="2" s="1"/>
  <c r="E13" i="2"/>
  <c r="F13" i="2"/>
  <c r="G13" i="2"/>
  <c r="H13" i="2"/>
  <c r="I13" i="2"/>
  <c r="J13" i="2"/>
  <c r="K13" i="2"/>
  <c r="L13" i="2"/>
  <c r="C13" i="2"/>
  <c r="C10" i="2"/>
  <c r="C32" i="2" s="1"/>
  <c r="D10" i="2"/>
  <c r="D32" i="2" s="1"/>
  <c r="E10" i="2"/>
  <c r="E14" i="2" s="1"/>
  <c r="F10" i="2"/>
  <c r="F14" i="2" s="1"/>
  <c r="G10" i="2"/>
  <c r="G32" i="2" s="1"/>
  <c r="H10" i="2"/>
  <c r="H14" i="2" s="1"/>
  <c r="I10" i="2"/>
  <c r="I14" i="2" s="1"/>
  <c r="J10" i="2"/>
  <c r="J14" i="2" s="1"/>
  <c r="K10" i="2"/>
  <c r="K14" i="2" s="1"/>
  <c r="L10" i="2"/>
  <c r="L14" i="2" s="1"/>
  <c r="K4" i="1" a="1"/>
  <c r="K4" i="1" s="1"/>
  <c r="O30" i="2" s="1"/>
  <c r="K3" i="1" a="1"/>
  <c r="K3" i="1" s="1"/>
  <c r="L31" i="2" l="1"/>
  <c r="D33" i="2"/>
  <c r="D17" i="2"/>
  <c r="L33" i="2"/>
  <c r="L17" i="2"/>
  <c r="K17" i="2"/>
  <c r="K33" i="2"/>
  <c r="J17" i="2"/>
  <c r="J33" i="2"/>
  <c r="I33" i="2"/>
  <c r="I17" i="2"/>
  <c r="H17" i="2"/>
  <c r="H33" i="2"/>
  <c r="F33" i="2"/>
  <c r="F17" i="2"/>
  <c r="E17" i="2"/>
  <c r="E33" i="2"/>
  <c r="K32" i="2"/>
  <c r="J32" i="2"/>
  <c r="I32" i="2"/>
  <c r="H32" i="2"/>
  <c r="F32" i="2"/>
  <c r="G14" i="2"/>
  <c r="C14" i="2"/>
  <c r="E32" i="2"/>
  <c r="L32" i="2"/>
  <c r="K5" i="1"/>
  <c r="K8" i="1" s="1"/>
  <c r="I34" i="2" l="1"/>
  <c r="I19" i="2"/>
  <c r="I21" i="2" s="1"/>
  <c r="I23" i="2" s="1"/>
  <c r="J34" i="2"/>
  <c r="J19" i="2"/>
  <c r="J21" i="2" s="1"/>
  <c r="J23" i="2" s="1"/>
  <c r="E19" i="2"/>
  <c r="E21" i="2" s="1"/>
  <c r="E23" i="2" s="1"/>
  <c r="E34" i="2"/>
  <c r="K19" i="2"/>
  <c r="K21" i="2" s="1"/>
  <c r="K23" i="2" s="1"/>
  <c r="K34" i="2"/>
  <c r="F19" i="2"/>
  <c r="F21" i="2" s="1"/>
  <c r="F23" i="2" s="1"/>
  <c r="F34" i="2"/>
  <c r="L19" i="2"/>
  <c r="L21" i="2" s="1"/>
  <c r="L23" i="2" s="1"/>
  <c r="L34" i="2"/>
  <c r="C33" i="2"/>
  <c r="C17" i="2"/>
  <c r="G33" i="2"/>
  <c r="G17" i="2"/>
  <c r="D34" i="2"/>
  <c r="D19" i="2"/>
  <c r="D21" i="2" s="1"/>
  <c r="D23" i="2" s="1"/>
  <c r="H19" i="2"/>
  <c r="H21" i="2" s="1"/>
  <c r="H23" i="2" s="1"/>
  <c r="H34" i="2"/>
  <c r="G34" i="2" l="1"/>
  <c r="G19" i="2"/>
  <c r="G21" i="2" s="1"/>
  <c r="G23" i="2" s="1"/>
  <c r="C34" i="2"/>
  <c r="C19" i="2"/>
  <c r="C21" i="2" s="1"/>
  <c r="C23"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<sst xmlns="http://schemas.openxmlformats.org/spreadsheetml/2006/main" count="37" uniqueCount="37">
  <si>
    <t>Price</t>
  </si>
  <si>
    <t>S/O</t>
  </si>
  <si>
    <t>MC</t>
  </si>
  <si>
    <t>Cash</t>
  </si>
  <si>
    <t>Debt</t>
  </si>
  <si>
    <t>EV</t>
  </si>
  <si>
    <t>Revenue</t>
  </si>
  <si>
    <t>Cost of Revenue</t>
  </si>
  <si>
    <t>Gross Profit</t>
  </si>
  <si>
    <t>Gross Profit Margin</t>
  </si>
  <si>
    <t>SG&amp;A</t>
  </si>
  <si>
    <t>Other Operating Expenses</t>
  </si>
  <si>
    <t>Operating Expense</t>
  </si>
  <si>
    <t>Operating Income</t>
  </si>
  <si>
    <t>In Millions</t>
  </si>
  <si>
    <t>Main</t>
  </si>
  <si>
    <t>Interest Expense</t>
  </si>
  <si>
    <t>Interest / Operating Income</t>
  </si>
  <si>
    <t>Other Expense</t>
  </si>
  <si>
    <t>Pretax Income</t>
  </si>
  <si>
    <t>Income Tax</t>
  </si>
  <si>
    <t>Net Income</t>
  </si>
  <si>
    <t>% of income tax</t>
  </si>
  <si>
    <t>Dividends</t>
  </si>
  <si>
    <t>Net Income Common</t>
  </si>
  <si>
    <t>Revenue YoY</t>
  </si>
  <si>
    <t>Shares Outstanding</t>
  </si>
  <si>
    <t>EPS</t>
  </si>
  <si>
    <t>Gas Sales</t>
  </si>
  <si>
    <t>Oil Sales</t>
  </si>
  <si>
    <t>NGL Sales</t>
  </si>
  <si>
    <t>Marketing</t>
  </si>
  <si>
    <t>Other</t>
  </si>
  <si>
    <t>Discount</t>
  </si>
  <si>
    <t>Rate</t>
  </si>
  <si>
    <t>NPV</t>
  </si>
  <si>
    <t>Share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</si>
</sst>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00_);_([$$-409]* \(#,##0.00\);_([$$-409]* &quot;-&quot;??_);_(@_)"/>
  </numFmts>
  <fonts count="4" x14ac:knownFonts="1">
    <font>
      <sz val="12"/>
      <color theme="1"/>
      <name val="Calibri"/>
      <family val="2"/>
      <scheme val="minor"/>
    </font>
    <font>
      <sz val="12"/>
      <color theme="1"/>
      <name val="Calibri"/>
      <family val="2"/>
      <scheme val="minor"/>
    </font>
    <font>
      <b/>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9" fontId="1" fillId="0" borderId="0" applyFont="0" applyFill="0" applyBorder="0" applyAlignment="0" applyProtection="0"/>
    <xf numFmtId="0" fontId="3" fillId="0" borderId="0" applyNumberFormat="0" applyFill="0" applyBorder="0" applyAlignment="0" applyProtection="0"/>
  </cellStyleXfs>
  <cellXfs count="8">
    <xf numFmtId="0" fontId="0" fillId="0" borderId="0" xfId="0"/>
    <xf numFmtId="164" fontId="0" fillId="0" borderId="0" xfId="0" applyNumberFormat="1"/>
    <xf numFmtId="3" fontId="0" fillId="0" borderId="0" xfId="0" applyNumberFormat="1"/>
    <xf numFmtId="3" fontId="2" fillId="0" borderId="0" xfId="0" applyNumberFormat="1" applyFont="1"/>
    <xf numFmtId="9" fontId="0" fillId="0" borderId="0" xfId="1" applyFont="1"/>
    <xf numFmtId="0" fontId="3" fillId="0" borderId="0" xfId="2" applyNumberFormat="1"/>
    <xf numFmtId="4" fontId="0" fillId="0" borderId="0" xfId="0" applyNumberFormat="1"/>
    <xf numFmtId="10" fontId="0" fillId="0" borderId="0" xfId="1" applyNumberFormat="1" applyFont="1"/>
  </cellXfs>
  <cellStyles count="3">
    <cellStyle name="Hyperlink" xfId="2" builtinId="8"/>
    <cellStyle name="Normal" xfId="0" builtinId="0"/>
    <cellStyle name="Per 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drawings/drawing1.xml><?xml version="1.0" encoding="utf-8"?>
<xdr:wsDr xmlns:xdr="http://schemas.openxmlformats.org/drawingml/2006/spreadsheetDrawing" xmlns:a="http://schemas.openxmlformats.org/drawingml/2006/main">
  <xdr:twoCellAnchor>
    <xdr:from>
      <xdr:col>12</xdr:col>
      <xdr:colOff>88900</xdr:colOff>
      <xdr:row>0</xdr:row>
      <xdr:rowOff>50800</xdr:rowOff>
    </xdr:from>
    <xdr:to>
      <xdr:col>12</xdr:col>
      <xdr:colOff>88900</xdr:colOff>
      <xdr:row>36</xdr:row>
      <xdr:rowOff>114300</xdr:rowOff>
    </xdr:to>
    <xdr:cxnSp macro="">
      <xdr:nvCxnSpPr>
        <xdr:cNvPr id="3" name="Straight Connector 2">
          <a:extLst>
            <a:ext uri="{FF2B5EF4-FFF2-40B4-BE49-F238E27FC236}">
              <a16:creationId xmlns:a16="http://schemas.microsoft.com/office/drawing/2014/main" id="{41C273F9-8F7A-62F5-8093-8E0E262020B5}"/>
            </a:ext>
          </a:extLst>
        </xdr:cNvPr>
        <xdr:cNvCxnSpPr/>
      </xdr:nvCxnSpPr>
      <xdr:spPr>
        <a:xfrm>
          <a:off x="9994900" y="50800"/>
          <a:ext cx="0" cy="73787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https://www.bing.com/financeapi/forcetrigger?t=a23u5r&amp;q=XNYS%3aSWN&amp;form=skydnc</v>
    <v>Learn more on Bing</v>
  </rv>
  <rv s="1">
    <v>0</v>
    <v>SOUTHWESTERN ENERGY COMPANY (XNYS:SWN)</v>
    <v>2</v>
    <v>3</v>
    <v>Finance</v>
    <v>4</v>
    <v>en-GB</v>
    <v>a23u5r</v>
    <v>268435456</v>
    <v>1</v>
    <v>Powered by Refinitiv</v>
    <v>9.8699999999999992</v>
    <v>4.5999999999999996</v>
    <v>1.3156000000000001</v>
    <v>0.15</v>
    <v>3.0928000000000001E-2</v>
    <v>0.02</v>
    <v>4.0000000000000001E-3</v>
    <v>USD</v>
    <v>Southwestern Energy Company is an independent energy company. The Company operates through two segments: Exploration and Production (E&amp;P) and Marketing. It is engaged in the business of exploration and production of natural gas as well as associated natural gas liquids (NGLs) and oil in its core positions in the Appalachia and Haynesville natural gas basins in the United States. It is focused on the development of unconventional natural gas reservoirs located in Pennsylvania, West Virginia, Ohio and Louisiana. Its operations in Pennsylvania, West Virginia and Ohio (Appalachia) are primarily focused on the Marcellus Shale, the Utica and the Upper Devonian unconventional natural gas and liquids reservoirs. Its operations in Louisiana (Haynesville) are focused on the Haynesville and Bossier natural gas reservoirs. It operates a fleet of drilling rigs and has leased two pressure pumping spreads with a total capacity of 69,000 horsepower along with additional supporting pump down equipment.</v>
    <v>1118</v>
    <v>New York Stock Exchange</v>
    <v>XNYS</v>
    <v>XNYS</v>
    <v>10000 Energy Drive, SPRING, TX, 77389 US</v>
    <v>5.0599999999999996</v>
    <v>Oil &amp; Gas</v>
    <v>Stock</v>
    <v>45016.999315763278</v>
    <v>0</v>
    <v>4.8804999999999996</v>
    <v>5499654000</v>
    <v>SOUTHWESTERN ENERGY COMPANY</v>
    <v>SOUTHWESTERN ENERGY COMPANY</v>
    <v>4.91</v>
    <v>2.9159999999999999</v>
    <v>4.8499999999999996</v>
    <v>5</v>
    <v>5.0199999999999996</v>
    <v>1099931000</v>
    <v>SWN</v>
    <v>SOUTHWESTERN ENERGY COMPANY (XNYS:SWN)</v>
    <v>16145078</v>
    <v>30731652</v>
    <v>2006</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1A6311-AB87-CC45-B7BE-85A50CB26BF4}">
  <dimension ref="A1:K8"/>
  <sheetViews>
    <sheetView workbookViewId="0">
      <selection activeCell="K9" sqref="K9"/>
    </sheetView>
  </sheetViews>
  <sheetFormatPr baseColWidth="10" defaultRowHeight="16" x14ac:dyDescent="0.2"/>
  <sheetData>
    <row r="1" spans="1:11" x14ac:dyDescent="0.2">
      <c r="A1" t="e" vm="1">
        <v>#VALUE!</v>
      </c>
    </row>
    <row r="3" spans="1:11" x14ac:dyDescent="0.2">
      <c r="J3" t="s">
        <v>0</v>
      </c>
      <c r="K3" s="1" cm="1">
        <f t="array" ref="K3">_FV(A1,"Price")</f>
        <v>5</v>
      </c>
    </row>
    <row r="4" spans="1:11" x14ac:dyDescent="0.2">
      <c r="J4" t="s">
        <v>1</v>
      </c>
      <c r="K4" s="2" cm="1">
        <f t="array" ref="K4">_FV(A1,"Shares outstanding",TRUE)/1000000</f>
        <v>1099.931</v>
      </c>
    </row>
    <row r="5" spans="1:11" x14ac:dyDescent="0.2">
      <c r="J5" t="s">
        <v>2</v>
      </c>
      <c r="K5" s="2">
        <f>K3*K4</f>
        <v>5499.6550000000007</v>
      </c>
    </row>
    <row r="6" spans="1:11" x14ac:dyDescent="0.2">
      <c r="J6" t="s">
        <v>3</v>
      </c>
      <c r="K6" s="2">
        <v>50</v>
      </c>
    </row>
    <row r="7" spans="1:11" x14ac:dyDescent="0.2">
      <c r="J7" t="s">
        <v>4</v>
      </c>
      <c r="K7" s="2">
        <v>4392</v>
      </c>
    </row>
    <row r="8" spans="1:11" x14ac:dyDescent="0.2">
      <c r="J8" t="s">
        <v>5</v>
      </c>
      <c r="K8" s="2">
        <f>K5+K7-K6</f>
        <v>9841.6550000000007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75ADA-3108-BE4B-BDF2-6ED442EC6A17}">
  <dimension ref="A1:BH34"/>
  <sheetViews>
    <sheetView tabSelected="1" workbookViewId="0">
      <pane xSplit="2" ySplit="2" topLeftCell="C3" activePane="bottomRight" state="frozen"/>
      <selection pane="topRight" activeCell="C1" sqref="C1"/>
      <selection pane="bottomLeft" activeCell="A3" sqref="A3"/>
      <selection pane="bottomRight" activeCell="O29" sqref="O29"/>
    </sheetView>
  </sheetViews>
  <sheetFormatPr baseColWidth="10" defaultRowHeight="16" x14ac:dyDescent="0.2"/>
  <cols>
    <col min="1" max="1" width="5.33203125" style="2" bestFit="1" customWidth="1"/>
    <col min="2" max="2" width="24.33203125" style="2" bestFit="1" customWidth="1"/>
    <col min="3" max="16384" width="10.83203125" style="2"/>
  </cols>
  <sheetData>
    <row r="1" spans="1:60" customFormat="1" x14ac:dyDescent="0.2">
      <c r="A1" s="5" t="s">
        <v>15</v>
      </c>
      <c r="B1" t="s">
        <v>14</v>
      </c>
    </row>
    <row r="2" spans="1:60" customFormat="1" x14ac:dyDescent="0.2">
      <c r="C2">
        <v>2013</v>
      </c>
      <c r="D2">
        <v>2014</v>
      </c>
      <c r="E2">
        <v>2015</v>
      </c>
      <c r="F2">
        <v>2016</v>
      </c>
      <c r="G2">
        <v>2017</v>
      </c>
      <c r="H2">
        <v>2018</v>
      </c>
      <c r="I2">
        <v>2019</v>
      </c>
      <c r="J2">
        <v>2020</v>
      </c>
      <c r="K2">
        <v>2021</v>
      </c>
      <c r="L2">
        <v>2022</v>
      </c>
      <c r="M2">
        <v>2023</v>
      </c>
      <c r="N2">
        <v>2024</v>
      </c>
      <c r="O2">
        <v>2025</v>
      </c>
      <c r="P2">
        <v>2026</v>
      </c>
      <c r="Q2">
        <v>2027</v>
      </c>
      <c r="R2">
        <v>2028</v>
      </c>
      <c r="S2">
        <v>2029</v>
      </c>
      <c r="T2">
        <v>2030</v>
      </c>
      <c r="U2">
        <v>2031</v>
      </c>
      <c r="V2">
        <v>2032</v>
      </c>
      <c r="W2">
        <v>2033</v>
      </c>
      <c r="X2">
        <v>2034</v>
      </c>
      <c r="Y2">
        <v>2035</v>
      </c>
      <c r="Z2">
        <v>2036</v>
      </c>
      <c r="AA2">
        <v>2037</v>
      </c>
      <c r="AB2">
        <v>2038</v>
      </c>
      <c r="AC2">
        <v>2039</v>
      </c>
      <c r="AD2">
        <v>2040</v>
      </c>
      <c r="AE2">
        <v>2041</v>
      </c>
      <c r="AF2">
        <v>2042</v>
      </c>
      <c r="AG2">
        <v>2043</v>
      </c>
      <c r="AH2">
        <v>2044</v>
      </c>
      <c r="AI2">
        <v>2045</v>
      </c>
      <c r="AJ2">
        <v>2046</v>
      </c>
      <c r="AK2">
        <v>2047</v>
      </c>
      <c r="AL2">
        <v>2048</v>
      </c>
      <c r="AM2">
        <v>2049</v>
      </c>
      <c r="AN2">
        <v>2050</v>
      </c>
      <c r="AO2">
        <v>2051</v>
      </c>
      <c r="AP2">
        <v>2052</v>
      </c>
      <c r="AQ2">
        <v>2053</v>
      </c>
      <c r="AR2">
        <v>2054</v>
      </c>
      <c r="AS2">
        <v>2055</v>
      </c>
      <c r="AT2">
        <v>2056</v>
      </c>
      <c r="AU2">
        <v>2057</v>
      </c>
      <c r="AV2">
        <v>2058</v>
      </c>
      <c r="AW2">
        <v>2059</v>
      </c>
      <c r="AX2">
        <v>2060</v>
      </c>
      <c r="AY2">
        <v>2061</v>
      </c>
      <c r="AZ2">
        <v>2062</v>
      </c>
      <c r="BA2">
        <v>2063</v>
      </c>
      <c r="BB2">
        <v>2064</v>
      </c>
      <c r="BC2">
        <v>2065</v>
      </c>
      <c r="BD2">
        <v>2066</v>
      </c>
      <c r="BE2">
        <v>2067</v>
      </c>
      <c r="BF2">
        <v>2068</v>
      </c>
      <c r="BG2">
        <v>2069</v>
      </c>
      <c r="BH2">
        <v>2070</v>
      </c>
    </row>
    <row r="3" spans="1:60" x14ac:dyDescent="0.2">
      <c r="B3" s="2" t="s">
        <v>28</v>
      </c>
      <c r="J3" s="2">
        <v>967</v>
      </c>
      <c r="K3" s="2">
        <v>3412</v>
      </c>
      <c r="L3" s="2">
        <v>9101</v>
      </c>
    </row>
    <row r="4" spans="1:60" x14ac:dyDescent="0.2">
      <c r="B4" s="2" t="s">
        <v>29</v>
      </c>
      <c r="J4" s="2">
        <v>154</v>
      </c>
      <c r="K4" s="2">
        <v>394</v>
      </c>
      <c r="L4" s="2">
        <v>439</v>
      </c>
    </row>
    <row r="5" spans="1:60" x14ac:dyDescent="0.2">
      <c r="B5" s="2" t="s">
        <v>30</v>
      </c>
      <c r="J5" s="2">
        <v>265</v>
      </c>
      <c r="K5" s="2">
        <v>890</v>
      </c>
      <c r="L5" s="2">
        <v>1046</v>
      </c>
    </row>
    <row r="6" spans="1:60" x14ac:dyDescent="0.2">
      <c r="B6" s="2" t="s">
        <v>31</v>
      </c>
      <c r="J6" s="2">
        <v>917</v>
      </c>
      <c r="K6" s="2">
        <v>1963</v>
      </c>
      <c r="L6" s="2">
        <v>4419</v>
      </c>
    </row>
    <row r="7" spans="1:60" x14ac:dyDescent="0.2">
      <c r="B7" s="2" t="s">
        <v>32</v>
      </c>
      <c r="J7" s="2">
        <v>5</v>
      </c>
      <c r="K7" s="2">
        <v>8</v>
      </c>
      <c r="L7" s="2">
        <v>-3</v>
      </c>
    </row>
    <row r="8" spans="1:60" x14ac:dyDescent="0.2">
      <c r="B8" s="3" t="s">
        <v>6</v>
      </c>
      <c r="C8" s="3">
        <v>3371</v>
      </c>
      <c r="D8" s="3">
        <v>4038</v>
      </c>
      <c r="E8" s="3">
        <v>3133</v>
      </c>
      <c r="F8" s="3">
        <v>2436</v>
      </c>
      <c r="G8" s="3">
        <v>3203</v>
      </c>
      <c r="H8" s="3">
        <v>3862</v>
      </c>
      <c r="I8" s="3">
        <v>3038</v>
      </c>
      <c r="J8" s="3">
        <f>SUM(J3:J7)</f>
        <v>2308</v>
      </c>
      <c r="K8" s="3">
        <f>SUM(K3:K7)</f>
        <v>6667</v>
      </c>
      <c r="L8" s="3">
        <f>SUM(L3:L7)</f>
        <v>15002</v>
      </c>
    </row>
    <row r="9" spans="1:60" x14ac:dyDescent="0.2">
      <c r="B9" s="2" t="s">
        <v>7</v>
      </c>
      <c r="C9" s="2">
        <v>1189</v>
      </c>
      <c r="D9" s="2">
        <v>1502</v>
      </c>
      <c r="E9" s="2">
        <v>1651</v>
      </c>
      <c r="F9" s="2">
        <v>1549</v>
      </c>
      <c r="G9" s="2">
        <v>1741</v>
      </c>
      <c r="H9" s="2">
        <v>2103</v>
      </c>
      <c r="I9" s="2">
        <v>2102</v>
      </c>
      <c r="J9" s="2">
        <v>1814</v>
      </c>
      <c r="K9" s="2">
        <v>3259</v>
      </c>
      <c r="L9" s="2">
        <v>6277</v>
      </c>
    </row>
    <row r="10" spans="1:60" x14ac:dyDescent="0.2">
      <c r="B10" s="2" t="s">
        <v>8</v>
      </c>
      <c r="C10" s="2">
        <f t="shared" ref="C10:K10" si="0">C8-C9</f>
        <v>2182</v>
      </c>
      <c r="D10" s="2">
        <f t="shared" si="0"/>
        <v>2536</v>
      </c>
      <c r="E10" s="2">
        <f t="shared" si="0"/>
        <v>1482</v>
      </c>
      <c r="F10" s="2">
        <f t="shared" si="0"/>
        <v>887</v>
      </c>
      <c r="G10" s="2">
        <f t="shared" si="0"/>
        <v>1462</v>
      </c>
      <c r="H10" s="2">
        <f t="shared" si="0"/>
        <v>1759</v>
      </c>
      <c r="I10" s="2">
        <f t="shared" si="0"/>
        <v>936</v>
      </c>
      <c r="J10" s="2">
        <f t="shared" si="0"/>
        <v>494</v>
      </c>
      <c r="K10" s="2">
        <f t="shared" si="0"/>
        <v>3408</v>
      </c>
      <c r="L10" s="2">
        <f>L8-L9</f>
        <v>8725</v>
      </c>
    </row>
    <row r="11" spans="1:60" x14ac:dyDescent="0.2">
      <c r="B11" s="2" t="s">
        <v>10</v>
      </c>
      <c r="C11" s="2">
        <v>191</v>
      </c>
      <c r="D11" s="2">
        <v>221</v>
      </c>
      <c r="E11" s="2">
        <v>246</v>
      </c>
      <c r="F11" s="2">
        <v>247</v>
      </c>
      <c r="G11" s="2">
        <v>233</v>
      </c>
      <c r="H11" s="2">
        <v>209</v>
      </c>
      <c r="I11" s="2">
        <v>166</v>
      </c>
      <c r="J11" s="2">
        <v>121</v>
      </c>
      <c r="K11" s="2">
        <v>138</v>
      </c>
      <c r="L11" s="2">
        <v>170</v>
      </c>
    </row>
    <row r="12" spans="1:60" x14ac:dyDescent="0.2">
      <c r="B12" s="2" t="s">
        <v>11</v>
      </c>
      <c r="C12" s="2">
        <v>787</v>
      </c>
      <c r="D12" s="2">
        <v>942</v>
      </c>
      <c r="E12" s="2">
        <v>7758</v>
      </c>
      <c r="F12" s="2">
        <v>2830</v>
      </c>
      <c r="G12" s="2">
        <v>498</v>
      </c>
      <c r="H12" s="2">
        <v>753</v>
      </c>
      <c r="I12" s="2">
        <v>500</v>
      </c>
      <c r="J12" s="2">
        <v>3244</v>
      </c>
      <c r="K12" s="2">
        <v>635</v>
      </c>
      <c r="L12" s="2">
        <v>1201</v>
      </c>
    </row>
    <row r="13" spans="1:60" x14ac:dyDescent="0.2">
      <c r="B13" s="2" t="s">
        <v>12</v>
      </c>
      <c r="C13" s="2">
        <f>SUM(C11:C12)</f>
        <v>978</v>
      </c>
      <c r="D13" s="2">
        <f t="shared" ref="D13:L13" si="1">SUM(D11:D12)</f>
        <v>1163</v>
      </c>
      <c r="E13" s="2">
        <f t="shared" si="1"/>
        <v>8004</v>
      </c>
      <c r="F13" s="2">
        <f t="shared" si="1"/>
        <v>3077</v>
      </c>
      <c r="G13" s="2">
        <f t="shared" si="1"/>
        <v>731</v>
      </c>
      <c r="H13" s="2">
        <f t="shared" si="1"/>
        <v>962</v>
      </c>
      <c r="I13" s="2">
        <f t="shared" si="1"/>
        <v>666</v>
      </c>
      <c r="J13" s="2">
        <f t="shared" si="1"/>
        <v>3365</v>
      </c>
      <c r="K13" s="2">
        <f t="shared" si="1"/>
        <v>773</v>
      </c>
      <c r="L13" s="2">
        <f t="shared" si="1"/>
        <v>1371</v>
      </c>
    </row>
    <row r="14" spans="1:60" x14ac:dyDescent="0.2">
      <c r="B14" s="2" t="s">
        <v>13</v>
      </c>
      <c r="C14" s="2">
        <f>C10-C13</f>
        <v>1204</v>
      </c>
      <c r="D14" s="2">
        <f t="shared" ref="D14:L14" si="2">D10-D13</f>
        <v>1373</v>
      </c>
      <c r="E14" s="2">
        <f t="shared" si="2"/>
        <v>-6522</v>
      </c>
      <c r="F14" s="2">
        <f t="shared" si="2"/>
        <v>-2190</v>
      </c>
      <c r="G14" s="2">
        <f t="shared" si="2"/>
        <v>731</v>
      </c>
      <c r="H14" s="2">
        <f t="shared" si="2"/>
        <v>797</v>
      </c>
      <c r="I14" s="2">
        <f t="shared" si="2"/>
        <v>270</v>
      </c>
      <c r="J14" s="2">
        <f t="shared" si="2"/>
        <v>-2871</v>
      </c>
      <c r="K14" s="2">
        <f t="shared" si="2"/>
        <v>2635</v>
      </c>
      <c r="L14" s="2">
        <f t="shared" si="2"/>
        <v>7354</v>
      </c>
    </row>
    <row r="15" spans="1:60" x14ac:dyDescent="0.2">
      <c r="B15" s="2" t="s">
        <v>16</v>
      </c>
      <c r="C15" s="2">
        <v>104</v>
      </c>
      <c r="D15" s="2">
        <v>114</v>
      </c>
      <c r="E15" s="2">
        <v>260</v>
      </c>
      <c r="F15" s="2">
        <v>240</v>
      </c>
      <c r="G15" s="2">
        <v>248</v>
      </c>
      <c r="H15" s="2">
        <v>239</v>
      </c>
      <c r="I15" s="2">
        <v>174</v>
      </c>
      <c r="J15" s="2">
        <v>182</v>
      </c>
      <c r="K15" s="2">
        <v>233</v>
      </c>
      <c r="L15" s="2">
        <v>305</v>
      </c>
    </row>
    <row r="16" spans="1:60" x14ac:dyDescent="0.2">
      <c r="B16" s="2" t="s">
        <v>18</v>
      </c>
      <c r="C16" s="2">
        <v>-90</v>
      </c>
      <c r="D16" s="2">
        <v>-190</v>
      </c>
      <c r="E16" s="2">
        <v>-221</v>
      </c>
      <c r="F16" s="2">
        <v>242</v>
      </c>
      <c r="G16" s="2">
        <v>-470</v>
      </c>
      <c r="H16" s="2">
        <v>20</v>
      </c>
      <c r="I16" s="2">
        <v>-384</v>
      </c>
      <c r="J16" s="2">
        <v>-348</v>
      </c>
      <c r="K16" s="2">
        <v>2427</v>
      </c>
      <c r="L16" s="2">
        <v>5149</v>
      </c>
    </row>
    <row r="17" spans="2:60" x14ac:dyDescent="0.2">
      <c r="B17" s="2" t="s">
        <v>19</v>
      </c>
      <c r="C17" s="2">
        <f>C14-SUM(C15:C16)</f>
        <v>1190</v>
      </c>
      <c r="D17" s="2">
        <f t="shared" ref="D17:L17" si="3">D14-SUM(D15:D16)</f>
        <v>1449</v>
      </c>
      <c r="E17" s="2">
        <f t="shared" si="3"/>
        <v>-6561</v>
      </c>
      <c r="F17" s="2">
        <f t="shared" si="3"/>
        <v>-2672</v>
      </c>
      <c r="G17" s="2">
        <f t="shared" si="3"/>
        <v>953</v>
      </c>
      <c r="H17" s="2">
        <f t="shared" si="3"/>
        <v>538</v>
      </c>
      <c r="I17" s="2">
        <f t="shared" si="3"/>
        <v>480</v>
      </c>
      <c r="J17" s="2">
        <f t="shared" si="3"/>
        <v>-2705</v>
      </c>
      <c r="K17" s="2">
        <f t="shared" si="3"/>
        <v>-25</v>
      </c>
      <c r="L17" s="2">
        <f t="shared" si="3"/>
        <v>1900</v>
      </c>
    </row>
    <row r="18" spans="2:60" x14ac:dyDescent="0.2">
      <c r="B18" s="2" t="s">
        <v>20</v>
      </c>
      <c r="C18" s="2">
        <v>486</v>
      </c>
      <c r="D18" s="2">
        <v>525</v>
      </c>
      <c r="E18" s="2">
        <v>-2005</v>
      </c>
      <c r="F18" s="2">
        <v>-29</v>
      </c>
      <c r="G18" s="2">
        <v>-93</v>
      </c>
      <c r="H18" s="2">
        <v>1</v>
      </c>
      <c r="I18" s="2">
        <v>-411</v>
      </c>
      <c r="J18" s="2">
        <v>407</v>
      </c>
      <c r="K18" s="2">
        <v>0</v>
      </c>
      <c r="L18" s="2">
        <v>51</v>
      </c>
    </row>
    <row r="19" spans="2:60" x14ac:dyDescent="0.2">
      <c r="B19" s="2" t="s">
        <v>21</v>
      </c>
      <c r="C19" s="2">
        <f>C17-C18</f>
        <v>704</v>
      </c>
      <c r="D19" s="2">
        <f t="shared" ref="D19:L19" si="4">D17-D18</f>
        <v>924</v>
      </c>
      <c r="E19" s="2">
        <f t="shared" si="4"/>
        <v>-4556</v>
      </c>
      <c r="F19" s="2">
        <f t="shared" si="4"/>
        <v>-2643</v>
      </c>
      <c r="G19" s="2">
        <f t="shared" si="4"/>
        <v>1046</v>
      </c>
      <c r="H19" s="2">
        <f t="shared" si="4"/>
        <v>537</v>
      </c>
      <c r="I19" s="2">
        <f t="shared" si="4"/>
        <v>891</v>
      </c>
      <c r="J19" s="2">
        <f t="shared" si="4"/>
        <v>-3112</v>
      </c>
      <c r="K19" s="2">
        <f t="shared" si="4"/>
        <v>-25</v>
      </c>
      <c r="L19" s="2">
        <f t="shared" si="4"/>
        <v>1849</v>
      </c>
      <c r="M19" s="2">
        <f>L19*(1+$O$28)</f>
        <v>2033.9</v>
      </c>
      <c r="N19" s="2">
        <f>M19*(1+$O$28)</f>
        <v>2237.2900000000004</v>
      </c>
      <c r="O19" s="2">
        <f t="shared" ref="O19:U19" si="5">J19*(1+$O$28)</f>
        <v>-3423.2000000000003</v>
      </c>
      <c r="P19" s="2">
        <f t="shared" si="5"/>
        <v>-27.500000000000004</v>
      </c>
      <c r="Q19" s="2">
        <f t="shared" si="5"/>
        <v>2033.9</v>
      </c>
      <c r="R19" s="2">
        <f t="shared" si="5"/>
        <v>2237.2900000000004</v>
      </c>
      <c r="S19" s="2">
        <f t="shared" si="5"/>
        <v>2461.0190000000007</v>
      </c>
      <c r="T19" s="2">
        <f t="shared" si="5"/>
        <v>-3765.5200000000004</v>
      </c>
      <c r="U19" s="2">
        <f t="shared" si="5"/>
        <v>-30.250000000000007</v>
      </c>
      <c r="V19" s="2">
        <f t="shared" ref="V19" si="6">U19*(1+$O$28)</f>
        <v>-33.275000000000013</v>
      </c>
      <c r="W19" s="2">
        <f t="shared" ref="W19:AC19" si="7">R19*(1+$O$28)</f>
        <v>2461.0190000000007</v>
      </c>
      <c r="X19" s="2">
        <f t="shared" si="7"/>
        <v>2707.1209000000008</v>
      </c>
      <c r="Y19" s="2">
        <f t="shared" si="7"/>
        <v>-4142.072000000001</v>
      </c>
      <c r="Z19" s="2">
        <f t="shared" si="7"/>
        <v>-33.275000000000013</v>
      </c>
      <c r="AA19" s="2">
        <f t="shared" si="7"/>
        <v>-36.60250000000002</v>
      </c>
      <c r="AB19" s="2">
        <f t="shared" si="7"/>
        <v>2707.1209000000008</v>
      </c>
      <c r="AC19" s="2">
        <f t="shared" si="7"/>
        <v>2977.8329900000012</v>
      </c>
      <c r="AD19" s="2">
        <f t="shared" ref="AD19" si="8">AC19*(1+$O$28)</f>
        <v>3275.6162890000014</v>
      </c>
      <c r="AE19" s="2">
        <f t="shared" ref="AE19:AK19" si="9">Z19*(1+$O$28)</f>
        <v>-36.60250000000002</v>
      </c>
      <c r="AF19" s="2">
        <f t="shared" si="9"/>
        <v>-40.262750000000025</v>
      </c>
      <c r="AG19" s="2">
        <f t="shared" si="9"/>
        <v>2977.8329900000012</v>
      </c>
      <c r="AH19" s="2">
        <f t="shared" si="9"/>
        <v>3275.6162890000014</v>
      </c>
      <c r="AI19" s="2">
        <f t="shared" si="9"/>
        <v>3603.1779179000018</v>
      </c>
      <c r="AJ19" s="2">
        <f t="shared" si="9"/>
        <v>-40.262750000000025</v>
      </c>
      <c r="AK19" s="2">
        <f t="shared" si="9"/>
        <v>-44.289025000000031</v>
      </c>
      <c r="AL19" s="2">
        <f t="shared" ref="AL19" si="10">AK19*(1+$O$28)</f>
        <v>-48.717927500000037</v>
      </c>
      <c r="AM19" s="2">
        <f t="shared" ref="AM19:AS19" si="11">AH19*(1+$O$28)</f>
        <v>3603.1779179000018</v>
      </c>
      <c r="AN19" s="2">
        <f t="shared" si="11"/>
        <v>3963.4957096900025</v>
      </c>
      <c r="AO19" s="2">
        <f t="shared" si="11"/>
        <v>-44.289025000000031</v>
      </c>
      <c r="AP19" s="2">
        <f t="shared" si="11"/>
        <v>-48.717927500000037</v>
      </c>
      <c r="AQ19" s="2">
        <f t="shared" si="11"/>
        <v>-53.589720250000049</v>
      </c>
      <c r="AR19" s="2">
        <f t="shared" si="11"/>
        <v>3963.4957096900025</v>
      </c>
      <c r="AS19" s="2">
        <f t="shared" si="11"/>
        <v>4359.845280659003</v>
      </c>
      <c r="AT19" s="2">
        <f t="shared" ref="AT19" si="12">AS19*(1+$O$28)</f>
        <v>4795.8298087249041</v>
      </c>
      <c r="AU19" s="2">
        <f t="shared" ref="AU19:BA19" si="13">AP19*(1+$O$28)</f>
        <v>-53.589720250000049</v>
      </c>
      <c r="AV19" s="2">
        <f t="shared" si="13"/>
        <v>-58.948692275000056</v>
      </c>
      <c r="AW19" s="2">
        <f t="shared" si="13"/>
        <v>4359.845280659003</v>
      </c>
      <c r="AX19" s="2">
        <f t="shared" si="13"/>
        <v>4795.8298087249041</v>
      </c>
      <c r="AY19" s="2">
        <f t="shared" si="13"/>
        <v>5275.4127895973952</v>
      </c>
      <c r="AZ19" s="2">
        <f t="shared" si="13"/>
        <v>-58.948692275000056</v>
      </c>
      <c r="BA19" s="2">
        <f t="shared" si="13"/>
        <v>-64.843561502500066</v>
      </c>
      <c r="BB19" s="2">
        <f t="shared" ref="BB19" si="14">BA19*(1+$O$28)</f>
        <v>-71.327917652750074</v>
      </c>
      <c r="BC19" s="2">
        <f t="shared" ref="BC19:BG19" si="15">AX19*(1+$O$28)</f>
        <v>5275.4127895973952</v>
      </c>
      <c r="BD19" s="2">
        <f t="shared" si="15"/>
        <v>5802.9540685571355</v>
      </c>
      <c r="BE19" s="2">
        <f t="shared" si="15"/>
        <v>-64.843561502500066</v>
      </c>
      <c r="BF19" s="2">
        <f t="shared" si="15"/>
        <v>-71.327917652750074</v>
      </c>
      <c r="BG19" s="2">
        <f t="shared" si="15"/>
        <v>-78.46070941802509</v>
      </c>
      <c r="BH19" s="2">
        <f>BC19*(1+$O$28)</f>
        <v>5802.9540685571355</v>
      </c>
    </row>
    <row r="20" spans="2:60" x14ac:dyDescent="0.2">
      <c r="B20" s="2" t="s">
        <v>23</v>
      </c>
      <c r="C20" s="2">
        <v>0</v>
      </c>
      <c r="D20" s="2">
        <v>0</v>
      </c>
      <c r="E20" s="2">
        <v>106</v>
      </c>
      <c r="F20" s="2">
        <v>108</v>
      </c>
      <c r="G20" s="2">
        <v>231</v>
      </c>
      <c r="H20" s="2">
        <v>2</v>
      </c>
      <c r="I20" s="2">
        <v>0</v>
      </c>
      <c r="J20" s="2">
        <v>0</v>
      </c>
      <c r="K20" s="2">
        <v>0</v>
      </c>
      <c r="L20" s="2">
        <v>0</v>
      </c>
    </row>
    <row r="21" spans="2:60" x14ac:dyDescent="0.2">
      <c r="B21" s="2" t="s">
        <v>24</v>
      </c>
      <c r="C21" s="2">
        <f>C19-C20</f>
        <v>704</v>
      </c>
      <c r="D21" s="2">
        <f t="shared" ref="D21:L21" si="16">D19-D20</f>
        <v>924</v>
      </c>
      <c r="E21" s="2">
        <f t="shared" si="16"/>
        <v>-4662</v>
      </c>
      <c r="F21" s="2">
        <f t="shared" si="16"/>
        <v>-2751</v>
      </c>
      <c r="G21" s="2">
        <f t="shared" si="16"/>
        <v>815</v>
      </c>
      <c r="H21" s="2">
        <f t="shared" si="16"/>
        <v>535</v>
      </c>
      <c r="I21" s="2">
        <f t="shared" si="16"/>
        <v>891</v>
      </c>
      <c r="J21" s="2">
        <f t="shared" si="16"/>
        <v>-3112</v>
      </c>
      <c r="K21" s="2">
        <f t="shared" si="16"/>
        <v>-25</v>
      </c>
      <c r="L21" s="2">
        <f t="shared" si="16"/>
        <v>1849</v>
      </c>
    </row>
    <row r="22" spans="2:60" x14ac:dyDescent="0.2">
      <c r="B22" s="2" t="s">
        <v>26</v>
      </c>
      <c r="C22" s="2">
        <v>351</v>
      </c>
      <c r="D22" s="2">
        <v>352</v>
      </c>
      <c r="E22" s="2">
        <v>381</v>
      </c>
      <c r="F22" s="2">
        <v>435</v>
      </c>
      <c r="G22" s="2">
        <v>501</v>
      </c>
      <c r="H22" s="2">
        <v>577</v>
      </c>
      <c r="I22" s="2">
        <v>540</v>
      </c>
      <c r="J22" s="2">
        <v>574</v>
      </c>
      <c r="K22" s="2">
        <v>790</v>
      </c>
      <c r="L22" s="2">
        <v>1113</v>
      </c>
    </row>
    <row r="23" spans="2:60" x14ac:dyDescent="0.2">
      <c r="B23" s="2" t="s">
        <v>27</v>
      </c>
      <c r="C23" s="6">
        <f>C21/C22</f>
        <v>2.0056980056980058</v>
      </c>
      <c r="D23" s="6">
        <f t="shared" ref="D23:L23" si="17">D21/D22</f>
        <v>2.625</v>
      </c>
      <c r="E23" s="6">
        <f t="shared" si="17"/>
        <v>-12.236220472440944</v>
      </c>
      <c r="F23" s="6">
        <f t="shared" si="17"/>
        <v>-6.3241379310344827</v>
      </c>
      <c r="G23" s="6">
        <f t="shared" si="17"/>
        <v>1.6267465069860279</v>
      </c>
      <c r="H23" s="6">
        <f t="shared" si="17"/>
        <v>0.92720970537261693</v>
      </c>
      <c r="I23" s="6">
        <f t="shared" si="17"/>
        <v>1.65</v>
      </c>
      <c r="J23" s="6">
        <f t="shared" si="17"/>
        <v>-5.4216027874564459</v>
      </c>
      <c r="K23" s="6">
        <f t="shared" si="17"/>
        <v>-3.1645569620253167E-2</v>
      </c>
      <c r="L23" s="6">
        <f t="shared" si="17"/>
        <v>1.6612758310871518</v>
      </c>
    </row>
    <row r="27" spans="2:60" x14ac:dyDescent="0.2">
      <c r="N27" s="2" t="s">
        <v>33</v>
      </c>
      <c r="O27" s="7">
        <v>8.6300000000000002E-2</v>
      </c>
    </row>
    <row r="28" spans="2:60" x14ac:dyDescent="0.2">
      <c r="N28" s="2" t="s">
        <v>34</v>
      </c>
      <c r="O28" s="4">
        <v>0.1</v>
      </c>
    </row>
    <row r="29" spans="2:60" x14ac:dyDescent="0.2">
      <c r="N29" s="2" t="s">
        <v>35</v>
      </c>
      <c r="O29" s="2">
        <f>NPV(O27,M19:BH19)+Main!K6-Main!K7</f>
        <v>5783.976633422968</v>
      </c>
    </row>
    <row r="30" spans="2:60" x14ac:dyDescent="0.2">
      <c r="N30" s="2" t="s">
        <v>36</v>
      </c>
      <c r="O30" s="2">
        <f>O29/Main!K4</f>
        <v>5.2584904266021848</v>
      </c>
    </row>
    <row r="31" spans="2:60" x14ac:dyDescent="0.2">
      <c r="B31" s="2" t="s">
        <v>25</v>
      </c>
      <c r="D31" s="4">
        <f>D8/C8</f>
        <v>1.1978641352714328</v>
      </c>
      <c r="E31" s="4">
        <f t="shared" ref="E31:K31" si="18">E8/D8</f>
        <v>0.77587914809311542</v>
      </c>
      <c r="F31" s="4">
        <f t="shared" si="18"/>
        <v>0.77752952441749124</v>
      </c>
      <c r="G31" s="4">
        <f t="shared" si="18"/>
        <v>1.3148604269293924</v>
      </c>
      <c r="H31" s="4">
        <f t="shared" si="18"/>
        <v>1.2057446144239776</v>
      </c>
      <c r="I31" s="4">
        <f t="shared" si="18"/>
        <v>0.78663904712584154</v>
      </c>
      <c r="J31" s="4">
        <f t="shared" si="18"/>
        <v>0.75971033574720215</v>
      </c>
      <c r="K31" s="4">
        <f t="shared" si="18"/>
        <v>2.8886481802426345</v>
      </c>
      <c r="L31" s="4">
        <f>L8/K8</f>
        <v>2.2501874906254686</v>
      </c>
    </row>
    <row r="32" spans="2:60" x14ac:dyDescent="0.2">
      <c r="B32" s="2" t="s">
        <v>9</v>
      </c>
      <c r="C32" s="4">
        <f t="shared" ref="C32:K32" si="19">C10/C8</f>
        <v>0.6472856719074459</v>
      </c>
      <c r="D32" s="4">
        <f t="shared" si="19"/>
        <v>0.62803368003962357</v>
      </c>
      <c r="E32" s="4">
        <f t="shared" si="19"/>
        <v>0.47302904564315351</v>
      </c>
      <c r="F32" s="4">
        <f t="shared" si="19"/>
        <v>0.36412151067323484</v>
      </c>
      <c r="G32" s="4">
        <f t="shared" si="19"/>
        <v>0.45644708086169217</v>
      </c>
      <c r="H32" s="4">
        <f t="shared" si="19"/>
        <v>0.45546349041947176</v>
      </c>
      <c r="I32" s="4">
        <f t="shared" si="19"/>
        <v>0.30809743252139565</v>
      </c>
      <c r="J32" s="4">
        <f t="shared" si="19"/>
        <v>0.21403812824956672</v>
      </c>
      <c r="K32" s="4">
        <f t="shared" si="19"/>
        <v>0.5111744412779361</v>
      </c>
      <c r="L32" s="4">
        <f>L10/L8</f>
        <v>0.58158912145047326</v>
      </c>
    </row>
    <row r="33" spans="2:12" x14ac:dyDescent="0.2">
      <c r="B33" s="2" t="s">
        <v>17</v>
      </c>
      <c r="C33" s="4">
        <f t="shared" ref="C33:L33" si="20">C15/C14</f>
        <v>8.6378737541528236E-2</v>
      </c>
      <c r="D33" s="4">
        <f t="shared" si="20"/>
        <v>8.3029861616897307E-2</v>
      </c>
      <c r="E33" s="4">
        <f t="shared" si="20"/>
        <v>-3.9865072063784118E-2</v>
      </c>
      <c r="F33" s="4">
        <f t="shared" si="20"/>
        <v>-0.1095890410958904</v>
      </c>
      <c r="G33" s="4">
        <f t="shared" si="20"/>
        <v>0.33926128590971272</v>
      </c>
      <c r="H33" s="4">
        <f t="shared" si="20"/>
        <v>0.29987452948557092</v>
      </c>
      <c r="I33" s="4">
        <f t="shared" si="20"/>
        <v>0.64444444444444449</v>
      </c>
      <c r="J33" s="4">
        <f t="shared" si="20"/>
        <v>-6.3392546151166837E-2</v>
      </c>
      <c r="K33" s="4">
        <f t="shared" si="20"/>
        <v>8.842504743833017E-2</v>
      </c>
      <c r="L33" s="4">
        <f t="shared" si="20"/>
        <v>4.1474027740005442E-2</v>
      </c>
    </row>
    <row r="34" spans="2:12" x14ac:dyDescent="0.2">
      <c r="B34" s="2" t="s">
        <v>22</v>
      </c>
      <c r="C34" s="4">
        <f>C18/C17</f>
        <v>0.40840336134453781</v>
      </c>
      <c r="D34" s="4">
        <f t="shared" ref="D34:L34" si="21">D18/D17</f>
        <v>0.36231884057971014</v>
      </c>
      <c r="E34" s="4">
        <f t="shared" si="21"/>
        <v>0.3055936595031245</v>
      </c>
      <c r="F34" s="4">
        <f t="shared" si="21"/>
        <v>1.0853293413173653E-2</v>
      </c>
      <c r="G34" s="4">
        <f t="shared" si="21"/>
        <v>-9.7586568730325285E-2</v>
      </c>
      <c r="H34" s="4">
        <f t="shared" si="21"/>
        <v>1.8587360594795538E-3</v>
      </c>
      <c r="I34" s="4">
        <f>I18/I17</f>
        <v>-0.85624999999999996</v>
      </c>
      <c r="J34" s="4">
        <f t="shared" si="21"/>
        <v>-0.15046210720887246</v>
      </c>
      <c r="K34" s="4">
        <f t="shared" si="21"/>
        <v>0</v>
      </c>
      <c r="L34" s="4">
        <f t="shared" si="21"/>
        <v>2.6842105263157896E-2</v>
      </c>
    </row>
  </sheetData>
  <hyperlinks>
    <hyperlink ref="A1" location="Main!A1" display="Main" xr:uid="{CF041496-9426-7548-95AB-D284D57041BB}"/>
  </hyperlinks>
  <pageMargins left="0.7" right="0.7" top="0.75" bottom="0.75" header="0.3" footer="0.3"/>
  <ignoredErrors>
    <ignoredError sqref="J8:L8" formulaRange="1"/>
  </ignoredErrors>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Main</vt:lpstr>
      <vt:lpstr>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 Liegis</dc:creator>
  <cp:lastModifiedBy>Luka Liegis</cp:lastModifiedBy>
  <dcterms:created xsi:type="dcterms:W3CDTF">2023-03-30T00:43:08Z</dcterms:created>
  <dcterms:modified xsi:type="dcterms:W3CDTF">2023-04-01T15:14:58Z</dcterms:modified>
</cp:coreProperties>
</file>