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44183D40-3862-BE42-BF9F-20961CF44352}" xr6:coauthVersionLast="47" xr6:coauthVersionMax="47" xr10:uidLastSave="{00000000-0000-0000-0000-000000000000}"/>
  <bookViews>
    <workbookView xWindow="5100" yWindow="780" windowWidth="29460" windowHeight="19620" activeTab="1" xr2:uid="{949EA977-646D-824B-B31F-64BA90CC769E}"/>
  </bookViews>
  <sheets>
    <sheet name="Main" sheetId="1" r:id="rId1"/>
    <sheet name="Model" sheetId="2" r:id="rId2"/>
    <sheet name="Semi"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3" l="1"/>
  <c r="C7" i="3"/>
  <c r="C10" i="3"/>
  <c r="C12" i="3" s="1"/>
  <c r="P30" i="2"/>
  <c r="P21" i="2"/>
  <c r="P16" i="2" l="1"/>
  <c r="D4" i="1" a="1"/>
  <c r="D4" i="1" s="1"/>
  <c r="D6" i="1" s="1"/>
  <c r="D9" i="1" s="1"/>
  <c r="P19" i="2" l="1"/>
  <c r="P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<sst xmlns="http://schemas.openxmlformats.org/spreadsheetml/2006/main" count="73" uniqueCount="69">
  <si>
    <t>P</t>
  </si>
  <si>
    <t>S/O</t>
  </si>
  <si>
    <t>MC</t>
  </si>
  <si>
    <t>Cash</t>
  </si>
  <si>
    <t>Debt</t>
  </si>
  <si>
    <t>EV</t>
  </si>
  <si>
    <t>In Millions</t>
  </si>
  <si>
    <t>Automotive Sales</t>
  </si>
  <si>
    <t>Q2-22</t>
  </si>
  <si>
    <t>Q1-22</t>
  </si>
  <si>
    <t>Q4-21</t>
  </si>
  <si>
    <t>Q3-21</t>
  </si>
  <si>
    <t>Q2-21</t>
  </si>
  <si>
    <t>Q1-21</t>
  </si>
  <si>
    <t>Q3-22</t>
  </si>
  <si>
    <t>Q4-22</t>
  </si>
  <si>
    <t>Automotive Leasing</t>
  </si>
  <si>
    <t>Automotive Revenue</t>
  </si>
  <si>
    <t>Energy Generation &amp; Storage</t>
  </si>
  <si>
    <t>Services &amp; Other</t>
  </si>
  <si>
    <t>Main</t>
  </si>
  <si>
    <t>Revenue</t>
  </si>
  <si>
    <t>Q1-20</t>
  </si>
  <si>
    <t>Q2-20</t>
  </si>
  <si>
    <t>Q3-20</t>
  </si>
  <si>
    <t>Q4-20</t>
  </si>
  <si>
    <t>Q4-19</t>
  </si>
  <si>
    <t>Q3-19</t>
  </si>
  <si>
    <t>Q2-19</t>
  </si>
  <si>
    <t>Q1-19</t>
  </si>
  <si>
    <t>Automotive Product COGS</t>
  </si>
  <si>
    <t>Car Gross Margin</t>
  </si>
  <si>
    <t>Automotive Leasing COGS</t>
  </si>
  <si>
    <t>Automotive Revenue GM</t>
  </si>
  <si>
    <t>Revenue y/y</t>
  </si>
  <si>
    <t>Energy COGS</t>
  </si>
  <si>
    <t>Services COGS</t>
  </si>
  <si>
    <t>Gross Margin</t>
  </si>
  <si>
    <t>R&amp;D</t>
  </si>
  <si>
    <t>Automotive Credits</t>
  </si>
  <si>
    <t>SG&amp;A</t>
  </si>
  <si>
    <t>Restructuring</t>
  </si>
  <si>
    <t>Operating Expenses</t>
  </si>
  <si>
    <t>Battery Size &amp; Weight</t>
  </si>
  <si>
    <t>Max Weight</t>
  </si>
  <si>
    <t>Range</t>
  </si>
  <si>
    <t>lbs</t>
  </si>
  <si>
    <t>miles</t>
  </si>
  <si>
    <t>m/kWh</t>
  </si>
  <si>
    <t>Battery Capacity</t>
  </si>
  <si>
    <t>Battery Chemistry</t>
  </si>
  <si>
    <t>kWh/kg</t>
  </si>
  <si>
    <t>Battery Weight</t>
  </si>
  <si>
    <t>kWh</t>
  </si>
  <si>
    <t>kg</t>
  </si>
  <si>
    <t>EV Weight Addition</t>
  </si>
  <si>
    <t>Drag Coefficient</t>
  </si>
  <si>
    <t>Best Case</t>
  </si>
  <si>
    <t xml:space="preserve">Complicated </t>
  </si>
  <si>
    <t>Frontal Area</t>
  </si>
  <si>
    <t>Velocity</t>
  </si>
  <si>
    <t>mph</t>
  </si>
  <si>
    <t>Tire Rolling Resistance</t>
  </si>
  <si>
    <t>ft^2</t>
  </si>
  <si>
    <t>Efficiency</t>
  </si>
  <si>
    <t>Wind</t>
  </si>
  <si>
    <t>Accel/Decel</t>
  </si>
  <si>
    <t>Energy for 500mi</t>
  </si>
  <si>
    <t xml:space="preserve">FSD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</si>
</sst>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3" fontId="0" fillId="0" borderId="0" xfId="0" applyNumberFormat="1"/>
    <xf numFmtId="4" fontId="0" fillId="0" borderId="0" xfId="0" applyNumberFormat="1"/>
    <xf numFmtId="14" fontId="0" fillId="0" borderId="0" xfId="0" applyNumberFormat="1"/>
    <xf numFmtId="3" fontId="1" fillId="0" borderId="0" xfId="0" applyNumberFormat="1" applyFont="1"/>
    <xf numFmtId="14" fontId="2" fillId="0" borderId="0" xfId="1" applyNumberFormat="1"/>
    <xf numFmtId="3" fontId="3" fillId="0" borderId="0" xfId="0" applyNumberFormat="1" applyFont="1"/>
    <xf numFmtId="164" fontId="0" fillId="0" borderId="0" xfId="0" applyNumberFormat="1"/>
    <xf numFmtId="3"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en-GB</v>
    <v>a24kar</v>
    <v>268435456</v>
    <v>1</v>
    <v>Powered by Refinitiv</v>
    <v>402.66629999999998</v>
    <v>156.91</v>
    <v>1.9372</v>
    <v>-6.87</v>
    <v>-4.0937000000000001E-2</v>
    <v>-0.18</v>
    <v>-1.1180000000000001E-3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175.05</v>
    <v>Automobiles &amp; Auto Parts</v>
    <v>Stock</v>
    <v>44908.93786946719</v>
    <v>0</v>
    <v>156.91</v>
    <v>508240184399</v>
    <v>TESLA, INC.</v>
    <v>TESLA, INC.</v>
    <v>174.87</v>
    <v>51.699800000000003</v>
    <v>167.82</v>
    <v>160.94999999999999</v>
    <v>160.77000000000001</v>
    <v>3157752000</v>
    <v>TSLA</v>
    <v>TESLA, INC. (XNAS:TSLA)</v>
    <v>175405725</v>
    <v>93598336</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8DEE-111D-0549-AF00-38FB99EBEF3B}">
  <dimension ref="A1:D9"/>
  <sheetViews>
    <sheetView workbookViewId="0">
      <selection activeCell="D10" sqref="D10"/>
    </sheetView>
  </sheetViews>
  <sheetFormatPr baseColWidth="10" defaultRowHeight="16" x14ac:dyDescent="0.2"/>
  <cols>
    <col min="1" max="3" width="10.83203125" style="1"/>
    <col min="4" max="4" width="14.6640625" style="1" bestFit="1" customWidth="1"/>
    <col min="5" max="16384" width="10.83203125" style="1"/>
  </cols>
  <sheetData>
    <row r="1" spans="1:4" x14ac:dyDescent="0.2">
      <c r="A1" s="1" t="e" vm="1">
        <v>#VALUE!</v>
      </c>
    </row>
    <row r="4" spans="1:4" x14ac:dyDescent="0.2">
      <c r="C4" s="1" t="s">
        <v>0</v>
      </c>
      <c r="D4" s="2" cm="1">
        <f t="array" ref="D4">_FV(A1,"Price")</f>
        <v>160.94999999999999</v>
      </c>
    </row>
    <row r="5" spans="1:4" x14ac:dyDescent="0.2">
      <c r="C5" s="1" t="s">
        <v>1</v>
      </c>
      <c r="D5" s="1">
        <v>1044490015</v>
      </c>
    </row>
    <row r="6" spans="1:4" x14ac:dyDescent="0.2">
      <c r="C6" s="1" t="s">
        <v>2</v>
      </c>
      <c r="D6" s="1">
        <f>D4*D5</f>
        <v>168110667914.25</v>
      </c>
    </row>
    <row r="7" spans="1:4" x14ac:dyDescent="0.2">
      <c r="C7" s="1" t="s">
        <v>3</v>
      </c>
      <c r="D7" s="1">
        <v>18324000000</v>
      </c>
    </row>
    <row r="8" spans="1:4" x14ac:dyDescent="0.2">
      <c r="C8" s="1" t="s">
        <v>4</v>
      </c>
    </row>
    <row r="9" spans="1:4" x14ac:dyDescent="0.2">
      <c r="C9" s="1" t="s">
        <v>5</v>
      </c>
      <c r="D9" s="1">
        <f>D6+D8-D7</f>
        <v>149786667914.25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020C-F7DD-1741-8ABC-65DFDA41B399}">
  <dimension ref="A1:R38"/>
  <sheetViews>
    <sheetView tabSelected="1" zoomScale="85" workbookViewId="0">
      <pane xSplit="2" ySplit="12" topLeftCell="C13" activePane="bottomRight" state="frozen"/>
      <selection pane="topRight" activeCell="C1" sqref="C1"/>
      <selection pane="bottomLeft" activeCell="A13" sqref="A13"/>
      <selection pane="bottomRight" activeCell="B2" sqref="B2"/>
    </sheetView>
  </sheetViews>
  <sheetFormatPr baseColWidth="10" defaultRowHeight="16" x14ac:dyDescent="0.2"/>
  <cols>
    <col min="1" max="1" width="10.83203125" style="1"/>
    <col min="2" max="2" width="25.33203125" style="1" bestFit="1" customWidth="1"/>
    <col min="3" max="16384" width="10.83203125" style="1"/>
  </cols>
  <sheetData>
    <row r="1" spans="1:18" s="3" customFormat="1" x14ac:dyDescent="0.2">
      <c r="A1" s="5" t="s">
        <v>20</v>
      </c>
      <c r="B1" s="3" t="s">
        <v>6</v>
      </c>
      <c r="P1" s="3">
        <v>44742</v>
      </c>
    </row>
    <row r="2" spans="1:18" x14ac:dyDescent="0.2">
      <c r="B2" s="1" t="s">
        <v>68</v>
      </c>
    </row>
    <row r="6" spans="1:18" s="4" customFormat="1" x14ac:dyDescent="0.2"/>
    <row r="9" spans="1:18" s="4" customFormat="1" x14ac:dyDescent="0.2"/>
    <row r="12" spans="1:18" x14ac:dyDescent="0.2">
      <c r="C12" s="6" t="s">
        <v>29</v>
      </c>
      <c r="D12" s="6" t="s">
        <v>28</v>
      </c>
      <c r="E12" s="6" t="s">
        <v>27</v>
      </c>
      <c r="F12" s="6" t="s">
        <v>26</v>
      </c>
      <c r="G12" s="1" t="s">
        <v>22</v>
      </c>
      <c r="H12" s="1" t="s">
        <v>23</v>
      </c>
      <c r="I12" s="1" t="s">
        <v>24</v>
      </c>
      <c r="J12" s="1" t="s">
        <v>25</v>
      </c>
      <c r="K12" s="1" t="s">
        <v>13</v>
      </c>
      <c r="L12" s="1" t="s">
        <v>12</v>
      </c>
      <c r="M12" s="1" t="s">
        <v>11</v>
      </c>
      <c r="N12" s="1" t="s">
        <v>10</v>
      </c>
      <c r="O12" s="1" t="s">
        <v>9</v>
      </c>
      <c r="P12" s="1" t="s">
        <v>8</v>
      </c>
      <c r="Q12" s="1" t="s">
        <v>14</v>
      </c>
      <c r="R12" s="1" t="s">
        <v>15</v>
      </c>
    </row>
    <row r="13" spans="1:18" x14ac:dyDescent="0.2">
      <c r="B13" s="1" t="s">
        <v>7</v>
      </c>
      <c r="P13" s="1">
        <v>13670</v>
      </c>
    </row>
    <row r="14" spans="1:18" x14ac:dyDescent="0.2">
      <c r="B14" s="1" t="s">
        <v>39</v>
      </c>
      <c r="P14" s="1">
        <v>344</v>
      </c>
    </row>
    <row r="15" spans="1:18" x14ac:dyDescent="0.2">
      <c r="B15" s="1" t="s">
        <v>16</v>
      </c>
      <c r="P15" s="1">
        <v>588</v>
      </c>
    </row>
    <row r="16" spans="1:18" x14ac:dyDescent="0.2">
      <c r="B16" s="4" t="s">
        <v>17</v>
      </c>
      <c r="C16" s="4"/>
      <c r="D16" s="4"/>
      <c r="E16" s="4"/>
      <c r="F16" s="4"/>
      <c r="L16" s="4"/>
      <c r="M16" s="4"/>
      <c r="N16" s="4"/>
      <c r="O16" s="4"/>
      <c r="P16" s="4">
        <f>SUM(P13:P15)</f>
        <v>14602</v>
      </c>
    </row>
    <row r="17" spans="2:16" x14ac:dyDescent="0.2">
      <c r="B17" s="1" t="s">
        <v>18</v>
      </c>
      <c r="P17" s="1">
        <v>866</v>
      </c>
    </row>
    <row r="18" spans="2:16" x14ac:dyDescent="0.2">
      <c r="B18" s="1" t="s">
        <v>19</v>
      </c>
      <c r="P18" s="1">
        <v>1466</v>
      </c>
    </row>
    <row r="19" spans="2:16" x14ac:dyDescent="0.2">
      <c r="B19" s="4" t="s">
        <v>21</v>
      </c>
      <c r="C19" s="4"/>
      <c r="D19" s="4"/>
      <c r="E19" s="4"/>
      <c r="F19" s="4"/>
      <c r="L19" s="4"/>
      <c r="M19" s="4"/>
      <c r="N19" s="4"/>
      <c r="O19" s="4"/>
      <c r="P19" s="4">
        <f>SUM(P16:P18)</f>
        <v>16934</v>
      </c>
    </row>
    <row r="20" spans="2:16" x14ac:dyDescent="0.2">
      <c r="B20" s="1" t="s">
        <v>30</v>
      </c>
      <c r="P20" s="1">
        <v>10153</v>
      </c>
    </row>
    <row r="21" spans="2:16" x14ac:dyDescent="0.2">
      <c r="B21" s="1" t="s">
        <v>31</v>
      </c>
      <c r="P21" s="1">
        <f>P13-P20</f>
        <v>3517</v>
      </c>
    </row>
    <row r="22" spans="2:16" x14ac:dyDescent="0.2">
      <c r="B22" s="1" t="s">
        <v>32</v>
      </c>
      <c r="P22" s="1">
        <v>368</v>
      </c>
    </row>
    <row r="23" spans="2:16" x14ac:dyDescent="0.2">
      <c r="B23" s="1" t="s">
        <v>33</v>
      </c>
      <c r="P23" s="1">
        <f>P16-P20-P22</f>
        <v>4081</v>
      </c>
    </row>
    <row r="24" spans="2:16" x14ac:dyDescent="0.2">
      <c r="B24" s="1" t="s">
        <v>35</v>
      </c>
      <c r="P24" s="1">
        <v>769</v>
      </c>
    </row>
    <row r="25" spans="2:16" x14ac:dyDescent="0.2">
      <c r="B25" s="1" t="s">
        <v>36</v>
      </c>
      <c r="P25" s="1">
        <v>1410</v>
      </c>
    </row>
    <row r="26" spans="2:16" x14ac:dyDescent="0.2">
      <c r="B26" s="1" t="s">
        <v>37</v>
      </c>
    </row>
    <row r="27" spans="2:16" x14ac:dyDescent="0.2">
      <c r="B27" s="1" t="s">
        <v>38</v>
      </c>
      <c r="P27" s="1">
        <v>667</v>
      </c>
    </row>
    <row r="28" spans="2:16" x14ac:dyDescent="0.2">
      <c r="B28" s="1" t="s">
        <v>40</v>
      </c>
      <c r="P28" s="1">
        <v>961</v>
      </c>
    </row>
    <row r="29" spans="2:16" x14ac:dyDescent="0.2">
      <c r="B29" s="1" t="s">
        <v>41</v>
      </c>
      <c r="P29" s="1">
        <v>142</v>
      </c>
    </row>
    <row r="30" spans="2:16" x14ac:dyDescent="0.2">
      <c r="B30" s="1" t="s">
        <v>42</v>
      </c>
      <c r="P30" s="1">
        <f>SUM(P27:P29)</f>
        <v>1770</v>
      </c>
    </row>
    <row r="38" spans="2:2" x14ac:dyDescent="0.2">
      <c r="B38" s="1" t="s">
        <v>34</v>
      </c>
    </row>
  </sheetData>
  <hyperlinks>
    <hyperlink ref="A1" location="Main!A1" display="Main" xr:uid="{3B7A9D04-9A7D-744E-A237-B1CEBABAA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17AA-6FB5-B64F-9E73-C54F7637F4A4}">
  <dimension ref="B3:E25"/>
  <sheetViews>
    <sheetView workbookViewId="0">
      <selection activeCell="C26" sqref="C26"/>
    </sheetView>
  </sheetViews>
  <sheetFormatPr baseColWidth="10" defaultRowHeight="16" x14ac:dyDescent="0.2"/>
  <cols>
    <col min="1" max="1" width="10.83203125" style="1"/>
    <col min="2" max="2" width="20" style="1" bestFit="1" customWidth="1"/>
    <col min="3" max="16384" width="10.83203125" style="1"/>
  </cols>
  <sheetData>
    <row r="3" spans="2:4" x14ac:dyDescent="0.2">
      <c r="C3" s="8" t="s">
        <v>43</v>
      </c>
      <c r="D3" s="8"/>
    </row>
    <row r="5" spans="2:4" x14ac:dyDescent="0.2">
      <c r="B5" s="1" t="s">
        <v>44</v>
      </c>
      <c r="C5" s="1">
        <v>80000</v>
      </c>
      <c r="D5" s="1" t="s">
        <v>46</v>
      </c>
    </row>
    <row r="6" spans="2:4" x14ac:dyDescent="0.2">
      <c r="B6" s="1" t="s">
        <v>55</v>
      </c>
      <c r="C6" s="1">
        <v>2000</v>
      </c>
      <c r="D6" s="1" t="s">
        <v>46</v>
      </c>
    </row>
    <row r="7" spans="2:4" x14ac:dyDescent="0.2">
      <c r="B7" s="1" t="s">
        <v>44</v>
      </c>
      <c r="C7" s="1">
        <f>SUM(C5:C6)</f>
        <v>82000</v>
      </c>
      <c r="D7" s="1" t="s">
        <v>46</v>
      </c>
    </row>
    <row r="8" spans="2:4" x14ac:dyDescent="0.2">
      <c r="B8" s="1" t="s">
        <v>45</v>
      </c>
      <c r="C8" s="1">
        <v>500</v>
      </c>
      <c r="D8" s="1" t="s">
        <v>47</v>
      </c>
    </row>
    <row r="9" spans="2:4" x14ac:dyDescent="0.2">
      <c r="C9" s="2">
        <v>0.5</v>
      </c>
      <c r="D9" s="1" t="s">
        <v>48</v>
      </c>
    </row>
    <row r="10" spans="2:4" x14ac:dyDescent="0.2">
      <c r="B10" s="1" t="s">
        <v>49</v>
      </c>
      <c r="C10" s="1">
        <f>C8/C9</f>
        <v>1000</v>
      </c>
      <c r="D10" s="1" t="s">
        <v>53</v>
      </c>
    </row>
    <row r="11" spans="2:4" x14ac:dyDescent="0.2">
      <c r="B11" s="1" t="s">
        <v>50</v>
      </c>
      <c r="C11" s="7">
        <v>0.27500000000000002</v>
      </c>
      <c r="D11" s="1" t="s">
        <v>51</v>
      </c>
    </row>
    <row r="12" spans="2:4" x14ac:dyDescent="0.2">
      <c r="B12" s="1" t="s">
        <v>52</v>
      </c>
      <c r="C12" s="1">
        <f>C10/C11</f>
        <v>3636.363636363636</v>
      </c>
      <c r="D12" s="1" t="s">
        <v>54</v>
      </c>
    </row>
    <row r="16" spans="2:4" x14ac:dyDescent="0.2">
      <c r="C16" s="8" t="s">
        <v>45</v>
      </c>
      <c r="D16" s="8"/>
    </row>
    <row r="17" spans="2:5" x14ac:dyDescent="0.2">
      <c r="C17" s="1" t="s">
        <v>57</v>
      </c>
      <c r="D17" s="1" t="s">
        <v>58</v>
      </c>
    </row>
    <row r="18" spans="2:5" x14ac:dyDescent="0.2">
      <c r="B18" s="1" t="s">
        <v>56</v>
      </c>
      <c r="C18" s="2">
        <v>0.36</v>
      </c>
    </row>
    <row r="19" spans="2:5" x14ac:dyDescent="0.2">
      <c r="B19" s="1" t="s">
        <v>59</v>
      </c>
      <c r="C19" s="2">
        <v>106.25</v>
      </c>
      <c r="E19" s="1" t="s">
        <v>63</v>
      </c>
    </row>
    <row r="20" spans="2:5" x14ac:dyDescent="0.2">
      <c r="B20" s="1" t="s">
        <v>60</v>
      </c>
      <c r="C20" s="1">
        <v>60</v>
      </c>
      <c r="E20" s="1" t="s">
        <v>61</v>
      </c>
    </row>
    <row r="21" spans="2:5" x14ac:dyDescent="0.2">
      <c r="B21" s="1" t="s">
        <v>62</v>
      </c>
      <c r="C21" s="7">
        <v>5.0000000000000001E-3</v>
      </c>
    </row>
    <row r="22" spans="2:5" x14ac:dyDescent="0.2">
      <c r="B22" s="1" t="s">
        <v>64</v>
      </c>
      <c r="C22" s="2">
        <v>0.95</v>
      </c>
    </row>
    <row r="23" spans="2:5" x14ac:dyDescent="0.2">
      <c r="B23" s="1" t="s">
        <v>65</v>
      </c>
      <c r="C23" s="1">
        <v>0</v>
      </c>
    </row>
    <row r="24" spans="2:5" x14ac:dyDescent="0.2">
      <c r="B24" s="1" t="s">
        <v>66</v>
      </c>
      <c r="C24" s="1">
        <v>0</v>
      </c>
    </row>
    <row r="25" spans="2:5" x14ac:dyDescent="0.2">
      <c r="B25" s="1" t="s">
        <v>67</v>
      </c>
      <c r="C25" s="1">
        <f>((0.5*(0.002377)*88^2*0.36*C19))</f>
        <v>352.04320799999999</v>
      </c>
    </row>
  </sheetData>
  <mergeCells count="2">
    <mergeCell ref="C16:D16"/>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Semi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2022-10-15T10:46:50Z</dcterms:created>
  <dcterms:modified xsi:type="dcterms:W3CDTF">2022-12-13T22:30:42Z</dcterms:modified>
</cp:coreProperties>
</file>