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5073D9FA-36B6-8449-890D-ED9F54B5B8AE}" xr6:coauthVersionLast="47" xr6:coauthVersionMax="47" xr10:uidLastSave="{00000000-0000-0000-0000-000000000000}"/>
  <bookViews>
    <workbookView xWindow="880" yWindow="2060" windowWidth="33680" windowHeight="17540" activeTab="1" xr2:uid="{5DC560EE-E29B-874E-BFAE-B4EDF6634D3F}"/>
  </bookViews>
  <sheets>
    <sheet name="Main" sheetId="1" r:id="rId1"/>
    <sheet name="Model" sheetId="2" r:id="rId2"/>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8" i="2" l="1"/>
  <c r="L38" i="2"/>
  <c r="K38" i="2"/>
  <c r="J38" i="2"/>
  <c r="I38" i="2"/>
  <c r="H38" i="2"/>
  <c r="F38" i="2"/>
  <c r="E38" i="2"/>
  <c r="D38" i="2"/>
  <c r="C38" i="2"/>
  <c r="M3" i="2"/>
  <c r="N3" i="2" s="1"/>
  <c r="T8" i="2"/>
  <c r="M8" i="2"/>
  <c r="N8" i="2"/>
  <c r="O8" i="2"/>
  <c r="P8" i="2"/>
  <c r="Q8" i="2"/>
  <c r="R8" i="2"/>
  <c r="S8" i="2"/>
  <c r="M4" i="2" l="1"/>
  <c r="M5" i="2" s="1"/>
  <c r="O3" i="2"/>
  <c r="N4" i="2"/>
  <c r="M9" i="2"/>
  <c r="M12" i="2" s="1"/>
  <c r="N5" i="2"/>
  <c r="N9" i="2" s="1"/>
  <c r="N12" i="2" s="1"/>
  <c r="N14" i="2" s="1"/>
  <c r="N21" i="2" s="1"/>
  <c r="N23" i="2" s="1"/>
  <c r="K4" i="1" a="1"/>
  <c r="K4" i="1" s="1"/>
  <c r="K3" i="1" a="1"/>
  <c r="K3" i="1" s="1"/>
  <c r="J12" i="2"/>
  <c r="J35" i="2" s="1"/>
  <c r="L8" i="2"/>
  <c r="K8" i="2"/>
  <c r="J8" i="2"/>
  <c r="I8" i="2"/>
  <c r="H8" i="2"/>
  <c r="G8" i="2"/>
  <c r="F8" i="2"/>
  <c r="E8" i="2"/>
  <c r="D8" i="2"/>
  <c r="C8" i="2"/>
  <c r="L5" i="2"/>
  <c r="L9" i="2" s="1"/>
  <c r="L12" i="2" s="1"/>
  <c r="K5" i="2"/>
  <c r="K34" i="2" s="1"/>
  <c r="J5" i="2"/>
  <c r="J9" i="2" s="1"/>
  <c r="I5" i="2"/>
  <c r="I34" i="2" s="1"/>
  <c r="H5" i="2"/>
  <c r="H34" i="2" s="1"/>
  <c r="G5" i="2"/>
  <c r="G9" i="2" s="1"/>
  <c r="G12" i="2" s="1"/>
  <c r="F5" i="2"/>
  <c r="F9" i="2" s="1"/>
  <c r="F12" i="2" s="1"/>
  <c r="E5" i="2"/>
  <c r="E9" i="2" s="1"/>
  <c r="E12" i="2" s="1"/>
  <c r="D5" i="2"/>
  <c r="C5" i="2"/>
  <c r="C9" i="2" s="1"/>
  <c r="C12" i="2" s="1"/>
  <c r="C14" i="2" s="1"/>
  <c r="C16" i="2" s="1"/>
  <c r="F33" i="2"/>
  <c r="G33" i="2"/>
  <c r="H33" i="2"/>
  <c r="I33" i="2"/>
  <c r="K33" i="2"/>
  <c r="L33" i="2"/>
  <c r="D33" i="2"/>
  <c r="D9" i="2" l="1"/>
  <c r="D12" i="2" s="1"/>
  <c r="D14" i="2" s="1"/>
  <c r="L35" i="2"/>
  <c r="L14" i="2"/>
  <c r="D16" i="2"/>
  <c r="D37" i="2"/>
  <c r="D21" i="2"/>
  <c r="D23" i="2" s="1"/>
  <c r="D24" i="2" s="1"/>
  <c r="E14" i="2"/>
  <c r="E35" i="2"/>
  <c r="G14" i="2"/>
  <c r="G35" i="2"/>
  <c r="F14" i="2"/>
  <c r="F35" i="2"/>
  <c r="J14" i="2"/>
  <c r="D35" i="2"/>
  <c r="C37" i="2"/>
  <c r="C35" i="2"/>
  <c r="C21" i="2"/>
  <c r="C23" i="2" s="1"/>
  <c r="C24" i="2" s="1"/>
  <c r="K5" i="1"/>
  <c r="K8" i="1" s="1"/>
  <c r="M14" i="2"/>
  <c r="M21" i="2" s="1"/>
  <c r="M23" i="2" s="1"/>
  <c r="P3" i="2"/>
  <c r="O4" i="2"/>
  <c r="O5" i="2" s="1"/>
  <c r="O9" i="2" s="1"/>
  <c r="O12" i="2" s="1"/>
  <c r="O14" i="2" s="1"/>
  <c r="O21" i="2" s="1"/>
  <c r="O23" i="2" s="1"/>
  <c r="G34" i="2"/>
  <c r="I9" i="2"/>
  <c r="I12" i="2" s="1"/>
  <c r="J34" i="2"/>
  <c r="K9" i="2"/>
  <c r="K12" i="2" s="1"/>
  <c r="L34" i="2"/>
  <c r="C34" i="2"/>
  <c r="F34" i="2"/>
  <c r="H9" i="2"/>
  <c r="H12" i="2" s="1"/>
  <c r="D34" i="2"/>
  <c r="E34" i="2"/>
  <c r="F37" i="2" l="1"/>
  <c r="F16" i="2"/>
  <c r="F21" i="2"/>
  <c r="F23" i="2" s="1"/>
  <c r="G37" i="2"/>
  <c r="G16" i="2"/>
  <c r="G21" i="2"/>
  <c r="G23" i="2" s="1"/>
  <c r="G24" i="2" s="1"/>
  <c r="E16" i="2"/>
  <c r="E37" i="2"/>
  <c r="E21" i="2"/>
  <c r="E23" i="2" s="1"/>
  <c r="K35" i="2"/>
  <c r="K14" i="2"/>
  <c r="I14" i="2"/>
  <c r="I35" i="2"/>
  <c r="J21" i="2"/>
  <c r="J23" i="2" s="1"/>
  <c r="J37" i="2"/>
  <c r="J16" i="2"/>
  <c r="L21" i="2"/>
  <c r="L23" i="2" s="1"/>
  <c r="L24" i="2" s="1"/>
  <c r="L37" i="2"/>
  <c r="L16" i="2"/>
  <c r="H14" i="2"/>
  <c r="H35" i="2"/>
  <c r="Q3" i="2"/>
  <c r="P4" i="2"/>
  <c r="P5" i="2" s="1"/>
  <c r="P9" i="2" s="1"/>
  <c r="P12" i="2" s="1"/>
  <c r="P14" i="2" s="1"/>
  <c r="P21" i="2" s="1"/>
  <c r="P23" i="2" s="1"/>
  <c r="E36" i="2" l="1"/>
  <c r="E24" i="2"/>
  <c r="J24" i="2"/>
  <c r="H37" i="2"/>
  <c r="H21" i="2"/>
  <c r="H23" i="2" s="1"/>
  <c r="H16" i="2"/>
  <c r="F24" i="2"/>
  <c r="F36" i="2"/>
  <c r="I21" i="2"/>
  <c r="I23" i="2" s="1"/>
  <c r="I24" i="2" s="1"/>
  <c r="I16" i="2"/>
  <c r="I37" i="2"/>
  <c r="K21" i="2"/>
  <c r="K23" i="2" s="1"/>
  <c r="K37" i="2"/>
  <c r="K16" i="2"/>
  <c r="R3" i="2"/>
  <c r="Q4" i="2"/>
  <c r="Q5" i="2"/>
  <c r="Q9" i="2" s="1"/>
  <c r="Q12" i="2" s="1"/>
  <c r="Q14" i="2" s="1"/>
  <c r="Q21" i="2" s="1"/>
  <c r="Q23" i="2" s="1"/>
  <c r="H36" i="2" l="1"/>
  <c r="H24" i="2"/>
  <c r="K24" i="2"/>
  <c r="K36" i="2"/>
  <c r="J36" i="2"/>
  <c r="S3" i="2"/>
  <c r="R4" i="2"/>
  <c r="R5" i="2"/>
  <c r="R9" i="2" s="1"/>
  <c r="R12" i="2" s="1"/>
  <c r="R14" i="2" s="1"/>
  <c r="R21" i="2" s="1"/>
  <c r="R23" i="2" s="1"/>
  <c r="T3" i="2" l="1"/>
  <c r="T4" i="2" s="1"/>
  <c r="S4" i="2"/>
  <c r="S5" i="2"/>
  <c r="S9" i="2" s="1"/>
  <c r="S12" i="2" s="1"/>
  <c r="S14" i="2" s="1"/>
  <c r="S21" i="2" s="1"/>
  <c r="S23" i="2" s="1"/>
  <c r="T5" i="2"/>
  <c r="T9" i="2" s="1"/>
  <c r="T12" i="2" s="1"/>
  <c r="T14" i="2" s="1"/>
  <c r="T21" i="2" s="1"/>
  <c r="T23" i="2" s="1"/>
  <c r="U23" i="2" s="1"/>
  <c r="P29" i="2" s="1"/>
  <c r="P30"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<sst xmlns="http://schemas.openxmlformats.org/spreadsheetml/2006/main" count="50" uniqueCount="43">
  <si>
    <t>Revenue</t>
  </si>
  <si>
    <t>Price</t>
  </si>
  <si>
    <t>S/O</t>
  </si>
  <si>
    <t>MC</t>
  </si>
  <si>
    <t>Cash</t>
  </si>
  <si>
    <t>Debt</t>
  </si>
  <si>
    <t>EV</t>
  </si>
  <si>
    <t>COGS</t>
  </si>
  <si>
    <t>Gross Profit</t>
  </si>
  <si>
    <t>Gross Profit Margin</t>
  </si>
  <si>
    <t>Main</t>
  </si>
  <si>
    <t>In Millions</t>
  </si>
  <si>
    <t>SG&amp;A</t>
  </si>
  <si>
    <t>Other Opperating Expenses</t>
  </si>
  <si>
    <t>Operating Expenses</t>
  </si>
  <si>
    <t>Operating Income</t>
  </si>
  <si>
    <t>Interest Expense</t>
  </si>
  <si>
    <t>Other Expense</t>
  </si>
  <si>
    <t>Pretax Income</t>
  </si>
  <si>
    <t>Income Tax</t>
  </si>
  <si>
    <t>Net Income</t>
  </si>
  <si>
    <t>EPS</t>
  </si>
  <si>
    <t>Tax Rate</t>
  </si>
  <si>
    <t>D&amp;A</t>
  </si>
  <si>
    <t>Revenue % growth</t>
  </si>
  <si>
    <t>Share-Based Compensation</t>
  </si>
  <si>
    <t>Other Operating Activities</t>
  </si>
  <si>
    <t>Operating Cash Flow</t>
  </si>
  <si>
    <t>Capital Expenditures</t>
  </si>
  <si>
    <t>FCF</t>
  </si>
  <si>
    <t>FCF % growth</t>
  </si>
  <si>
    <t>-</t>
  </si>
  <si>
    <t>Long-Term Debt</t>
  </si>
  <si>
    <t>Total Assets</t>
  </si>
  <si>
    <t>Return on Assets</t>
  </si>
  <si>
    <t>Growth Rate</t>
  </si>
  <si>
    <t>NPV</t>
  </si>
  <si>
    <t>Shares</t>
  </si>
  <si>
    <t>WACC</t>
  </si>
  <si>
    <t>FCF/Share</t>
  </si>
  <si>
    <t>Total Debt</t>
  </si>
  <si>
    <t>Shareholders Equity</t>
  </si>
  <si>
    <t>Debt to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</si>
</sst>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6" x14ac:knownFonts="1">
    <font>
      <sz val="12"/>
      <color theme="1"/>
      <name val="Calibri"/>
      <family val="2"/>
      <scheme val="minor"/>
    </font>
    <font>
      <b/>
      <sz val="12"/>
      <color theme="0"/>
      <name val="Calibri"/>
      <family val="2"/>
      <scheme val="minor"/>
    </font>
    <font>
      <b/>
      <sz val="12"/>
      <color theme="1"/>
      <name val="Calibri"/>
      <family val="2"/>
      <scheme val="minor"/>
    </font>
    <font>
      <i/>
      <sz val="12"/>
      <color theme="1"/>
      <name val="Calibri"/>
      <family val="2"/>
      <scheme val="minor"/>
    </font>
    <font>
      <u/>
      <sz val="12"/>
      <color theme="10"/>
      <name val="Calibri"/>
      <family val="2"/>
      <scheme val="minor"/>
    </font>
    <font>
      <b/>
      <sz val="14"/>
      <color rgb="FF111827"/>
      <name val="Helvetica Neue"/>
      <family val="2"/>
    </font>
  </fonts>
  <fills count="3">
    <fill>
      <patternFill patternType="none"/>
    </fill>
    <fill>
      <patternFill patternType="gray125"/>
    </fill>
    <fill>
      <patternFill patternType="solid">
        <fgColor theme="3" tint="-0.249977111117893"/>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3" fontId="0" fillId="0" borderId="0" xfId="0" applyNumberFormat="1"/>
    <xf numFmtId="0" fontId="1" fillId="2" borderId="0" xfId="0" applyFont="1" applyFill="1"/>
    <xf numFmtId="3" fontId="3" fillId="0" borderId="0" xfId="0" applyNumberFormat="1" applyFont="1"/>
    <xf numFmtId="9" fontId="0" fillId="0" borderId="0" xfId="0" applyNumberFormat="1"/>
    <xf numFmtId="0" fontId="4" fillId="0" borderId="0" xfId="1" applyNumberFormat="1"/>
    <xf numFmtId="4" fontId="0" fillId="0" borderId="0" xfId="0" applyNumberFormat="1"/>
    <xf numFmtId="3" fontId="2" fillId="0" borderId="0" xfId="0" applyNumberFormat="1" applyFont="1"/>
    <xf numFmtId="9" fontId="0" fillId="0" borderId="0" xfId="0" applyNumberFormat="1" applyAlignment="1">
      <alignment horizontal="center"/>
    </xf>
    <xf numFmtId="164" fontId="0" fillId="0" borderId="0" xfId="0" applyNumberForma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12</xdr:col>
      <xdr:colOff>393700</xdr:colOff>
      <xdr:row>0</xdr:row>
      <xdr:rowOff>101600</xdr:rowOff>
    </xdr:from>
    <xdr:to>
      <xdr:col>12</xdr:col>
      <xdr:colOff>393700</xdr:colOff>
      <xdr:row>36</xdr:row>
      <xdr:rowOff>114300</xdr:rowOff>
    </xdr:to>
    <xdr:cxnSp macro="">
      <xdr:nvCxnSpPr>
        <xdr:cNvPr id="3" name="Straight Connector 2">
          <a:extLst>
            <a:ext uri="{FF2B5EF4-FFF2-40B4-BE49-F238E27FC236}">
              <a16:creationId xmlns:a16="http://schemas.microsoft.com/office/drawing/2014/main" id="{7C883ECD-A82E-1136-1AFA-7672D539B4C6}"/>
            </a:ext>
          </a:extLst>
        </xdr:cNvPr>
        <xdr:cNvCxnSpPr/>
      </xdr:nvCxnSpPr>
      <xdr:spPr>
        <a:xfrm>
          <a:off x="10871200" y="101600"/>
          <a:ext cx="0" cy="73279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https://www.bing.com/financeapi/forcetrigger?t=a25rqh&amp;q=XNAS%3aWDFC&amp;form=skydnc</v>
    <v>Learn more on Bing</v>
  </rv>
  <rv s="1">
    <v>0</v>
    <v>WD-40 COMPANY (XNAS:WDFC)</v>
    <v>2</v>
    <v>3</v>
    <v>Finance</v>
    <v>4</v>
    <v>en-GB</v>
    <v>a25rqh</v>
    <v>268435456</v>
    <v>1</v>
    <v>Powered by Refinitiv</v>
    <v>209.64</v>
    <v>145.16</v>
    <v>-0.16789999999999999</v>
    <v>1.2250000000000001</v>
    <v>6.8289999999999991E-3</v>
    <v>-2.88</v>
    <v>-1.5946999999999999E-2</v>
    <v>USD</v>
    <v>WD-40 Company is a global marketing company. The Company is engaged in developing and selling products that solve problems in workshops, factories, and homes around the world. The Company's segments include Americas, EMEA and Asia-Pacific. The Company owns a range of brands that include maintenance products and homecare and cleaning products, which include WD-40 Multi-Use Product, WD-40 Specialist, 3-IN-ONE, GT85, 2000 Flushes, no vac, 1001, Spot Shot, Lava, Solvol, X-14, and Carpet Fresh. The WD-40 Multi-Use Product is a multi-purpose maintenance product and is sold as an aerosol spray with various delivery systems, a non-aerosol trigger spray and in liquid-bulk form through mass retail stores, hardware stores, warehouse club stores, automotive parts outlets, online retailers and industrial distributors and suppliers. The Company markets and sells its products in more than 176 countries and territories around the world through grocery stores, online retailers, farm supply, and others.</v>
    <v>583</v>
    <v>Nasdaq Stock Market</v>
    <v>XNAS</v>
    <v>XNAS</v>
    <v>9715 Businesspark Avenue, SAN DIEGO, CA, 92131 US</v>
    <v>180.81</v>
    <v>Personal &amp; Household Products &amp; Services</v>
    <v>Stock</v>
    <v>45030.835310578128</v>
    <v>0</v>
    <v>176.56</v>
    <v>2451256000</v>
    <v>WD-40 COMPANY</v>
    <v>WD-40 COMPANY</v>
    <v>178.73</v>
    <v>41.072499999999998</v>
    <v>179.375</v>
    <v>180.6</v>
    <v>177.72</v>
    <v>13572850</v>
    <v>WDFC</v>
    <v>WD-40 COMPANY (XNAS:WDFC)</v>
    <v>135143</v>
    <v>120933</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39C2E-F5C6-9B4A-971C-8D028F1FC71F}">
  <dimension ref="A1:K8"/>
  <sheetViews>
    <sheetView workbookViewId="0">
      <selection activeCell="K9" sqref="K9"/>
    </sheetView>
  </sheetViews>
  <sheetFormatPr baseColWidth="10" defaultRowHeight="16" x14ac:dyDescent="0.2"/>
  <sheetData>
    <row r="1" spans="1:11" x14ac:dyDescent="0.2">
      <c r="A1" t="e" vm="1">
        <v>#VALUE!</v>
      </c>
    </row>
    <row r="3" spans="1:11" x14ac:dyDescent="0.2">
      <c r="J3" t="s">
        <v>1</v>
      </c>
      <c r="K3" s="9" cm="1">
        <f t="array" ref="K3">_FV(A1,"Price")</f>
        <v>180.6</v>
      </c>
    </row>
    <row r="4" spans="1:11" x14ac:dyDescent="0.2">
      <c r="J4" t="s">
        <v>2</v>
      </c>
      <c r="K4" s="1" cm="1">
        <f t="array" ref="K4">_FV(A1,"Shares outstanding",TRUE)/1000000</f>
        <v>13.572850000000001</v>
      </c>
    </row>
    <row r="5" spans="1:11" x14ac:dyDescent="0.2">
      <c r="J5" t="s">
        <v>3</v>
      </c>
      <c r="K5" s="1">
        <f>K3*K4</f>
        <v>2451.2567100000001</v>
      </c>
    </row>
    <row r="6" spans="1:11" x14ac:dyDescent="0.2">
      <c r="J6" t="s">
        <v>4</v>
      </c>
      <c r="K6" s="1">
        <v>37.840000000000003</v>
      </c>
    </row>
    <row r="7" spans="1:11" x14ac:dyDescent="0.2">
      <c r="J7" t="s">
        <v>5</v>
      </c>
      <c r="K7" s="1">
        <v>113.14</v>
      </c>
    </row>
    <row r="8" spans="1:11" x14ac:dyDescent="0.2">
      <c r="J8" t="s">
        <v>6</v>
      </c>
      <c r="K8" s="1">
        <f>K5+K7-K6</f>
        <v>2526.5567099999998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40B81-A56C-0B4C-95F7-F8598AE6D8D8}">
  <dimension ref="A1:BH38"/>
  <sheetViews>
    <sheetView tabSelected="1" workbookViewId="0">
      <pane xSplit="2" ySplit="2" topLeftCell="C3" activePane="bottomRight" state="frozen"/>
      <selection pane="topRight" activeCell="C1" sqref="C1"/>
      <selection pane="bottomLeft" activeCell="A3" sqref="A3"/>
      <selection pane="bottomRight" activeCell="N15" sqref="N15"/>
    </sheetView>
  </sheetViews>
  <sheetFormatPr baseColWidth="10" defaultRowHeight="16" x14ac:dyDescent="0.2"/>
  <cols>
    <col min="1" max="1" width="5.33203125" style="1" bestFit="1" customWidth="1"/>
    <col min="2" max="2" width="23.83203125" style="1" bestFit="1" customWidth="1"/>
    <col min="3" max="16384" width="10.83203125" style="1"/>
  </cols>
  <sheetData>
    <row r="1" spans="1:20" customFormat="1" x14ac:dyDescent="0.2">
      <c r="A1" s="5" t="s">
        <v>10</v>
      </c>
      <c r="B1" t="s">
        <v>11</v>
      </c>
    </row>
    <row r="2" spans="1:20" s="2" customFormat="1" x14ac:dyDescent="0.2">
      <c r="C2" s="2">
        <v>2013</v>
      </c>
      <c r="D2" s="2">
        <v>2014</v>
      </c>
      <c r="E2" s="2">
        <v>2015</v>
      </c>
      <c r="F2" s="2">
        <v>2016</v>
      </c>
      <c r="G2" s="2">
        <v>2017</v>
      </c>
      <c r="H2" s="2">
        <v>2018</v>
      </c>
      <c r="I2" s="2">
        <v>2019</v>
      </c>
      <c r="J2" s="2">
        <v>2020</v>
      </c>
      <c r="K2" s="2">
        <v>2021</v>
      </c>
      <c r="L2" s="2">
        <v>2022</v>
      </c>
      <c r="M2" s="2">
        <v>2023</v>
      </c>
      <c r="N2" s="2">
        <v>2024</v>
      </c>
      <c r="O2" s="2">
        <v>2025</v>
      </c>
      <c r="P2" s="2">
        <v>2026</v>
      </c>
      <c r="Q2" s="2">
        <v>2027</v>
      </c>
      <c r="R2" s="2">
        <v>2028</v>
      </c>
      <c r="S2" s="2">
        <v>2029</v>
      </c>
      <c r="T2" s="2">
        <v>2030</v>
      </c>
    </row>
    <row r="3" spans="1:20" s="7" customFormat="1" x14ac:dyDescent="0.2">
      <c r="B3" s="7" t="s">
        <v>0</v>
      </c>
      <c r="C3" s="7">
        <v>368.548</v>
      </c>
      <c r="D3" s="7">
        <v>382.99700000000001</v>
      </c>
      <c r="E3" s="7">
        <v>378.15</v>
      </c>
      <c r="F3" s="7">
        <v>380.67</v>
      </c>
      <c r="G3" s="7">
        <v>380.50599999999997</v>
      </c>
      <c r="H3" s="7">
        <v>408.51799999999997</v>
      </c>
      <c r="I3" s="7">
        <v>423.35</v>
      </c>
      <c r="J3" s="7">
        <v>408.49799999999999</v>
      </c>
      <c r="K3" s="7">
        <v>488.10899999999998</v>
      </c>
      <c r="L3" s="7">
        <v>518.82000000000005</v>
      </c>
      <c r="M3" s="7">
        <f>L3*(1+$P$28)</f>
        <v>544.76100000000008</v>
      </c>
      <c r="N3" s="7">
        <f t="shared" ref="N3:T3" si="0">M3*(1+$P$28)</f>
        <v>571.99905000000012</v>
      </c>
      <c r="O3" s="7">
        <f t="shared" si="0"/>
        <v>600.59900250000021</v>
      </c>
      <c r="P3" s="7">
        <f t="shared" si="0"/>
        <v>630.62895262500024</v>
      </c>
      <c r="Q3" s="7">
        <f t="shared" si="0"/>
        <v>662.16040025625023</v>
      </c>
      <c r="R3" s="7">
        <f t="shared" si="0"/>
        <v>695.26842026906274</v>
      </c>
      <c r="S3" s="7">
        <f t="shared" si="0"/>
        <v>730.03184128251587</v>
      </c>
      <c r="T3" s="7">
        <f t="shared" si="0"/>
        <v>766.53343334664169</v>
      </c>
    </row>
    <row r="4" spans="1:20" x14ac:dyDescent="0.2">
      <c r="B4" s="1" t="s">
        <v>7</v>
      </c>
      <c r="C4" s="1">
        <v>179.39</v>
      </c>
      <c r="D4" s="1">
        <v>184.14</v>
      </c>
      <c r="E4" s="1">
        <v>177.97</v>
      </c>
      <c r="F4" s="1">
        <v>166.3</v>
      </c>
      <c r="G4" s="1">
        <v>166.62</v>
      </c>
      <c r="H4" s="1">
        <v>183.26</v>
      </c>
      <c r="I4" s="1">
        <v>191.01</v>
      </c>
      <c r="J4" s="1">
        <v>185.48</v>
      </c>
      <c r="K4" s="1">
        <v>224.37</v>
      </c>
      <c r="L4" s="1">
        <v>264.06</v>
      </c>
      <c r="M4" s="1">
        <f>M3*0.4</f>
        <v>217.90440000000004</v>
      </c>
      <c r="N4" s="1">
        <f t="shared" ref="N4:T4" si="1">N3*0.4</f>
        <v>228.79962000000006</v>
      </c>
      <c r="O4" s="1">
        <f t="shared" si="1"/>
        <v>240.23960100000011</v>
      </c>
      <c r="P4" s="1">
        <f t="shared" si="1"/>
        <v>252.25158105000011</v>
      </c>
      <c r="Q4" s="1">
        <f t="shared" si="1"/>
        <v>264.86416010250008</v>
      </c>
      <c r="R4" s="1">
        <f t="shared" si="1"/>
        <v>278.10736810762512</v>
      </c>
      <c r="S4" s="1">
        <f t="shared" si="1"/>
        <v>292.01273651300636</v>
      </c>
      <c r="T4" s="1">
        <f t="shared" si="1"/>
        <v>306.61337333865669</v>
      </c>
    </row>
    <row r="5" spans="1:20" x14ac:dyDescent="0.2">
      <c r="B5" s="1" t="s">
        <v>8</v>
      </c>
      <c r="C5" s="1">
        <f>C3-C4</f>
        <v>189.15800000000002</v>
      </c>
      <c r="D5" s="1">
        <f t="shared" ref="D5:L5" si="2">D3-D4</f>
        <v>198.85700000000003</v>
      </c>
      <c r="E5" s="1">
        <f t="shared" si="2"/>
        <v>200.17999999999998</v>
      </c>
      <c r="F5" s="1">
        <f t="shared" si="2"/>
        <v>214.37</v>
      </c>
      <c r="G5" s="1">
        <f t="shared" si="2"/>
        <v>213.88599999999997</v>
      </c>
      <c r="H5" s="1">
        <f t="shared" si="2"/>
        <v>225.25799999999998</v>
      </c>
      <c r="I5" s="1">
        <f t="shared" si="2"/>
        <v>232.34000000000003</v>
      </c>
      <c r="J5" s="1">
        <f t="shared" si="2"/>
        <v>223.018</v>
      </c>
      <c r="K5" s="1">
        <f t="shared" si="2"/>
        <v>263.73899999999998</v>
      </c>
      <c r="L5" s="1">
        <f t="shared" si="2"/>
        <v>254.76000000000005</v>
      </c>
      <c r="M5" s="1">
        <f t="shared" ref="M5" si="3">M3-M4</f>
        <v>326.85660000000007</v>
      </c>
      <c r="N5" s="1">
        <f t="shared" ref="N5" si="4">N3-N4</f>
        <v>343.19943000000006</v>
      </c>
      <c r="O5" s="1">
        <f t="shared" ref="O5" si="5">O3-O4</f>
        <v>360.3594015000001</v>
      </c>
      <c r="P5" s="1">
        <f t="shared" ref="P5" si="6">P3-P4</f>
        <v>378.3773715750001</v>
      </c>
      <c r="Q5" s="1">
        <f t="shared" ref="Q5" si="7">Q3-Q4</f>
        <v>397.29624015375015</v>
      </c>
      <c r="R5" s="1">
        <f t="shared" ref="R5" si="8">R3-R4</f>
        <v>417.16105216143762</v>
      </c>
      <c r="S5" s="1">
        <f t="shared" ref="S5:T5" si="9">S3-S4</f>
        <v>438.01910476950951</v>
      </c>
      <c r="T5" s="1">
        <f t="shared" si="9"/>
        <v>459.920060007985</v>
      </c>
    </row>
    <row r="6" spans="1:20" x14ac:dyDescent="0.2">
      <c r="B6" s="1" t="s">
        <v>12</v>
      </c>
      <c r="C6" s="1">
        <v>129.19</v>
      </c>
      <c r="D6" s="1">
        <v>132.5</v>
      </c>
      <c r="E6" s="1">
        <v>131.75</v>
      </c>
      <c r="F6" s="1">
        <v>140.05000000000001</v>
      </c>
      <c r="G6" s="1">
        <v>135.1</v>
      </c>
      <c r="H6" s="1">
        <v>143.71</v>
      </c>
      <c r="I6" s="1">
        <v>147.25</v>
      </c>
      <c r="J6" s="1">
        <v>143.59</v>
      </c>
      <c r="K6" s="1">
        <v>173.45</v>
      </c>
      <c r="L6" s="1">
        <v>166</v>
      </c>
      <c r="M6" s="1">
        <v>150</v>
      </c>
      <c r="N6" s="1">
        <v>150</v>
      </c>
      <c r="O6" s="1">
        <v>150</v>
      </c>
      <c r="P6" s="1">
        <v>150</v>
      </c>
      <c r="Q6" s="1">
        <v>150</v>
      </c>
      <c r="R6" s="1">
        <v>150</v>
      </c>
      <c r="S6" s="1">
        <v>150</v>
      </c>
      <c r="T6" s="1">
        <v>150</v>
      </c>
    </row>
    <row r="7" spans="1:20" x14ac:dyDescent="0.2">
      <c r="B7" s="1" t="s">
        <v>13</v>
      </c>
      <c r="C7" s="1">
        <v>3.34</v>
      </c>
      <c r="D7" s="1">
        <v>2.62</v>
      </c>
      <c r="E7" s="1">
        <v>3.04</v>
      </c>
      <c r="F7" s="1">
        <v>2.98</v>
      </c>
      <c r="G7" s="1">
        <v>2.88</v>
      </c>
      <c r="H7" s="1">
        <v>2.95</v>
      </c>
      <c r="I7" s="1">
        <v>2.71</v>
      </c>
      <c r="J7" s="1">
        <v>2.21</v>
      </c>
      <c r="K7" s="1">
        <v>1.45</v>
      </c>
      <c r="L7" s="1">
        <v>1.43</v>
      </c>
      <c r="M7" s="1">
        <v>2</v>
      </c>
      <c r="N7" s="1">
        <v>2</v>
      </c>
      <c r="O7" s="1">
        <v>2</v>
      </c>
      <c r="P7" s="1">
        <v>2</v>
      </c>
      <c r="Q7" s="1">
        <v>2</v>
      </c>
      <c r="R7" s="1">
        <v>2</v>
      </c>
      <c r="S7" s="1">
        <v>2</v>
      </c>
      <c r="T7" s="1">
        <v>2</v>
      </c>
    </row>
    <row r="8" spans="1:20" x14ac:dyDescent="0.2">
      <c r="B8" s="1" t="s">
        <v>14</v>
      </c>
      <c r="C8" s="1">
        <f>SUM(C6:C7)</f>
        <v>132.53</v>
      </c>
      <c r="D8" s="1">
        <f t="shared" ref="D8:L8" si="10">SUM(D6:D7)</f>
        <v>135.12</v>
      </c>
      <c r="E8" s="1">
        <f t="shared" si="10"/>
        <v>134.79</v>
      </c>
      <c r="F8" s="1">
        <f t="shared" si="10"/>
        <v>143.03</v>
      </c>
      <c r="G8" s="1">
        <f t="shared" si="10"/>
        <v>137.97999999999999</v>
      </c>
      <c r="H8" s="1">
        <f t="shared" si="10"/>
        <v>146.66</v>
      </c>
      <c r="I8" s="1">
        <f t="shared" si="10"/>
        <v>149.96</v>
      </c>
      <c r="J8" s="1">
        <f t="shared" si="10"/>
        <v>145.80000000000001</v>
      </c>
      <c r="K8" s="1">
        <f t="shared" si="10"/>
        <v>174.89999999999998</v>
      </c>
      <c r="L8" s="1">
        <f t="shared" si="10"/>
        <v>167.43</v>
      </c>
      <c r="M8" s="1">
        <f t="shared" ref="M8" si="11">SUM(M6:M7)</f>
        <v>152</v>
      </c>
      <c r="N8" s="1">
        <f t="shared" ref="N8" si="12">SUM(N6:N7)</f>
        <v>152</v>
      </c>
      <c r="O8" s="1">
        <f t="shared" ref="O8" si="13">SUM(O6:O7)</f>
        <v>152</v>
      </c>
      <c r="P8" s="1">
        <f t="shared" ref="P8" si="14">SUM(P6:P7)</f>
        <v>152</v>
      </c>
      <c r="Q8" s="1">
        <f t="shared" ref="Q8" si="15">SUM(Q6:Q7)</f>
        <v>152</v>
      </c>
      <c r="R8" s="1">
        <f t="shared" ref="R8" si="16">SUM(R6:R7)</f>
        <v>152</v>
      </c>
      <c r="S8" s="1">
        <f t="shared" ref="S8:T8" si="17">SUM(S6:S7)</f>
        <v>152</v>
      </c>
      <c r="T8" s="1">
        <f t="shared" si="17"/>
        <v>152</v>
      </c>
    </row>
    <row r="9" spans="1:20" x14ac:dyDescent="0.2">
      <c r="B9" s="1" t="s">
        <v>15</v>
      </c>
      <c r="C9" s="1">
        <f>C5-C8</f>
        <v>56.628000000000014</v>
      </c>
      <c r="D9" s="1">
        <f t="shared" ref="D9:L9" si="18">D5-D8</f>
        <v>63.737000000000023</v>
      </c>
      <c r="E9" s="1">
        <f t="shared" si="18"/>
        <v>65.389999999999986</v>
      </c>
      <c r="F9" s="1">
        <f t="shared" si="18"/>
        <v>71.34</v>
      </c>
      <c r="G9" s="1">
        <f t="shared" si="18"/>
        <v>75.905999999999977</v>
      </c>
      <c r="H9" s="1">
        <f t="shared" si="18"/>
        <v>78.597999999999985</v>
      </c>
      <c r="I9" s="1">
        <f t="shared" si="18"/>
        <v>82.380000000000024</v>
      </c>
      <c r="J9" s="1">
        <f t="shared" si="18"/>
        <v>77.217999999999989</v>
      </c>
      <c r="K9" s="1">
        <f t="shared" si="18"/>
        <v>88.838999999999999</v>
      </c>
      <c r="L9" s="1">
        <f t="shared" si="18"/>
        <v>87.330000000000041</v>
      </c>
      <c r="M9" s="1">
        <f t="shared" ref="M9" si="19">M5-M8</f>
        <v>174.85660000000007</v>
      </c>
      <c r="N9" s="1">
        <f t="shared" ref="N9" si="20">N5-N8</f>
        <v>191.19943000000006</v>
      </c>
      <c r="O9" s="1">
        <f t="shared" ref="O9" si="21">O5-O8</f>
        <v>208.3594015000001</v>
      </c>
      <c r="P9" s="1">
        <f t="shared" ref="P9" si="22">P5-P8</f>
        <v>226.3773715750001</v>
      </c>
      <c r="Q9" s="1">
        <f t="shared" ref="Q9" si="23">Q5-Q8</f>
        <v>245.29624015375015</v>
      </c>
      <c r="R9" s="1">
        <f t="shared" ref="R9" si="24">R5-R8</f>
        <v>265.16105216143762</v>
      </c>
      <c r="S9" s="1">
        <f t="shared" ref="S9:T9" si="25">S5-S8</f>
        <v>286.01910476950951</v>
      </c>
      <c r="T9" s="1">
        <f t="shared" si="25"/>
        <v>307.920060007985</v>
      </c>
    </row>
    <row r="10" spans="1:20" x14ac:dyDescent="0.2">
      <c r="B10" s="1" t="s">
        <v>16</v>
      </c>
      <c r="C10" s="1">
        <v>0.69</v>
      </c>
      <c r="D10" s="1">
        <v>1</v>
      </c>
      <c r="E10" s="1">
        <v>1.21</v>
      </c>
      <c r="F10" s="1">
        <v>1.7</v>
      </c>
      <c r="G10" s="1">
        <v>2.58</v>
      </c>
      <c r="H10" s="1">
        <v>4.22</v>
      </c>
      <c r="I10" s="1">
        <v>2.54</v>
      </c>
      <c r="J10" s="1">
        <v>2.44</v>
      </c>
      <c r="K10" s="1">
        <v>2.4</v>
      </c>
      <c r="L10" s="1">
        <v>2.74</v>
      </c>
      <c r="M10" s="1">
        <v>3</v>
      </c>
      <c r="N10" s="1">
        <v>3</v>
      </c>
      <c r="O10" s="1">
        <v>3</v>
      </c>
      <c r="P10" s="1">
        <v>3</v>
      </c>
      <c r="Q10" s="1">
        <v>3</v>
      </c>
      <c r="R10" s="1">
        <v>3</v>
      </c>
      <c r="S10" s="1">
        <v>3</v>
      </c>
      <c r="T10" s="1">
        <v>3</v>
      </c>
    </row>
    <row r="11" spans="1:20" x14ac:dyDescent="0.2">
      <c r="B11" s="1" t="s">
        <v>17</v>
      </c>
      <c r="C11" s="1">
        <v>-0.92</v>
      </c>
      <c r="D11" s="1">
        <v>-0.22</v>
      </c>
      <c r="E11" s="1">
        <v>1.08</v>
      </c>
      <c r="F11" s="1">
        <v>-3.14</v>
      </c>
      <c r="G11" s="1">
        <v>-1.3</v>
      </c>
      <c r="H11" s="1">
        <v>-0.79</v>
      </c>
      <c r="I11" s="1">
        <v>-0.93</v>
      </c>
      <c r="J11" s="1">
        <v>-0.73</v>
      </c>
      <c r="K11" s="1">
        <v>-0.05</v>
      </c>
      <c r="L11" s="1">
        <v>0.48</v>
      </c>
      <c r="M11" s="1">
        <v>0</v>
      </c>
      <c r="N11" s="1">
        <v>0</v>
      </c>
      <c r="O11" s="1">
        <v>0</v>
      </c>
      <c r="P11" s="1">
        <v>0</v>
      </c>
      <c r="Q11" s="1">
        <v>0</v>
      </c>
      <c r="R11" s="1">
        <v>0</v>
      </c>
      <c r="S11" s="1">
        <v>0</v>
      </c>
      <c r="T11" s="1">
        <v>0</v>
      </c>
    </row>
    <row r="12" spans="1:20" x14ac:dyDescent="0.2">
      <c r="B12" s="1" t="s">
        <v>18</v>
      </c>
      <c r="C12" s="1">
        <f>C9-SUM(C10:C11)</f>
        <v>56.858000000000011</v>
      </c>
      <c r="D12" s="1">
        <f t="shared" ref="D12:L12" si="26">D9-SUM(D10:D11)</f>
        <v>62.957000000000022</v>
      </c>
      <c r="E12" s="1">
        <f t="shared" si="26"/>
        <v>63.099999999999987</v>
      </c>
      <c r="F12" s="1">
        <f t="shared" si="26"/>
        <v>72.78</v>
      </c>
      <c r="G12" s="1">
        <f t="shared" si="26"/>
        <v>74.625999999999976</v>
      </c>
      <c r="H12" s="1">
        <f t="shared" si="26"/>
        <v>75.167999999999978</v>
      </c>
      <c r="I12" s="1">
        <f t="shared" si="26"/>
        <v>80.770000000000024</v>
      </c>
      <c r="J12" s="1">
        <f t="shared" si="26"/>
        <v>75.507999999999996</v>
      </c>
      <c r="K12" s="1">
        <f t="shared" si="26"/>
        <v>86.489000000000004</v>
      </c>
      <c r="L12" s="1">
        <f t="shared" si="26"/>
        <v>84.110000000000042</v>
      </c>
      <c r="M12" s="1">
        <f t="shared" ref="M12" si="27">M9-SUM(M10:M11)</f>
        <v>171.85660000000007</v>
      </c>
      <c r="N12" s="1">
        <f t="shared" ref="N12" si="28">N9-SUM(N10:N11)</f>
        <v>188.19943000000006</v>
      </c>
      <c r="O12" s="1">
        <f t="shared" ref="O12" si="29">O9-SUM(O10:O11)</f>
        <v>205.3594015000001</v>
      </c>
      <c r="P12" s="1">
        <f t="shared" ref="P12" si="30">P9-SUM(P10:P11)</f>
        <v>223.3773715750001</v>
      </c>
      <c r="Q12" s="1">
        <f t="shared" ref="Q12" si="31">Q9-SUM(Q10:Q11)</f>
        <v>242.29624015375015</v>
      </c>
      <c r="R12" s="1">
        <f t="shared" ref="R12" si="32">R9-SUM(R10:R11)</f>
        <v>262.16105216143762</v>
      </c>
      <c r="S12" s="1">
        <f t="shared" ref="S12:T12" si="33">S9-SUM(S10:S11)</f>
        <v>283.01910476950951</v>
      </c>
      <c r="T12" s="1">
        <f t="shared" si="33"/>
        <v>304.920060007985</v>
      </c>
    </row>
    <row r="13" spans="1:20" x14ac:dyDescent="0.2">
      <c r="B13" s="1" t="s">
        <v>19</v>
      </c>
      <c r="C13" s="1">
        <v>17.05</v>
      </c>
      <c r="D13" s="1">
        <v>19.21</v>
      </c>
      <c r="E13" s="1">
        <v>18.3</v>
      </c>
      <c r="F13" s="1">
        <v>20.16</v>
      </c>
      <c r="G13" s="1">
        <v>21.69</v>
      </c>
      <c r="H13" s="1">
        <v>9.9600000000000009</v>
      </c>
      <c r="I13" s="1">
        <v>24.86</v>
      </c>
      <c r="J13" s="1">
        <v>14.81</v>
      </c>
      <c r="K13" s="1">
        <v>16.27</v>
      </c>
      <c r="L13" s="1">
        <v>16.78</v>
      </c>
      <c r="M13" s="1">
        <v>20</v>
      </c>
      <c r="N13" s="1">
        <v>20</v>
      </c>
      <c r="O13" s="1">
        <v>20</v>
      </c>
      <c r="P13" s="1">
        <v>20</v>
      </c>
      <c r="Q13" s="1">
        <v>20</v>
      </c>
      <c r="R13" s="1">
        <v>20</v>
      </c>
      <c r="S13" s="1">
        <v>20</v>
      </c>
      <c r="T13" s="1">
        <v>20</v>
      </c>
    </row>
    <row r="14" spans="1:20" x14ac:dyDescent="0.2">
      <c r="B14" s="1" t="s">
        <v>20</v>
      </c>
      <c r="C14" s="1">
        <f>C12-C13</f>
        <v>39.808000000000007</v>
      </c>
      <c r="D14" s="1">
        <f t="shared" ref="D14:L14" si="34">D12-D13</f>
        <v>43.747000000000021</v>
      </c>
      <c r="E14" s="1">
        <f t="shared" si="34"/>
        <v>44.799999999999983</v>
      </c>
      <c r="F14" s="1">
        <f t="shared" si="34"/>
        <v>52.620000000000005</v>
      </c>
      <c r="G14" s="1">
        <f t="shared" si="34"/>
        <v>52.935999999999979</v>
      </c>
      <c r="H14" s="1">
        <f t="shared" si="34"/>
        <v>65.20799999999997</v>
      </c>
      <c r="I14" s="1">
        <f t="shared" si="34"/>
        <v>55.910000000000025</v>
      </c>
      <c r="J14" s="1">
        <f t="shared" si="34"/>
        <v>60.697999999999993</v>
      </c>
      <c r="K14" s="1">
        <f t="shared" si="34"/>
        <v>70.219000000000008</v>
      </c>
      <c r="L14" s="1">
        <f t="shared" si="34"/>
        <v>67.330000000000041</v>
      </c>
      <c r="M14" s="1">
        <f>M12-M13</f>
        <v>151.85660000000007</v>
      </c>
      <c r="N14" s="1">
        <f t="shared" ref="N14" si="35">N12-N13</f>
        <v>168.19943000000006</v>
      </c>
      <c r="O14" s="1">
        <f t="shared" ref="O14" si="36">O12-O13</f>
        <v>185.3594015000001</v>
      </c>
      <c r="P14" s="1">
        <f t="shared" ref="P14" si="37">P12-P13</f>
        <v>203.3773715750001</v>
      </c>
      <c r="Q14" s="1">
        <f t="shared" ref="Q14" si="38">Q12-Q13</f>
        <v>222.29624015375015</v>
      </c>
      <c r="R14" s="1">
        <f t="shared" ref="R14" si="39">R12-R13</f>
        <v>242.16105216143762</v>
      </c>
      <c r="S14" s="1">
        <f t="shared" ref="S14" si="40">S12-S13</f>
        <v>263.01910476950951</v>
      </c>
      <c r="T14" s="1">
        <f t="shared" ref="T14" si="41">T12-T13</f>
        <v>284.920060007985</v>
      </c>
    </row>
    <row r="15" spans="1:20" x14ac:dyDescent="0.2">
      <c r="B15" s="1" t="s">
        <v>2</v>
      </c>
      <c r="C15" s="1">
        <v>15.619</v>
      </c>
      <c r="D15" s="1">
        <v>15.148</v>
      </c>
      <c r="E15" s="1">
        <v>14.648999999999999</v>
      </c>
      <c r="F15" s="1">
        <v>14.379</v>
      </c>
      <c r="G15" s="1">
        <v>14.122999999999999</v>
      </c>
      <c r="H15" s="1">
        <v>13.962</v>
      </c>
      <c r="I15" s="1">
        <v>13.83</v>
      </c>
      <c r="J15" s="1">
        <v>13.718999999999999</v>
      </c>
      <c r="K15" s="1">
        <v>13.733000000000001</v>
      </c>
      <c r="L15" s="1">
        <v>13.696</v>
      </c>
    </row>
    <row r="16" spans="1:20" x14ac:dyDescent="0.2">
      <c r="B16" s="1" t="s">
        <v>21</v>
      </c>
      <c r="C16" s="6">
        <f>C14/C15</f>
        <v>2.5486906972277361</v>
      </c>
      <c r="D16" s="6">
        <f t="shared" ref="D16:L16" si="42">D14/D15</f>
        <v>2.8879720095062069</v>
      </c>
      <c r="E16" s="6">
        <f t="shared" si="42"/>
        <v>3.058229230664208</v>
      </c>
      <c r="F16" s="6">
        <f t="shared" si="42"/>
        <v>3.6595034425203425</v>
      </c>
      <c r="G16" s="6">
        <f t="shared" si="42"/>
        <v>3.7482121362316776</v>
      </c>
      <c r="H16" s="6">
        <f t="shared" si="42"/>
        <v>4.6703910614525119</v>
      </c>
      <c r="I16" s="6">
        <f t="shared" si="42"/>
        <v>4.042660882140277</v>
      </c>
      <c r="J16" s="6">
        <f t="shared" si="42"/>
        <v>4.4243749544427438</v>
      </c>
      <c r="K16" s="6">
        <f t="shared" si="42"/>
        <v>5.1131580863613202</v>
      </c>
      <c r="L16" s="6">
        <f t="shared" si="42"/>
        <v>4.9160338785046758</v>
      </c>
    </row>
    <row r="18" spans="2:60" x14ac:dyDescent="0.2">
      <c r="B18" s="1" t="s">
        <v>23</v>
      </c>
      <c r="C18" s="1">
        <v>5.36</v>
      </c>
      <c r="D18" s="1">
        <v>5.86</v>
      </c>
      <c r="E18" s="1">
        <v>6.46</v>
      </c>
      <c r="F18" s="1">
        <v>6.47</v>
      </c>
      <c r="G18" s="1">
        <v>6.77</v>
      </c>
      <c r="H18" s="1">
        <v>7.8</v>
      </c>
      <c r="I18" s="1">
        <v>7.59</v>
      </c>
      <c r="J18" s="1">
        <v>7.7</v>
      </c>
      <c r="K18" s="1">
        <v>7.02</v>
      </c>
      <c r="L18" s="1">
        <v>8.2899999999999991</v>
      </c>
      <c r="M18" s="1">
        <v>8</v>
      </c>
      <c r="N18" s="1">
        <v>8</v>
      </c>
      <c r="O18" s="1">
        <v>8</v>
      </c>
      <c r="P18" s="1">
        <v>8</v>
      </c>
      <c r="Q18" s="1">
        <v>8</v>
      </c>
      <c r="R18" s="1">
        <v>8</v>
      </c>
      <c r="S18" s="1">
        <v>8</v>
      </c>
      <c r="T18" s="1">
        <v>8</v>
      </c>
    </row>
    <row r="19" spans="2:60" x14ac:dyDescent="0.2">
      <c r="B19" s="1" t="s">
        <v>25</v>
      </c>
      <c r="C19" s="1">
        <v>1.6</v>
      </c>
      <c r="D19" s="1">
        <v>1.43</v>
      </c>
      <c r="E19" s="1">
        <v>1.58</v>
      </c>
      <c r="F19" s="1">
        <v>3.66</v>
      </c>
      <c r="G19" s="1">
        <v>4.1399999999999997</v>
      </c>
      <c r="H19" s="1">
        <v>4.2</v>
      </c>
      <c r="I19" s="1">
        <v>4.45</v>
      </c>
      <c r="J19" s="1">
        <v>5.36</v>
      </c>
      <c r="K19" s="1">
        <v>9.56</v>
      </c>
      <c r="L19" s="1">
        <v>6.7</v>
      </c>
      <c r="M19" s="1">
        <v>6</v>
      </c>
      <c r="N19" s="1">
        <v>6</v>
      </c>
      <c r="O19" s="1">
        <v>6</v>
      </c>
      <c r="P19" s="1">
        <v>6</v>
      </c>
      <c r="Q19" s="1">
        <v>6</v>
      </c>
      <c r="R19" s="1">
        <v>6</v>
      </c>
      <c r="S19" s="1">
        <v>6</v>
      </c>
      <c r="T19" s="1">
        <v>6</v>
      </c>
    </row>
    <row r="20" spans="2:60" x14ac:dyDescent="0.2">
      <c r="B20" s="1" t="s">
        <v>26</v>
      </c>
      <c r="C20" s="1">
        <v>4.79</v>
      </c>
      <c r="D20" s="1">
        <v>-12.31</v>
      </c>
      <c r="E20" s="1">
        <v>2.2200000000000002</v>
      </c>
      <c r="F20" s="1">
        <v>2.5499999999999998</v>
      </c>
      <c r="G20" s="1">
        <v>-8.27</v>
      </c>
      <c r="H20" s="1">
        <v>-12.39</v>
      </c>
      <c r="I20" s="1">
        <v>-5.0999999999999996</v>
      </c>
      <c r="J20" s="1">
        <v>-1.1100000000000001</v>
      </c>
      <c r="K20" s="1">
        <v>-2.09</v>
      </c>
      <c r="L20" s="1">
        <v>-79.72</v>
      </c>
      <c r="M20" s="1">
        <v>-11</v>
      </c>
      <c r="N20" s="1">
        <v>-11</v>
      </c>
      <c r="O20" s="1">
        <v>-11</v>
      </c>
      <c r="P20" s="1">
        <v>-11</v>
      </c>
      <c r="Q20" s="1">
        <v>-11</v>
      </c>
      <c r="R20" s="1">
        <v>-11</v>
      </c>
      <c r="S20" s="1">
        <v>-11</v>
      </c>
      <c r="T20" s="1">
        <v>-11</v>
      </c>
    </row>
    <row r="21" spans="2:60" x14ac:dyDescent="0.2">
      <c r="B21" s="1" t="s">
        <v>27</v>
      </c>
      <c r="C21" s="1">
        <f>C14+SUM(C18:C20)</f>
        <v>51.558000000000007</v>
      </c>
      <c r="D21" s="1">
        <f t="shared" ref="D21:L21" si="43">D14+SUM(D18:D20)</f>
        <v>38.727000000000018</v>
      </c>
      <c r="E21" s="1">
        <f t="shared" si="43"/>
        <v>55.059999999999981</v>
      </c>
      <c r="F21" s="1">
        <f t="shared" si="43"/>
        <v>65.300000000000011</v>
      </c>
      <c r="G21" s="1">
        <f t="shared" si="43"/>
        <v>55.575999999999979</v>
      </c>
      <c r="H21" s="1">
        <f t="shared" si="43"/>
        <v>64.817999999999969</v>
      </c>
      <c r="I21" s="1">
        <f t="shared" si="43"/>
        <v>62.850000000000023</v>
      </c>
      <c r="J21" s="1">
        <f t="shared" si="43"/>
        <v>72.647999999999996</v>
      </c>
      <c r="K21" s="1">
        <f t="shared" si="43"/>
        <v>84.709000000000003</v>
      </c>
      <c r="L21" s="1">
        <f t="shared" si="43"/>
        <v>2.6000000000000369</v>
      </c>
      <c r="M21" s="1">
        <f t="shared" ref="M21" si="44">M14+SUM(M18:M20)</f>
        <v>154.85660000000007</v>
      </c>
      <c r="N21" s="1">
        <f t="shared" ref="N21" si="45">N14+SUM(N18:N20)</f>
        <v>171.19943000000006</v>
      </c>
      <c r="O21" s="1">
        <f t="shared" ref="O21" si="46">O14+SUM(O18:O20)</f>
        <v>188.3594015000001</v>
      </c>
      <c r="P21" s="1">
        <f t="shared" ref="P21" si="47">P14+SUM(P18:P20)</f>
        <v>206.3773715750001</v>
      </c>
      <c r="Q21" s="1">
        <f t="shared" ref="Q21" si="48">Q14+SUM(Q18:Q20)</f>
        <v>225.29624015375015</v>
      </c>
      <c r="R21" s="1">
        <f t="shared" ref="R21" si="49">R14+SUM(R18:R20)</f>
        <v>245.16105216143762</v>
      </c>
      <c r="S21" s="1">
        <f t="shared" ref="S21" si="50">S14+SUM(S18:S20)</f>
        <v>266.01910476950951</v>
      </c>
      <c r="T21" s="1">
        <f t="shared" ref="T21" si="51">T14+SUM(T18:T20)</f>
        <v>287.920060007985</v>
      </c>
    </row>
    <row r="22" spans="2:60" x14ac:dyDescent="0.2">
      <c r="B22" s="1" t="s">
        <v>28</v>
      </c>
      <c r="C22" s="1">
        <v>2.7</v>
      </c>
      <c r="D22" s="1">
        <v>3.75</v>
      </c>
      <c r="E22" s="1">
        <v>5.45</v>
      </c>
      <c r="F22" s="1">
        <v>4.05</v>
      </c>
      <c r="G22" s="1">
        <v>19.72</v>
      </c>
      <c r="H22" s="1">
        <v>11.9</v>
      </c>
      <c r="I22" s="1">
        <v>12.9</v>
      </c>
      <c r="J22" s="1">
        <v>18.95</v>
      </c>
      <c r="K22" s="1">
        <v>14.46</v>
      </c>
      <c r="L22" s="1">
        <v>7.69</v>
      </c>
      <c r="M22" s="1">
        <v>10</v>
      </c>
      <c r="N22" s="1">
        <v>10</v>
      </c>
      <c r="O22" s="1">
        <v>10</v>
      </c>
      <c r="P22" s="1">
        <v>10</v>
      </c>
      <c r="Q22" s="1">
        <v>10</v>
      </c>
      <c r="R22" s="1">
        <v>10</v>
      </c>
      <c r="S22" s="1">
        <v>10</v>
      </c>
      <c r="T22" s="1">
        <v>10</v>
      </c>
    </row>
    <row r="23" spans="2:60" s="7" customFormat="1" x14ac:dyDescent="0.2">
      <c r="B23" s="7" t="s">
        <v>29</v>
      </c>
      <c r="C23" s="1">
        <f>C21-C22</f>
        <v>48.858000000000004</v>
      </c>
      <c r="D23" s="1">
        <f t="shared" ref="D23:L23" si="52">D21-D22</f>
        <v>34.977000000000018</v>
      </c>
      <c r="E23" s="1">
        <f t="shared" si="52"/>
        <v>49.609999999999978</v>
      </c>
      <c r="F23" s="1">
        <f t="shared" si="52"/>
        <v>61.250000000000014</v>
      </c>
      <c r="G23" s="1">
        <f t="shared" si="52"/>
        <v>35.85599999999998</v>
      </c>
      <c r="H23" s="1">
        <f t="shared" si="52"/>
        <v>52.917999999999971</v>
      </c>
      <c r="I23" s="1">
        <f t="shared" si="52"/>
        <v>49.950000000000024</v>
      </c>
      <c r="J23" s="1">
        <f t="shared" si="52"/>
        <v>53.697999999999993</v>
      </c>
      <c r="K23" s="1">
        <f t="shared" si="52"/>
        <v>70.248999999999995</v>
      </c>
      <c r="L23" s="1">
        <f t="shared" si="52"/>
        <v>-5.0899999999999634</v>
      </c>
      <c r="M23" s="1">
        <f t="shared" ref="M23" si="53">M21-M22</f>
        <v>144.85660000000007</v>
      </c>
      <c r="N23" s="1">
        <f t="shared" ref="N23" si="54">N21-N22</f>
        <v>161.19943000000006</v>
      </c>
      <c r="O23" s="1">
        <f t="shared" ref="O23" si="55">O21-O22</f>
        <v>178.3594015000001</v>
      </c>
      <c r="P23" s="1">
        <f t="shared" ref="P23" si="56">P21-P22</f>
        <v>196.3773715750001</v>
      </c>
      <c r="Q23" s="1">
        <f t="shared" ref="Q23" si="57">Q21-Q22</f>
        <v>215.29624015375015</v>
      </c>
      <c r="R23" s="1">
        <f t="shared" ref="R23" si="58">R21-R22</f>
        <v>235.16105216143762</v>
      </c>
      <c r="S23" s="1">
        <f t="shared" ref="S23" si="59">S21-S22</f>
        <v>256.01910476950951</v>
      </c>
      <c r="T23" s="1">
        <f t="shared" ref="T23" si="60">T21-T22</f>
        <v>277.920060007985</v>
      </c>
      <c r="U23" s="1">
        <f>(T23*(1+P28))/(P27-P28)</f>
        <v>7295.4015752096084</v>
      </c>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row>
    <row r="24" spans="2:60" x14ac:dyDescent="0.2">
      <c r="B24" s="1" t="s">
        <v>39</v>
      </c>
      <c r="C24" s="6">
        <f>C23/C15</f>
        <v>3.1281131954670598</v>
      </c>
      <c r="D24" s="6">
        <f t="shared" ref="D24:L24" si="61">D23/D15</f>
        <v>2.3090176921045695</v>
      </c>
      <c r="E24" s="6">
        <f t="shared" si="61"/>
        <v>3.3865792886886465</v>
      </c>
      <c r="F24" s="6">
        <f t="shared" si="61"/>
        <v>4.259684261770639</v>
      </c>
      <c r="G24" s="6">
        <f t="shared" si="61"/>
        <v>2.5388373575019458</v>
      </c>
      <c r="H24" s="6">
        <f t="shared" si="61"/>
        <v>3.7901446784128328</v>
      </c>
      <c r="I24" s="6">
        <f t="shared" si="61"/>
        <v>3.6117136659436024</v>
      </c>
      <c r="J24" s="6">
        <f t="shared" si="61"/>
        <v>3.9141336832130618</v>
      </c>
      <c r="K24" s="6">
        <f t="shared" si="61"/>
        <v>5.1153426054030433</v>
      </c>
      <c r="L24" s="6">
        <f t="shared" si="61"/>
        <v>-0.37164135514018426</v>
      </c>
    </row>
    <row r="26" spans="2:60" x14ac:dyDescent="0.2">
      <c r="B26" s="1" t="s">
        <v>4</v>
      </c>
      <c r="C26" s="1">
        <v>90.95</v>
      </c>
      <c r="D26" s="1">
        <v>102.85</v>
      </c>
      <c r="E26" s="1">
        <v>102.5</v>
      </c>
      <c r="F26" s="1">
        <v>108.52</v>
      </c>
      <c r="G26" s="1">
        <v>117.25</v>
      </c>
      <c r="H26" s="1">
        <v>49.09</v>
      </c>
      <c r="I26" s="1">
        <v>27.23</v>
      </c>
      <c r="J26" s="1">
        <v>56.46</v>
      </c>
      <c r="K26" s="1">
        <v>85.96</v>
      </c>
      <c r="L26" s="1">
        <v>37.840000000000003</v>
      </c>
    </row>
    <row r="27" spans="2:60" x14ac:dyDescent="0.2">
      <c r="B27" s="1" t="s">
        <v>33</v>
      </c>
      <c r="C27" s="1">
        <v>323.06</v>
      </c>
      <c r="D27" s="1">
        <v>347.68</v>
      </c>
      <c r="E27" s="1">
        <v>339.26</v>
      </c>
      <c r="F27" s="1">
        <v>339.67</v>
      </c>
      <c r="G27" s="1">
        <v>369.72</v>
      </c>
      <c r="H27" s="1">
        <v>317.06</v>
      </c>
      <c r="I27" s="1">
        <v>302.66000000000003</v>
      </c>
      <c r="J27" s="1">
        <v>362.64</v>
      </c>
      <c r="K27" s="1">
        <v>430.2</v>
      </c>
      <c r="L27" s="1">
        <v>434.3</v>
      </c>
      <c r="O27" s="1" t="s">
        <v>38</v>
      </c>
      <c r="P27" s="4">
        <v>0.09</v>
      </c>
    </row>
    <row r="28" spans="2:60" x14ac:dyDescent="0.2">
      <c r="B28" s="1" t="s">
        <v>32</v>
      </c>
      <c r="C28" s="1">
        <v>0</v>
      </c>
      <c r="D28" s="1">
        <v>0</v>
      </c>
      <c r="E28" s="1">
        <v>108</v>
      </c>
      <c r="F28" s="1">
        <v>122</v>
      </c>
      <c r="G28" s="1">
        <v>134</v>
      </c>
      <c r="H28" s="1">
        <v>62.8</v>
      </c>
      <c r="I28" s="1">
        <v>60.22</v>
      </c>
      <c r="J28" s="1">
        <v>119.62</v>
      </c>
      <c r="K28" s="1">
        <v>122</v>
      </c>
      <c r="L28" s="1">
        <v>113.14</v>
      </c>
      <c r="O28" s="1" t="s">
        <v>35</v>
      </c>
      <c r="P28" s="4">
        <v>0.05</v>
      </c>
    </row>
    <row r="29" spans="2:60" ht="16" customHeight="1" x14ac:dyDescent="0.2">
      <c r="B29" s="1" t="s">
        <v>40</v>
      </c>
      <c r="C29" s="1">
        <v>63</v>
      </c>
      <c r="D29" s="1">
        <v>98</v>
      </c>
      <c r="E29" s="1">
        <v>108</v>
      </c>
      <c r="F29" s="1">
        <v>122</v>
      </c>
      <c r="G29" s="1">
        <v>154</v>
      </c>
      <c r="H29" s="1">
        <v>86.4</v>
      </c>
      <c r="I29" s="1">
        <v>81.430000000000007</v>
      </c>
      <c r="J29" s="1">
        <v>120.42</v>
      </c>
      <c r="K29" s="1">
        <v>122.8</v>
      </c>
      <c r="L29" s="1">
        <v>152.31</v>
      </c>
      <c r="O29" s="1" t="s">
        <v>36</v>
      </c>
      <c r="P29" s="1">
        <f>NPV(P27,M23:U23)-Main!K7+Main!K6</f>
        <v>4388.80127066358</v>
      </c>
    </row>
    <row r="30" spans="2:60" ht="16" customHeight="1" x14ac:dyDescent="0.2">
      <c r="B30" s="1" t="s">
        <v>41</v>
      </c>
      <c r="C30" s="1">
        <v>179.51</v>
      </c>
      <c r="D30" s="1">
        <v>169.42</v>
      </c>
      <c r="E30" s="1">
        <v>157.86000000000001</v>
      </c>
      <c r="F30" s="1">
        <v>140.4</v>
      </c>
      <c r="G30" s="1">
        <v>139.38999999999999</v>
      </c>
      <c r="H30" s="1">
        <v>155.49</v>
      </c>
      <c r="I30" s="1">
        <v>145.47999999999999</v>
      </c>
      <c r="J30" s="1">
        <v>160.31</v>
      </c>
      <c r="K30" s="1">
        <v>200.38</v>
      </c>
      <c r="L30" s="1">
        <v>188.62</v>
      </c>
      <c r="M30" s="10"/>
      <c r="O30" s="1" t="s">
        <v>37</v>
      </c>
      <c r="P30" s="1">
        <f>P29/Main!K4</f>
        <v>323.35148997178777</v>
      </c>
    </row>
    <row r="33" spans="2:12" x14ac:dyDescent="0.2">
      <c r="B33" s="3" t="s">
        <v>24</v>
      </c>
      <c r="D33" s="4">
        <f>D3/C3-1</f>
        <v>3.920520529211946E-2</v>
      </c>
      <c r="E33" s="8" t="s">
        <v>31</v>
      </c>
      <c r="F33" s="4">
        <f>F3/E3-1</f>
        <v>6.6640222134075611E-3</v>
      </c>
      <c r="G33" s="4">
        <f>G3/F3-1</f>
        <v>-4.3081934483946149E-4</v>
      </c>
      <c r="H33" s="4">
        <f>H3/G3-1</f>
        <v>7.3617761612169152E-2</v>
      </c>
      <c r="I33" s="4">
        <f>I3/H3-1</f>
        <v>3.6306845720384562E-2</v>
      </c>
      <c r="J33" s="8" t="s">
        <v>31</v>
      </c>
      <c r="K33" s="4">
        <f>K3/J3-1</f>
        <v>0.19488712307036993</v>
      </c>
      <c r="L33" s="4">
        <f>L3/K3-1</f>
        <v>6.2918323571169665E-2</v>
      </c>
    </row>
    <row r="34" spans="2:12" x14ac:dyDescent="0.2">
      <c r="B34" s="1" t="s">
        <v>9</v>
      </c>
      <c r="C34" s="4">
        <f>C5/C3</f>
        <v>0.51325200516621994</v>
      </c>
      <c r="D34" s="4">
        <f>D5/D3</f>
        <v>0.51921294422671727</v>
      </c>
      <c r="E34" s="4">
        <f>E5/E3</f>
        <v>0.52936665344440037</v>
      </c>
      <c r="F34" s="4">
        <f>F5/F3</f>
        <v>0.56313867654398819</v>
      </c>
      <c r="G34" s="4">
        <f>G5/G3</f>
        <v>0.56210940169143186</v>
      </c>
      <c r="H34" s="4">
        <f>H5/H3</f>
        <v>0.55140287576067637</v>
      </c>
      <c r="I34" s="4">
        <f>I5/I3</f>
        <v>0.54881303885673793</v>
      </c>
      <c r="J34" s="4">
        <f>J5/J3</f>
        <v>0.54594636938246943</v>
      </c>
      <c r="K34" s="4">
        <f>K5/K3</f>
        <v>0.54032808245699215</v>
      </c>
      <c r="L34" s="4">
        <f>L5/L3</f>
        <v>0.49103735399560544</v>
      </c>
    </row>
    <row r="35" spans="2:12" x14ac:dyDescent="0.2">
      <c r="B35" s="1" t="s">
        <v>22</v>
      </c>
      <c r="C35" s="4">
        <f>C13/C12</f>
        <v>0.2998698512082732</v>
      </c>
      <c r="D35" s="4">
        <f>D13/D12</f>
        <v>0.30512889750146915</v>
      </c>
      <c r="E35" s="4">
        <f>E13/E12</f>
        <v>0.29001584786053891</v>
      </c>
      <c r="F35" s="4">
        <f>F13/F12</f>
        <v>0.27699917559769166</v>
      </c>
      <c r="G35" s="4">
        <f>G13/G12</f>
        <v>0.29064937153270987</v>
      </c>
      <c r="H35" s="4">
        <f>H13/H12</f>
        <v>0.13250319284802048</v>
      </c>
      <c r="I35" s="4">
        <f>I13/I12</f>
        <v>0.30778754488052484</v>
      </c>
      <c r="J35" s="4">
        <f>J13/J12</f>
        <v>0.1961381575462203</v>
      </c>
      <c r="K35" s="4">
        <f>K13/K12</f>
        <v>0.18811640786689635</v>
      </c>
      <c r="L35" s="4">
        <f>L13/L12</f>
        <v>0.19950065390559973</v>
      </c>
    </row>
    <row r="36" spans="2:12" x14ac:dyDescent="0.2">
      <c r="B36" s="3" t="s">
        <v>30</v>
      </c>
      <c r="D36" s="8" t="s">
        <v>31</v>
      </c>
      <c r="E36" s="4">
        <f>E23/D23-1</f>
        <v>0.41836063699002057</v>
      </c>
      <c r="F36" s="4">
        <f>F23/E23-1</f>
        <v>0.23463011489619112</v>
      </c>
      <c r="G36" s="8" t="s">
        <v>31</v>
      </c>
      <c r="H36" s="4">
        <f>H23/G23-1</f>
        <v>0.47584783578759482</v>
      </c>
      <c r="I36" s="8" t="s">
        <v>31</v>
      </c>
      <c r="J36" s="4">
        <f>J23/I23-1</f>
        <v>7.5035035035034392E-2</v>
      </c>
      <c r="K36" s="4">
        <f>K23/J23-1</f>
        <v>0.30822376997281098</v>
      </c>
      <c r="L36" s="8" t="s">
        <v>31</v>
      </c>
    </row>
    <row r="37" spans="2:12" x14ac:dyDescent="0.2">
      <c r="B37" s="1" t="s">
        <v>34</v>
      </c>
      <c r="C37" s="4">
        <f>C14/C27</f>
        <v>0.12322169256484866</v>
      </c>
      <c r="D37" s="4">
        <f>D14/D27</f>
        <v>0.12582547169811326</v>
      </c>
      <c r="E37" s="4">
        <f>E14/E27</f>
        <v>0.13205211342333309</v>
      </c>
      <c r="F37" s="4">
        <f>F14/F27</f>
        <v>0.15491506462154445</v>
      </c>
      <c r="G37" s="4">
        <f>G14/G27</f>
        <v>0.14317862165963424</v>
      </c>
      <c r="H37" s="4">
        <f>H14/H27</f>
        <v>0.20566454298870868</v>
      </c>
      <c r="I37" s="4">
        <f>I14/I27</f>
        <v>0.18472873851846963</v>
      </c>
      <c r="J37" s="4">
        <f>J14/J27</f>
        <v>0.16737811603794395</v>
      </c>
      <c r="K37" s="4">
        <f>K14/K27</f>
        <v>0.16322408182240822</v>
      </c>
      <c r="L37" s="4">
        <f>L14/L27</f>
        <v>0.15503108450379929</v>
      </c>
    </row>
    <row r="38" spans="2:12" x14ac:dyDescent="0.2">
      <c r="B38" s="1" t="s">
        <v>42</v>
      </c>
      <c r="C38" s="4">
        <f>C29/C30</f>
        <v>0.35095537853044401</v>
      </c>
      <c r="D38" s="4">
        <f>D29/D30</f>
        <v>0.57844410341163977</v>
      </c>
      <c r="E38" s="4">
        <f>E29/E30</f>
        <v>0.68415051311288477</v>
      </c>
      <c r="F38" s="4">
        <f>F29/F30</f>
        <v>0.86894586894586889</v>
      </c>
      <c r="G38" s="4">
        <f>G29/G30</f>
        <v>1.1048138316952436</v>
      </c>
      <c r="H38" s="4">
        <f>H29/H30</f>
        <v>0.5556627435847965</v>
      </c>
      <c r="I38" s="4">
        <f>I29/I30</f>
        <v>0.55973329667308225</v>
      </c>
      <c r="J38" s="4">
        <f>J29/J30</f>
        <v>0.75116960888278961</v>
      </c>
      <c r="K38" s="4">
        <f>K29/K30</f>
        <v>0.61283561233656059</v>
      </c>
      <c r="L38" s="4">
        <f>L29/L30</f>
        <v>0.80749655391793018</v>
      </c>
    </row>
  </sheetData>
  <hyperlinks>
    <hyperlink ref="A1" location="Main!A1" display="Main" xr:uid="{0C824308-0297-9948-A3F0-CD656272AFCA}"/>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2023-04-15T22:02:10Z</dcterms:created>
  <dcterms:modified xsi:type="dcterms:W3CDTF">2023-04-16T19:19:07Z</dcterms:modified>
</cp:coreProperties>
</file>