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ecasts" sheetId="1" r:id="rId4"/>
    <sheet state="visible" name="Table 3-5" sheetId="2" r:id="rId5"/>
    <sheet state="visible" name="Kenai River Sockeye Data" sheetId="3" r:id="rId6"/>
  </sheets>
  <definedNames/>
  <calcPr/>
  <extLst>
    <ext uri="GoogleSheetsCustomDataVersion2">
      <go:sheetsCustomData xmlns:go="http://customooxmlschemas.google.com/" r:id="rId7" roundtripDataChecksum="3D+5Pq9aI85BTwobLnYU1mr7/oYvrcImiClCKAYCuZ0="/>
    </ext>
  </extLst>
</workbook>
</file>

<file path=xl/comments1.xml><?xml version="1.0" encoding="utf-8"?>
<comments xmlns:r="http://schemas.openxmlformats.org/officeDocument/2006/relationships" xmlns="http://schemas.openxmlformats.org/spreadsheetml/2006/main">
  <authors>
    <author/>
  </authors>
  <commentList>
    <comment authorId="0" ref="B26">
      <text>
        <t xml:space="preserve">======
ID#AAAA_ZvCcq0
Joshua Russell - NOAA Federal    (2023-11-13 21:19:05)
https://www.adfg.alaska.gov/static/applications/dcfnewsrelease/1546815985.pdf
------
ID#AAAA_cZrCfE
Richard Brenner - NOAA Federal    (2023-11-16 01:20:36)
Hi Josh, I don't think this is the 2024 forecast, but happy to discuss.
------
ID#AAAA_cZrCfQ
Joshua Russell - NOAA Federal    (2023-11-16 01:32:31)
Yup, you're right. I got off a row when I copied it over
======
ID#AAAA7JyeKJc
Richard Brenner - NOAA Federal    (2023-10-14 22:34:39)
From here: https://www.adfg.alaska.gov/static/applications/dcfnewsrelease/1456866430.pdf
------
ID#AAAA_cZrCfU
Joshua Russell - NOAA Federal    (2023-11-16 01:33:18)
https://www.adfg.alaska.gov/static/applications/dcfnewsrelease/1546815985.pdf
updated</t>
      </text>
    </comment>
    <comment authorId="0" ref="G1">
      <text>
        <t xml:space="preserve">======
ID#AAAA-ffrEC8
Richard Brenner - NOAA Federal    (2023-10-17 23:40:47)
As outlined in the FMP:   ABC/ACL = total run - State harvest - lower bound of escapement goal</t>
      </text>
    </comment>
    <comment authorId="0" ref="F1">
      <text>
        <t xml:space="preserve">======
ID#AAAA7gKshRI
Richard Brenner - NOAA Federal    (2023-10-17 21:00:24)
@lukas.defilippo@noaa.gov do you have any thoughts about how we can predict the State harvest component so that we can estimate EEZ harvest for the baseline ABC?
We could base State harvest on either (1) historical proportions of EEZ catch from the total run size of Kenai R sockeye salmon, or (2) historical proportions of the EEZ catch from just the drift gillnet component. We'll have to justify the decision based on lowest prediction error.
_Assigned to Lukas DeFilippo - NOAA Federal_</t>
      </text>
    </comment>
    <comment authorId="0" ref="B3">
      <text>
        <t xml:space="preserve">======
ID#AAAA7hMsJUY
Joshua Russell - NOAA Federal    (2023-10-17 19:53:39)
https://www.arlis.org/docs/vol1/ADFG/38562439/38562439-5J00-04.pdf</t>
      </text>
    </comment>
    <comment authorId="0" ref="B18">
      <text>
        <t xml:space="preserve">======
ID#AAAA7hMsJUU
Joshua Russell - NOAA Federal    (2023-10-17 19:42:17)
https://www.adfg.alaska.gov/fedaidpdfs/sp15-04.pdf</t>
      </text>
    </comment>
    <comment authorId="0" ref="B17">
      <text>
        <t xml:space="preserve">======
ID#AAAA7hMsJUQ
Joshua Russell - NOAA Federal    (2023-10-17 19:40:30)
https://www.adfg.alaska.gov/fedaidpdfs/SP14-10.pdf</t>
      </text>
    </comment>
    <comment authorId="0" ref="B16">
      <text>
        <t xml:space="preserve">======
ID#AAAA7hMsJUM
Joshua Russell - NOAA Federal    (2023-10-17 19:38:55)
https://www.adfg.alaska.gov/fedaidpdfs/sp13-03.pdf</t>
      </text>
    </comment>
    <comment authorId="0" ref="B15">
      <text>
        <t xml:space="preserve">======
ID#AAAA7hMsJUI
Joshua Russell - NOAA Federal    (2023-10-17 19:38:24)
https://www.adfg.alaska.gov/fedaidpdfs/sp12-01.pdf</t>
      </text>
    </comment>
    <comment authorId="0" ref="B14">
      <text>
        <t xml:space="preserve">======
ID#AAAA7hMsJUE
Joshua Russell - NOAA Federal    (2023-10-17 19:38:04)
https://www.adfg.alaska.gov/fedaidpdfs/sp11-03.pdf</t>
      </text>
    </comment>
    <comment authorId="0" ref="B13">
      <text>
        <t xml:space="preserve">======
ID#AAAA7hMsJUA
Joshua Russell - NOAA Federal    (2023-10-17 19:33:33)
https://www.adfg.alaska.gov/FedAidPDFs/sp10-02.pdf</t>
      </text>
    </comment>
    <comment authorId="0" ref="B12">
      <text>
        <t xml:space="preserve">======
ID#AAAA7hMsJT8
Joshua Russell - NOAA Federal    (2023-10-17 19:30:58)
https://www.adfg.alaska.gov/fedaidpdfs/sp09-07.pdf</t>
      </text>
    </comment>
    <comment authorId="0" ref="B11">
      <text>
        <t xml:space="preserve">======
ID#AAAA7hMsJT4
Joshua Russell - NOAA Federal    (2023-10-17 19:29:48)
https://www.adfg.alaska.gov/fedaidpdfs/sp08-09.pdf</t>
      </text>
    </comment>
    <comment authorId="0" ref="B10">
      <text>
        <t xml:space="preserve">======
ID#AAAA7hMsJT0
Joshua Russell - NOAA Federal    (2023-10-17 19:28:14)
https://www.adfg.alaska.gov/fedaidpdfs/sp07-01.pdf</t>
      </text>
    </comment>
    <comment authorId="0" ref="B9">
      <text>
        <t xml:space="preserve">======
ID#AAAA7hMsJTw
Joshua Russell - NOAA Federal    (2023-10-17 19:26:48)
https://www.adfg.alaska.gov/fedaidpdfs/sp06-07.pdf</t>
      </text>
    </comment>
    <comment authorId="0" ref="B8">
      <text>
        <t xml:space="preserve">======
ID#AAAA7hMsJTs
Joshua Russell - NOAA Federal    (2023-10-17 19:25:06)
https://www.arlis.org/docs/vol1/ADFG/38562439/38562439-SP05-01.pdf</t>
      </text>
    </comment>
    <comment authorId="0" ref="B7">
      <text>
        <t xml:space="preserve">======
ID#AAAA7hMsJTo
Joshua Russell - NOAA Federal    (2023-10-17 19:23:34)
https://www.adfg.alaska.gov/fedaidpdfs/RIR.5J.2004.01.pdf</t>
      </text>
    </comment>
    <comment authorId="0" ref="B6">
      <text>
        <t xml:space="preserve">======
ID#AAAA7gPKyy8
Joshua Russell - NOAA Federal    (2023-10-17 00:14:17)
https://www.arlis.org/docs/vol1/ADFG/38562439/38562439-5J03-01.pdf</t>
      </text>
    </comment>
    <comment authorId="0" ref="B4">
      <text>
        <t xml:space="preserve">======
ID#AAAA7gPKyy4
Joshua Russell - NOAA Federal    (2023-10-17 00:11:43)
https://www.arlis.org/docs/vol1/ADFG/38562439/38562439-5J01-03.pdf</t>
      </text>
    </comment>
    <comment authorId="0" ref="B5">
      <text>
        <t xml:space="preserve">======
ID#AAAA7gPKyy0
Joshua Russell - NOAA Federal    (2023-10-17 00:07:09)
https://www.adfg.alaska.gov/FedAidPDFs/RIR.5J.2002.01.pdf</t>
      </text>
    </comment>
    <comment authorId="0" ref="B25">
      <text>
        <t xml:space="preserve">======
ID#AAAA7gPKyyw
Joshua Russell - NOAA Federal    (2023-10-16 23:46:54)
https://www.adfg.alaska.gov/static/applications/dcfnewsrelease/1355244301.pdf</t>
      </text>
    </comment>
    <comment authorId="0" ref="B23">
      <text>
        <t xml:space="preserve">======
ID#AAAA7gPKyys
Joshua Russell - NOAA Federal    (2023-10-16 23:44:06)
https://www.adfg.alaska.gov/static/applications/dcfnewsrelease/1133308674.pdf</t>
      </text>
    </comment>
    <comment authorId="0" ref="B22">
      <text>
        <t xml:space="preserve">======
ID#AAAA7gPKyyo
Joshua Russell - NOAA Federal    (2023-10-16 23:42:27)
https://www.adfg.alaska.gov/static/applications/dcfnewsrelease/1007623443.pdf</t>
      </text>
    </comment>
    <comment authorId="0" ref="B21">
      <text>
        <t xml:space="preserve">======
ID#AAAA7gPKyyk
Joshua Russell - NOAA Federal    (2023-10-16 23:40:32)
https://www.adfg.alaska.gov/static/applications/dcfnewsrelease/880030115.pdf</t>
      </text>
    </comment>
    <comment authorId="0" ref="B20">
      <text>
        <t xml:space="preserve">======
ID#AAAA7gPKyyg
Joshua Russell - NOAA Federal    (2023-10-16 23:38:49)
https://www.adfg.alaska.gov/static/applications/dcfnewsrelease/755851893.pdf</t>
      </text>
    </comment>
    <comment authorId="0" ref="B2">
      <text>
        <t xml:space="preserve">======
ID#AAAA7JyeKJ0
Richard Brenner - NOAA Federal    (2023-10-14 23:56:23)
From here: https://www.adfg.alaska.gov/fedaidpdfs/RIR.5J.1999.06.pdf</t>
      </text>
    </comment>
    <comment authorId="0" ref="B24">
      <text>
        <t xml:space="preserve">======
ID#AAAA7JyeKJw
Richard Brenner - NOAA Federal    (2023-10-14 23:41:00)
From here: https://www.adfg.alaska.gov/static/applications/dcfnewsrelease/1240755723.pdf</t>
      </text>
    </comment>
    <comment authorId="0" ref="B19">
      <text>
        <t xml:space="preserve">======
ID#AAAA7JyeKJs
Richard Brenner - NOAA Federal    (2023-10-14 23:40:17)
From here: https://www.adfg.alaska.gov/static/applications/dcfnewsrelease/631907582.pdf</t>
      </text>
    </comment>
    <comment authorId="0" ref="B1">
      <text>
        <t xml:space="preserve">======
ID#AAAA7JyeKJo
Richard Brenner - NOAA Federal    (2023-10-14 23:35:54)
Kenai River total run forecasts from the State of Alaska
------
ID#AAAA7gPKyyQ
Richard Brenner - NOAA Federal    (2023-10-16 22:36:42)
Hi @joshua.russell@noaa.gov finding and entering these total run forecasts for Kenai sockeye, Kasilof sockeye, and "other" sockeye might be the most helpful place to start. Happy to chat more. ~Rich</t>
      </text>
    </comment>
  </commentList>
  <extLst>
    <ext uri="GoogleSheetsCustomDataVersion2">
      <go:sheetsCustomData xmlns:go="http://customooxmlschemas.google.com/" r:id="rId1" roundtripDataSignature="AMtx7mi2/aoGqCplJPgmK8hmLWA3YtTbAg=="/>
    </ext>
  </extLst>
</comments>
</file>

<file path=xl/comments2.xml><?xml version="1.0" encoding="utf-8"?>
<comments xmlns:r="http://schemas.openxmlformats.org/officeDocument/2006/relationships" xmlns="http://schemas.openxmlformats.org/spreadsheetml/2006/main">
  <authors>
    <author/>
  </authors>
  <commentList>
    <comment authorId="0" ref="F28">
      <text>
        <t xml:space="preserve">======
ID#AAAA_ZvCcq4
Joshua Russell - NOAA Federal    (2023-11-13 21:19:44)
https://www.adfg.alaska.gov/static/applications/dcfnewsrelease/1546815985.pdf</t>
      </text>
    </comment>
    <comment authorId="0" ref="F27">
      <text>
        <t xml:space="preserve">======
ID#AAAA_TRP8xA
Joshua Russell - NOAA Federal    (2023-11-01 18:17:47)
https://www.adfg.alaska.gov/static/applications/dcfnewsrelease/1447206643.pdf</t>
      </text>
    </comment>
  </commentList>
  <extLst>
    <ext uri="GoogleSheetsCustomDataVersion2">
      <go:sheetsCustomData xmlns:go="http://customooxmlschemas.google.com/" r:id="rId1" roundtripDataSignature="AMtx7mjVztvQOPRsEQFbDk2pE1RwOeQt7A=="/>
    </ext>
  </extLst>
</comments>
</file>

<file path=xl/comments3.xml><?xml version="1.0" encoding="utf-8"?>
<comments xmlns:r="http://schemas.openxmlformats.org/officeDocument/2006/relationships" xmlns="http://schemas.openxmlformats.org/spreadsheetml/2006/main">
  <authors>
    <author/>
  </authors>
  <commentList>
    <comment authorId="0" ref="I32">
      <text>
        <t xml:space="preserve">======
ID#AAABAvILfOc
Richard Brenner - NOAA Federal    (2023-11-17 18:50:08)
This is based on the statistical area &amp; locale code combinations that are described on page 235 of the EA/RIR. We are trying to generate this via AKFIN/e-landings but the State could also give us these data and we can apply the formulas ourselves.</t>
      </text>
    </comment>
    <comment authorId="0" ref="G32">
      <text>
        <t xml:space="preserve">======
ID#AAABAvILfOY
Richard Brenner - NOAA Federal    (2023-11-17 18:47:34)
This proportion is based on genetic contributions from ADF&amp;G. Options:  Ask State for an estimated proportion or we estimate this based on recent historical proportions. The State should have an estimate of this already since they produced a Kenai specific total run size estimate for 2022 and 2023, which would require this.</t>
      </text>
    </comment>
    <comment authorId="0" ref="C33">
      <text>
        <t xml:space="preserve">======
ID#AAABAvILfOU
Richard Brenner - NOAA Federal    (2023-11-17 18:41:19)
Options:  ask State for an estimate or we estimate based on recent historical proportions of (escapement : total run size). The inriver amount was 2,343,976 but this does not account for inriver harvests from PU and Sport</t>
      </text>
    </comment>
    <comment authorId="0" ref="C32">
      <text>
        <t xml:space="preserve">======
ID#AAABAvILfOQ
Richard Brenner - NOAA Federal    (2023-11-17 18:25:55)
Preliminary from State's escapement goal report.
@joshua.russell@noaa.gov  this preliminary escapement estimate is from Table 2 of this report: https://www.adfg.alaska.gov/FedAidPDFs/FMS23-01.pdf
If you had any time, it would be wonderful to see what other escapements we can populate with that report.
_Assigned to Joshua Russell - NOAA Federal_</t>
      </text>
    </comment>
    <comment authorId="0" ref="B33">
      <text>
        <t xml:space="preserve">======
ID#AAAA_ZvCcqw
Joshua Russell - NOAA Federal    (2023-11-13 21:18:27)
https://www.adfg.alaska.gov/static/applications/dcfnewsrelease/1546815985.pdf</t>
      </text>
    </comment>
    <comment authorId="0" ref="F33">
      <text>
        <t xml:space="preserve">======
ID#AAAA_ZvCcqs
Joshua Russell - NOAA Federal    (2023-11-13 21:15:55)
https://www.adfg.alaska.gov/static/applications/dcfnewsrelease/1546815985.pdf</t>
      </text>
    </comment>
    <comment authorId="0" ref="F32">
      <text>
        <t xml:space="preserve">======
ID#AAAA_TRP80I
Joshua Russell - NOAA Federal    (2023-11-01 19:53:09)
https://www.adfg.alaska.gov/static/applications/dcfnewsrelease/1447206643.pdf</t>
      </text>
    </comment>
    <comment authorId="0" ref="B32">
      <text>
        <t xml:space="preserve">======
ID#AAAA_TRP8w8
Joshua Russell - NOAA Federal    (2023-11-01 18:16:53)
https://www.adfg.alaska.gov/static/applications/dcfnewsrelease/1447206643.pdf</t>
      </text>
    </comment>
    <comment authorId="0" ref="M8">
      <text>
        <t xml:space="preserve">======
ID#AAAA-ffrEC0
Richard Brenner - NOAA Federal    (2023-10-17 23:29:37)
This is the fishing mortality rate for State harvests.</t>
      </text>
    </comment>
    <comment authorId="0" ref="N8">
      <text>
        <t xml:space="preserve">======
ID#AAAA-ffrECw
Richard Brenner - NOAA Federal    (2023-10-17 23:28:57)
This is simply a 5 year average of the fishing mortality rate from State harvests.</t>
      </text>
    </comment>
    <comment authorId="0" ref="D8">
      <text>
        <t xml:space="preserve">======
ID#AAAAqQq1jEA
tc={28215C06-FB7F-4EC9-9F87-B72B745FD70D}    (2023-02-13 22:00:32)
[Threaded comment]
Your version of Excel allows you to read this threaded comment; however, any edits to it will get removed if the file is opened in a newer version of Excel. Learn more: https://go.microsoft.com/fwlink/?linkid=870924
Comment:
    By subtraction - includes all harvest (freshwater and marine) used to estimate total run.</t>
      </text>
    </comment>
    <comment authorId="0" ref="H7">
      <text>
        <t xml:space="preserve">======
ID#AAAAqQq1jD8
tc={1B437772-4849-411B-819C-35E7F0E4A392}    (2023-02-13 22:00:32)
[Threaded comment]
Your version of Excel allows you to read this threaded comment; however, any edits to it will get removed if the file is opened in a newer version of Excel. Learn more: https://go.microsoft.com/fwlink/?linkid=870924
Comment:
    estimated number of Kenai River sockeye salmon harvested in the Central District drift gillnet fishery based upon estimated proportions from age-compostion estimates (1999-2004) or GSI (2005-present).</t>
      </text>
    </comment>
    <comment authorId="0" ref="A3">
      <text>
        <t xml:space="preserve">======
ID#AAAAqQq1jD4
tc={D1BE0E04-B685-45CE-8E74-7CADB3E805B5}    (2023-02-13 22:00:32)
[Threaded comment]
Your version of Excel allows you to read this threaded comment; however, any edits to it will get removed if the file is opened in a newer version of Excel. Learn more: https://go.microsoft.com/fwlink/?linkid=870924
Comment:
    Note that the escapement goal was reviewed and updated starting in the 2020 fishing season.  New goal is 750,000 to 1,300,000.</t>
      </text>
    </comment>
    <comment authorId="0" ref="J7">
      <text>
        <t xml:space="preserve">======
ID#AAAAqQq1jD0
tc={28E0AB3A-6111-48CA-9FF9-D25210043960}    (2023-02-13 22:00:32)
[Threaded comment]
Your version of Excel allows you to read this threaded comment; however, any edits to it will get removed if the file is opened in a newer version of Excel. Learn more: https://go.microsoft.com/fwlink/?linkid=870924
Comment:
    Estimated number of Kenai River sockeye salmon harvested within the EEZ of the Central District drift gillnet fishery.</t>
      </text>
    </comment>
    <comment authorId="0" ref="K7">
      <text>
        <t xml:space="preserve">======
ID#AAAAqQq1jDw
tc={6A1A145E-6CBF-49B0-A361-7ACAB8555E72}    (2023-02-13 22:00:32)
[Threaded comment]
Your version of Excel allows you to read this threaded comment; however, any edits to it will get removed if the file is opened in a newer version of Excel. Learn more: https://go.microsoft.com/fwlink/?linkid=870924
Comment:
    Estimated number of Kenai River sockeye salmon harvested within state waters (freshwater and marine) - by subtraction.</t>
      </text>
    </comment>
  </commentList>
  <extLst>
    <ext uri="GoogleSheetsCustomDataVersion2">
      <go:sheetsCustomData xmlns:go="http://customooxmlschemas.google.com/" r:id="rId1" roundtripDataSignature="AMtx7mgZ0sdnsS6gyyo5H/udIB8+Q04Q5Q=="/>
    </ext>
  </extLst>
</comments>
</file>

<file path=xl/sharedStrings.xml><?xml version="1.0" encoding="utf-8"?>
<sst xmlns="http://schemas.openxmlformats.org/spreadsheetml/2006/main" count="79" uniqueCount="71">
  <si>
    <t>Year</t>
  </si>
  <si>
    <t>Kenai Total Run Forecast</t>
  </si>
  <si>
    <t>Kenai Total Run Actual</t>
  </si>
  <si>
    <t>Kenai total run Actual - Forecast</t>
  </si>
  <si>
    <t>Kenai Total Run Absolute Percentage Error</t>
  </si>
  <si>
    <t>Predicted State Harvest to inform Tier 1 harvest estimate</t>
  </si>
  <si>
    <t>Tier 1 Method Kenai EEZ Harvest Forecast (Baseline ABC)</t>
  </si>
  <si>
    <t>Kenai EEZ Actual Estimated Harvest</t>
  </si>
  <si>
    <t>Tier 3 Method Kenai EEZ Harvest Forecast (5-year harvest average)</t>
  </si>
  <si>
    <t>5-yr Average EEZ Harvest Forecast MAPE</t>
  </si>
  <si>
    <t>Table 3‑5   Tier 1, Kenai River sockeye salmon catch, estimated catch in the EEZ, escapements, run size, lower bound of escapement goal from 1999-2021 (in thousands) and retrospective estimates of the Status Determination Criteria and Annual Catch Limits from 2003 to 2021 (in thousands).</t>
  </si>
  <si>
    <t>EEZ</t>
  </si>
  <si>
    <r>
      <rPr>
        <rFont val="Arial"/>
        <b/>
        <color theme="1"/>
        <sz val="9.0"/>
      </rPr>
      <t>Total Kenai R. Catch (</t>
    </r>
    <r>
      <rPr>
        <rFont val="Arial"/>
        <b/>
        <i/>
        <color theme="1"/>
        <sz val="9.0"/>
      </rPr>
      <t>C</t>
    </r>
    <r>
      <rPr>
        <rFont val="Arial"/>
        <b/>
        <i/>
        <color theme="1"/>
        <sz val="9.0"/>
        <vertAlign val="subscript"/>
      </rPr>
      <t>Total</t>
    </r>
    <r>
      <rPr>
        <rFont val="Arial"/>
        <b/>
        <color theme="1"/>
        <sz val="9.0"/>
      </rPr>
      <t>)</t>
    </r>
  </si>
  <si>
    <r>
      <rPr>
        <rFont val="Arial"/>
        <b/>
        <color theme="1"/>
        <sz val="9.0"/>
      </rPr>
      <t>Kenai R. EEZ Catch (</t>
    </r>
    <r>
      <rPr>
        <rFont val="Arial"/>
        <b/>
        <i/>
        <color theme="1"/>
        <sz val="9.0"/>
      </rPr>
      <t>C</t>
    </r>
    <r>
      <rPr>
        <rFont val="Arial"/>
        <b/>
        <i/>
        <color theme="1"/>
        <sz val="9.0"/>
        <vertAlign val="subscript"/>
      </rPr>
      <t>EEZ</t>
    </r>
    <r>
      <rPr>
        <rFont val="Arial"/>
        <b/>
        <color theme="1"/>
        <sz val="9.0"/>
      </rPr>
      <t>)</t>
    </r>
  </si>
  <si>
    <r>
      <rPr>
        <rFont val="Arial"/>
        <b/>
        <color theme="1"/>
        <sz val="9.0"/>
      </rPr>
      <t>Escapement (</t>
    </r>
    <r>
      <rPr>
        <rFont val="Arial"/>
        <b/>
        <i/>
        <color theme="1"/>
        <sz val="9.0"/>
      </rPr>
      <t>S</t>
    </r>
    <r>
      <rPr>
        <rFont val="Arial"/>
        <b/>
        <color theme="1"/>
        <sz val="9.0"/>
      </rPr>
      <t>)</t>
    </r>
  </si>
  <si>
    <r>
      <rPr>
        <rFont val="Arial"/>
        <b/>
        <color theme="1"/>
        <sz val="9.0"/>
      </rPr>
      <t>Run        (</t>
    </r>
    <r>
      <rPr>
        <rFont val="Arial"/>
        <b/>
        <i/>
        <color theme="1"/>
        <sz val="9.0"/>
      </rPr>
      <t>R</t>
    </r>
    <r>
      <rPr>
        <rFont val="Arial"/>
        <b/>
        <color theme="1"/>
        <sz val="9.0"/>
      </rPr>
      <t>)</t>
    </r>
  </si>
  <si>
    <r>
      <rPr>
        <rFont val="Arial"/>
        <b/>
        <color theme="1"/>
        <sz val="9.0"/>
      </rPr>
      <t>Lower Bound of Goal       (</t>
    </r>
    <r>
      <rPr>
        <rFont val="Arial"/>
        <b/>
        <i/>
        <color theme="1"/>
        <sz val="9.0"/>
      </rPr>
      <t>G</t>
    </r>
    <r>
      <rPr>
        <rFont val="Arial"/>
        <b/>
        <color theme="1"/>
        <sz val="9.0"/>
      </rPr>
      <t>)</t>
    </r>
  </si>
  <si>
    <r>
      <rPr>
        <rFont val="Arial"/>
        <b/>
        <color theme="1"/>
        <sz val="9.0"/>
      </rPr>
      <t>Potential Yield     (</t>
    </r>
    <r>
      <rPr>
        <rFont val="Arial"/>
        <b/>
        <i/>
        <color theme="1"/>
        <sz val="9.0"/>
      </rPr>
      <t>Y</t>
    </r>
    <r>
      <rPr>
        <rFont val="Arial"/>
        <b/>
        <i/>
        <color theme="1"/>
        <sz val="9.0"/>
        <vertAlign val="subscript"/>
      </rPr>
      <t>EEZ</t>
    </r>
    <r>
      <rPr>
        <rFont val="Arial"/>
        <b/>
        <i/>
        <color theme="1"/>
        <sz val="9.0"/>
      </rPr>
      <t>)</t>
    </r>
  </si>
  <si>
    <r>
      <rPr>
        <rFont val="Arial"/>
        <b/>
        <i/>
        <color theme="1"/>
        <sz val="9.0"/>
      </rPr>
      <t>F</t>
    </r>
    <r>
      <rPr>
        <rFont val="Arial"/>
        <b/>
        <i/>
        <color theme="1"/>
        <sz val="9.0"/>
        <vertAlign val="subscript"/>
      </rPr>
      <t>EEZ</t>
    </r>
  </si>
  <si>
    <t>MFMT</t>
  </si>
  <si>
    <t>MSST</t>
  </si>
  <si>
    <r>
      <rPr>
        <rFont val="Arial"/>
        <b/>
        <color theme="1"/>
        <sz val="9.0"/>
      </rPr>
      <t>Cumulative Escapement (∑</t>
    </r>
    <r>
      <rPr>
        <rFont val="Arial"/>
        <b/>
        <i/>
        <color theme="1"/>
        <sz val="9.0"/>
      </rPr>
      <t>S</t>
    </r>
    <r>
      <rPr>
        <rFont val="Arial"/>
        <b/>
        <i/>
        <color theme="1"/>
        <sz val="9.0"/>
        <vertAlign val="subscript"/>
      </rPr>
      <t>t</t>
    </r>
    <r>
      <rPr>
        <rFont val="Arial"/>
        <b/>
        <i/>
        <color theme="1"/>
        <sz val="9.0"/>
      </rPr>
      <t>)</t>
    </r>
  </si>
  <si>
    <r>
      <rPr>
        <rFont val="Arial"/>
        <b/>
        <color theme="1"/>
        <sz val="9.0"/>
      </rPr>
      <t>ACL (∑</t>
    </r>
    <r>
      <rPr>
        <rFont val="Arial"/>
        <b/>
        <i/>
        <color theme="1"/>
        <sz val="9.0"/>
      </rPr>
      <t>Y</t>
    </r>
    <r>
      <rPr>
        <rFont val="Arial"/>
        <b/>
        <i/>
        <color theme="1"/>
        <sz val="9.0"/>
        <vertAlign val="subscript"/>
      </rPr>
      <t>EEZ,t</t>
    </r>
    <r>
      <rPr>
        <rFont val="Arial"/>
        <b/>
        <color theme="1"/>
        <sz val="9.0"/>
      </rPr>
      <t>)</t>
    </r>
  </si>
  <si>
    <r>
      <rPr>
        <rFont val="Arial"/>
        <b/>
        <i val="0"/>
        <color theme="1"/>
        <sz val="9.0"/>
      </rPr>
      <t>Cumulative Catch (∑</t>
    </r>
    <r>
      <rPr>
        <rFont val="Arial"/>
        <b/>
        <i/>
        <color theme="1"/>
        <sz val="9.0"/>
      </rPr>
      <t>C</t>
    </r>
    <r>
      <rPr>
        <rFont val="Arial"/>
        <b/>
        <i/>
        <color theme="1"/>
        <sz val="9.0"/>
        <vertAlign val="subscript"/>
      </rPr>
      <t>EEZ</t>
    </r>
    <r>
      <rPr>
        <rFont val="Arial"/>
        <b/>
        <i/>
        <color theme="1"/>
        <sz val="9.0"/>
      </rPr>
      <t>)</t>
    </r>
  </si>
  <si>
    <t>Overfishing?</t>
  </si>
  <si>
    <t>Overfished?</t>
  </si>
  <si>
    <t>ACL Exceeded?</t>
  </si>
  <si>
    <t>Escapements in bold did not meet the lower bound of the escapement goal.</t>
  </si>
  <si>
    <t>NOTE: Prior to 2011, escapement and escapement goal were based on Bendix sonar assessment; 2011 to present they are based on DIDSON.  Escapements and escapement goal in this table are all in DIDSON or DIDSON equivalents.</t>
  </si>
  <si>
    <t>NOTE: Kenai River sockeye salmon sustainable escapement goal range was revised from 700,000–1,200,000 fish to 750,000–1,300,000 fish starting with the 2020 fishing season.</t>
  </si>
  <si>
    <r>
      <rPr>
        <rFont val="Arial"/>
        <color theme="1"/>
        <sz val="9.0"/>
      </rPr>
      <t>NOTE: Average generation time (</t>
    </r>
    <r>
      <rPr>
        <rFont val="Arial"/>
        <i/>
        <color theme="1"/>
        <sz val="9.0"/>
      </rPr>
      <t>T</t>
    </r>
    <r>
      <rPr>
        <rFont val="Arial"/>
        <color theme="1"/>
        <sz val="9.0"/>
      </rPr>
      <t>) is assummed to be 5 years in this example.</t>
    </r>
  </si>
  <si>
    <t>Source: Developed by ADF&amp;G fisheries scientists using harvest and escapement data from ADF&amp;G.</t>
  </si>
  <si>
    <t>Preseason example</t>
  </si>
  <si>
    <t>Alternative Preseason ACL that accounts for recent average state water harvest</t>
  </si>
  <si>
    <r>
      <rPr>
        <rFont val="Calibri"/>
        <color theme="1"/>
        <sz val="11.0"/>
      </rPr>
      <t>Forecasted Run (</t>
    </r>
    <r>
      <rPr>
        <rFont val="Calibri"/>
        <i/>
        <color theme="1"/>
        <sz val="11.0"/>
      </rPr>
      <t>Rhat</t>
    </r>
    <r>
      <rPr>
        <rFont val="Calibri"/>
        <i/>
        <color theme="1"/>
        <sz val="11.0"/>
        <vertAlign val="subscript"/>
      </rPr>
      <t>t</t>
    </r>
    <r>
      <rPr>
        <rFont val="Calibri"/>
        <color theme="1"/>
        <sz val="11.0"/>
      </rPr>
      <t>)</t>
    </r>
  </si>
  <si>
    <t>Projected State harvest*</t>
  </si>
  <si>
    <t>Lower Bound of EG</t>
  </si>
  <si>
    <t>Potential Yield  (Rhat-G)</t>
  </si>
  <si>
    <t>Preseason MFMT</t>
  </si>
  <si>
    <t>Final MFMT</t>
  </si>
  <si>
    <t>Preseason ACL</t>
  </si>
  <si>
    <t>Final ACL</t>
  </si>
  <si>
    <t>Pot. Yield alt**</t>
  </si>
  <si>
    <t>Preseason ACL_alt***</t>
  </si>
  <si>
    <r>
      <rPr>
        <rFont val="Calibri"/>
        <color theme="1"/>
        <sz val="11.0"/>
      </rPr>
      <t>*Projected State harvest = Fbar</t>
    </r>
    <r>
      <rPr>
        <rFont val="Calibri"/>
        <color theme="1"/>
        <sz val="11.0"/>
        <vertAlign val="subscript"/>
      </rPr>
      <t>state,t</t>
    </r>
    <r>
      <rPr>
        <rFont val="Calibri"/>
        <color theme="1"/>
        <sz val="11.0"/>
      </rPr>
      <t>*Rhat</t>
    </r>
    <r>
      <rPr>
        <rFont val="Calibri"/>
        <color theme="1"/>
        <sz val="11.0"/>
        <vertAlign val="subscript"/>
      </rPr>
      <t>t</t>
    </r>
  </si>
  <si>
    <r>
      <rPr>
        <rFont val="Calibri"/>
        <color theme="1"/>
      </rPr>
      <t>**This is equivalent to the ABC</t>
    </r>
    <r>
      <rPr>
        <rFont val="Calibri"/>
        <color theme="1"/>
        <sz val="11.0"/>
        <vertAlign val="subscript"/>
      </rPr>
      <t>EEZ,t</t>
    </r>
    <r>
      <rPr>
        <rFont val="Calibri"/>
        <color theme="1"/>
        <sz val="11.0"/>
      </rPr>
      <t xml:space="preserve"> in the draft document (i.e. Rhat</t>
    </r>
    <r>
      <rPr>
        <rFont val="Calibri"/>
        <color theme="1"/>
        <sz val="11.0"/>
        <vertAlign val="subscript"/>
      </rPr>
      <t>t</t>
    </r>
    <r>
      <rPr>
        <rFont val="Calibri"/>
        <color theme="1"/>
        <sz val="11.0"/>
      </rPr>
      <t xml:space="preserve"> - Fbar</t>
    </r>
    <r>
      <rPr>
        <rFont val="Calibri"/>
        <color theme="1"/>
        <sz val="11.0"/>
        <vertAlign val="subscript"/>
      </rPr>
      <t>state,t</t>
    </r>
    <r>
      <rPr>
        <rFont val="Calibri"/>
        <color theme="1"/>
        <sz val="11.0"/>
      </rPr>
      <t xml:space="preserve"> *Rhat</t>
    </r>
    <r>
      <rPr>
        <rFont val="Calibri"/>
        <color theme="1"/>
        <sz val="11.0"/>
        <vertAlign val="subscript"/>
      </rPr>
      <t>t</t>
    </r>
    <r>
      <rPr>
        <rFont val="Calibri"/>
        <color theme="1"/>
        <sz val="11.0"/>
      </rPr>
      <t xml:space="preserve"> - G</t>
    </r>
    <r>
      <rPr>
        <rFont val="Calibri"/>
        <color theme="1"/>
        <sz val="11.0"/>
        <vertAlign val="subscript"/>
      </rPr>
      <t>t</t>
    </r>
    <r>
      <rPr>
        <rFont val="Calibri"/>
        <color theme="1"/>
        <sz val="11.0"/>
      </rPr>
      <t>)</t>
    </r>
  </si>
  <si>
    <r>
      <rPr>
        <rFont val="Calibri"/>
        <color theme="1"/>
      </rPr>
      <t xml:space="preserve">***Preseason ACL_alt is the sum of potential yields in the EEZ  </t>
    </r>
    <r>
      <rPr>
        <rFont val="Calibri"/>
        <i/>
        <color theme="1"/>
        <sz val="11.0"/>
      </rPr>
      <t>(Y</t>
    </r>
    <r>
      <rPr>
        <rFont val="Calibri"/>
        <i/>
        <color theme="1"/>
        <sz val="11.0"/>
        <vertAlign val="subscript"/>
      </rPr>
      <t>EEZ</t>
    </r>
    <r>
      <rPr>
        <rFont val="Calibri"/>
        <color theme="1"/>
        <sz val="11.0"/>
      </rPr>
      <t>)from the previous T-1 years plus the estimated potential yield in the EEZ for the coming season (column Q, i.e. ABC</t>
    </r>
    <r>
      <rPr>
        <rFont val="Calibri"/>
        <color theme="1"/>
        <sz val="11.0"/>
        <vertAlign val="subscript"/>
      </rPr>
      <t>EEZ,t</t>
    </r>
    <r>
      <rPr>
        <rFont val="Calibri"/>
        <color theme="1"/>
        <sz val="11.0"/>
      </rPr>
      <t>). Note this differs from the value in column G, which does not account for statewater harvest in the coming year projection.</t>
    </r>
  </si>
  <si>
    <t>Kenai River sockeye data 1999-2021</t>
  </si>
  <si>
    <t>Escapement goal Range: 700,000-1,200,000</t>
  </si>
  <si>
    <t>Escapement goal Range (2020-present): 750,000-1,300,000</t>
  </si>
  <si>
    <t>All Sockeye</t>
  </si>
  <si>
    <t>Kenai R.</t>
  </si>
  <si>
    <t xml:space="preserve">Drift Gillnet Catch </t>
  </si>
  <si>
    <t>Total Run</t>
  </si>
  <si>
    <t>Escapement</t>
  </si>
  <si>
    <t>Total Harvest</t>
  </si>
  <si>
    <t>Drift Gillnet Catch</t>
  </si>
  <si>
    <t>proportion</t>
  </si>
  <si>
    <t>proportion in EEZ</t>
  </si>
  <si>
    <t>EEZ Catch</t>
  </si>
  <si>
    <t>State waters Catch</t>
  </si>
  <si>
    <t>F_state</t>
  </si>
  <si>
    <t>Fbar_state</t>
  </si>
  <si>
    <t>Total run and escapement data from Kenai Sockeye SRA and EG BOF report 2020 (Hasbrouck et al. 2020) with escapement updated from Lipka et al. (2020; FMR20-01) and 2018 total run updated (Bob DeCino, pers. comm.)</t>
  </si>
  <si>
    <t>'All Sockeye Drift Gillnet Harvest' and 'Drift Gillnet Harvest proportion in EEZ' are data provided by Marcus Hartley (email 3/26/2020) and available in EA/RIR (harvest data from Fish Ticket Database).</t>
  </si>
  <si>
    <t>'Kenai R. proportion' is proportion of Kenai River harvest in Central District Drift Gillnet fishery from (Tables 1-15, Barclay 2020, RIR 5J20-02) for 2005-2019; proportions for 1999-2004 from age-composition estimates (various appendix tables, Tobias and Willette 2013, RIR.2A.2013.02).</t>
  </si>
  <si>
    <t>2022 update:</t>
  </si>
  <si>
    <t>Kenai R. proportion in drift gillnet: 2020 from Barclay &amp; Chenoweth 2021; 2021 estimate A. Barclay, ADF&amp;G,  unpubl. data</t>
  </si>
  <si>
    <t>Barclay, A. W., and E. L. Chenoweth. 2021. Genetic stock identification of Upper Cook Inlet sockeye salmon harvest, 2020. Alaska Department of Fish and Game, Division of Commercial Fisheries, Regional Information Report No. 5J21-04, Anchorage.</t>
  </si>
  <si>
    <t>Total run and escapement data from B. DeCino and J. Erickson, pers. comm.).  Note that there are updates to some estimates of 1999-2018 data.</t>
  </si>
  <si>
    <t>Drift gillnet catch proportion in EEZ updated from data provided by M. Hartley in email 11/14/2022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</si>
</sst>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2">
    <font>
      <sz val="11.0"/>
      <color theme="1"/>
      <name val="Calibri"/>
      <scheme val="minor"/>
    </font>
    <font>
      <b/>
      <sz val="11.0"/>
      <color theme="1"/>
      <name val="Calibri"/>
    </font>
    <font>
      <color theme="1"/>
      <name val="Calibri"/>
      <scheme val="minor"/>
    </font>
    <font>
      <color rgb="FF0000FF"/>
      <name val="Calibri"/>
      <scheme val="minor"/>
    </font>
    <font>
      <sz val="9.0"/>
      <color rgb="FF000000"/>
      <name val="Arial"/>
    </font>
    <font/>
    <font>
      <b/>
      <sz val="9.0"/>
      <color theme="1"/>
      <name val="Arial"/>
    </font>
    <font>
      <b/>
      <i/>
      <sz val="9.0"/>
      <color theme="1"/>
      <name val="Arial"/>
    </font>
    <font>
      <sz val="9.0"/>
      <color theme="1"/>
      <name val="Arial"/>
    </font>
    <font>
      <i/>
      <sz val="9.0"/>
      <color rgb="FF0000FF"/>
      <name val="Arial"/>
    </font>
    <font>
      <sz val="9.0"/>
      <color rgb="FF0000FF"/>
      <name val="Arial"/>
    </font>
    <font>
      <i/>
      <color rgb="FF0000FF"/>
      <name val="Calibri"/>
      <scheme val="minor"/>
    </font>
    <font>
      <sz val="11.0"/>
      <color theme="1"/>
      <name val="Calibri"/>
    </font>
    <font>
      <color theme="1"/>
      <name val="Calibri"/>
    </font>
    <font>
      <b/>
      <i/>
      <sz val="11.0"/>
      <color theme="1"/>
      <name val="Calibri"/>
    </font>
    <font>
      <b/>
      <color theme="1"/>
      <name val="Calibri"/>
      <scheme val="minor"/>
    </font>
    <font>
      <b/>
      <i/>
      <sz val="11.0"/>
      <color rgb="FF0000FF"/>
      <name val="Calibri"/>
    </font>
    <font>
      <i/>
      <sz val="11.0"/>
      <color rgb="FF0000FF"/>
      <name val="Calibri"/>
    </font>
    <font>
      <sz val="11.0"/>
      <color rgb="FF0000FF"/>
      <name val="Calibri"/>
    </font>
    <font>
      <b/>
      <i/>
      <sz val="11.0"/>
      <color rgb="FF000000"/>
      <name val="Calibri"/>
    </font>
    <font>
      <b/>
      <color rgb="FF000000"/>
      <name val="Calibri"/>
      <scheme val="minor"/>
    </font>
    <font>
      <u/>
      <sz val="11.0"/>
      <color theme="1"/>
      <name val="Calibri"/>
    </font>
  </fonts>
  <fills count="5">
    <fill>
      <patternFill patternType="none"/>
    </fill>
    <fill>
      <patternFill patternType="lightGray"/>
    </fill>
    <fill>
      <patternFill patternType="solid">
        <fgColor rgb="FFF2F2F2"/>
        <bgColor rgb="FFF2F2F2"/>
      </patternFill>
    </fill>
    <fill>
      <patternFill patternType="solid">
        <fgColor rgb="FFFFFF00"/>
        <bgColor rgb="FFFFFF00"/>
      </patternFill>
    </fill>
    <fill>
      <patternFill patternType="solid">
        <fgColor rgb="FFFF0000"/>
        <bgColor rgb="FFFF0000"/>
      </patternFill>
    </fill>
  </fills>
  <borders count="18">
    <border/>
    <border>
      <bottom style="medium">
        <color rgb="FF000000"/>
      </bottom>
    </border>
    <border>
      <left style="medium">
        <color rgb="FF000000"/>
      </left>
      <right/>
      <top style="medium">
        <color rgb="FF000000"/>
      </top>
      <bottom/>
    </border>
    <border>
      <left/>
      <right/>
      <top style="medium">
        <color rgb="FF000000"/>
      </top>
      <bottom/>
    </border>
    <border>
      <left/>
      <top style="medium">
        <color rgb="FF000000"/>
      </top>
      <bottom style="medium">
        <color rgb="FF000000"/>
      </bottom>
    </border>
    <border>
      <top style="medium">
        <color rgb="FF000000"/>
      </top>
      <bottom style="medium">
        <color rgb="FF000000"/>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top style="medium">
        <color rgb="FF000000"/>
      </top>
      <bottom style="medium">
        <color rgb="FF000000"/>
      </bottom>
    </border>
    <border>
      <left/>
      <right style="medium">
        <color rgb="FF000000"/>
      </right>
      <top/>
      <bottom style="medium">
        <color rgb="FF000000"/>
      </bottom>
    </border>
    <border>
      <bottom style="thin">
        <color rgb="FF000000"/>
      </bottom>
    </border>
    <border>
      <top style="thin">
        <color rgb="FF000000"/>
      </top>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horizontal="center" readingOrder="0"/>
    </xf>
    <xf borderId="0" fillId="0" fontId="2" numFmtId="0" xfId="0" applyAlignment="1" applyFont="1">
      <alignment readingOrder="0"/>
    </xf>
    <xf borderId="0" fillId="0" fontId="3" numFmtId="3" xfId="0" applyFont="1" applyNumberFormat="1"/>
    <xf borderId="0" fillId="0" fontId="3" numFmtId="0" xfId="0" applyFont="1"/>
    <xf borderId="0" fillId="0" fontId="2" numFmtId="0" xfId="0" applyAlignment="1" applyFont="1">
      <alignment horizontal="center"/>
    </xf>
    <xf borderId="1" fillId="0" fontId="4" numFmtId="0" xfId="0" applyAlignment="1" applyBorder="1" applyFont="1">
      <alignment horizontal="left" shrinkToFit="0" wrapText="1"/>
    </xf>
    <xf borderId="1" fillId="0" fontId="5" numFmtId="0" xfId="0" applyBorder="1" applyFont="1"/>
    <xf borderId="2" fillId="2" fontId="6" numFmtId="0" xfId="0" applyAlignment="1" applyBorder="1" applyFill="1" applyFont="1">
      <alignment horizontal="center" shrinkToFit="0" vertical="center" wrapText="1"/>
    </xf>
    <xf borderId="3" fillId="2" fontId="6"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5" fillId="0" fontId="5" numFmtId="0" xfId="0" applyBorder="1" applyFont="1"/>
    <xf borderId="6" fillId="2" fontId="6" numFmtId="0" xfId="0" applyAlignment="1" applyBorder="1" applyFont="1">
      <alignment horizontal="center" shrinkToFit="0" vertical="center" wrapText="1"/>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9" fillId="2" fontId="7" numFmtId="0" xfId="0" applyAlignment="1" applyBorder="1" applyFont="1">
      <alignment horizontal="center" shrinkToFit="0" vertical="center" wrapText="1"/>
    </xf>
    <xf borderId="9" fillId="2" fontId="6" numFmtId="0" xfId="0" applyAlignment="1" applyBorder="1" applyFont="1">
      <alignment horizontal="center" shrinkToFit="0" vertical="center" wrapText="1"/>
    </xf>
    <xf borderId="10" fillId="2" fontId="6" numFmtId="0" xfId="0" applyAlignment="1" applyBorder="1" applyFont="1">
      <alignment horizontal="center" shrinkToFit="0" vertical="center" wrapText="1"/>
    </xf>
    <xf borderId="0" fillId="0" fontId="8" numFmtId="0" xfId="0" applyAlignment="1" applyFont="1">
      <alignment horizontal="center" vertical="center"/>
    </xf>
    <xf borderId="0" fillId="0" fontId="9" numFmtId="3" xfId="0" applyAlignment="1" applyFont="1" applyNumberFormat="1">
      <alignment horizontal="right" vertical="center"/>
    </xf>
    <xf borderId="0" fillId="0" fontId="9" numFmtId="1" xfId="0" applyAlignment="1" applyFont="1" applyNumberFormat="1">
      <alignment horizontal="right" vertical="center"/>
    </xf>
    <xf borderId="0" fillId="0" fontId="9" numFmtId="3" xfId="0" applyAlignment="1" applyFont="1" applyNumberFormat="1">
      <alignment horizontal="center" vertical="center"/>
    </xf>
    <xf borderId="0" fillId="0" fontId="8" numFmtId="3" xfId="0" applyAlignment="1" applyFont="1" applyNumberFormat="1">
      <alignment horizontal="center" vertical="center"/>
    </xf>
    <xf borderId="0" fillId="0" fontId="10" numFmtId="3" xfId="0" applyAlignment="1" applyFont="1" applyNumberFormat="1">
      <alignment horizontal="right" vertical="center"/>
    </xf>
    <xf borderId="0" fillId="0" fontId="10" numFmtId="0" xfId="0" applyAlignment="1" applyFont="1">
      <alignment horizontal="right" vertical="center"/>
    </xf>
    <xf borderId="0" fillId="0" fontId="10" numFmtId="0" xfId="0" applyAlignment="1" applyFont="1">
      <alignment horizontal="center" vertical="center"/>
    </xf>
    <xf borderId="0" fillId="0" fontId="10" numFmtId="164" xfId="0" applyAlignment="1" applyFont="1" applyNumberFormat="1">
      <alignment horizontal="center" vertical="center"/>
    </xf>
    <xf borderId="0" fillId="0" fontId="10" numFmtId="164" xfId="0" applyAlignment="1" applyFont="1" applyNumberFormat="1">
      <alignment horizontal="center"/>
    </xf>
    <xf borderId="0" fillId="0" fontId="10" numFmtId="3" xfId="0" applyAlignment="1" applyFont="1" applyNumberFormat="1">
      <alignment horizontal="center"/>
    </xf>
    <xf borderId="0" fillId="0" fontId="10" numFmtId="3" xfId="0" applyAlignment="1" applyFont="1" applyNumberFormat="1">
      <alignment horizontal="center" vertical="center"/>
    </xf>
    <xf borderId="0" fillId="0" fontId="10" numFmtId="0" xfId="0" applyAlignment="1" applyFont="1">
      <alignment horizontal="center"/>
    </xf>
    <xf borderId="0" fillId="0" fontId="8" numFmtId="3" xfId="0" applyAlignment="1" applyFont="1" applyNumberFormat="1">
      <alignment horizontal="center" readingOrder="0" vertical="center"/>
    </xf>
    <xf borderId="0" fillId="0" fontId="11" numFmtId="0" xfId="0" applyFont="1"/>
    <xf borderId="0" fillId="0" fontId="4" numFmtId="0" xfId="0" applyFont="1"/>
    <xf borderId="0" fillId="0" fontId="8" numFmtId="0" xfId="0" applyFont="1"/>
    <xf borderId="11" fillId="0" fontId="12" numFmtId="0" xfId="0" applyBorder="1" applyFont="1"/>
    <xf borderId="12" fillId="0" fontId="12" numFmtId="0" xfId="0" applyBorder="1" applyFont="1"/>
    <xf borderId="11" fillId="0" fontId="12" numFmtId="0" xfId="0" applyAlignment="1" applyBorder="1" applyFont="1">
      <alignment shrinkToFit="0" wrapText="1"/>
    </xf>
    <xf borderId="13" fillId="0" fontId="12" numFmtId="0" xfId="0" applyAlignment="1" applyBorder="1" applyFont="1">
      <alignment shrinkToFit="0" wrapText="1"/>
    </xf>
    <xf borderId="0" fillId="0" fontId="13" numFmtId="0" xfId="0" applyFont="1"/>
    <xf borderId="0" fillId="0" fontId="12" numFmtId="3" xfId="0" applyFont="1" applyNumberFormat="1"/>
    <xf borderId="0" fillId="0" fontId="12" numFmtId="164" xfId="0" applyFont="1" applyNumberFormat="1"/>
    <xf borderId="0" fillId="0" fontId="12" numFmtId="0" xfId="0" applyFont="1"/>
    <xf borderId="0" fillId="0" fontId="1" numFmtId="0" xfId="0" applyFont="1"/>
    <xf borderId="12" fillId="0" fontId="1" numFmtId="0" xfId="0" applyAlignment="1" applyBorder="1" applyFont="1">
      <alignment horizontal="center"/>
    </xf>
    <xf borderId="12" fillId="0" fontId="14" numFmtId="0" xfId="0" applyAlignment="1" applyBorder="1" applyFont="1">
      <alignment horizontal="center"/>
    </xf>
    <xf borderId="11" fillId="0" fontId="1" numFmtId="0" xfId="0" applyAlignment="1" applyBorder="1" applyFont="1">
      <alignment horizontal="right"/>
    </xf>
    <xf borderId="11" fillId="0" fontId="14" numFmtId="0" xfId="0" applyAlignment="1" applyBorder="1" applyFont="1">
      <alignment horizontal="right"/>
    </xf>
    <xf borderId="11" fillId="0" fontId="1" numFmtId="0" xfId="0" applyAlignment="1" applyBorder="1" applyFont="1">
      <alignment horizontal="center"/>
    </xf>
    <xf borderId="11" fillId="0" fontId="14" numFmtId="0" xfId="0" applyAlignment="1" applyBorder="1" applyFont="1">
      <alignment horizontal="center"/>
    </xf>
    <xf borderId="0" fillId="0" fontId="14" numFmtId="0" xfId="0" applyAlignment="1" applyFont="1">
      <alignment horizontal="center"/>
    </xf>
    <xf borderId="0" fillId="0" fontId="15" numFmtId="0" xfId="0" applyAlignment="1" applyFont="1">
      <alignment readingOrder="0"/>
    </xf>
    <xf borderId="0" fillId="0" fontId="16" numFmtId="3" xfId="0" applyFont="1" applyNumberFormat="1"/>
    <xf borderId="0" fillId="0" fontId="17" numFmtId="3" xfId="0" applyFont="1" applyNumberFormat="1"/>
    <xf borderId="0" fillId="0" fontId="18" numFmtId="2" xfId="0" applyFont="1" applyNumberFormat="1"/>
    <xf borderId="0" fillId="0" fontId="12" numFmtId="0" xfId="0" applyAlignment="1" applyFont="1">
      <alignment horizontal="center"/>
    </xf>
    <xf borderId="14" fillId="0" fontId="12" numFmtId="3" xfId="0" applyAlignment="1" applyBorder="1" applyFont="1" applyNumberFormat="1">
      <alignment readingOrder="0"/>
    </xf>
    <xf borderId="12" fillId="3" fontId="12" numFmtId="3" xfId="0" applyAlignment="1" applyBorder="1" applyFill="1" applyFont="1" applyNumberFormat="1">
      <alignment readingOrder="0"/>
    </xf>
    <xf borderId="12" fillId="0" fontId="12" numFmtId="3" xfId="0" applyBorder="1" applyFont="1" applyNumberFormat="1"/>
    <xf borderId="12" fillId="4" fontId="12" numFmtId="164" xfId="0" applyBorder="1" applyFill="1" applyFont="1" applyNumberFormat="1"/>
    <xf borderId="12" fillId="0" fontId="17" numFmtId="3" xfId="0" applyBorder="1" applyFont="1" applyNumberFormat="1"/>
    <xf borderId="12" fillId="0" fontId="2" numFmtId="0" xfId="0" applyBorder="1" applyFont="1"/>
    <xf borderId="12" fillId="0" fontId="18" numFmtId="2" xfId="0" applyBorder="1" applyFont="1" applyNumberFormat="1"/>
    <xf borderId="15" fillId="0" fontId="18" numFmtId="2" xfId="0" applyBorder="1" applyFont="1" applyNumberFormat="1"/>
    <xf borderId="16" fillId="0" fontId="12" numFmtId="3" xfId="0" applyAlignment="1" applyBorder="1" applyFont="1" applyNumberFormat="1">
      <alignment readingOrder="0"/>
    </xf>
    <xf borderId="11" fillId="4" fontId="12" numFmtId="3" xfId="0" applyBorder="1" applyFont="1" applyNumberFormat="1"/>
    <xf borderId="11" fillId="0" fontId="19" numFmtId="3" xfId="0" applyBorder="1" applyFont="1" applyNumberFormat="1"/>
    <xf borderId="11" fillId="0" fontId="12" numFmtId="3" xfId="0" applyAlignment="1" applyBorder="1" applyFont="1" applyNumberFormat="1">
      <alignment readingOrder="0"/>
    </xf>
    <xf borderId="11" fillId="4" fontId="12" numFmtId="164" xfId="0" applyBorder="1" applyFont="1" applyNumberFormat="1"/>
    <xf borderId="11" fillId="0" fontId="17" numFmtId="3" xfId="0" applyBorder="1" applyFont="1" applyNumberFormat="1"/>
    <xf borderId="11" fillId="0" fontId="2" numFmtId="0" xfId="0" applyBorder="1" applyFont="1"/>
    <xf borderId="11" fillId="0" fontId="18" numFmtId="2" xfId="0" applyBorder="1" applyFont="1" applyNumberFormat="1"/>
    <xf borderId="17" fillId="0" fontId="18" numFmtId="2" xfId="0" applyBorder="1" applyFont="1" applyNumberFormat="1"/>
    <xf borderId="0" fillId="0" fontId="0" numFmtId="0" xfId="0" applyAlignment="1" applyFont="1">
      <alignment readingOrder="0"/>
    </xf>
    <xf borderId="0" fillId="0" fontId="20" numFmtId="0" xfId="0" applyFont="1"/>
    <xf borderId="0" fillId="0" fontId="12" numFmtId="3" xfId="0" applyAlignment="1" applyFont="1" applyNumberFormat="1">
      <alignment horizontal="left" shrinkToFit="0" vertical="top" wrapText="1"/>
    </xf>
    <xf quotePrefix="1" borderId="0" fillId="0" fontId="12" numFmtId="0" xfId="0" applyAlignment="1" applyFont="1">
      <alignment horizontal="left" shrinkToFit="0" vertical="top" wrapText="1"/>
    </xf>
    <xf borderId="0" fillId="0" fontId="21" numFmtId="3" xfId="0" applyFont="1" applyNumberFormat="1"/>
  </cellXfs>
  <cellStyles count="1">
    <cellStyle xfId="0" name="Normal" builtinId="0"/>
  </cellStyles>
  <dxfs count="2">
    <dxf>
      <font>
        <b/>
        <color theme="1"/>
      </font>
      <fill>
        <patternFill patternType="none"/>
      </fill>
      <border/>
    </dxf>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3.14"/>
    <col customWidth="1" min="3" max="3" width="21.86"/>
    <col customWidth="1" min="5" max="6" width="16.29"/>
  </cols>
  <sheetData>
    <row r="1">
      <c r="A1" s="1" t="s">
        <v>0</v>
      </c>
      <c r="B1" s="2" t="s">
        <v>1</v>
      </c>
      <c r="C1" s="2" t="s">
        <v>2</v>
      </c>
      <c r="D1" s="2" t="s">
        <v>3</v>
      </c>
      <c r="E1" s="2" t="s">
        <v>4</v>
      </c>
      <c r="F1" s="2" t="s">
        <v>5</v>
      </c>
      <c r="G1" s="2" t="s">
        <v>6</v>
      </c>
      <c r="H1" s="2" t="s">
        <v>7</v>
      </c>
      <c r="I1" s="2"/>
      <c r="J1" s="3"/>
      <c r="K1" s="3"/>
      <c r="L1" s="2" t="s">
        <v>8</v>
      </c>
      <c r="M1" s="3" t="s">
        <v>9</v>
      </c>
    </row>
    <row r="2">
      <c r="A2" s="4">
        <v>1999.0</v>
      </c>
      <c r="B2" s="5">
        <v>1649000.0</v>
      </c>
      <c r="C2" s="6">
        <f>'Kenai River Sockeye Data'!B9</f>
        <v>2984568</v>
      </c>
      <c r="D2" s="6">
        <f t="shared" ref="D2:D24" si="1">C2-B2</f>
        <v>1335568</v>
      </c>
      <c r="E2" s="7">
        <f t="shared" ref="E2:E24" si="2">ABS((C2-B2)/C2)</f>
        <v>0.4474912282</v>
      </c>
      <c r="H2" s="6">
        <f>'Kenai River Sockeye Data'!J9</f>
        <v>340624</v>
      </c>
      <c r="L2" s="7"/>
    </row>
    <row r="3">
      <c r="A3" s="4">
        <v>2000.0</v>
      </c>
      <c r="B3" s="5">
        <v>2453000.0</v>
      </c>
      <c r="C3" s="6">
        <f>'Kenai River Sockeye Data'!B10</f>
        <v>1814779</v>
      </c>
      <c r="D3" s="6">
        <f t="shared" si="1"/>
        <v>-638221</v>
      </c>
      <c r="E3" s="7">
        <f t="shared" si="2"/>
        <v>0.3516797362</v>
      </c>
      <c r="H3" s="6">
        <f>'Kenai River Sockeye Data'!J10</f>
        <v>181290</v>
      </c>
      <c r="L3" s="7"/>
    </row>
    <row r="4">
      <c r="A4" s="4">
        <v>2001.0</v>
      </c>
      <c r="B4" s="5">
        <v>2438000.0</v>
      </c>
      <c r="C4" s="6">
        <f>'Kenai River Sockeye Data'!B11</f>
        <v>2189670</v>
      </c>
      <c r="D4" s="6">
        <f t="shared" si="1"/>
        <v>-248330</v>
      </c>
      <c r="E4" s="7">
        <f t="shared" si="2"/>
        <v>0.1134097832</v>
      </c>
      <c r="H4" s="6">
        <f>'Kenai River Sockeye Data'!J11</f>
        <v>220959</v>
      </c>
      <c r="L4" s="7"/>
    </row>
    <row r="5">
      <c r="A5" s="4">
        <v>2002.0</v>
      </c>
      <c r="B5" s="5">
        <v>1713000.0</v>
      </c>
      <c r="C5" s="6">
        <f>'Kenai River Sockeye Data'!B12</f>
        <v>3466762</v>
      </c>
      <c r="D5" s="6">
        <f t="shared" si="1"/>
        <v>1753762</v>
      </c>
      <c r="E5" s="7">
        <f t="shared" si="2"/>
        <v>0.5058789729</v>
      </c>
      <c r="H5" s="6">
        <f>'Kenai River Sockeye Data'!J12</f>
        <v>359658</v>
      </c>
      <c r="L5" s="7"/>
    </row>
    <row r="6">
      <c r="A6" s="4">
        <v>2003.0</v>
      </c>
      <c r="B6" s="5">
        <v>2044000.0</v>
      </c>
      <c r="C6" s="6">
        <f>'Kenai River Sockeye Data'!B13</f>
        <v>4439571</v>
      </c>
      <c r="D6" s="6">
        <f t="shared" si="1"/>
        <v>2395571</v>
      </c>
      <c r="E6" s="7">
        <f t="shared" si="2"/>
        <v>0.5395951546</v>
      </c>
      <c r="H6" s="6">
        <f>'Kenai River Sockeye Data'!J13</f>
        <v>431228</v>
      </c>
      <c r="L6" s="6">
        <f>average('Kenai River Sockeye Data'!J9:J13)</f>
        <v>306751.8</v>
      </c>
      <c r="M6" s="6">
        <f t="shared" ref="M6:M24" si="3">H6-L6</f>
        <v>124476.2</v>
      </c>
    </row>
    <row r="7">
      <c r="A7" s="4">
        <v>2004.0</v>
      </c>
      <c r="B7" s="5">
        <v>3193000.0</v>
      </c>
      <c r="C7" s="6">
        <f>'Kenai River Sockeye Data'!B14</f>
        <v>5705141</v>
      </c>
      <c r="D7" s="6">
        <f t="shared" si="1"/>
        <v>2512141</v>
      </c>
      <c r="E7" s="7">
        <f t="shared" si="2"/>
        <v>0.4403293451</v>
      </c>
      <c r="H7" s="6">
        <f>'Kenai River Sockeye Data'!J14</f>
        <v>716343</v>
      </c>
      <c r="L7" s="6">
        <f>average('Kenai River Sockeye Data'!J10:J14)</f>
        <v>381895.6</v>
      </c>
      <c r="M7" s="6">
        <f t="shared" si="3"/>
        <v>334447.4</v>
      </c>
    </row>
    <row r="8">
      <c r="A8" s="4">
        <v>2005.0</v>
      </c>
      <c r="B8" s="5">
        <v>3319000.0</v>
      </c>
      <c r="C8" s="6">
        <f>'Kenai River Sockeye Data'!B15</f>
        <v>6109173</v>
      </c>
      <c r="D8" s="6">
        <f t="shared" si="1"/>
        <v>2790173</v>
      </c>
      <c r="E8" s="7">
        <f t="shared" si="2"/>
        <v>0.4567186099</v>
      </c>
      <c r="H8" s="6">
        <f>'Kenai River Sockeye Data'!J15</f>
        <v>857243</v>
      </c>
      <c r="L8" s="6">
        <f>average('Kenai River Sockeye Data'!J11:J15)</f>
        <v>517086.2</v>
      </c>
      <c r="M8" s="6">
        <f t="shared" si="3"/>
        <v>340156.8</v>
      </c>
    </row>
    <row r="9">
      <c r="A9" s="4">
        <v>2006.0</v>
      </c>
      <c r="B9" s="5">
        <v>1849000.0</v>
      </c>
      <c r="C9" s="6">
        <f>'Kenai River Sockeye Data'!B16</f>
        <v>2848597</v>
      </c>
      <c r="D9" s="6">
        <f t="shared" si="1"/>
        <v>999597</v>
      </c>
      <c r="E9" s="7">
        <f t="shared" si="2"/>
        <v>0.350908535</v>
      </c>
      <c r="H9" s="6">
        <f>'Kenai River Sockeye Data'!J16</f>
        <v>106569</v>
      </c>
      <c r="L9" s="6">
        <f>average('Kenai River Sockeye Data'!J12:J16)</f>
        <v>494208.2</v>
      </c>
      <c r="M9" s="6">
        <f t="shared" si="3"/>
        <v>-387639.2</v>
      </c>
    </row>
    <row r="10">
      <c r="A10" s="4">
        <v>2007.0</v>
      </c>
      <c r="B10" s="5">
        <v>2411000.0</v>
      </c>
      <c r="C10" s="6">
        <f>'Kenai River Sockeye Data'!B17</f>
        <v>3601777</v>
      </c>
      <c r="D10" s="6">
        <f t="shared" si="1"/>
        <v>1190777</v>
      </c>
      <c r="E10" s="7">
        <f t="shared" si="2"/>
        <v>0.330608197</v>
      </c>
      <c r="H10" s="6">
        <f>'Kenai River Sockeye Data'!J17</f>
        <v>774157</v>
      </c>
      <c r="L10" s="6">
        <f>average('Kenai River Sockeye Data'!J13:J17)</f>
        <v>577108</v>
      </c>
      <c r="M10" s="6">
        <f t="shared" si="3"/>
        <v>197049</v>
      </c>
    </row>
    <row r="11">
      <c r="A11" s="4">
        <v>2008.0</v>
      </c>
      <c r="B11" s="5">
        <v>3064000.0</v>
      </c>
      <c r="C11" s="6">
        <f>'Kenai River Sockeye Data'!B18</f>
        <v>2082431</v>
      </c>
      <c r="D11" s="6">
        <f t="shared" si="1"/>
        <v>-981569</v>
      </c>
      <c r="E11" s="7">
        <f t="shared" si="2"/>
        <v>0.4713572743</v>
      </c>
      <c r="H11" s="6">
        <f>'Kenai River Sockeye Data'!J18</f>
        <v>219509</v>
      </c>
      <c r="L11" s="6">
        <f>average('Kenai River Sockeye Data'!J14:J18)</f>
        <v>534764.2</v>
      </c>
      <c r="M11" s="6">
        <f t="shared" si="3"/>
        <v>-315255.2</v>
      </c>
    </row>
    <row r="12">
      <c r="A12" s="4">
        <v>2009.0</v>
      </c>
      <c r="B12" s="5">
        <v>2441000.0</v>
      </c>
      <c r="C12" s="6">
        <f>'Kenai River Sockeye Data'!B19</f>
        <v>2430414</v>
      </c>
      <c r="D12" s="6">
        <f t="shared" si="1"/>
        <v>-10586</v>
      </c>
      <c r="E12" s="7">
        <f t="shared" si="2"/>
        <v>0.004355636529</v>
      </c>
      <c r="H12" s="6">
        <f>'Kenai River Sockeye Data'!J19</f>
        <v>327608</v>
      </c>
      <c r="L12" s="6">
        <f>average('Kenai River Sockeye Data'!J15:J19)</f>
        <v>457017.2</v>
      </c>
      <c r="M12" s="6">
        <f t="shared" si="3"/>
        <v>-129409.2</v>
      </c>
    </row>
    <row r="13">
      <c r="A13" s="4">
        <v>2010.0</v>
      </c>
      <c r="B13" s="5">
        <v>1672000.0</v>
      </c>
      <c r="C13" s="6">
        <f>'Kenai River Sockeye Data'!B20</f>
        <v>3596458</v>
      </c>
      <c r="D13" s="6">
        <f t="shared" si="1"/>
        <v>1924458</v>
      </c>
      <c r="E13" s="7">
        <f t="shared" si="2"/>
        <v>0.5350981438</v>
      </c>
      <c r="H13" s="6">
        <f>'Kenai River Sockeye Data'!J20</f>
        <v>672359</v>
      </c>
      <c r="L13" s="6">
        <f>average('Kenai River Sockeye Data'!J16:J20)</f>
        <v>420040.4</v>
      </c>
      <c r="M13" s="6">
        <f t="shared" si="3"/>
        <v>252318.6</v>
      </c>
    </row>
    <row r="14">
      <c r="A14" s="4">
        <v>2011.0</v>
      </c>
      <c r="B14" s="5">
        <v>3941000.0</v>
      </c>
      <c r="C14" s="6">
        <f>'Kenai River Sockeye Data'!B21</f>
        <v>6263091</v>
      </c>
      <c r="D14" s="6">
        <f t="shared" si="1"/>
        <v>2322091</v>
      </c>
      <c r="E14" s="7">
        <f t="shared" si="2"/>
        <v>0.3707579852</v>
      </c>
      <c r="H14" s="6">
        <f>'Kenai River Sockeye Data'!J21</f>
        <v>1140273</v>
      </c>
      <c r="L14" s="6">
        <f>average('Kenai River Sockeye Data'!J17:J21)</f>
        <v>626781.2</v>
      </c>
      <c r="M14" s="6">
        <f t="shared" si="3"/>
        <v>513491.8</v>
      </c>
    </row>
    <row r="15">
      <c r="A15" s="4">
        <v>2012.0</v>
      </c>
      <c r="B15" s="5">
        <v>4026000.0</v>
      </c>
      <c r="C15" s="6">
        <f>'Kenai River Sockeye Data'!B22</f>
        <v>4769681</v>
      </c>
      <c r="D15" s="6">
        <f t="shared" si="1"/>
        <v>743681</v>
      </c>
      <c r="E15" s="7">
        <f t="shared" si="2"/>
        <v>0.1559183937</v>
      </c>
      <c r="H15" s="6">
        <f>'Kenai River Sockeye Data'!J22</f>
        <v>1213601</v>
      </c>
      <c r="L15" s="6">
        <f>average('Kenai River Sockeye Data'!J18:J22)</f>
        <v>714670</v>
      </c>
      <c r="M15" s="6">
        <f t="shared" si="3"/>
        <v>498931</v>
      </c>
    </row>
    <row r="16">
      <c r="A16" s="4">
        <v>2013.0</v>
      </c>
      <c r="B16" s="5">
        <v>4374000.0</v>
      </c>
      <c r="C16" s="6">
        <f>'Kenai River Sockeye Data'!B23</f>
        <v>3628121</v>
      </c>
      <c r="D16" s="6">
        <f t="shared" si="1"/>
        <v>-745879</v>
      </c>
      <c r="E16" s="7">
        <f t="shared" si="2"/>
        <v>0.2055827245</v>
      </c>
      <c r="H16" s="6">
        <f>'Kenai River Sockeye Data'!J23</f>
        <v>682571</v>
      </c>
      <c r="L16" s="6">
        <f>average('Kenai River Sockeye Data'!J19:J23)</f>
        <v>807282.4</v>
      </c>
      <c r="M16" s="6">
        <f t="shared" si="3"/>
        <v>-124711.4</v>
      </c>
    </row>
    <row r="17">
      <c r="A17" s="4">
        <v>2014.0</v>
      </c>
      <c r="B17" s="5">
        <v>3792000.0</v>
      </c>
      <c r="C17" s="6">
        <f>'Kenai River Sockeye Data'!B24</f>
        <v>3404034</v>
      </c>
      <c r="D17" s="6">
        <f t="shared" si="1"/>
        <v>-387966</v>
      </c>
      <c r="E17" s="7">
        <f t="shared" si="2"/>
        <v>0.1139724221</v>
      </c>
      <c r="H17" s="6">
        <f>'Kenai River Sockeye Data'!J24</f>
        <v>503605</v>
      </c>
      <c r="L17" s="6">
        <f>average('Kenai River Sockeye Data'!J20:J24)</f>
        <v>842481.8</v>
      </c>
      <c r="M17" s="6">
        <f t="shared" si="3"/>
        <v>-338876.8</v>
      </c>
    </row>
    <row r="18">
      <c r="A18" s="4">
        <v>2015.0</v>
      </c>
      <c r="B18" s="5">
        <v>3550000.0</v>
      </c>
      <c r="C18" s="6">
        <f>'Kenai River Sockeye Data'!B25</f>
        <v>3819016</v>
      </c>
      <c r="D18" s="6">
        <f t="shared" si="1"/>
        <v>269016</v>
      </c>
      <c r="E18" s="7">
        <f t="shared" si="2"/>
        <v>0.07044118171</v>
      </c>
      <c r="H18" s="6">
        <f>'Kenai River Sockeye Data'!J25</f>
        <v>238228</v>
      </c>
      <c r="L18" s="6">
        <f>average('Kenai River Sockeye Data'!J21:J25)</f>
        <v>755655.6</v>
      </c>
      <c r="M18" s="6">
        <f t="shared" si="3"/>
        <v>-517427.6</v>
      </c>
    </row>
    <row r="19">
      <c r="A19" s="4">
        <v>2016.0</v>
      </c>
      <c r="B19" s="5">
        <v>4731000.0</v>
      </c>
      <c r="C19" s="6">
        <f>'Kenai River Sockeye Data'!B26</f>
        <v>3711842</v>
      </c>
      <c r="D19" s="6">
        <f t="shared" si="1"/>
        <v>-1019158</v>
      </c>
      <c r="E19" s="7">
        <f t="shared" si="2"/>
        <v>0.2745693378</v>
      </c>
      <c r="H19" s="6">
        <f>'Kenai River Sockeye Data'!J26</f>
        <v>399557</v>
      </c>
      <c r="L19" s="6">
        <f>average('Kenai River Sockeye Data'!J22:J26)</f>
        <v>607512.4</v>
      </c>
      <c r="M19" s="6">
        <f t="shared" si="3"/>
        <v>-207955.4</v>
      </c>
    </row>
    <row r="20">
      <c r="A20" s="4">
        <v>2017.0</v>
      </c>
      <c r="B20" s="5">
        <v>2164000.0</v>
      </c>
      <c r="C20" s="6">
        <f>'Kenai River Sockeye Data'!B27</f>
        <v>2595720</v>
      </c>
      <c r="D20" s="6">
        <f t="shared" si="1"/>
        <v>431720</v>
      </c>
      <c r="E20" s="7">
        <f t="shared" si="2"/>
        <v>0.1663199421</v>
      </c>
      <c r="H20" s="6">
        <f>'Kenai River Sockeye Data'!J27</f>
        <v>201523</v>
      </c>
      <c r="L20" s="6">
        <f>average('Kenai River Sockeye Data'!J23:J27)</f>
        <v>405096.8</v>
      </c>
      <c r="M20" s="6">
        <f t="shared" si="3"/>
        <v>-203573.8</v>
      </c>
    </row>
    <row r="21">
      <c r="A21" s="4">
        <v>2018.0</v>
      </c>
      <c r="B21" s="5">
        <v>2485000.0</v>
      </c>
      <c r="C21" s="6">
        <f>'Kenai River Sockeye Data'!B28</f>
        <v>1566210</v>
      </c>
      <c r="D21" s="6">
        <f t="shared" si="1"/>
        <v>-918790</v>
      </c>
      <c r="E21" s="7">
        <f t="shared" si="2"/>
        <v>0.5866326993</v>
      </c>
      <c r="H21" s="6">
        <f>'Kenai River Sockeye Data'!J28</f>
        <v>97475</v>
      </c>
      <c r="L21" s="6">
        <f>average('Kenai River Sockeye Data'!J24:J28)</f>
        <v>288077.6</v>
      </c>
      <c r="M21" s="6">
        <f t="shared" si="3"/>
        <v>-190602.6</v>
      </c>
    </row>
    <row r="22">
      <c r="A22" s="4">
        <v>2019.0</v>
      </c>
      <c r="B22" s="5">
        <v>3814000.0</v>
      </c>
      <c r="C22" s="6">
        <f>'Kenai River Sockeye Data'!B29</f>
        <v>3542442</v>
      </c>
      <c r="D22" s="6">
        <f t="shared" si="1"/>
        <v>-271558</v>
      </c>
      <c r="E22" s="7">
        <f t="shared" si="2"/>
        <v>0.07665841812</v>
      </c>
      <c r="H22" s="6">
        <f>'Kenai River Sockeye Data'!J29</f>
        <v>252320</v>
      </c>
      <c r="L22" s="6">
        <f>average('Kenai River Sockeye Data'!J25:J29)</f>
        <v>237820.6</v>
      </c>
      <c r="M22" s="6">
        <f t="shared" si="3"/>
        <v>14499.4</v>
      </c>
    </row>
    <row r="23">
      <c r="A23" s="4">
        <v>2020.0</v>
      </c>
      <c r="B23" s="5">
        <v>2231000.0</v>
      </c>
      <c r="C23" s="6">
        <f>'Kenai River Sockeye Data'!B30</f>
        <v>2394018</v>
      </c>
      <c r="D23" s="6">
        <f t="shared" si="1"/>
        <v>163018</v>
      </c>
      <c r="E23" s="7">
        <f t="shared" si="2"/>
        <v>0.06809389069</v>
      </c>
      <c r="H23" s="6">
        <f>'Kenai River Sockeye Data'!J30</f>
        <v>50453</v>
      </c>
      <c r="L23" s="6">
        <f>average('Kenai River Sockeye Data'!J26:J30)</f>
        <v>200265.6</v>
      </c>
      <c r="M23" s="6">
        <f t="shared" si="3"/>
        <v>-149812.6</v>
      </c>
    </row>
    <row r="24">
      <c r="A24" s="4">
        <v>2021.0</v>
      </c>
      <c r="B24" s="5">
        <v>2325000.0</v>
      </c>
      <c r="C24" s="6">
        <f>'Kenai River Sockeye Data'!B31</f>
        <v>3992341</v>
      </c>
      <c r="D24" s="6">
        <f t="shared" si="1"/>
        <v>1667341</v>
      </c>
      <c r="E24" s="7">
        <f t="shared" si="2"/>
        <v>0.4176349165</v>
      </c>
      <c r="H24" s="6">
        <f>'Kenai River Sockeye Data'!J31</f>
        <v>255593</v>
      </c>
      <c r="L24" s="6">
        <f>average('Kenai River Sockeye Data'!J27:J31)</f>
        <v>171472.8</v>
      </c>
      <c r="M24" s="6">
        <f t="shared" si="3"/>
        <v>84120.2</v>
      </c>
    </row>
    <row r="25">
      <c r="A25" s="4">
        <v>2022.0</v>
      </c>
      <c r="B25" s="5">
        <v>2902000.0</v>
      </c>
      <c r="C25" s="6">
        <f>'Kenai River Sockeye Data'!B32</f>
        <v>2682000</v>
      </c>
      <c r="E25" s="7"/>
      <c r="L25" s="7"/>
    </row>
    <row r="26">
      <c r="A26" s="4">
        <v>2023.0</v>
      </c>
      <c r="B26" s="5">
        <v>2821000.0</v>
      </c>
      <c r="C26" s="7"/>
      <c r="E26" s="7"/>
      <c r="L26" s="7"/>
    </row>
    <row r="27">
      <c r="A27" s="4">
        <v>2024.0</v>
      </c>
      <c r="C27" s="7"/>
      <c r="E27" s="7"/>
      <c r="L27" s="7"/>
    </row>
    <row r="28">
      <c r="A28" s="8"/>
      <c r="C28" s="7"/>
      <c r="E28" s="7">
        <f>average(E2:E27)</f>
        <v>0.3066961969</v>
      </c>
    </row>
    <row r="29">
      <c r="A29" s="8"/>
      <c r="E29" s="7"/>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71"/>
    <col customWidth="1" min="2" max="2" width="11.57"/>
    <col customWidth="1" min="3" max="3" width="10.0"/>
    <col customWidth="1" min="4" max="4" width="12.0"/>
    <col customWidth="1" min="5" max="6" width="8.71"/>
    <col customWidth="1" min="7" max="7" width="10.57"/>
    <col customWidth="1" min="8" max="10" width="8.71"/>
    <col customWidth="1" min="11" max="11" width="11.43"/>
    <col customWidth="1" min="12" max="12" width="8.71"/>
    <col customWidth="1" min="13" max="13" width="10.57"/>
    <col customWidth="1" min="14" max="15" width="11.0"/>
    <col customWidth="1" min="16" max="16" width="10.43"/>
    <col customWidth="1" min="17" max="17" width="8.71"/>
    <col customWidth="1" min="18" max="18" width="10.29"/>
    <col customWidth="1" min="19" max="26" width="8.71"/>
  </cols>
  <sheetData>
    <row r="1" ht="34.5" customHeight="1">
      <c r="A1" s="9" t="s">
        <v>10</v>
      </c>
      <c r="B1" s="10"/>
      <c r="C1" s="10"/>
      <c r="D1" s="10"/>
      <c r="E1" s="10"/>
      <c r="F1" s="10"/>
      <c r="G1" s="10"/>
      <c r="H1" s="10"/>
      <c r="I1" s="10"/>
      <c r="J1" s="10"/>
      <c r="K1" s="10"/>
      <c r="L1" s="10"/>
      <c r="M1" s="10"/>
      <c r="N1" s="10"/>
      <c r="O1" s="10"/>
      <c r="P1" s="10"/>
    </row>
    <row r="2">
      <c r="A2" s="11"/>
      <c r="B2" s="12"/>
      <c r="C2" s="12"/>
      <c r="D2" s="12"/>
      <c r="E2" s="12"/>
      <c r="F2" s="12"/>
      <c r="G2" s="13" t="s">
        <v>11</v>
      </c>
      <c r="H2" s="14"/>
      <c r="I2" s="14"/>
      <c r="J2" s="12"/>
      <c r="K2" s="12"/>
      <c r="L2" s="13" t="s">
        <v>11</v>
      </c>
      <c r="M2" s="14"/>
      <c r="N2" s="12"/>
      <c r="O2" s="12"/>
      <c r="P2" s="15"/>
    </row>
    <row r="3">
      <c r="A3" s="16" t="s">
        <v>0</v>
      </c>
      <c r="B3" s="17" t="s">
        <v>12</v>
      </c>
      <c r="C3" s="17" t="s">
        <v>13</v>
      </c>
      <c r="D3" s="17" t="s">
        <v>14</v>
      </c>
      <c r="E3" s="17" t="s">
        <v>15</v>
      </c>
      <c r="F3" s="17" t="s">
        <v>16</v>
      </c>
      <c r="G3" s="17" t="s">
        <v>17</v>
      </c>
      <c r="H3" s="18" t="s">
        <v>18</v>
      </c>
      <c r="I3" s="19" t="s">
        <v>19</v>
      </c>
      <c r="J3" s="17" t="s">
        <v>20</v>
      </c>
      <c r="K3" s="17" t="s">
        <v>21</v>
      </c>
      <c r="L3" s="17" t="s">
        <v>22</v>
      </c>
      <c r="M3" s="18" t="s">
        <v>23</v>
      </c>
      <c r="N3" s="17" t="s">
        <v>24</v>
      </c>
      <c r="O3" s="17" t="s">
        <v>25</v>
      </c>
      <c r="P3" s="20" t="s">
        <v>26</v>
      </c>
    </row>
    <row r="4">
      <c r="A4" s="21">
        <v>1999.0</v>
      </c>
      <c r="B4" s="22">
        <f>'Kenai River Sockeye Data'!D9/1000</f>
        <v>2035.292</v>
      </c>
      <c r="C4" s="22">
        <f>'Kenai River Sockeye Data'!J9/1000</f>
        <v>340.624</v>
      </c>
      <c r="D4" s="23">
        <f>'Kenai River Sockeye Data'!C9/1000</f>
        <v>949.276</v>
      </c>
      <c r="E4" s="24">
        <f>'Kenai River Sockeye Data'!B9/1000</f>
        <v>2984.568</v>
      </c>
      <c r="F4" s="25">
        <v>700.0</v>
      </c>
      <c r="G4" s="26">
        <f t="shared" ref="G4:G26" si="1">MAX(E4-F4-(B4-C4),0)</f>
        <v>589.9</v>
      </c>
      <c r="H4" s="27"/>
      <c r="I4" s="27"/>
      <c r="J4" s="27"/>
      <c r="K4" s="27"/>
      <c r="L4" s="27"/>
      <c r="M4" s="27"/>
      <c r="N4" s="28"/>
      <c r="O4" s="28"/>
      <c r="P4" s="28"/>
    </row>
    <row r="5">
      <c r="A5" s="21">
        <v>2000.0</v>
      </c>
      <c r="B5" s="22">
        <f>'Kenai River Sockeye Data'!D10/1000</f>
        <v>1117.88</v>
      </c>
      <c r="C5" s="22">
        <f>'Kenai River Sockeye Data'!J10/1000</f>
        <v>181.29</v>
      </c>
      <c r="D5" s="23">
        <f>'Kenai River Sockeye Data'!C10/1000</f>
        <v>696.899</v>
      </c>
      <c r="E5" s="24">
        <f>'Kenai River Sockeye Data'!B10/1000</f>
        <v>1814.779</v>
      </c>
      <c r="F5" s="25">
        <v>700.0</v>
      </c>
      <c r="G5" s="26">
        <f t="shared" si="1"/>
        <v>178.189</v>
      </c>
      <c r="H5" s="27"/>
      <c r="I5" s="27"/>
      <c r="J5" s="27"/>
      <c r="K5" s="27"/>
      <c r="L5" s="27"/>
      <c r="M5" s="27"/>
      <c r="N5" s="28"/>
      <c r="O5" s="28"/>
      <c r="P5" s="28"/>
    </row>
    <row r="6">
      <c r="A6" s="21">
        <v>2001.0</v>
      </c>
      <c r="B6" s="22">
        <f>'Kenai River Sockeye Data'!D11/1000</f>
        <v>1451.441</v>
      </c>
      <c r="C6" s="22">
        <f>'Kenai River Sockeye Data'!J11/1000</f>
        <v>220.959</v>
      </c>
      <c r="D6" s="23">
        <f>'Kenai River Sockeye Data'!C11/1000</f>
        <v>738.229</v>
      </c>
      <c r="E6" s="24">
        <f>'Kenai River Sockeye Data'!B11/1000</f>
        <v>2189.67</v>
      </c>
      <c r="F6" s="25">
        <v>700.0</v>
      </c>
      <c r="G6" s="26">
        <f t="shared" si="1"/>
        <v>259.188</v>
      </c>
      <c r="H6" s="27"/>
      <c r="I6" s="27"/>
      <c r="J6" s="27"/>
      <c r="K6" s="27"/>
      <c r="L6" s="27"/>
      <c r="M6" s="27"/>
      <c r="N6" s="28"/>
      <c r="O6" s="28"/>
      <c r="P6" s="28"/>
    </row>
    <row r="7">
      <c r="A7" s="21">
        <v>2002.0</v>
      </c>
      <c r="B7" s="22">
        <f>'Kenai River Sockeye Data'!D12/1000</f>
        <v>2340.146</v>
      </c>
      <c r="C7" s="22">
        <f>'Kenai River Sockeye Data'!J12/1000</f>
        <v>359.658</v>
      </c>
      <c r="D7" s="23">
        <f>'Kenai River Sockeye Data'!C12/1000</f>
        <v>1126.616</v>
      </c>
      <c r="E7" s="24">
        <f>'Kenai River Sockeye Data'!B12/1000</f>
        <v>3466.762</v>
      </c>
      <c r="F7" s="25">
        <v>700.0</v>
      </c>
      <c r="G7" s="26">
        <f t="shared" si="1"/>
        <v>786.274</v>
      </c>
      <c r="H7" s="27"/>
      <c r="I7" s="27"/>
      <c r="J7" s="27"/>
      <c r="K7" s="27"/>
      <c r="L7" s="27"/>
      <c r="M7" s="27"/>
      <c r="N7" s="28"/>
      <c r="O7" s="28"/>
      <c r="P7" s="28"/>
    </row>
    <row r="8">
      <c r="A8" s="21">
        <v>2003.0</v>
      </c>
      <c r="B8" s="22">
        <f>'Kenai River Sockeye Data'!D13/1000</f>
        <v>3037.279</v>
      </c>
      <c r="C8" s="22">
        <f>'Kenai River Sockeye Data'!J13/1000</f>
        <v>431.228</v>
      </c>
      <c r="D8" s="23">
        <f>'Kenai River Sockeye Data'!C13/1000</f>
        <v>1402.292</v>
      </c>
      <c r="E8" s="24">
        <f>'Kenai River Sockeye Data'!B13/1000</f>
        <v>4439.571</v>
      </c>
      <c r="F8" s="25">
        <v>700.0</v>
      </c>
      <c r="G8" s="26">
        <f t="shared" si="1"/>
        <v>1133.52</v>
      </c>
      <c r="H8" s="29">
        <f t="shared" ref="H8:H26" si="2">SUM(C4:C8)/SUM(E4:E8)</f>
        <v>0.1029689803</v>
      </c>
      <c r="I8" s="30">
        <f>SUM(G4:G8)/SUM('Table 3-5'!E4:E8)</f>
        <v>0.1978517457</v>
      </c>
      <c r="J8" s="31">
        <f t="shared" ref="J8:J26" si="3">SUM(F4:F8)/2</f>
        <v>1750</v>
      </c>
      <c r="K8" s="32">
        <f t="shared" ref="K8:K26" si="4">SUM(D4:D8)</f>
        <v>4913.312</v>
      </c>
      <c r="L8" s="32">
        <f t="shared" ref="L8:L26" si="5">SUM(G4:G8)</f>
        <v>2947.071</v>
      </c>
      <c r="M8" s="32">
        <f t="shared" ref="M8:M26" si="6">SUM(C4:C8)</f>
        <v>1533.759</v>
      </c>
      <c r="N8" s="33" t="str">
        <f t="shared" ref="N8:N26" si="7">IF(H8&gt;I8,"Yes","No")</f>
        <v>No</v>
      </c>
      <c r="O8" s="33" t="str">
        <f t="shared" ref="O8:O26" si="8">IF(K8&lt;J8,"Yes", "No")</f>
        <v>No</v>
      </c>
      <c r="P8" s="33" t="str">
        <f t="shared" ref="P8:P26" si="9">IF(M8&lt;=L8,"No","Yes")</f>
        <v>No</v>
      </c>
    </row>
    <row r="9">
      <c r="A9" s="21">
        <v>2004.0</v>
      </c>
      <c r="B9" s="22">
        <f>'Kenai River Sockeye Data'!D14/1000</f>
        <v>4014.594</v>
      </c>
      <c r="C9" s="22">
        <f>'Kenai River Sockeye Data'!J14/1000</f>
        <v>716.343</v>
      </c>
      <c r="D9" s="23">
        <f>'Kenai River Sockeye Data'!C14/1000</f>
        <v>1690.547</v>
      </c>
      <c r="E9" s="24">
        <f>'Kenai River Sockeye Data'!B14/1000</f>
        <v>5705.141</v>
      </c>
      <c r="F9" s="25">
        <v>700.0</v>
      </c>
      <c r="G9" s="26">
        <f t="shared" si="1"/>
        <v>1706.89</v>
      </c>
      <c r="H9" s="29">
        <f t="shared" si="2"/>
        <v>0.1083950015</v>
      </c>
      <c r="I9" s="30">
        <f>SUM(G5:G9)/SUM('Table 3-5'!E5:E9)</f>
        <v>0.2307038354</v>
      </c>
      <c r="J9" s="31">
        <f t="shared" si="3"/>
        <v>1750</v>
      </c>
      <c r="K9" s="32">
        <f t="shared" si="4"/>
        <v>5654.583</v>
      </c>
      <c r="L9" s="32">
        <f t="shared" si="5"/>
        <v>4064.061</v>
      </c>
      <c r="M9" s="32">
        <f t="shared" si="6"/>
        <v>1909.478</v>
      </c>
      <c r="N9" s="33" t="str">
        <f t="shared" si="7"/>
        <v>No</v>
      </c>
      <c r="O9" s="33" t="str">
        <f t="shared" si="8"/>
        <v>No</v>
      </c>
      <c r="P9" s="33" t="str">
        <f t="shared" si="9"/>
        <v>No</v>
      </c>
    </row>
    <row r="10">
      <c r="A10" s="21">
        <v>2005.0</v>
      </c>
      <c r="B10" s="22">
        <f>'Kenai River Sockeye Data'!D15/1000</f>
        <v>4455.17</v>
      </c>
      <c r="C10" s="22">
        <f>'Kenai River Sockeye Data'!J15/1000</f>
        <v>857.243</v>
      </c>
      <c r="D10" s="23">
        <f>'Kenai River Sockeye Data'!C15/1000</f>
        <v>1654.003</v>
      </c>
      <c r="E10" s="24">
        <f>'Kenai River Sockeye Data'!B15/1000</f>
        <v>6109.173</v>
      </c>
      <c r="F10" s="25">
        <v>700.0</v>
      </c>
      <c r="G10" s="26">
        <f t="shared" si="1"/>
        <v>1811.246</v>
      </c>
      <c r="H10" s="29">
        <f t="shared" si="2"/>
        <v>0.1180006204</v>
      </c>
      <c r="I10" s="30">
        <f>SUM(G6:G10)/SUM('Table 3-5'!E6:E10)</f>
        <v>0.2600198801</v>
      </c>
      <c r="J10" s="31">
        <f t="shared" si="3"/>
        <v>1750</v>
      </c>
      <c r="K10" s="32">
        <f t="shared" si="4"/>
        <v>6611.687</v>
      </c>
      <c r="L10" s="32">
        <f t="shared" si="5"/>
        <v>5697.118</v>
      </c>
      <c r="M10" s="32">
        <f t="shared" si="6"/>
        <v>2585.431</v>
      </c>
      <c r="N10" s="33" t="str">
        <f t="shared" si="7"/>
        <v>No</v>
      </c>
      <c r="O10" s="33" t="str">
        <f t="shared" si="8"/>
        <v>No</v>
      </c>
      <c r="P10" s="33" t="str">
        <f t="shared" si="9"/>
        <v>No</v>
      </c>
    </row>
    <row r="11">
      <c r="A11" s="21">
        <v>2006.0</v>
      </c>
      <c r="B11" s="22">
        <f>'Kenai River Sockeye Data'!D16/1000</f>
        <v>956.507</v>
      </c>
      <c r="C11" s="22">
        <f>'Kenai River Sockeye Data'!J16/1000</f>
        <v>106.569</v>
      </c>
      <c r="D11" s="23">
        <f>'Kenai River Sockeye Data'!C16/1000</f>
        <v>1892.09</v>
      </c>
      <c r="E11" s="24">
        <f>'Kenai River Sockeye Data'!B16/1000</f>
        <v>2848.597</v>
      </c>
      <c r="F11" s="25">
        <v>700.0</v>
      </c>
      <c r="G11" s="26">
        <f t="shared" si="1"/>
        <v>1298.659</v>
      </c>
      <c r="H11" s="29">
        <f t="shared" si="2"/>
        <v>0.1094870967</v>
      </c>
      <c r="I11" s="30">
        <f>SUM(G7:G11)/SUM('Table 3-5'!E7:E11)</f>
        <v>0.2984853635</v>
      </c>
      <c r="J11" s="31">
        <f t="shared" si="3"/>
        <v>1750</v>
      </c>
      <c r="K11" s="32">
        <f t="shared" si="4"/>
        <v>7765.548</v>
      </c>
      <c r="L11" s="32">
        <f t="shared" si="5"/>
        <v>6736.589</v>
      </c>
      <c r="M11" s="32">
        <f t="shared" si="6"/>
        <v>2471.041</v>
      </c>
      <c r="N11" s="33" t="str">
        <f t="shared" si="7"/>
        <v>No</v>
      </c>
      <c r="O11" s="33" t="str">
        <f t="shared" si="8"/>
        <v>No</v>
      </c>
      <c r="P11" s="33" t="str">
        <f t="shared" si="9"/>
        <v>No</v>
      </c>
    </row>
    <row r="12">
      <c r="A12" s="21">
        <v>2007.0</v>
      </c>
      <c r="B12" s="22">
        <f>'Kenai River Sockeye Data'!D17/1000</f>
        <v>2637.534</v>
      </c>
      <c r="C12" s="22">
        <f>'Kenai River Sockeye Data'!J17/1000</f>
        <v>774.157</v>
      </c>
      <c r="D12" s="23">
        <f>'Kenai River Sockeye Data'!C17/1000</f>
        <v>964.243</v>
      </c>
      <c r="E12" s="24">
        <f>'Kenai River Sockeye Data'!B17/1000</f>
        <v>3601.777</v>
      </c>
      <c r="F12" s="25">
        <v>700.0</v>
      </c>
      <c r="G12" s="26">
        <f t="shared" si="1"/>
        <v>1038.4</v>
      </c>
      <c r="H12" s="29">
        <f t="shared" si="2"/>
        <v>0.1270924543</v>
      </c>
      <c r="I12" s="30">
        <f>SUM(G8:G12)/SUM('Table 3-5'!E8:E12)</f>
        <v>0.3078151549</v>
      </c>
      <c r="J12" s="31">
        <f t="shared" si="3"/>
        <v>1750</v>
      </c>
      <c r="K12" s="32">
        <f t="shared" si="4"/>
        <v>7603.175</v>
      </c>
      <c r="L12" s="32">
        <f t="shared" si="5"/>
        <v>6988.715</v>
      </c>
      <c r="M12" s="32">
        <f t="shared" si="6"/>
        <v>2885.54</v>
      </c>
      <c r="N12" s="33" t="str">
        <f t="shared" si="7"/>
        <v>No</v>
      </c>
      <c r="O12" s="33" t="str">
        <f t="shared" si="8"/>
        <v>No</v>
      </c>
      <c r="P12" s="33" t="str">
        <f t="shared" si="9"/>
        <v>No</v>
      </c>
    </row>
    <row r="13">
      <c r="A13" s="21">
        <v>2008.0</v>
      </c>
      <c r="B13" s="22">
        <f>'Kenai River Sockeye Data'!D18/1000</f>
        <v>1373.626</v>
      </c>
      <c r="C13" s="22">
        <f>'Kenai River Sockeye Data'!J18/1000</f>
        <v>219.509</v>
      </c>
      <c r="D13" s="23">
        <f>'Kenai River Sockeye Data'!C18/1000</f>
        <v>708.805</v>
      </c>
      <c r="E13" s="24">
        <f>'Kenai River Sockeye Data'!B18/1000</f>
        <v>2082.431</v>
      </c>
      <c r="F13" s="25">
        <v>700.0</v>
      </c>
      <c r="G13" s="26">
        <f t="shared" si="1"/>
        <v>228.314</v>
      </c>
      <c r="H13" s="29">
        <f t="shared" si="2"/>
        <v>0.1314102994</v>
      </c>
      <c r="I13" s="30">
        <f>SUM(G9:G13)/SUM('Table 3-5'!E9:E13)</f>
        <v>0.2989862594</v>
      </c>
      <c r="J13" s="31">
        <f t="shared" si="3"/>
        <v>1750</v>
      </c>
      <c r="K13" s="32">
        <f t="shared" si="4"/>
        <v>6909.688</v>
      </c>
      <c r="L13" s="32">
        <f t="shared" si="5"/>
        <v>6083.509</v>
      </c>
      <c r="M13" s="32">
        <f t="shared" si="6"/>
        <v>2673.821</v>
      </c>
      <c r="N13" s="33" t="str">
        <f t="shared" si="7"/>
        <v>No</v>
      </c>
      <c r="O13" s="33" t="str">
        <f t="shared" si="8"/>
        <v>No</v>
      </c>
      <c r="P13" s="33" t="str">
        <f t="shared" si="9"/>
        <v>No</v>
      </c>
    </row>
    <row r="14">
      <c r="A14" s="21">
        <v>2009.0</v>
      </c>
      <c r="B14" s="22">
        <f>'Kenai River Sockeye Data'!D19/1000</f>
        <v>1582.297</v>
      </c>
      <c r="C14" s="22">
        <f>'Kenai River Sockeye Data'!J19/1000</f>
        <v>327.608</v>
      </c>
      <c r="D14" s="23">
        <f>'Kenai River Sockeye Data'!C19/1000</f>
        <v>848.117</v>
      </c>
      <c r="E14" s="24">
        <f>'Kenai River Sockeye Data'!B19/1000</f>
        <v>2430.414</v>
      </c>
      <c r="F14" s="25">
        <v>700.0</v>
      </c>
      <c r="G14" s="26">
        <f t="shared" si="1"/>
        <v>475.725</v>
      </c>
      <c r="H14" s="29">
        <f t="shared" si="2"/>
        <v>0.1338468564</v>
      </c>
      <c r="I14" s="30">
        <f>SUM(G10:G14)/SUM('Table 3-5'!E10:E14)</f>
        <v>0.2842216838</v>
      </c>
      <c r="J14" s="31">
        <f t="shared" si="3"/>
        <v>1750</v>
      </c>
      <c r="K14" s="32">
        <f t="shared" si="4"/>
        <v>6067.258</v>
      </c>
      <c r="L14" s="32">
        <f t="shared" si="5"/>
        <v>4852.344</v>
      </c>
      <c r="M14" s="32">
        <f t="shared" si="6"/>
        <v>2285.086</v>
      </c>
      <c r="N14" s="33" t="str">
        <f t="shared" si="7"/>
        <v>No</v>
      </c>
      <c r="O14" s="33" t="str">
        <f t="shared" si="8"/>
        <v>No</v>
      </c>
      <c r="P14" s="33" t="str">
        <f t="shared" si="9"/>
        <v>No</v>
      </c>
    </row>
    <row r="15">
      <c r="A15" s="21">
        <v>2010.0</v>
      </c>
      <c r="B15" s="22">
        <f>'Kenai River Sockeye Data'!D20/1000</f>
        <v>2558.156</v>
      </c>
      <c r="C15" s="22">
        <f>'Kenai River Sockeye Data'!J20/1000</f>
        <v>672.359</v>
      </c>
      <c r="D15" s="23">
        <f>'Kenai River Sockeye Data'!C20/1000</f>
        <v>1038.302</v>
      </c>
      <c r="E15" s="24">
        <f>'Kenai River Sockeye Data'!B20/1000</f>
        <v>3596.458</v>
      </c>
      <c r="F15" s="25">
        <v>700.0</v>
      </c>
      <c r="G15" s="26">
        <f t="shared" si="1"/>
        <v>1010.661</v>
      </c>
      <c r="H15" s="29">
        <f t="shared" si="2"/>
        <v>0.1442478429</v>
      </c>
      <c r="I15" s="30">
        <f>SUM(G11:G15)/SUM('Table 3-5'!E11:E15)</f>
        <v>0.2782863246</v>
      </c>
      <c r="J15" s="31">
        <f t="shared" si="3"/>
        <v>1750</v>
      </c>
      <c r="K15" s="32">
        <f t="shared" si="4"/>
        <v>5451.557</v>
      </c>
      <c r="L15" s="32">
        <f t="shared" si="5"/>
        <v>4051.759</v>
      </c>
      <c r="M15" s="32">
        <f t="shared" si="6"/>
        <v>2100.202</v>
      </c>
      <c r="N15" s="33" t="str">
        <f t="shared" si="7"/>
        <v>No</v>
      </c>
      <c r="O15" s="33" t="str">
        <f t="shared" si="8"/>
        <v>No</v>
      </c>
      <c r="P15" s="33" t="str">
        <f t="shared" si="9"/>
        <v>No</v>
      </c>
    </row>
    <row r="16">
      <c r="A16" s="21">
        <v>2011.0</v>
      </c>
      <c r="B16" s="22">
        <f>'Kenai River Sockeye Data'!D21/1000</f>
        <v>4982.358</v>
      </c>
      <c r="C16" s="22">
        <f>'Kenai River Sockeye Data'!J21/1000</f>
        <v>1140.273</v>
      </c>
      <c r="D16" s="23">
        <f>'Kenai River Sockeye Data'!C21/1000</f>
        <v>1280.733</v>
      </c>
      <c r="E16" s="24">
        <f>'Kenai River Sockeye Data'!B21/1000</f>
        <v>6263.091</v>
      </c>
      <c r="F16" s="25">
        <v>700.0</v>
      </c>
      <c r="G16" s="26">
        <f t="shared" si="1"/>
        <v>1721.006</v>
      </c>
      <c r="H16" s="29">
        <f t="shared" si="2"/>
        <v>0.1743560802</v>
      </c>
      <c r="I16" s="30">
        <f>SUM(G12:G16)/SUM('Table 3-5'!E12:E16)</f>
        <v>0.2489186288</v>
      </c>
      <c r="J16" s="31">
        <f t="shared" si="3"/>
        <v>1750</v>
      </c>
      <c r="K16" s="32">
        <f t="shared" si="4"/>
        <v>4840.2</v>
      </c>
      <c r="L16" s="32">
        <f t="shared" si="5"/>
        <v>4474.106</v>
      </c>
      <c r="M16" s="32">
        <f t="shared" si="6"/>
        <v>3133.906</v>
      </c>
      <c r="N16" s="33" t="str">
        <f t="shared" si="7"/>
        <v>No</v>
      </c>
      <c r="O16" s="33" t="str">
        <f t="shared" si="8"/>
        <v>No</v>
      </c>
      <c r="P16" s="33" t="str">
        <f t="shared" si="9"/>
        <v>No</v>
      </c>
    </row>
    <row r="17">
      <c r="A17" s="21">
        <v>2012.0</v>
      </c>
      <c r="B17" s="22">
        <f>'Kenai River Sockeye Data'!D22/1000</f>
        <v>3556.76</v>
      </c>
      <c r="C17" s="22">
        <f>'Kenai River Sockeye Data'!J22/1000</f>
        <v>1213.601</v>
      </c>
      <c r="D17" s="23">
        <f>'Kenai River Sockeye Data'!C22/1000</f>
        <v>1212.921</v>
      </c>
      <c r="E17" s="24">
        <f>'Kenai River Sockeye Data'!B22/1000</f>
        <v>4769.681</v>
      </c>
      <c r="F17" s="25">
        <v>700.0</v>
      </c>
      <c r="G17" s="26">
        <f t="shared" si="1"/>
        <v>1726.522</v>
      </c>
      <c r="H17" s="29">
        <f t="shared" si="2"/>
        <v>0.1866751645</v>
      </c>
      <c r="I17" s="30">
        <f>SUM(G13:G17)/SUM('Table 3-5'!E13:E17)</f>
        <v>0.2696796455</v>
      </c>
      <c r="J17" s="31">
        <f t="shared" si="3"/>
        <v>1750</v>
      </c>
      <c r="K17" s="32">
        <f t="shared" si="4"/>
        <v>5088.878</v>
      </c>
      <c r="L17" s="32">
        <f t="shared" si="5"/>
        <v>5162.228</v>
      </c>
      <c r="M17" s="32">
        <f t="shared" si="6"/>
        <v>3573.35</v>
      </c>
      <c r="N17" s="33" t="str">
        <f t="shared" si="7"/>
        <v>No</v>
      </c>
      <c r="O17" s="33" t="str">
        <f t="shared" si="8"/>
        <v>No</v>
      </c>
      <c r="P17" s="33" t="str">
        <f t="shared" si="9"/>
        <v>No</v>
      </c>
    </row>
    <row r="18">
      <c r="A18" s="21">
        <v>2013.0</v>
      </c>
      <c r="B18" s="22">
        <f>'Kenai River Sockeye Data'!D23/1000</f>
        <v>2647.913</v>
      </c>
      <c r="C18" s="22">
        <f>'Kenai River Sockeye Data'!J23/1000</f>
        <v>682.571</v>
      </c>
      <c r="D18" s="23">
        <f>'Kenai River Sockeye Data'!C23/1000</f>
        <v>980.208</v>
      </c>
      <c r="E18" s="24">
        <f>'Kenai River Sockeye Data'!B23/1000</f>
        <v>3628.121</v>
      </c>
      <c r="F18" s="25">
        <v>700.0</v>
      </c>
      <c r="G18" s="26">
        <f t="shared" si="1"/>
        <v>962.779</v>
      </c>
      <c r="H18" s="29">
        <f t="shared" si="2"/>
        <v>0.1951110717</v>
      </c>
      <c r="I18" s="30">
        <f>SUM(G14:G18)/SUM('Table 3-5'!E14:E18)</f>
        <v>0.2850328685</v>
      </c>
      <c r="J18" s="31">
        <f t="shared" si="3"/>
        <v>1750</v>
      </c>
      <c r="K18" s="32">
        <f t="shared" si="4"/>
        <v>5360.281</v>
      </c>
      <c r="L18" s="32">
        <f t="shared" si="5"/>
        <v>5896.693</v>
      </c>
      <c r="M18" s="32">
        <f t="shared" si="6"/>
        <v>4036.412</v>
      </c>
      <c r="N18" s="33" t="str">
        <f t="shared" si="7"/>
        <v>No</v>
      </c>
      <c r="O18" s="33" t="str">
        <f t="shared" si="8"/>
        <v>No</v>
      </c>
      <c r="P18" s="33" t="str">
        <f t="shared" si="9"/>
        <v>No</v>
      </c>
    </row>
    <row r="19">
      <c r="A19" s="21">
        <v>2014.0</v>
      </c>
      <c r="B19" s="22">
        <f>'Kenai River Sockeye Data'!D24/1000</f>
        <v>2185.692</v>
      </c>
      <c r="C19" s="22">
        <f>'Kenai River Sockeye Data'!J24/1000</f>
        <v>503.605</v>
      </c>
      <c r="D19" s="23">
        <f>'Kenai River Sockeye Data'!C24/1000</f>
        <v>1218.342</v>
      </c>
      <c r="E19" s="24">
        <f>'Kenai River Sockeye Data'!B24/1000</f>
        <v>3404.034</v>
      </c>
      <c r="F19" s="25">
        <v>700.0</v>
      </c>
      <c r="G19" s="26">
        <f t="shared" si="1"/>
        <v>1021.947</v>
      </c>
      <c r="H19" s="29">
        <f t="shared" si="2"/>
        <v>0.1944662818</v>
      </c>
      <c r="I19" s="30">
        <f>SUM(G15:G19)/SUM('Table 3-5'!E15:E19)</f>
        <v>0.2974378139</v>
      </c>
      <c r="J19" s="31">
        <f t="shared" si="3"/>
        <v>1750</v>
      </c>
      <c r="K19" s="32">
        <f t="shared" si="4"/>
        <v>5730.506</v>
      </c>
      <c r="L19" s="32">
        <f t="shared" si="5"/>
        <v>6442.915</v>
      </c>
      <c r="M19" s="32">
        <f t="shared" si="6"/>
        <v>4212.409</v>
      </c>
      <c r="N19" s="33" t="str">
        <f t="shared" si="7"/>
        <v>No</v>
      </c>
      <c r="O19" s="33" t="str">
        <f t="shared" si="8"/>
        <v>No</v>
      </c>
      <c r="P19" s="33" t="str">
        <f t="shared" si="9"/>
        <v>No</v>
      </c>
    </row>
    <row r="20" ht="15.75" customHeight="1">
      <c r="A20" s="21">
        <v>2015.0</v>
      </c>
      <c r="B20" s="22">
        <f>'Kenai River Sockeye Data'!D25/1000</f>
        <v>2418.969</v>
      </c>
      <c r="C20" s="22">
        <f>'Kenai River Sockeye Data'!J25/1000</f>
        <v>238.228</v>
      </c>
      <c r="D20" s="23">
        <f>'Kenai River Sockeye Data'!C25/1000</f>
        <v>1400.047</v>
      </c>
      <c r="E20" s="24">
        <f>'Kenai River Sockeye Data'!B25/1000</f>
        <v>3819.016</v>
      </c>
      <c r="F20" s="25">
        <v>700.0</v>
      </c>
      <c r="G20" s="26">
        <f t="shared" si="1"/>
        <v>938.275</v>
      </c>
      <c r="H20" s="29">
        <f t="shared" si="2"/>
        <v>0.1726506964</v>
      </c>
      <c r="I20" s="30">
        <f>SUM(G16:G20)/SUM('Table 3-5'!E16:E20)</f>
        <v>0.2911051724</v>
      </c>
      <c r="J20" s="31">
        <f t="shared" si="3"/>
        <v>1750</v>
      </c>
      <c r="K20" s="32">
        <f t="shared" si="4"/>
        <v>6092.251</v>
      </c>
      <c r="L20" s="32">
        <f t="shared" si="5"/>
        <v>6370.529</v>
      </c>
      <c r="M20" s="32">
        <f t="shared" si="6"/>
        <v>3778.278</v>
      </c>
      <c r="N20" s="33" t="str">
        <f t="shared" si="7"/>
        <v>No</v>
      </c>
      <c r="O20" s="33" t="str">
        <f t="shared" si="8"/>
        <v>No</v>
      </c>
      <c r="P20" s="33" t="str">
        <f t="shared" si="9"/>
        <v>No</v>
      </c>
    </row>
    <row r="21" ht="15.75" customHeight="1">
      <c r="A21" s="21">
        <v>2016.0</v>
      </c>
      <c r="B21" s="22">
        <f>'Kenai River Sockeye Data'!D26/1000</f>
        <v>2591.854</v>
      </c>
      <c r="C21" s="22">
        <f>'Kenai River Sockeye Data'!J26/1000</f>
        <v>399.557</v>
      </c>
      <c r="D21" s="23">
        <f>'Kenai River Sockeye Data'!C26/1000</f>
        <v>1119.988</v>
      </c>
      <c r="E21" s="24">
        <f>'Kenai River Sockeye Data'!B26/1000</f>
        <v>3711.842</v>
      </c>
      <c r="F21" s="25">
        <v>700.0</v>
      </c>
      <c r="G21" s="26">
        <f t="shared" si="1"/>
        <v>819.545</v>
      </c>
      <c r="H21" s="29">
        <f t="shared" si="2"/>
        <v>0.1571204717</v>
      </c>
      <c r="I21" s="30">
        <f>SUM(G17:G21)/SUM('Table 3-5'!E17:E21)</f>
        <v>0.2828921825</v>
      </c>
      <c r="J21" s="31">
        <f t="shared" si="3"/>
        <v>1750</v>
      </c>
      <c r="K21" s="32">
        <f t="shared" si="4"/>
        <v>5931.506</v>
      </c>
      <c r="L21" s="32">
        <f t="shared" si="5"/>
        <v>5469.068</v>
      </c>
      <c r="M21" s="32">
        <f t="shared" si="6"/>
        <v>3037.562</v>
      </c>
      <c r="N21" s="33" t="str">
        <f t="shared" si="7"/>
        <v>No</v>
      </c>
      <c r="O21" s="33" t="str">
        <f t="shared" si="8"/>
        <v>No</v>
      </c>
      <c r="P21" s="33" t="str">
        <f t="shared" si="9"/>
        <v>No</v>
      </c>
    </row>
    <row r="22" ht="15.75" customHeight="1">
      <c r="A22" s="21">
        <v>2017.0</v>
      </c>
      <c r="B22" s="22">
        <f>'Kenai River Sockeye Data'!D27/1000</f>
        <v>1524.656</v>
      </c>
      <c r="C22" s="22">
        <f>'Kenai River Sockeye Data'!J27/1000</f>
        <v>201.523</v>
      </c>
      <c r="D22" s="23">
        <f>'Kenai River Sockeye Data'!C27/1000</f>
        <v>1071.064</v>
      </c>
      <c r="E22" s="24">
        <f>'Kenai River Sockeye Data'!B27/1000</f>
        <v>2595.72</v>
      </c>
      <c r="F22" s="25">
        <v>700.0</v>
      </c>
      <c r="G22" s="26">
        <f t="shared" si="1"/>
        <v>572.587</v>
      </c>
      <c r="H22" s="29">
        <f t="shared" si="2"/>
        <v>0.1180439138</v>
      </c>
      <c r="I22" s="30">
        <f>SUM(G18:G22)/SUM('Table 3-5'!E18:E22)</f>
        <v>0.2514831952</v>
      </c>
      <c r="J22" s="31">
        <f t="shared" si="3"/>
        <v>1750</v>
      </c>
      <c r="K22" s="32">
        <f t="shared" si="4"/>
        <v>5789.649</v>
      </c>
      <c r="L22" s="32">
        <f t="shared" si="5"/>
        <v>4315.133</v>
      </c>
      <c r="M22" s="32">
        <f t="shared" si="6"/>
        <v>2025.484</v>
      </c>
      <c r="N22" s="33" t="str">
        <f t="shared" si="7"/>
        <v>No</v>
      </c>
      <c r="O22" s="33" t="str">
        <f t="shared" si="8"/>
        <v>No</v>
      </c>
      <c r="P22" s="33" t="str">
        <f t="shared" si="9"/>
        <v>No</v>
      </c>
    </row>
    <row r="23" ht="15.75" customHeight="1">
      <c r="A23" s="21">
        <v>2018.0</v>
      </c>
      <c r="B23" s="22">
        <f>'Kenai River Sockeye Data'!D28/1000</f>
        <v>679.449</v>
      </c>
      <c r="C23" s="22">
        <f>'Kenai River Sockeye Data'!J28/1000</f>
        <v>97.475</v>
      </c>
      <c r="D23" s="23">
        <f>'Kenai River Sockeye Data'!C28/1000</f>
        <v>886.761</v>
      </c>
      <c r="E23" s="24">
        <f>'Kenai River Sockeye Data'!B28/1000</f>
        <v>1566.21</v>
      </c>
      <c r="F23" s="25">
        <v>700.0</v>
      </c>
      <c r="G23" s="26">
        <f t="shared" si="1"/>
        <v>284.236</v>
      </c>
      <c r="H23" s="29">
        <f t="shared" si="2"/>
        <v>0.09541001411</v>
      </c>
      <c r="I23" s="30">
        <f>SUM(G19:G23)/SUM('Table 3-5'!E19:E23)</f>
        <v>0.2408844722</v>
      </c>
      <c r="J23" s="31">
        <f t="shared" si="3"/>
        <v>1750</v>
      </c>
      <c r="K23" s="32">
        <f t="shared" si="4"/>
        <v>5696.202</v>
      </c>
      <c r="L23" s="32">
        <f t="shared" si="5"/>
        <v>3636.59</v>
      </c>
      <c r="M23" s="32">
        <f t="shared" si="6"/>
        <v>1440.388</v>
      </c>
      <c r="N23" s="33" t="str">
        <f t="shared" si="7"/>
        <v>No</v>
      </c>
      <c r="O23" s="33" t="str">
        <f t="shared" si="8"/>
        <v>No</v>
      </c>
      <c r="P23" s="33" t="str">
        <f t="shared" si="9"/>
        <v>No</v>
      </c>
    </row>
    <row r="24" ht="15.75" customHeight="1">
      <c r="A24" s="21">
        <v>2019.0</v>
      </c>
      <c r="B24" s="22">
        <f>'Kenai River Sockeye Data'!D29/1000</f>
        <v>2085.411</v>
      </c>
      <c r="C24" s="22">
        <f>'Kenai River Sockeye Data'!J29/1000</f>
        <v>252.32</v>
      </c>
      <c r="D24" s="23">
        <f>'Kenai River Sockeye Data'!C29/1000</f>
        <v>1457.031</v>
      </c>
      <c r="E24" s="24">
        <f>'Kenai River Sockeye Data'!B29/1000</f>
        <v>3542.442</v>
      </c>
      <c r="F24" s="25">
        <v>700.0</v>
      </c>
      <c r="G24" s="26">
        <f t="shared" si="1"/>
        <v>1009.351</v>
      </c>
      <c r="H24" s="29">
        <f t="shared" si="2"/>
        <v>0.07804956013</v>
      </c>
      <c r="I24" s="30">
        <f>SUM(G20:G24)/SUM('Table 3-5'!E20:E24)</f>
        <v>0.2378693331</v>
      </c>
      <c r="J24" s="31">
        <f t="shared" si="3"/>
        <v>1750</v>
      </c>
      <c r="K24" s="32">
        <f t="shared" si="4"/>
        <v>5934.891</v>
      </c>
      <c r="L24" s="32">
        <f t="shared" si="5"/>
        <v>3623.994</v>
      </c>
      <c r="M24" s="32">
        <f t="shared" si="6"/>
        <v>1189.103</v>
      </c>
      <c r="N24" s="33" t="str">
        <f t="shared" si="7"/>
        <v>No</v>
      </c>
      <c r="O24" s="33" t="str">
        <f t="shared" si="8"/>
        <v>No</v>
      </c>
      <c r="P24" s="33" t="str">
        <f t="shared" si="9"/>
        <v>No</v>
      </c>
    </row>
    <row r="25" ht="15.75" customHeight="1">
      <c r="A25" s="21">
        <v>2020.0</v>
      </c>
      <c r="B25" s="22">
        <f>'Kenai River Sockeye Data'!D30/1000</f>
        <v>888.078</v>
      </c>
      <c r="C25" s="22">
        <f>'Kenai River Sockeye Data'!J30/1000</f>
        <v>50.453</v>
      </c>
      <c r="D25" s="23">
        <f>'Kenai River Sockeye Data'!C30/1000</f>
        <v>1505.94</v>
      </c>
      <c r="E25" s="24">
        <f>'Kenai River Sockeye Data'!B30/1000</f>
        <v>2394.018</v>
      </c>
      <c r="F25" s="25">
        <v>750.0</v>
      </c>
      <c r="G25" s="26">
        <f t="shared" si="1"/>
        <v>806.393</v>
      </c>
      <c r="H25" s="29">
        <f t="shared" si="2"/>
        <v>0.0725062403</v>
      </c>
      <c r="I25" s="30">
        <f>SUM(G21:G25)/SUM('Table 3-5'!E21:E25)</f>
        <v>0.2528641083</v>
      </c>
      <c r="J25" s="31">
        <f t="shared" si="3"/>
        <v>1775</v>
      </c>
      <c r="K25" s="32">
        <f t="shared" si="4"/>
        <v>6040.784</v>
      </c>
      <c r="L25" s="32">
        <f t="shared" si="5"/>
        <v>3492.112</v>
      </c>
      <c r="M25" s="32">
        <f t="shared" si="6"/>
        <v>1001.328</v>
      </c>
      <c r="N25" s="33" t="str">
        <f t="shared" si="7"/>
        <v>No</v>
      </c>
      <c r="O25" s="33" t="str">
        <f t="shared" si="8"/>
        <v>No</v>
      </c>
      <c r="P25" s="33" t="str">
        <f t="shared" si="9"/>
        <v>No</v>
      </c>
    </row>
    <row r="26" ht="15.75" customHeight="1">
      <c r="A26" s="21">
        <v>2021.0</v>
      </c>
      <c r="B26" s="22">
        <f>'Kenai River Sockeye Data'!D31/1000</f>
        <v>1750.516</v>
      </c>
      <c r="C26" s="22">
        <f>'Kenai River Sockeye Data'!J31/1000</f>
        <v>255.593</v>
      </c>
      <c r="D26" s="23">
        <f>'Kenai River Sockeye Data'!C31/1000</f>
        <v>2241.825</v>
      </c>
      <c r="E26" s="24">
        <f>'Kenai River Sockeye Data'!B31/1000</f>
        <v>3992.341</v>
      </c>
      <c r="F26" s="25">
        <v>750.0</v>
      </c>
      <c r="G26" s="26">
        <f t="shared" si="1"/>
        <v>1747.418</v>
      </c>
      <c r="H26" s="29">
        <f t="shared" si="2"/>
        <v>0.06084595611</v>
      </c>
      <c r="I26" s="30">
        <f>SUM(G22:G26)/SUM('Table 3-5'!E22:E26)</f>
        <v>0.3136803194</v>
      </c>
      <c r="J26" s="31">
        <f t="shared" si="3"/>
        <v>1800</v>
      </c>
      <c r="K26" s="32">
        <f t="shared" si="4"/>
        <v>7162.621</v>
      </c>
      <c r="L26" s="32">
        <f t="shared" si="5"/>
        <v>4419.985</v>
      </c>
      <c r="M26" s="32">
        <f t="shared" si="6"/>
        <v>857.364</v>
      </c>
      <c r="N26" s="33" t="str">
        <f t="shared" si="7"/>
        <v>No</v>
      </c>
      <c r="O26" s="33" t="str">
        <f t="shared" si="8"/>
        <v>No</v>
      </c>
      <c r="P26" s="33" t="str">
        <f t="shared" si="9"/>
        <v>No</v>
      </c>
    </row>
    <row r="27" ht="15.75" customHeight="1">
      <c r="A27" s="21">
        <v>2022.0</v>
      </c>
      <c r="B27" s="22"/>
      <c r="C27" s="22"/>
      <c r="D27" s="23"/>
      <c r="E27" s="24"/>
      <c r="F27" s="34">
        <v>750.0</v>
      </c>
      <c r="G27" s="26"/>
      <c r="H27" s="29"/>
      <c r="I27" s="30"/>
      <c r="J27" s="31"/>
      <c r="K27" s="32"/>
      <c r="L27" s="32"/>
      <c r="M27" s="32"/>
      <c r="N27" s="33"/>
      <c r="O27" s="33"/>
      <c r="P27" s="33"/>
    </row>
    <row r="28" ht="15.75" customHeight="1">
      <c r="A28" s="21">
        <v>2023.0</v>
      </c>
      <c r="B28" s="22"/>
      <c r="C28" s="22"/>
      <c r="D28" s="23"/>
      <c r="E28" s="24"/>
      <c r="F28" s="34">
        <v>750.0</v>
      </c>
      <c r="G28" s="26"/>
      <c r="H28" s="29"/>
      <c r="I28" s="30"/>
      <c r="J28" s="31"/>
      <c r="K28" s="32"/>
      <c r="L28" s="32"/>
      <c r="M28" s="32"/>
      <c r="N28" s="33"/>
      <c r="O28" s="33"/>
      <c r="P28" s="33"/>
    </row>
    <row r="29" ht="15.75" customHeight="1">
      <c r="B29" s="24"/>
      <c r="C29" s="35"/>
      <c r="D29" s="35"/>
      <c r="E29" s="35"/>
      <c r="G29" s="7"/>
      <c r="H29" s="7"/>
      <c r="I29" s="7"/>
      <c r="J29" s="7"/>
      <c r="K29" s="7"/>
      <c r="L29" s="7"/>
      <c r="M29" s="7"/>
      <c r="N29" s="7"/>
      <c r="O29" s="7"/>
      <c r="P29" s="7"/>
    </row>
    <row r="30" ht="15.75" customHeight="1">
      <c r="A30" s="36" t="s">
        <v>27</v>
      </c>
      <c r="B30" s="25"/>
    </row>
    <row r="31" ht="15.75" customHeight="1">
      <c r="A31" s="36" t="s">
        <v>28</v>
      </c>
    </row>
    <row r="32" ht="15.75" customHeight="1">
      <c r="A32" s="36" t="s">
        <v>29</v>
      </c>
    </row>
    <row r="33" ht="15.75" customHeight="1">
      <c r="A33" s="37" t="s">
        <v>30</v>
      </c>
    </row>
    <row r="34" ht="15.75" customHeight="1">
      <c r="A34" s="37" t="s">
        <v>31</v>
      </c>
    </row>
    <row r="35" ht="15.75" customHeight="1"/>
    <row r="36" ht="15.75" customHeight="1">
      <c r="A36" s="38" t="s">
        <v>32</v>
      </c>
      <c r="B36" s="38"/>
    </row>
    <row r="37" ht="15.75" customHeight="1">
      <c r="A37" s="39"/>
      <c r="B37" s="39"/>
      <c r="Q37" s="38" t="s">
        <v>33</v>
      </c>
      <c r="R37" s="38"/>
      <c r="S37" s="38"/>
      <c r="T37" s="38"/>
      <c r="U37" s="38"/>
      <c r="V37" s="38"/>
      <c r="W37" s="38"/>
      <c r="X37" s="38"/>
    </row>
    <row r="38" ht="43.5" customHeight="1">
      <c r="A38" s="38" t="s">
        <v>0</v>
      </c>
      <c r="B38" s="40" t="s">
        <v>34</v>
      </c>
      <c r="C38" s="38"/>
      <c r="D38" s="40" t="s">
        <v>35</v>
      </c>
      <c r="E38" s="38"/>
      <c r="F38" s="40" t="s">
        <v>36</v>
      </c>
      <c r="G38" s="40" t="s">
        <v>37</v>
      </c>
      <c r="H38" s="38"/>
      <c r="I38" s="40" t="s">
        <v>38</v>
      </c>
      <c r="J38" s="38"/>
      <c r="K38" s="38" t="s">
        <v>39</v>
      </c>
      <c r="L38" s="38"/>
      <c r="M38" s="40" t="s">
        <v>40</v>
      </c>
      <c r="N38" s="38"/>
      <c r="O38" s="38" t="s">
        <v>41</v>
      </c>
      <c r="Q38" s="41" t="s">
        <v>42</v>
      </c>
      <c r="R38" s="41" t="s">
        <v>43</v>
      </c>
    </row>
    <row r="39" ht="15.75" customHeight="1">
      <c r="A39" s="42">
        <v>2016.0</v>
      </c>
      <c r="B39" s="43">
        <v>4731.0</v>
      </c>
      <c r="D39" s="42">
        <f>ROUND(B39*'Kenai River Sockeye Data'!N25,0)</f>
        <v>2566</v>
      </c>
      <c r="F39" s="43">
        <f t="shared" ref="F39:F44" si="10">F21</f>
        <v>700</v>
      </c>
      <c r="G39" s="43">
        <f t="shared" ref="G39:G44" si="11">B39-F39</f>
        <v>4031</v>
      </c>
      <c r="I39" s="44">
        <f t="shared" ref="I39:I44" si="12">(SUM(G17:G20)+G39)/(SUM(E17:E20)+B39)</f>
        <v>0.4265225101</v>
      </c>
      <c r="K39" s="44">
        <f t="shared" ref="K39:K44" si="13">I21</f>
        <v>0.2828921825</v>
      </c>
      <c r="M39" s="43">
        <f t="shared" ref="M39:M44" si="14">SUM(G17:G20)+G39</f>
        <v>8680.523</v>
      </c>
      <c r="N39" s="43"/>
      <c r="O39" s="43">
        <f t="shared" ref="O39:O44" si="15">L21</f>
        <v>5469.068</v>
      </c>
      <c r="Q39" s="43">
        <f t="shared" ref="Q39:Q44" si="16">B39-D39-F39</f>
        <v>1465</v>
      </c>
      <c r="R39" s="43">
        <f t="shared" ref="R39:R44" si="17">SUM(G17:G20)+Q39</f>
        <v>6114.523</v>
      </c>
    </row>
    <row r="40" ht="15.75" customHeight="1">
      <c r="A40" s="42">
        <v>2017.0</v>
      </c>
      <c r="B40" s="43">
        <v>2164.0</v>
      </c>
      <c r="D40" s="42">
        <f>ROUND(B40*'Kenai River Sockeye Data'!N26,0)</f>
        <v>1164</v>
      </c>
      <c r="F40" s="43">
        <f t="shared" si="10"/>
        <v>700</v>
      </c>
      <c r="G40" s="43">
        <f t="shared" si="11"/>
        <v>1464</v>
      </c>
      <c r="I40" s="44">
        <f t="shared" si="12"/>
        <v>0.3112657353</v>
      </c>
      <c r="K40" s="44">
        <f t="shared" si="13"/>
        <v>0.2514831952</v>
      </c>
      <c r="M40" s="43">
        <f t="shared" si="14"/>
        <v>5206.546</v>
      </c>
      <c r="O40" s="43">
        <f t="shared" si="15"/>
        <v>4315.133</v>
      </c>
      <c r="Q40" s="43">
        <f t="shared" si="16"/>
        <v>300</v>
      </c>
      <c r="R40" s="43">
        <f t="shared" si="17"/>
        <v>4042.546</v>
      </c>
    </row>
    <row r="41" ht="15.75" customHeight="1">
      <c r="A41" s="42">
        <v>2018.0</v>
      </c>
      <c r="B41" s="43">
        <v>2485.0</v>
      </c>
      <c r="D41" s="42">
        <f>ROUND(B41*'Kenai River Sockeye Data'!N27,0)</f>
        <v>1345</v>
      </c>
      <c r="F41" s="43">
        <f t="shared" si="10"/>
        <v>700</v>
      </c>
      <c r="G41" s="43">
        <f t="shared" si="11"/>
        <v>1785</v>
      </c>
      <c r="I41" s="44">
        <f t="shared" si="12"/>
        <v>0.3207716321</v>
      </c>
      <c r="K41" s="44">
        <f t="shared" si="13"/>
        <v>0.2408844722</v>
      </c>
      <c r="M41" s="43">
        <f t="shared" si="14"/>
        <v>5137.354</v>
      </c>
      <c r="O41" s="43">
        <f t="shared" si="15"/>
        <v>3636.59</v>
      </c>
      <c r="Q41" s="43">
        <f t="shared" si="16"/>
        <v>440</v>
      </c>
      <c r="R41" s="43">
        <f t="shared" si="17"/>
        <v>3792.354</v>
      </c>
    </row>
    <row r="42" ht="15.75" customHeight="1">
      <c r="A42" s="42">
        <v>2019.0</v>
      </c>
      <c r="B42" s="43">
        <v>3814.0</v>
      </c>
      <c r="D42" s="42">
        <f>ROUND(B42*'Kenai River Sockeye Data'!N28,0)</f>
        <v>1935</v>
      </c>
      <c r="F42" s="43">
        <f t="shared" si="10"/>
        <v>700</v>
      </c>
      <c r="G42" s="43">
        <f t="shared" si="11"/>
        <v>3114</v>
      </c>
      <c r="I42" s="44">
        <f t="shared" si="12"/>
        <v>0.3694280853</v>
      </c>
      <c r="K42" s="44">
        <f t="shared" si="13"/>
        <v>0.2378693331</v>
      </c>
      <c r="M42" s="43">
        <f t="shared" si="14"/>
        <v>5728.643</v>
      </c>
      <c r="O42" s="43">
        <f t="shared" si="15"/>
        <v>3623.994</v>
      </c>
      <c r="Q42" s="43">
        <f t="shared" si="16"/>
        <v>1179</v>
      </c>
      <c r="R42" s="43">
        <f t="shared" si="17"/>
        <v>3793.643</v>
      </c>
    </row>
    <row r="43" ht="15.75" customHeight="1">
      <c r="A43" s="42">
        <v>2020.0</v>
      </c>
      <c r="B43" s="43">
        <v>2231.0</v>
      </c>
      <c r="D43" s="42">
        <f>ROUND(B43*'Kenai River Sockeye Data'!N29,0)</f>
        <v>1142</v>
      </c>
      <c r="F43" s="43">
        <f t="shared" si="10"/>
        <v>750</v>
      </c>
      <c r="G43" s="43">
        <f t="shared" si="11"/>
        <v>1481</v>
      </c>
      <c r="I43" s="44">
        <f t="shared" si="12"/>
        <v>0.3053164551</v>
      </c>
      <c r="K43" s="44">
        <f t="shared" si="13"/>
        <v>0.2528641083</v>
      </c>
      <c r="M43" s="43">
        <f t="shared" si="14"/>
        <v>4166.719</v>
      </c>
      <c r="O43" s="43">
        <f t="shared" si="15"/>
        <v>3492.112</v>
      </c>
      <c r="Q43" s="43">
        <f t="shared" si="16"/>
        <v>339</v>
      </c>
      <c r="R43" s="43">
        <f t="shared" si="17"/>
        <v>3024.719</v>
      </c>
    </row>
    <row r="44" ht="15.75" customHeight="1">
      <c r="A44" s="42">
        <v>2021.0</v>
      </c>
      <c r="B44" s="43">
        <v>2325.0</v>
      </c>
      <c r="D44" s="42">
        <f>ROUND(B44*'Kenai River Sockeye Data'!N30,0)</f>
        <v>1088</v>
      </c>
      <c r="F44" s="43">
        <f t="shared" si="10"/>
        <v>750</v>
      </c>
      <c r="G44" s="43">
        <f t="shared" si="11"/>
        <v>1575</v>
      </c>
      <c r="I44" s="44">
        <f t="shared" si="12"/>
        <v>0.3419008016</v>
      </c>
      <c r="K44" s="44">
        <f t="shared" si="13"/>
        <v>0.3136803194</v>
      </c>
      <c r="M44" s="43">
        <f t="shared" si="14"/>
        <v>4247.567</v>
      </c>
      <c r="O44" s="43">
        <f t="shared" si="15"/>
        <v>4419.985</v>
      </c>
      <c r="Q44" s="43">
        <f t="shared" si="16"/>
        <v>487</v>
      </c>
      <c r="R44" s="43">
        <f t="shared" si="17"/>
        <v>3159.567</v>
      </c>
    </row>
    <row r="45" ht="15.75" customHeight="1"/>
    <row r="46" ht="15.75" customHeight="1"/>
    <row r="47" ht="15.75" customHeight="1">
      <c r="A47" s="45" t="s">
        <v>44</v>
      </c>
    </row>
    <row r="48" ht="15.75" customHeight="1">
      <c r="A48" s="42" t="s">
        <v>45</v>
      </c>
    </row>
    <row r="49" ht="15.75" customHeight="1">
      <c r="A49" s="42" t="s">
        <v>46</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P1"/>
    <mergeCell ref="G2:I2"/>
    <mergeCell ref="L2:M2"/>
  </mergeCells>
  <conditionalFormatting sqref="D4:D28">
    <cfRule type="cellIs" dxfId="0" priority="1" operator="lessThan">
      <formula>$F$4</formula>
    </cfRule>
  </conditionalFormatting>
  <conditionalFormatting sqref="N8:P28">
    <cfRule type="cellIs" dxfId="1" priority="2" operator="equal">
      <formula>"Yes"</formula>
    </cfRule>
  </conditionalFormatting>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8.71"/>
    <col customWidth="1" min="2" max="2" width="9.29"/>
    <col customWidth="1" min="3" max="3" width="11.71"/>
    <col customWidth="1" min="4" max="5" width="13.43"/>
    <col customWidth="1" min="6" max="6" width="19.0"/>
    <col customWidth="1" min="7" max="7" width="11.0"/>
    <col customWidth="1" min="8" max="9" width="19.43"/>
    <col customWidth="1" min="10" max="10" width="16.0"/>
    <col customWidth="1" min="11" max="11" width="18.29"/>
    <col customWidth="1" min="12" max="12" width="8.71"/>
    <col customWidth="1" min="13" max="13" width="11.57"/>
    <col customWidth="1" min="14" max="14" width="11.14"/>
    <col customWidth="1" min="15" max="26" width="8.71"/>
  </cols>
  <sheetData>
    <row r="1">
      <c r="A1" s="46" t="s">
        <v>47</v>
      </c>
    </row>
    <row r="2">
      <c r="A2" s="46"/>
    </row>
    <row r="3">
      <c r="A3" s="42" t="s">
        <v>48</v>
      </c>
    </row>
    <row r="4">
      <c r="A4" s="42" t="s">
        <v>49</v>
      </c>
      <c r="B4" s="43"/>
    </row>
    <row r="5">
      <c r="B5" s="43"/>
      <c r="Q5" s="43"/>
    </row>
    <row r="6">
      <c r="A6" s="46"/>
      <c r="Q6" s="43"/>
    </row>
    <row r="7">
      <c r="A7" s="39"/>
      <c r="B7" s="39"/>
      <c r="C7" s="39"/>
      <c r="D7" s="39"/>
      <c r="F7" s="47" t="s">
        <v>50</v>
      </c>
      <c r="G7" s="47" t="s">
        <v>51</v>
      </c>
      <c r="H7" s="48" t="s">
        <v>51</v>
      </c>
      <c r="I7" s="48" t="s">
        <v>52</v>
      </c>
      <c r="J7" s="48" t="s">
        <v>51</v>
      </c>
      <c r="K7" s="48" t="s">
        <v>51</v>
      </c>
      <c r="Q7" s="43"/>
    </row>
    <row r="8">
      <c r="A8" s="49" t="s">
        <v>0</v>
      </c>
      <c r="B8" s="49" t="s">
        <v>53</v>
      </c>
      <c r="C8" s="49" t="s">
        <v>54</v>
      </c>
      <c r="D8" s="50" t="s">
        <v>55</v>
      </c>
      <c r="F8" s="51" t="s">
        <v>56</v>
      </c>
      <c r="G8" s="51" t="s">
        <v>57</v>
      </c>
      <c r="H8" s="52" t="s">
        <v>56</v>
      </c>
      <c r="I8" s="52" t="s">
        <v>58</v>
      </c>
      <c r="J8" s="52" t="s">
        <v>59</v>
      </c>
      <c r="K8" s="52" t="s">
        <v>60</v>
      </c>
      <c r="M8" s="53" t="s">
        <v>61</v>
      </c>
      <c r="N8" s="53" t="s">
        <v>62</v>
      </c>
      <c r="O8" s="54"/>
      <c r="Q8" s="43"/>
    </row>
    <row r="9">
      <c r="A9" s="42">
        <v>1999.0</v>
      </c>
      <c r="B9" s="43">
        <v>2984568.0</v>
      </c>
      <c r="C9" s="43">
        <v>949276.0</v>
      </c>
      <c r="D9" s="55">
        <f t="shared" ref="D9:D32" si="1">B9-C9</f>
        <v>2035292</v>
      </c>
      <c r="F9" s="43">
        <v>1413995.0</v>
      </c>
      <c r="G9" s="44">
        <v>0.5604</v>
      </c>
      <c r="H9" s="56">
        <f t="shared" ref="H9:H31" si="2">F9*G9</f>
        <v>792402.798</v>
      </c>
      <c r="I9" s="44">
        <v>0.42986184533891564</v>
      </c>
      <c r="J9" s="56">
        <f t="shared" ref="J9:J31" si="3">ROUND(H9*I9,0)</f>
        <v>340624</v>
      </c>
      <c r="K9" s="56">
        <f t="shared" ref="K9:K31" si="4">D9-J9</f>
        <v>1694668</v>
      </c>
      <c r="M9" s="57">
        <f t="shared" ref="M9:M31" si="5">K9/B9</f>
        <v>0.5678101487</v>
      </c>
      <c r="N9" s="57"/>
      <c r="O9" s="7"/>
      <c r="Q9" s="43"/>
    </row>
    <row r="10">
      <c r="A10" s="42">
        <v>2000.0</v>
      </c>
      <c r="B10" s="43">
        <v>1814779.0</v>
      </c>
      <c r="C10" s="43">
        <v>696899.0</v>
      </c>
      <c r="D10" s="55">
        <f t="shared" si="1"/>
        <v>1117880</v>
      </c>
      <c r="F10" s="43">
        <v>656427.0</v>
      </c>
      <c r="G10" s="44">
        <v>0.5033</v>
      </c>
      <c r="H10" s="56">
        <f t="shared" si="2"/>
        <v>330379.7091</v>
      </c>
      <c r="I10" s="44">
        <v>0.5487319991408032</v>
      </c>
      <c r="J10" s="56">
        <f t="shared" si="3"/>
        <v>181290</v>
      </c>
      <c r="K10" s="56">
        <f t="shared" si="4"/>
        <v>936590</v>
      </c>
      <c r="M10" s="57">
        <f t="shared" si="5"/>
        <v>0.516090389</v>
      </c>
      <c r="N10" s="57"/>
      <c r="O10" s="7"/>
      <c r="Q10" s="43"/>
    </row>
    <row r="11">
      <c r="A11" s="42">
        <v>2001.0</v>
      </c>
      <c r="B11" s="43">
        <v>2189670.0</v>
      </c>
      <c r="C11" s="43">
        <v>738229.0</v>
      </c>
      <c r="D11" s="55">
        <f t="shared" si="1"/>
        <v>1451441</v>
      </c>
      <c r="F11" s="43">
        <v>846275.0</v>
      </c>
      <c r="G11" s="44">
        <v>0.5382</v>
      </c>
      <c r="H11" s="56">
        <f t="shared" si="2"/>
        <v>455465.205</v>
      </c>
      <c r="I11" s="44">
        <v>0.48512776579716993</v>
      </c>
      <c r="J11" s="56">
        <f t="shared" si="3"/>
        <v>220959</v>
      </c>
      <c r="K11" s="56">
        <f t="shared" si="4"/>
        <v>1230482</v>
      </c>
      <c r="M11" s="57">
        <f t="shared" si="5"/>
        <v>0.5619486041</v>
      </c>
      <c r="N11" s="57"/>
      <c r="O11" s="7"/>
      <c r="Q11" s="43"/>
    </row>
    <row r="12">
      <c r="A12" s="42">
        <v>2002.0</v>
      </c>
      <c r="B12" s="43">
        <v>3466762.0</v>
      </c>
      <c r="C12" s="43">
        <v>1126616.0</v>
      </c>
      <c r="D12" s="55">
        <f t="shared" si="1"/>
        <v>2340146</v>
      </c>
      <c r="F12" s="43">
        <v>1367251.0</v>
      </c>
      <c r="G12" s="44">
        <v>0.6208</v>
      </c>
      <c r="H12" s="56">
        <f t="shared" si="2"/>
        <v>848789.4208</v>
      </c>
      <c r="I12" s="44">
        <v>0.42373035382676627</v>
      </c>
      <c r="J12" s="56">
        <f t="shared" si="3"/>
        <v>359658</v>
      </c>
      <c r="K12" s="56">
        <f t="shared" si="4"/>
        <v>1980488</v>
      </c>
      <c r="M12" s="57">
        <f t="shared" si="5"/>
        <v>0.5712789052</v>
      </c>
      <c r="N12" s="57"/>
      <c r="O12" s="7"/>
      <c r="Q12" s="43"/>
    </row>
    <row r="13">
      <c r="A13" s="42">
        <v>2003.0</v>
      </c>
      <c r="B13" s="43">
        <v>4439571.0</v>
      </c>
      <c r="C13" s="43">
        <v>1402292.0</v>
      </c>
      <c r="D13" s="55">
        <f t="shared" si="1"/>
        <v>3037279</v>
      </c>
      <c r="F13" s="43">
        <v>1593638.0</v>
      </c>
      <c r="G13" s="44">
        <v>0.5806</v>
      </c>
      <c r="H13" s="56">
        <f t="shared" si="2"/>
        <v>925266.2228</v>
      </c>
      <c r="I13" s="44">
        <v>0.46605832064747454</v>
      </c>
      <c r="J13" s="56">
        <f t="shared" si="3"/>
        <v>431228</v>
      </c>
      <c r="K13" s="56">
        <f t="shared" si="4"/>
        <v>2606051</v>
      </c>
      <c r="M13" s="57">
        <f t="shared" si="5"/>
        <v>0.5870051408</v>
      </c>
      <c r="N13" s="57">
        <f t="shared" ref="N13:N31" si="6">AVERAGE(M9:M13)</f>
        <v>0.5608266376</v>
      </c>
      <c r="O13" s="7"/>
      <c r="Q13" s="43"/>
      <c r="R13" s="58"/>
    </row>
    <row r="14">
      <c r="A14" s="42">
        <v>2004.0</v>
      </c>
      <c r="B14" s="43">
        <v>5705141.0</v>
      </c>
      <c r="C14" s="43">
        <v>1690547.0</v>
      </c>
      <c r="D14" s="55">
        <f t="shared" si="1"/>
        <v>4014594</v>
      </c>
      <c r="F14" s="43">
        <v>2529642.0</v>
      </c>
      <c r="G14" s="44">
        <v>0.6546</v>
      </c>
      <c r="H14" s="56">
        <f t="shared" si="2"/>
        <v>1655903.653</v>
      </c>
      <c r="I14" s="44">
        <v>0.4325996524409383</v>
      </c>
      <c r="J14" s="56">
        <f t="shared" si="3"/>
        <v>716343</v>
      </c>
      <c r="K14" s="56">
        <f t="shared" si="4"/>
        <v>3298251</v>
      </c>
      <c r="M14" s="57">
        <f t="shared" si="5"/>
        <v>0.5781191035</v>
      </c>
      <c r="N14" s="57">
        <f t="shared" si="6"/>
        <v>0.5628884285</v>
      </c>
      <c r="O14" s="7"/>
      <c r="Q14" s="43"/>
      <c r="R14" s="58"/>
    </row>
    <row r="15">
      <c r="A15" s="42">
        <v>2005.0</v>
      </c>
      <c r="B15" s="43">
        <v>6109173.0</v>
      </c>
      <c r="C15" s="43">
        <v>1654003.0</v>
      </c>
      <c r="D15" s="55">
        <f t="shared" si="1"/>
        <v>4455170</v>
      </c>
      <c r="F15" s="43">
        <v>2520327.0</v>
      </c>
      <c r="G15" s="44">
        <v>0.866</v>
      </c>
      <c r="H15" s="56">
        <f t="shared" si="2"/>
        <v>2182603.182</v>
      </c>
      <c r="I15" s="44">
        <v>0.3927619312890748</v>
      </c>
      <c r="J15" s="56">
        <f t="shared" si="3"/>
        <v>857243</v>
      </c>
      <c r="K15" s="56">
        <f t="shared" si="4"/>
        <v>3597927</v>
      </c>
      <c r="M15" s="57">
        <f t="shared" si="5"/>
        <v>0.5889384701</v>
      </c>
      <c r="N15" s="57">
        <f t="shared" si="6"/>
        <v>0.5774580447</v>
      </c>
      <c r="O15" s="7"/>
      <c r="Q15" s="43"/>
      <c r="R15" s="58"/>
    </row>
    <row r="16">
      <c r="A16" s="42">
        <v>2006.0</v>
      </c>
      <c r="B16" s="43">
        <v>2848597.0</v>
      </c>
      <c r="C16" s="43">
        <v>1892090.0</v>
      </c>
      <c r="D16" s="55">
        <f t="shared" si="1"/>
        <v>956507</v>
      </c>
      <c r="F16" s="43">
        <v>784771.0</v>
      </c>
      <c r="G16" s="44">
        <v>0.517</v>
      </c>
      <c r="H16" s="56">
        <f t="shared" si="2"/>
        <v>405726.607</v>
      </c>
      <c r="I16" s="44">
        <v>0.2626632482596834</v>
      </c>
      <c r="J16" s="56">
        <f t="shared" si="3"/>
        <v>106569</v>
      </c>
      <c r="K16" s="56">
        <f t="shared" si="4"/>
        <v>849938</v>
      </c>
      <c r="M16" s="57">
        <f t="shared" si="5"/>
        <v>0.2983707418</v>
      </c>
      <c r="N16" s="57">
        <f t="shared" si="6"/>
        <v>0.5247424723</v>
      </c>
      <c r="O16" s="7"/>
      <c r="Q16" s="43"/>
      <c r="R16" s="58"/>
    </row>
    <row r="17">
      <c r="A17" s="42">
        <v>2007.0</v>
      </c>
      <c r="B17" s="43">
        <v>3601777.0</v>
      </c>
      <c r="C17" s="43">
        <v>964243.0</v>
      </c>
      <c r="D17" s="55">
        <f t="shared" si="1"/>
        <v>2637534</v>
      </c>
      <c r="F17" s="43">
        <v>1823481.0</v>
      </c>
      <c r="G17" s="44">
        <v>0.647</v>
      </c>
      <c r="H17" s="56">
        <f t="shared" si="2"/>
        <v>1179792.207</v>
      </c>
      <c r="I17" s="44">
        <v>0.656181089904419</v>
      </c>
      <c r="J17" s="56">
        <f t="shared" si="3"/>
        <v>774157</v>
      </c>
      <c r="K17" s="56">
        <f t="shared" si="4"/>
        <v>1863377</v>
      </c>
      <c r="M17" s="57">
        <f t="shared" si="5"/>
        <v>0.5173493528</v>
      </c>
      <c r="N17" s="57">
        <f t="shared" si="6"/>
        <v>0.5139565618</v>
      </c>
      <c r="O17" s="7"/>
      <c r="Q17" s="43"/>
      <c r="R17" s="58"/>
    </row>
    <row r="18">
      <c r="A18" s="42">
        <v>2008.0</v>
      </c>
      <c r="B18" s="43">
        <v>2082431.0</v>
      </c>
      <c r="C18" s="43">
        <v>708805.0</v>
      </c>
      <c r="D18" s="55">
        <f t="shared" si="1"/>
        <v>1373626</v>
      </c>
      <c r="F18" s="43">
        <v>983303.0</v>
      </c>
      <c r="G18" s="44">
        <v>0.472</v>
      </c>
      <c r="H18" s="56">
        <f t="shared" si="2"/>
        <v>464119.016</v>
      </c>
      <c r="I18" s="44">
        <v>0.47295747089147494</v>
      </c>
      <c r="J18" s="56">
        <f t="shared" si="3"/>
        <v>219509</v>
      </c>
      <c r="K18" s="56">
        <f t="shared" si="4"/>
        <v>1154117</v>
      </c>
      <c r="M18" s="57">
        <f t="shared" si="5"/>
        <v>0.5542162021</v>
      </c>
      <c r="N18" s="57">
        <f t="shared" si="6"/>
        <v>0.5073987741</v>
      </c>
      <c r="O18" s="7"/>
      <c r="Q18" s="43"/>
      <c r="R18" s="58"/>
    </row>
    <row r="19">
      <c r="A19" s="42">
        <v>2009.0</v>
      </c>
      <c r="B19" s="43">
        <v>2430414.0</v>
      </c>
      <c r="C19" s="43">
        <v>848117.0</v>
      </c>
      <c r="D19" s="55">
        <f t="shared" si="1"/>
        <v>1582297</v>
      </c>
      <c r="F19" s="43">
        <v>968368.0</v>
      </c>
      <c r="G19" s="44">
        <v>0.595</v>
      </c>
      <c r="H19" s="56">
        <f t="shared" si="2"/>
        <v>576178.96</v>
      </c>
      <c r="I19" s="44">
        <v>0.5685870454207491</v>
      </c>
      <c r="J19" s="56">
        <f t="shared" si="3"/>
        <v>327608</v>
      </c>
      <c r="K19" s="56">
        <f t="shared" si="4"/>
        <v>1254689</v>
      </c>
      <c r="M19" s="57">
        <f t="shared" si="5"/>
        <v>0.516244969</v>
      </c>
      <c r="N19" s="57">
        <f t="shared" si="6"/>
        <v>0.4950239472</v>
      </c>
      <c r="O19" s="7"/>
      <c r="Q19" s="43"/>
      <c r="R19" s="58"/>
    </row>
    <row r="20">
      <c r="A20" s="42">
        <v>2010.0</v>
      </c>
      <c r="B20" s="43">
        <v>3596458.0</v>
      </c>
      <c r="C20" s="43">
        <v>1038302.0</v>
      </c>
      <c r="D20" s="55">
        <f t="shared" si="1"/>
        <v>2558156</v>
      </c>
      <c r="F20" s="43">
        <v>1587657.0</v>
      </c>
      <c r="G20" s="44">
        <v>0.71</v>
      </c>
      <c r="H20" s="56">
        <f t="shared" si="2"/>
        <v>1127236.47</v>
      </c>
      <c r="I20" s="44">
        <v>0.5964669950751327</v>
      </c>
      <c r="J20" s="56">
        <f t="shared" si="3"/>
        <v>672359</v>
      </c>
      <c r="K20" s="56">
        <f t="shared" si="4"/>
        <v>1885797</v>
      </c>
      <c r="M20" s="57">
        <f t="shared" si="5"/>
        <v>0.5243484006</v>
      </c>
      <c r="N20" s="57">
        <f t="shared" si="6"/>
        <v>0.4821059333</v>
      </c>
      <c r="O20" s="7"/>
      <c r="Q20" s="43"/>
      <c r="R20" s="58"/>
    </row>
    <row r="21" ht="15.75" customHeight="1">
      <c r="A21" s="42">
        <v>2011.0</v>
      </c>
      <c r="B21" s="43">
        <v>6263091.0</v>
      </c>
      <c r="C21" s="43">
        <v>1280733.0</v>
      </c>
      <c r="D21" s="55">
        <f t="shared" si="1"/>
        <v>4982358</v>
      </c>
      <c r="F21" s="43">
        <v>3201035.0</v>
      </c>
      <c r="G21" s="44">
        <v>0.776</v>
      </c>
      <c r="H21" s="56">
        <f t="shared" si="2"/>
        <v>2484003.16</v>
      </c>
      <c r="I21" s="44">
        <v>0.45904637093939926</v>
      </c>
      <c r="J21" s="56">
        <f t="shared" si="3"/>
        <v>1140273</v>
      </c>
      <c r="K21" s="56">
        <f t="shared" si="4"/>
        <v>3842085</v>
      </c>
      <c r="M21" s="57">
        <f t="shared" si="5"/>
        <v>0.6134486949</v>
      </c>
      <c r="N21" s="57">
        <f t="shared" si="6"/>
        <v>0.5451215239</v>
      </c>
      <c r="O21" s="7"/>
      <c r="Q21" s="43"/>
      <c r="R21" s="58"/>
    </row>
    <row r="22" ht="15.75" customHeight="1">
      <c r="A22" s="42">
        <v>2012.0</v>
      </c>
      <c r="B22" s="43">
        <v>4769681.0</v>
      </c>
      <c r="C22" s="43">
        <v>1212921.0</v>
      </c>
      <c r="D22" s="55">
        <f t="shared" si="1"/>
        <v>3556760</v>
      </c>
      <c r="F22" s="43">
        <v>2924144.0</v>
      </c>
      <c r="G22" s="44">
        <v>0.84</v>
      </c>
      <c r="H22" s="56">
        <f t="shared" si="2"/>
        <v>2456280.96</v>
      </c>
      <c r="I22" s="44">
        <v>0.4940807463654321</v>
      </c>
      <c r="J22" s="56">
        <f t="shared" si="3"/>
        <v>1213601</v>
      </c>
      <c r="K22" s="56">
        <f t="shared" si="4"/>
        <v>2343159</v>
      </c>
      <c r="M22" s="57">
        <f t="shared" si="5"/>
        <v>0.4912611556</v>
      </c>
      <c r="N22" s="57">
        <f t="shared" si="6"/>
        <v>0.5399038844</v>
      </c>
      <c r="O22" s="7"/>
      <c r="Q22" s="43"/>
      <c r="R22" s="58"/>
    </row>
    <row r="23" ht="15.75" customHeight="1">
      <c r="A23" s="42">
        <v>2013.0</v>
      </c>
      <c r="B23" s="43">
        <v>3628121.0</v>
      </c>
      <c r="C23" s="43">
        <v>980208.0</v>
      </c>
      <c r="D23" s="55">
        <f t="shared" si="1"/>
        <v>2647913</v>
      </c>
      <c r="F23" s="43">
        <v>1662561.0</v>
      </c>
      <c r="G23" s="44">
        <v>0.778</v>
      </c>
      <c r="H23" s="56">
        <f t="shared" si="2"/>
        <v>1293472.458</v>
      </c>
      <c r="I23" s="44">
        <v>0.5277043296615271</v>
      </c>
      <c r="J23" s="56">
        <f t="shared" si="3"/>
        <v>682571</v>
      </c>
      <c r="K23" s="56">
        <f t="shared" si="4"/>
        <v>1965342</v>
      </c>
      <c r="M23" s="57">
        <f t="shared" si="5"/>
        <v>0.541696928</v>
      </c>
      <c r="N23" s="57">
        <f t="shared" si="6"/>
        <v>0.5374000296</v>
      </c>
      <c r="O23" s="7"/>
      <c r="Q23" s="43"/>
      <c r="R23" s="58"/>
    </row>
    <row r="24" ht="15.75" customHeight="1">
      <c r="A24" s="42">
        <v>2014.0</v>
      </c>
      <c r="B24" s="43">
        <v>3404034.0</v>
      </c>
      <c r="C24" s="43">
        <v>1218342.0</v>
      </c>
      <c r="D24" s="55">
        <f t="shared" si="1"/>
        <v>2185692</v>
      </c>
      <c r="F24" s="43">
        <v>1501678.0</v>
      </c>
      <c r="G24" s="44">
        <v>0.705</v>
      </c>
      <c r="H24" s="56">
        <f t="shared" si="2"/>
        <v>1058682.99</v>
      </c>
      <c r="I24" s="44">
        <v>0.47569007294454796</v>
      </c>
      <c r="J24" s="56">
        <f t="shared" si="3"/>
        <v>503605</v>
      </c>
      <c r="K24" s="56">
        <f t="shared" si="4"/>
        <v>1682087</v>
      </c>
      <c r="M24" s="57">
        <f t="shared" si="5"/>
        <v>0.4941451819</v>
      </c>
      <c r="N24" s="57">
        <f t="shared" si="6"/>
        <v>0.5329800722</v>
      </c>
      <c r="O24" s="7"/>
      <c r="Q24" s="43"/>
      <c r="R24" s="58"/>
    </row>
    <row r="25" ht="15.75" customHeight="1">
      <c r="A25" s="42">
        <v>2015.0</v>
      </c>
      <c r="B25" s="43">
        <v>3819016.0</v>
      </c>
      <c r="C25" s="43">
        <v>1400047.0</v>
      </c>
      <c r="D25" s="55">
        <f t="shared" si="1"/>
        <v>2418969</v>
      </c>
      <c r="F25" s="43">
        <v>1012684.0</v>
      </c>
      <c r="G25" s="44">
        <v>0.73</v>
      </c>
      <c r="H25" s="56">
        <f t="shared" si="2"/>
        <v>739259.32</v>
      </c>
      <c r="I25" s="44">
        <v>0.32225268094203646</v>
      </c>
      <c r="J25" s="56">
        <f t="shared" si="3"/>
        <v>238228</v>
      </c>
      <c r="K25" s="56">
        <f t="shared" si="4"/>
        <v>2180741</v>
      </c>
      <c r="M25" s="57">
        <f t="shared" si="5"/>
        <v>0.5710216977</v>
      </c>
      <c r="N25" s="57">
        <f t="shared" si="6"/>
        <v>0.5423147316</v>
      </c>
      <c r="O25" s="7"/>
      <c r="Q25" s="43"/>
      <c r="R25" s="58"/>
    </row>
    <row r="26" ht="15.75" customHeight="1">
      <c r="A26" s="42">
        <v>2016.0</v>
      </c>
      <c r="B26" s="43">
        <v>3711842.0</v>
      </c>
      <c r="C26" s="43">
        <v>1119988.0</v>
      </c>
      <c r="D26" s="55">
        <f t="shared" si="1"/>
        <v>2591854</v>
      </c>
      <c r="F26" s="43">
        <v>1266746.0</v>
      </c>
      <c r="G26" s="44">
        <v>0.889</v>
      </c>
      <c r="H26" s="56">
        <f t="shared" si="2"/>
        <v>1126137.194</v>
      </c>
      <c r="I26" s="44">
        <v>0.3548032379129947</v>
      </c>
      <c r="J26" s="56">
        <f t="shared" si="3"/>
        <v>399557</v>
      </c>
      <c r="K26" s="56">
        <f t="shared" si="4"/>
        <v>2192297</v>
      </c>
      <c r="M26" s="57">
        <f t="shared" si="5"/>
        <v>0.5906223918</v>
      </c>
      <c r="N26" s="57">
        <f t="shared" si="6"/>
        <v>0.537749471</v>
      </c>
      <c r="O26" s="7"/>
      <c r="Q26" s="43"/>
      <c r="R26" s="58"/>
    </row>
    <row r="27" ht="15.0" customHeight="1">
      <c r="A27" s="42">
        <v>2017.0</v>
      </c>
      <c r="B27" s="43">
        <v>2595720.0</v>
      </c>
      <c r="C27" s="43">
        <v>1071064.0</v>
      </c>
      <c r="D27" s="55">
        <f t="shared" si="1"/>
        <v>1524656</v>
      </c>
      <c r="F27" s="43">
        <v>880279.0</v>
      </c>
      <c r="G27" s="44">
        <v>0.541</v>
      </c>
      <c r="H27" s="56">
        <f t="shared" si="2"/>
        <v>476230.939</v>
      </c>
      <c r="I27" s="44">
        <v>0.42316134000770117</v>
      </c>
      <c r="J27" s="56">
        <f t="shared" si="3"/>
        <v>201523</v>
      </c>
      <c r="K27" s="56">
        <f t="shared" si="4"/>
        <v>1323133</v>
      </c>
      <c r="M27" s="57">
        <f t="shared" si="5"/>
        <v>0.5097364122</v>
      </c>
      <c r="N27" s="57">
        <f t="shared" si="6"/>
        <v>0.5414445223</v>
      </c>
      <c r="O27" s="7"/>
      <c r="Q27" s="43"/>
      <c r="R27" s="58"/>
    </row>
    <row r="28" ht="15.0" customHeight="1">
      <c r="A28" s="42">
        <v>2018.0</v>
      </c>
      <c r="B28" s="43">
        <v>1566210.0</v>
      </c>
      <c r="C28" s="43">
        <v>886761.0</v>
      </c>
      <c r="D28" s="55">
        <f t="shared" si="1"/>
        <v>679449</v>
      </c>
      <c r="F28" s="43">
        <v>400269.0</v>
      </c>
      <c r="G28" s="44">
        <v>0.471</v>
      </c>
      <c r="H28" s="56">
        <f t="shared" si="2"/>
        <v>188526.699</v>
      </c>
      <c r="I28" s="44">
        <v>0.5170352440451005</v>
      </c>
      <c r="J28" s="56">
        <f t="shared" si="3"/>
        <v>97475</v>
      </c>
      <c r="K28" s="56">
        <f t="shared" si="4"/>
        <v>581974</v>
      </c>
      <c r="M28" s="57">
        <f t="shared" si="5"/>
        <v>0.3715810779</v>
      </c>
      <c r="N28" s="57">
        <f t="shared" si="6"/>
        <v>0.5074213523</v>
      </c>
      <c r="O28" s="7"/>
      <c r="Q28" s="43"/>
      <c r="R28" s="58"/>
    </row>
    <row r="29" ht="15.0" customHeight="1">
      <c r="A29" s="45">
        <v>2019.0</v>
      </c>
      <c r="B29" s="43">
        <v>3542442.0</v>
      </c>
      <c r="C29" s="43">
        <v>1457031.0</v>
      </c>
      <c r="D29" s="55">
        <f t="shared" si="1"/>
        <v>2085411</v>
      </c>
      <c r="E29" s="45"/>
      <c r="F29" s="43">
        <v>749101.0</v>
      </c>
      <c r="G29" s="44">
        <v>0.753</v>
      </c>
      <c r="H29" s="56">
        <f t="shared" si="2"/>
        <v>564073.053</v>
      </c>
      <c r="I29" s="44">
        <v>0.44731736718370174</v>
      </c>
      <c r="J29" s="56">
        <f t="shared" si="3"/>
        <v>252320</v>
      </c>
      <c r="K29" s="56">
        <f t="shared" si="4"/>
        <v>1833091</v>
      </c>
      <c r="M29" s="57">
        <f t="shared" si="5"/>
        <v>0.517465353</v>
      </c>
      <c r="N29" s="57">
        <f t="shared" si="6"/>
        <v>0.5120853865</v>
      </c>
      <c r="O29" s="7"/>
    </row>
    <row r="30" ht="15.0" customHeight="1">
      <c r="A30" s="45">
        <v>2020.0</v>
      </c>
      <c r="B30" s="43">
        <v>2394018.0</v>
      </c>
      <c r="C30" s="43">
        <v>1505940.0</v>
      </c>
      <c r="D30" s="55">
        <f t="shared" si="1"/>
        <v>888078</v>
      </c>
      <c r="E30" s="45"/>
      <c r="F30" s="43">
        <v>283727.0</v>
      </c>
      <c r="G30" s="44">
        <v>0.7216372018677895</v>
      </c>
      <c r="H30" s="56">
        <f t="shared" si="2"/>
        <v>204747.9584</v>
      </c>
      <c r="I30" s="44">
        <v>0.24641503878523183</v>
      </c>
      <c r="J30" s="56">
        <f t="shared" si="3"/>
        <v>50453</v>
      </c>
      <c r="K30" s="56">
        <f t="shared" si="4"/>
        <v>837625</v>
      </c>
      <c r="M30" s="57">
        <f t="shared" si="5"/>
        <v>0.3498824988</v>
      </c>
      <c r="N30" s="57">
        <f t="shared" si="6"/>
        <v>0.4678575467</v>
      </c>
      <c r="O30" s="7"/>
    </row>
    <row r="31" ht="15.0" customHeight="1">
      <c r="A31" s="45">
        <v>2021.0</v>
      </c>
      <c r="B31" s="43">
        <v>3992341.0</v>
      </c>
      <c r="C31" s="43">
        <v>2241825.0</v>
      </c>
      <c r="D31" s="55">
        <f t="shared" si="1"/>
        <v>1750516</v>
      </c>
      <c r="E31" s="45"/>
      <c r="F31" s="43">
        <v>851901.0</v>
      </c>
      <c r="G31" s="44">
        <v>0.7717444979149867</v>
      </c>
      <c r="H31" s="56">
        <f t="shared" si="2"/>
        <v>657449.9095</v>
      </c>
      <c r="I31" s="44">
        <v>0.3887646474770277</v>
      </c>
      <c r="J31" s="56">
        <f t="shared" si="3"/>
        <v>255593</v>
      </c>
      <c r="K31" s="56">
        <f t="shared" si="4"/>
        <v>1494923</v>
      </c>
      <c r="M31" s="57">
        <f t="shared" si="5"/>
        <v>0.3744477238</v>
      </c>
      <c r="N31" s="57">
        <f t="shared" si="6"/>
        <v>0.4246226131</v>
      </c>
      <c r="O31" s="7"/>
    </row>
    <row r="32" ht="15.0" customHeight="1">
      <c r="A32" s="42">
        <v>2022.0</v>
      </c>
      <c r="B32" s="59">
        <v>2682000.0</v>
      </c>
      <c r="C32" s="60">
        <v>1263180.0</v>
      </c>
      <c r="D32" s="55">
        <f t="shared" si="1"/>
        <v>1418820</v>
      </c>
      <c r="E32" s="39"/>
      <c r="F32" s="61">
        <v>893743.0</v>
      </c>
      <c r="G32" s="62"/>
      <c r="H32" s="63"/>
      <c r="I32" s="62"/>
      <c r="J32" s="63"/>
      <c r="K32" s="63"/>
      <c r="L32" s="64"/>
      <c r="M32" s="65"/>
      <c r="N32" s="66"/>
    </row>
    <row r="33" ht="15.0" customHeight="1">
      <c r="A33" s="45">
        <v>2023.0</v>
      </c>
      <c r="B33" s="67">
        <v>3882200.0</v>
      </c>
      <c r="C33" s="68"/>
      <c r="D33" s="69"/>
      <c r="E33" s="38"/>
      <c r="F33" s="70">
        <v>1366534.0</v>
      </c>
      <c r="G33" s="71"/>
      <c r="H33" s="72"/>
      <c r="I33" s="71"/>
      <c r="J33" s="72"/>
      <c r="K33" s="72"/>
      <c r="L33" s="73"/>
      <c r="M33" s="74"/>
      <c r="N33" s="75"/>
      <c r="Q33" s="76"/>
    </row>
    <row r="34" ht="15.75" customHeight="1">
      <c r="A34" s="43"/>
      <c r="D34" s="77"/>
    </row>
    <row r="35" ht="48.0" customHeight="1">
      <c r="A35" s="78" t="s">
        <v>63</v>
      </c>
      <c r="F35" s="79" t="s">
        <v>64</v>
      </c>
    </row>
    <row r="36" ht="48.75" customHeight="1">
      <c r="F36" s="79" t="s">
        <v>65</v>
      </c>
    </row>
    <row r="37" ht="15.75" customHeight="1">
      <c r="A37" s="43"/>
    </row>
    <row r="38" ht="15.75" customHeight="1">
      <c r="A38" s="80" t="s">
        <v>66</v>
      </c>
    </row>
    <row r="39" ht="15.75" customHeight="1">
      <c r="A39" s="42" t="s">
        <v>67</v>
      </c>
    </row>
    <row r="40" ht="15.75" customHeight="1">
      <c r="A40" s="42" t="s">
        <v>68</v>
      </c>
    </row>
    <row r="41" ht="15.75" customHeight="1">
      <c r="A41" s="43" t="s">
        <v>69</v>
      </c>
    </row>
    <row r="42" ht="15.75" customHeight="1">
      <c r="A42" s="43" t="s">
        <v>70</v>
      </c>
    </row>
    <row r="43" ht="15.75" customHeight="1">
      <c r="A43" s="43"/>
    </row>
    <row r="44" ht="15.75" customHeight="1">
      <c r="A44" s="43"/>
    </row>
    <row r="45" ht="15.75" customHeight="1"/>
    <row r="46" ht="15.75" customHeight="1">
      <c r="A46" s="43"/>
    </row>
    <row r="47" ht="15.75" customHeight="1"/>
    <row r="48" ht="15.75" customHeight="1">
      <c r="A48" s="43"/>
    </row>
    <row r="49" ht="15.75" customHeight="1">
      <c r="A49" s="43"/>
    </row>
    <row r="50" ht="15.75" customHeight="1"/>
    <row r="51" ht="15.75" customHeight="1">
      <c r="A51" s="43"/>
    </row>
    <row r="52" ht="15.75" customHeight="1">
      <c r="A52" s="43"/>
    </row>
    <row r="53" ht="15.75" customHeight="1"/>
    <row r="54" ht="15.75" customHeight="1">
      <c r="A54" s="43"/>
    </row>
    <row r="55" ht="15.75" customHeight="1"/>
    <row r="56" ht="15.75" customHeight="1">
      <c r="A56" s="43"/>
    </row>
    <row r="57" ht="15.75" customHeight="1">
      <c r="A57" s="43"/>
    </row>
    <row r="58" ht="15.75" customHeight="1"/>
    <row r="59" ht="15.75" customHeight="1">
      <c r="A59" s="43"/>
    </row>
    <row r="60" ht="15.75" customHeight="1">
      <c r="A60" s="43"/>
    </row>
    <row r="61" ht="15.75" customHeight="1"/>
    <row r="62" ht="15.75" customHeight="1">
      <c r="A62" s="43"/>
    </row>
    <row r="63" ht="15.75" customHeight="1"/>
    <row r="64" ht="15.75" customHeight="1">
      <c r="A64" s="43"/>
    </row>
    <row r="65" ht="15.75" customHeight="1">
      <c r="A65" s="43"/>
    </row>
    <row r="66" ht="15.75" customHeight="1"/>
    <row r="67" ht="15.75" customHeight="1">
      <c r="A67" s="43"/>
    </row>
    <row r="68" ht="15.75" customHeight="1">
      <c r="A68" s="43"/>
    </row>
    <row r="69" ht="15.75" customHeight="1"/>
    <row r="70" ht="15.75" customHeight="1">
      <c r="A70" s="43"/>
    </row>
    <row r="71" ht="15.75" customHeight="1"/>
    <row r="72" ht="15.75" customHeight="1">
      <c r="A72" s="43"/>
    </row>
    <row r="73" ht="15.75" customHeight="1">
      <c r="A73" s="43"/>
    </row>
    <row r="74" ht="15.75" customHeight="1"/>
    <row r="75" ht="15.75" customHeight="1">
      <c r="A75" s="43"/>
    </row>
    <row r="76" ht="15.75" customHeight="1">
      <c r="A76" s="43"/>
    </row>
    <row r="77" ht="15.75" customHeight="1"/>
    <row r="78" ht="15.75" customHeight="1">
      <c r="A78" s="43"/>
    </row>
    <row r="79" ht="15.75" customHeight="1"/>
    <row r="80" ht="15.75" customHeight="1">
      <c r="A80" s="43"/>
    </row>
    <row r="81" ht="15.75" customHeight="1">
      <c r="A81" s="43"/>
    </row>
    <row r="82" ht="15.75" customHeight="1"/>
    <row r="83" ht="15.75" customHeight="1">
      <c r="A83" s="43"/>
    </row>
    <row r="84" ht="15.75" customHeight="1">
      <c r="A84" s="43"/>
    </row>
    <row r="85" ht="15.75" customHeight="1"/>
    <row r="86" ht="15.75" customHeight="1">
      <c r="A86" s="43"/>
    </row>
    <row r="87" ht="15.75" customHeight="1"/>
    <row r="88" ht="15.75" customHeight="1">
      <c r="A88" s="43"/>
    </row>
    <row r="89" ht="15.75" customHeight="1">
      <c r="A89" s="43"/>
    </row>
    <row r="90" ht="15.75" customHeight="1"/>
    <row r="91" ht="15.75" customHeight="1">
      <c r="A91" s="43"/>
    </row>
    <row r="92" ht="15.75" customHeight="1">
      <c r="A92" s="43"/>
    </row>
    <row r="93" ht="15.75" customHeight="1"/>
    <row r="94" ht="15.75" customHeight="1">
      <c r="A94" s="43"/>
    </row>
    <row r="95" ht="15.75" customHeight="1"/>
    <row r="96" ht="15.75" customHeight="1">
      <c r="A96" s="43"/>
    </row>
    <row r="97" ht="15.75" customHeight="1">
      <c r="A97" s="43"/>
    </row>
    <row r="98" ht="15.75" customHeight="1"/>
    <row r="99" ht="15.75" customHeight="1">
      <c r="A99" s="43"/>
    </row>
    <row r="100" ht="15.75" customHeight="1">
      <c r="A100" s="43"/>
    </row>
    <row r="101" ht="15.75" customHeight="1"/>
    <row r="102" ht="15.75" customHeight="1">
      <c r="A102" s="43"/>
    </row>
    <row r="103" ht="15.75" customHeight="1"/>
    <row r="104" ht="15.75" customHeight="1">
      <c r="A104" s="43"/>
    </row>
    <row r="105" ht="15.75" customHeight="1">
      <c r="A105" s="43"/>
    </row>
    <row r="106" ht="15.75" customHeight="1"/>
    <row r="107" ht="15.75" customHeight="1">
      <c r="A107" s="43"/>
    </row>
    <row r="108" ht="15.75" customHeight="1">
      <c r="A108" s="43"/>
    </row>
    <row r="109" ht="15.75" customHeight="1"/>
    <row r="110" ht="15.75" customHeight="1">
      <c r="A110" s="43"/>
    </row>
    <row r="111" ht="15.75" customHeight="1"/>
    <row r="112" ht="15.75" customHeight="1">
      <c r="A112" s="43"/>
    </row>
    <row r="113" ht="15.75" customHeight="1">
      <c r="A113" s="43"/>
    </row>
    <row r="114" ht="15.75" customHeight="1"/>
    <row r="115" ht="15.75" customHeight="1">
      <c r="A115" s="43"/>
    </row>
    <row r="116" ht="15.75" customHeight="1">
      <c r="A116" s="43"/>
    </row>
    <row r="117" ht="15.75" customHeight="1"/>
    <row r="118" ht="15.75" customHeight="1">
      <c r="A118" s="43"/>
    </row>
    <row r="119" ht="15.75" customHeight="1"/>
    <row r="120" ht="15.75" customHeight="1">
      <c r="A120" s="43"/>
    </row>
    <row r="121" ht="15.75" customHeight="1">
      <c r="A121" s="43"/>
    </row>
    <row r="122" ht="15.75" customHeight="1"/>
    <row r="123" ht="15.75" customHeight="1">
      <c r="A123" s="43"/>
    </row>
    <row r="124" ht="15.75" customHeight="1">
      <c r="A124" s="43"/>
    </row>
    <row r="125" ht="15.75" customHeight="1">
      <c r="A125" s="43"/>
    </row>
    <row r="126" ht="15.75" customHeight="1"/>
    <row r="127" ht="15.75" customHeight="1">
      <c r="A127" s="43"/>
    </row>
    <row r="128" ht="15.75" customHeight="1">
      <c r="A128" s="43"/>
    </row>
    <row r="129" ht="15.75" customHeight="1">
      <c r="A129" s="43"/>
    </row>
    <row r="130" ht="15.75" customHeight="1"/>
    <row r="131" ht="15.75" customHeight="1">
      <c r="A131" s="43"/>
    </row>
    <row r="132" ht="15.75" customHeight="1">
      <c r="A132" s="43"/>
    </row>
    <row r="133" ht="15.75" customHeight="1">
      <c r="A133" s="43"/>
    </row>
    <row r="134" ht="15.75" customHeight="1"/>
    <row r="135" ht="15.75" customHeight="1">
      <c r="A135" s="43"/>
    </row>
    <row r="136" ht="15.75" customHeight="1">
      <c r="A136" s="43"/>
    </row>
    <row r="137" ht="15.75" customHeight="1">
      <c r="A137" s="43"/>
    </row>
    <row r="138" ht="15.75" customHeight="1"/>
    <row r="139" ht="15.75" customHeight="1">
      <c r="A139" s="43"/>
    </row>
    <row r="140" ht="15.75" customHeight="1">
      <c r="A140" s="43"/>
    </row>
    <row r="141" ht="15.75" customHeight="1">
      <c r="A141" s="43"/>
    </row>
    <row r="142" ht="15.75" customHeight="1"/>
    <row r="143" ht="15.75" customHeight="1">
      <c r="A143" s="43"/>
    </row>
    <row r="144" ht="15.75" customHeight="1">
      <c r="A144" s="43"/>
    </row>
    <row r="145" ht="15.75" customHeight="1">
      <c r="A145" s="43"/>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35:D36"/>
    <mergeCell ref="F35:K35"/>
    <mergeCell ref="F36:K36"/>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2020-04-06T21:19:54Z</dcterms:created>
  <dc:creator>Munro, Andrew R (DFG)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0x0101003909FA9900F7E24C829EE58A2AEC18E3</vt:lpwstr>
  </property>
</Properties>
</file>