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  <Override PartName="/xl/commentsmeta1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ichard.brenner\Desktop\Cook Inlet TEMP\Data Request from the State of Alaska\"/>
    </mc:Choice>
  </mc:AlternateContent>
  <bookViews>
    <workbookView xWindow="0" yWindow="0" windowWidth="23040" windowHeight="8616" firstSheet="1" activeTab="1"/>
  </bookViews>
  <sheets>
    <sheet name="Table 3-8" sheetId="1" state="hidden" r:id="rId1"/>
    <sheet name="UCI Coho Data" sheetId="2" r:id="rId2"/>
    <sheet name="UCI Coho DataOld" sheetId="3" state="hidden" r:id="rId3"/>
  </sheets>
  <definedNames>
    <definedName name="EEZ_catch" localSheetId="1">'UCI Coho Data'!$R$5:$R$24</definedName>
    <definedName name="EEZ_catch" localSheetId="2">'UCI Coho DataOld'!$P$8:$P$27</definedName>
    <definedName name="EEZ_catch">#REF!</definedName>
    <definedName name="esc_index" localSheetId="1">'UCI Coho Data'!#REF!</definedName>
    <definedName name="esc_index" localSheetId="2">'UCI Coho DataOld'!$U$4</definedName>
    <definedName name="esc_index">#REF!</definedName>
    <definedName name="gen_time" localSheetId="1">'UCI Coho Data'!#REF!</definedName>
    <definedName name="gen_time" localSheetId="2">'UCI Coho DataOld'!$F$3</definedName>
    <definedName name="gen_time">#REF!</definedName>
    <definedName name="p_EEZ" localSheetId="1">'UCI Coho Data'!#REF!</definedName>
    <definedName name="p_EEZ" localSheetId="2">'UCI Coho DataOld'!$F$4</definedName>
    <definedName name="p_EEZ">#REF!</definedName>
    <definedName name="run" localSheetId="1">'UCI Coho Data'!$Y$5:$Y$24</definedName>
    <definedName name="run" localSheetId="2">'UCI Coho DataOld'!$W$8:$W$27</definedName>
    <definedName name="run">#REF!</definedName>
    <definedName name="tot_catch" localSheetId="1">'UCI Coho Data'!$P$5:$P$24</definedName>
    <definedName name="tot_catch" localSheetId="2">'UCI Coho DataOld'!$N$8:$N$27</definedName>
    <definedName name="tot_catch">#REF!</definedName>
    <definedName name="tot_esc" localSheetId="1">'UCI Coho Data'!$W$5:$W$24</definedName>
    <definedName name="tot_esc" localSheetId="2">'UCI Coho DataOld'!$U$8:$U$27</definedName>
    <definedName name="tot_esc">#REF!</definedName>
  </definedNames>
  <calcPr calcId="162913"/>
  <extLst>
    <ext uri="GoogleSheetsCustomDataVersion2">
      <go:sheetsCustomData xmlns:go="http://customooxmlschemas.google.com/" r:id="rId7" roundtripDataChecksum="3kJ37QNz/QfybbKvgJ/FnEFgAg/Bwh3KYcTKKwvKm3o="/>
    </ext>
  </extLst>
</workbook>
</file>

<file path=xl/calcChain.xml><?xml version="1.0" encoding="utf-8"?>
<calcChain xmlns="http://schemas.openxmlformats.org/spreadsheetml/2006/main">
  <c r="W27" i="3" l="1"/>
  <c r="X27" i="3" s="1"/>
  <c r="U27" i="3"/>
  <c r="AH27" i="3" s="1"/>
  <c r="P27" i="3"/>
  <c r="Q27" i="3" s="1"/>
  <c r="N27" i="3"/>
  <c r="J27" i="3"/>
  <c r="F27" i="3"/>
  <c r="AD26" i="3"/>
  <c r="U26" i="3"/>
  <c r="AH26" i="3" s="1"/>
  <c r="P26" i="3"/>
  <c r="J26" i="3"/>
  <c r="F26" i="3"/>
  <c r="N26" i="3" s="1"/>
  <c r="AD25" i="3"/>
  <c r="AA25" i="3"/>
  <c r="U25" i="3"/>
  <c r="AH25" i="3" s="1"/>
  <c r="P25" i="3"/>
  <c r="J25" i="3"/>
  <c r="F25" i="3"/>
  <c r="N25" i="3" s="1"/>
  <c r="AD24" i="3"/>
  <c r="AA24" i="3"/>
  <c r="U24" i="3"/>
  <c r="AB27" i="3" s="1"/>
  <c r="AF27" i="3" s="1"/>
  <c r="P24" i="3"/>
  <c r="AD27" i="3" s="1"/>
  <c r="J24" i="3"/>
  <c r="F24" i="3"/>
  <c r="N24" i="3" s="1"/>
  <c r="AD23" i="3"/>
  <c r="AA23" i="3"/>
  <c r="U23" i="3"/>
  <c r="AB26" i="3" s="1"/>
  <c r="P23" i="3"/>
  <c r="J23" i="3"/>
  <c r="F23" i="3"/>
  <c r="N23" i="3" s="1"/>
  <c r="AD22" i="3"/>
  <c r="AA22" i="3"/>
  <c r="U22" i="3"/>
  <c r="AB25" i="3" s="1"/>
  <c r="AF25" i="3" s="1"/>
  <c r="P22" i="3"/>
  <c r="J22" i="3"/>
  <c r="F22" i="3"/>
  <c r="N22" i="3" s="1"/>
  <c r="AD21" i="3"/>
  <c r="AA21" i="3"/>
  <c r="U21" i="3"/>
  <c r="AB24" i="3" s="1"/>
  <c r="AF24" i="3" s="1"/>
  <c r="P21" i="3"/>
  <c r="J21" i="3"/>
  <c r="F21" i="3"/>
  <c r="N21" i="3" s="1"/>
  <c r="AD20" i="3"/>
  <c r="AA20" i="3"/>
  <c r="U20" i="3"/>
  <c r="AB23" i="3" s="1"/>
  <c r="AF23" i="3" s="1"/>
  <c r="P20" i="3"/>
  <c r="J20" i="3"/>
  <c r="F20" i="3"/>
  <c r="N20" i="3" s="1"/>
  <c r="AD19" i="3"/>
  <c r="AA19" i="3"/>
  <c r="W19" i="3"/>
  <c r="X19" i="3" s="1"/>
  <c r="U19" i="3"/>
  <c r="AB22" i="3" s="1"/>
  <c r="AF22" i="3" s="1"/>
  <c r="P19" i="3"/>
  <c r="J19" i="3"/>
  <c r="F19" i="3"/>
  <c r="N19" i="3" s="1"/>
  <c r="Q19" i="3" s="1"/>
  <c r="AD18" i="3"/>
  <c r="AA18" i="3"/>
  <c r="U18" i="3"/>
  <c r="AB21" i="3" s="1"/>
  <c r="AF21" i="3" s="1"/>
  <c r="P18" i="3"/>
  <c r="J18" i="3"/>
  <c r="F18" i="3"/>
  <c r="N18" i="3" s="1"/>
  <c r="AD17" i="3"/>
  <c r="AA17" i="3"/>
  <c r="U17" i="3"/>
  <c r="AB20" i="3" s="1"/>
  <c r="AF20" i="3" s="1"/>
  <c r="P17" i="3"/>
  <c r="J17" i="3"/>
  <c r="F17" i="3"/>
  <c r="N17" i="3" s="1"/>
  <c r="Q17" i="3" s="1"/>
  <c r="AD16" i="3"/>
  <c r="AA16" i="3"/>
  <c r="U16" i="3"/>
  <c r="AB19" i="3" s="1"/>
  <c r="AF19" i="3" s="1"/>
  <c r="P16" i="3"/>
  <c r="J16" i="3"/>
  <c r="F16" i="3"/>
  <c r="N16" i="3" s="1"/>
  <c r="AD15" i="3"/>
  <c r="AA15" i="3"/>
  <c r="U15" i="3"/>
  <c r="AB18" i="3" s="1"/>
  <c r="AF18" i="3" s="1"/>
  <c r="P15" i="3"/>
  <c r="J15" i="3"/>
  <c r="F15" i="3"/>
  <c r="N15" i="3" s="1"/>
  <c r="Q15" i="3" s="1"/>
  <c r="AD14" i="3"/>
  <c r="AA14" i="3"/>
  <c r="U14" i="3"/>
  <c r="AB17" i="3" s="1"/>
  <c r="AF17" i="3" s="1"/>
  <c r="P14" i="3"/>
  <c r="J14" i="3"/>
  <c r="F14" i="3"/>
  <c r="N14" i="3" s="1"/>
  <c r="AA13" i="3"/>
  <c r="U13" i="3"/>
  <c r="AB16" i="3" s="1"/>
  <c r="AF16" i="3" s="1"/>
  <c r="P13" i="3"/>
  <c r="J13" i="3"/>
  <c r="F13" i="3"/>
  <c r="N13" i="3" s="1"/>
  <c r="Q13" i="3" s="1"/>
  <c r="AA12" i="3"/>
  <c r="U12" i="3"/>
  <c r="AB15" i="3" s="1"/>
  <c r="AF15" i="3" s="1"/>
  <c r="P12" i="3"/>
  <c r="J12" i="3"/>
  <c r="F12" i="3"/>
  <c r="N12" i="3" s="1"/>
  <c r="AA11" i="3"/>
  <c r="U11" i="3"/>
  <c r="AB14" i="3" s="1"/>
  <c r="AF14" i="3" s="1"/>
  <c r="P11" i="3"/>
  <c r="J11" i="3"/>
  <c r="F11" i="3"/>
  <c r="N11" i="3" s="1"/>
  <c r="Q11" i="3" s="1"/>
  <c r="U10" i="3"/>
  <c r="AB13" i="3" s="1"/>
  <c r="AF13" i="3" s="1"/>
  <c r="P10" i="3"/>
  <c r="AD13" i="3" s="1"/>
  <c r="N10" i="3"/>
  <c r="W10" i="3" s="1"/>
  <c r="X10" i="3" s="1"/>
  <c r="J10" i="3"/>
  <c r="F10" i="3"/>
  <c r="U9" i="3"/>
  <c r="AB12" i="3" s="1"/>
  <c r="AF12" i="3" s="1"/>
  <c r="P9" i="3"/>
  <c r="N9" i="3"/>
  <c r="W9" i="3" s="1"/>
  <c r="X9" i="3" s="1"/>
  <c r="J9" i="3"/>
  <c r="F9" i="3"/>
  <c r="U8" i="3"/>
  <c r="AB11" i="3" s="1"/>
  <c r="AF11" i="3" s="1"/>
  <c r="P8" i="3"/>
  <c r="J8" i="3"/>
  <c r="F8" i="3"/>
  <c r="N8" i="3" s="1"/>
  <c r="Q8" i="3" s="1"/>
  <c r="U4" i="3"/>
  <c r="AA27" i="3" s="1"/>
  <c r="W29" i="2"/>
  <c r="F29" i="2"/>
  <c r="W28" i="2"/>
  <c r="W27" i="2"/>
  <c r="F27" i="1" s="1"/>
  <c r="C27" i="1"/>
  <c r="L27" i="2"/>
  <c r="F27" i="2"/>
  <c r="W26" i="2"/>
  <c r="F26" i="1" s="1"/>
  <c r="L26" i="2"/>
  <c r="F26" i="2"/>
  <c r="P26" i="2" s="1"/>
  <c r="B26" i="1" s="1"/>
  <c r="G26" i="1" s="1"/>
  <c r="W25" i="2"/>
  <c r="F25" i="1" s="1"/>
  <c r="L25" i="2"/>
  <c r="F25" i="2"/>
  <c r="W24" i="2"/>
  <c r="C24" i="1"/>
  <c r="L24" i="2"/>
  <c r="F24" i="2"/>
  <c r="W23" i="2"/>
  <c r="F23" i="1" s="1"/>
  <c r="L23" i="2"/>
  <c r="F23" i="2"/>
  <c r="W22" i="2"/>
  <c r="L22" i="2"/>
  <c r="F22" i="2"/>
  <c r="W21" i="2"/>
  <c r="F21" i="1" s="1"/>
  <c r="L21" i="2"/>
  <c r="F21" i="2"/>
  <c r="P21" i="2" s="1"/>
  <c r="B21" i="1" s="1"/>
  <c r="W20" i="2"/>
  <c r="F20" i="1" s="1"/>
  <c r="L20" i="2"/>
  <c r="F20" i="2"/>
  <c r="W19" i="2"/>
  <c r="F19" i="1" s="1"/>
  <c r="L19" i="2"/>
  <c r="F19" i="2"/>
  <c r="W18" i="2"/>
  <c r="L18" i="2"/>
  <c r="F18" i="2"/>
  <c r="W17" i="2"/>
  <c r="F17" i="1" s="1"/>
  <c r="L17" i="2"/>
  <c r="F17" i="2"/>
  <c r="W16" i="2"/>
  <c r="F16" i="1" s="1"/>
  <c r="L16" i="2"/>
  <c r="F16" i="2"/>
  <c r="W15" i="2"/>
  <c r="F15" i="1" s="1"/>
  <c r="L15" i="2"/>
  <c r="F15" i="2"/>
  <c r="W14" i="2"/>
  <c r="L14" i="2"/>
  <c r="F14" i="2"/>
  <c r="W13" i="2"/>
  <c r="F13" i="1" s="1"/>
  <c r="L13" i="2"/>
  <c r="F13" i="2"/>
  <c r="W12" i="2"/>
  <c r="F12" i="1" s="1"/>
  <c r="C12" i="1"/>
  <c r="L12" i="2"/>
  <c r="F12" i="2"/>
  <c r="W11" i="2"/>
  <c r="F11" i="1" s="1"/>
  <c r="L11" i="2"/>
  <c r="F11" i="2"/>
  <c r="P11" i="2" s="1"/>
  <c r="W10" i="2"/>
  <c r="L10" i="2"/>
  <c r="F10" i="2"/>
  <c r="P10" i="2" s="1"/>
  <c r="W9" i="2"/>
  <c r="L9" i="2"/>
  <c r="F9" i="2"/>
  <c r="W8" i="2"/>
  <c r="F8" i="1" s="1"/>
  <c r="L8" i="2"/>
  <c r="F8" i="2"/>
  <c r="W7" i="2"/>
  <c r="F7" i="1" s="1"/>
  <c r="L7" i="2"/>
  <c r="F7" i="2"/>
  <c r="W6" i="2"/>
  <c r="F6" i="1" s="1"/>
  <c r="L6" i="2"/>
  <c r="F6" i="2"/>
  <c r="W5" i="2"/>
  <c r="F5" i="1" s="1"/>
  <c r="C5" i="1"/>
  <c r="L5" i="2"/>
  <c r="F5" i="2"/>
  <c r="H9" i="1"/>
  <c r="E27" i="1"/>
  <c r="E26" i="1"/>
  <c r="C26" i="1"/>
  <c r="E25" i="1"/>
  <c r="D25" i="1"/>
  <c r="C25" i="1"/>
  <c r="F24" i="1"/>
  <c r="E24" i="1"/>
  <c r="D24" i="1"/>
  <c r="E23" i="1"/>
  <c r="D23" i="1"/>
  <c r="E22" i="1"/>
  <c r="D22" i="1"/>
  <c r="C22" i="1"/>
  <c r="E21" i="1"/>
  <c r="D21" i="1"/>
  <c r="C21" i="1"/>
  <c r="E20" i="1"/>
  <c r="D20" i="1"/>
  <c r="C20" i="1"/>
  <c r="E19" i="1"/>
  <c r="D19" i="1"/>
  <c r="E18" i="1"/>
  <c r="D18" i="1"/>
  <c r="C18" i="1"/>
  <c r="E17" i="1"/>
  <c r="D17" i="1"/>
  <c r="C17" i="1"/>
  <c r="E16" i="1"/>
  <c r="D16" i="1"/>
  <c r="C16" i="1"/>
  <c r="E15" i="1"/>
  <c r="D15" i="1"/>
  <c r="E14" i="1"/>
  <c r="D14" i="1"/>
  <c r="C14" i="1"/>
  <c r="H13" i="1"/>
  <c r="E13" i="1"/>
  <c r="D13" i="1"/>
  <c r="C13" i="1"/>
  <c r="E12" i="1"/>
  <c r="D12" i="1"/>
  <c r="E11" i="1"/>
  <c r="D11" i="1"/>
  <c r="E10" i="1"/>
  <c r="D10" i="1"/>
  <c r="C10" i="1"/>
  <c r="F9" i="1"/>
  <c r="E9" i="1"/>
  <c r="D9" i="1"/>
  <c r="C9" i="1"/>
  <c r="E8" i="1"/>
  <c r="D8" i="1"/>
  <c r="C8" i="1"/>
  <c r="E7" i="1"/>
  <c r="D7" i="1"/>
  <c r="C7" i="1"/>
  <c r="E6" i="1"/>
  <c r="D6" i="1"/>
  <c r="C6" i="1"/>
  <c r="E5" i="1"/>
  <c r="D5" i="1"/>
  <c r="P12" i="2" l="1"/>
  <c r="B12" i="1" s="1"/>
  <c r="G12" i="1" s="1"/>
  <c r="P16" i="2"/>
  <c r="B16" i="1" s="1"/>
  <c r="G16" i="1" s="1"/>
  <c r="P20" i="2"/>
  <c r="B20" i="1" s="1"/>
  <c r="G20" i="1" s="1"/>
  <c r="P24" i="2"/>
  <c r="B24" i="1" s="1"/>
  <c r="G24" i="1" s="1"/>
  <c r="P18" i="2"/>
  <c r="B18" i="1" s="1"/>
  <c r="P22" i="2"/>
  <c r="I26" i="1"/>
  <c r="P19" i="2"/>
  <c r="B19" i="1" s="1"/>
  <c r="G19" i="1" s="1"/>
  <c r="P23" i="2"/>
  <c r="B23" i="1" s="1"/>
  <c r="G23" i="1" s="1"/>
  <c r="P8" i="2"/>
  <c r="B8" i="1" s="1"/>
  <c r="G8" i="1" s="1"/>
  <c r="P5" i="2"/>
  <c r="B5" i="1" s="1"/>
  <c r="G5" i="1" s="1"/>
  <c r="O27" i="1"/>
  <c r="P13" i="2"/>
  <c r="B13" i="1" s="1"/>
  <c r="G13" i="1" s="1"/>
  <c r="I13" i="1" s="1"/>
  <c r="P6" i="2"/>
  <c r="B6" i="1" s="1"/>
  <c r="G6" i="1" s="1"/>
  <c r="M9" i="1"/>
  <c r="P17" i="2"/>
  <c r="B17" i="1" s="1"/>
  <c r="G17" i="1" s="1"/>
  <c r="G21" i="1"/>
  <c r="P7" i="2"/>
  <c r="B7" i="1" s="1"/>
  <c r="G7" i="1" s="1"/>
  <c r="P14" i="2"/>
  <c r="B14" i="1" s="1"/>
  <c r="P25" i="2"/>
  <c r="B25" i="1" s="1"/>
  <c r="G25" i="1" s="1"/>
  <c r="I25" i="1" s="1"/>
  <c r="P15" i="2"/>
  <c r="B15" i="1" s="1"/>
  <c r="G15" i="1" s="1"/>
  <c r="M27" i="1"/>
  <c r="P9" i="2"/>
  <c r="B9" i="1" s="1"/>
  <c r="G9" i="1" s="1"/>
  <c r="I9" i="1" s="1"/>
  <c r="P27" i="2"/>
  <c r="B27" i="1" s="1"/>
  <c r="G27" i="1" s="1"/>
  <c r="AC12" i="3"/>
  <c r="W18" i="3"/>
  <c r="X18" i="3" s="1"/>
  <c r="Q18" i="3"/>
  <c r="W20" i="3"/>
  <c r="Q20" i="3"/>
  <c r="W22" i="3"/>
  <c r="X22" i="3" s="1"/>
  <c r="Q22" i="3"/>
  <c r="W24" i="3"/>
  <c r="X24" i="3" s="1"/>
  <c r="Q24" i="3"/>
  <c r="W26" i="3"/>
  <c r="X26" i="3" s="1"/>
  <c r="Q26" i="3"/>
  <c r="W8" i="3"/>
  <c r="X8" i="3" s="1"/>
  <c r="H24" i="1"/>
  <c r="H12" i="1"/>
  <c r="H6" i="1"/>
  <c r="H19" i="1"/>
  <c r="H14" i="1"/>
  <c r="H16" i="1"/>
  <c r="H7" i="1"/>
  <c r="H18" i="1"/>
  <c r="H23" i="1"/>
  <c r="H11" i="1"/>
  <c r="H20" i="1"/>
  <c r="H8" i="1"/>
  <c r="H5" i="1"/>
  <c r="H15" i="1"/>
  <c r="H17" i="1"/>
  <c r="H22" i="1"/>
  <c r="H10" i="1"/>
  <c r="B10" i="1"/>
  <c r="F14" i="1"/>
  <c r="M15" i="1" s="1"/>
  <c r="Z12" i="3"/>
  <c r="W11" i="3"/>
  <c r="X11" i="3" s="1"/>
  <c r="W13" i="3"/>
  <c r="X13" i="3" s="1"/>
  <c r="M26" i="1"/>
  <c r="O8" i="1"/>
  <c r="C19" i="1"/>
  <c r="O19" i="1" s="1"/>
  <c r="Y12" i="3"/>
  <c r="W15" i="3"/>
  <c r="X15" i="3" s="1"/>
  <c r="Y20" i="3"/>
  <c r="W12" i="3"/>
  <c r="X12" i="3" s="1"/>
  <c r="Q12" i="3"/>
  <c r="W14" i="3"/>
  <c r="X14" i="3" s="1"/>
  <c r="Q14" i="3"/>
  <c r="W21" i="3"/>
  <c r="X21" i="3" s="1"/>
  <c r="Q21" i="3"/>
  <c r="W23" i="3"/>
  <c r="X23" i="3" s="1"/>
  <c r="Q23" i="3"/>
  <c r="W25" i="3"/>
  <c r="X25" i="3" s="1"/>
  <c r="Q25" i="3"/>
  <c r="O10" i="1"/>
  <c r="B22" i="1"/>
  <c r="W17" i="3"/>
  <c r="X17" i="3" s="1"/>
  <c r="M8" i="1"/>
  <c r="H21" i="1"/>
  <c r="Y15" i="3"/>
  <c r="Y17" i="3"/>
  <c r="W16" i="3"/>
  <c r="X16" i="3" s="1"/>
  <c r="Q16" i="3"/>
  <c r="AG13" i="3"/>
  <c r="O12" i="1"/>
  <c r="B11" i="1"/>
  <c r="G11" i="1" s="1"/>
  <c r="AC13" i="3"/>
  <c r="Z13" i="3"/>
  <c r="AF26" i="3"/>
  <c r="C11" i="1"/>
  <c r="C23" i="1"/>
  <c r="O25" i="1" s="1"/>
  <c r="AA26" i="3"/>
  <c r="O9" i="1"/>
  <c r="F18" i="1"/>
  <c r="M19" i="1" s="1"/>
  <c r="AH11" i="3"/>
  <c r="AH13" i="3"/>
  <c r="AH15" i="3"/>
  <c r="AH17" i="3"/>
  <c r="AH19" i="3"/>
  <c r="AH21" i="3"/>
  <c r="AH23" i="3"/>
  <c r="AD12" i="3"/>
  <c r="D40" i="3"/>
  <c r="Q10" i="3"/>
  <c r="Y13" i="3"/>
  <c r="AH12" i="3"/>
  <c r="AH14" i="3"/>
  <c r="AH16" i="3"/>
  <c r="AH18" i="3"/>
  <c r="AH20" i="3"/>
  <c r="AH22" i="3"/>
  <c r="AH24" i="3"/>
  <c r="C15" i="1"/>
  <c r="O17" i="1" s="1"/>
  <c r="Q9" i="3"/>
  <c r="F10" i="1"/>
  <c r="M10" i="1" s="1"/>
  <c r="F22" i="1"/>
  <c r="M22" i="1" s="1"/>
  <c r="AD11" i="3"/>
  <c r="G18" i="1" l="1"/>
  <c r="J20" i="1" s="1"/>
  <c r="I8" i="1"/>
  <c r="O21" i="1"/>
  <c r="O20" i="1"/>
  <c r="I16" i="1"/>
  <c r="L18" i="1"/>
  <c r="I17" i="1"/>
  <c r="I27" i="1"/>
  <c r="J27" i="1"/>
  <c r="I12" i="1"/>
  <c r="L24" i="1"/>
  <c r="L13" i="1"/>
  <c r="L17" i="1"/>
  <c r="L25" i="1"/>
  <c r="I5" i="1"/>
  <c r="I15" i="1"/>
  <c r="L9" i="1"/>
  <c r="Q9" i="1" s="1"/>
  <c r="I24" i="1"/>
  <c r="L23" i="1"/>
  <c r="AE17" i="3"/>
  <c r="AC24" i="3"/>
  <c r="AG24" i="3" s="1"/>
  <c r="Z24" i="3"/>
  <c r="I18" i="1"/>
  <c r="L12" i="1"/>
  <c r="I6" i="1"/>
  <c r="AE12" i="3"/>
  <c r="M17" i="1"/>
  <c r="M16" i="1"/>
  <c r="AC11" i="3"/>
  <c r="Z11" i="3"/>
  <c r="X20" i="3"/>
  <c r="B40" i="3"/>
  <c r="F40" i="3" s="1"/>
  <c r="Y19" i="3"/>
  <c r="AE19" i="3" s="1"/>
  <c r="I19" i="1"/>
  <c r="J21" i="1"/>
  <c r="O11" i="1"/>
  <c r="AC17" i="3"/>
  <c r="AG17" i="3" s="1"/>
  <c r="Z17" i="3"/>
  <c r="L22" i="1"/>
  <c r="Q22" i="1" s="1"/>
  <c r="O23" i="1"/>
  <c r="L14" i="1"/>
  <c r="M14" i="1"/>
  <c r="Q14" i="1" s="1"/>
  <c r="Y21" i="3"/>
  <c r="AE21" i="3" s="1"/>
  <c r="J18" i="1"/>
  <c r="O18" i="1"/>
  <c r="I20" i="1"/>
  <c r="AG12" i="3"/>
  <c r="Y22" i="3"/>
  <c r="AC15" i="3"/>
  <c r="AG15" i="3" s="1"/>
  <c r="Z15" i="3"/>
  <c r="O22" i="1"/>
  <c r="O13" i="1"/>
  <c r="Y25" i="3"/>
  <c r="AE25" i="3" s="1"/>
  <c r="D41" i="3"/>
  <c r="L26" i="1"/>
  <c r="Q26" i="1" s="1"/>
  <c r="G14" i="1"/>
  <c r="J16" i="1" s="1"/>
  <c r="Y11" i="3"/>
  <c r="O26" i="1"/>
  <c r="J26" i="1"/>
  <c r="Y23" i="3"/>
  <c r="J9" i="1"/>
  <c r="AG11" i="3"/>
  <c r="L16" i="1"/>
  <c r="Z16" i="3"/>
  <c r="AC16" i="3"/>
  <c r="AG16" i="3" s="1"/>
  <c r="Y16" i="3"/>
  <c r="AE16" i="3" s="1"/>
  <c r="L15" i="1"/>
  <c r="Q15" i="1" s="1"/>
  <c r="M21" i="1"/>
  <c r="M20" i="1"/>
  <c r="Y26" i="3"/>
  <c r="M18" i="1"/>
  <c r="O15" i="1"/>
  <c r="Z14" i="3"/>
  <c r="AC14" i="3"/>
  <c r="AG14" i="3" s="1"/>
  <c r="O24" i="1"/>
  <c r="Y14" i="3"/>
  <c r="AE14" i="3" s="1"/>
  <c r="L20" i="1"/>
  <c r="L21" i="1"/>
  <c r="D42" i="3"/>
  <c r="L27" i="1"/>
  <c r="Q27" i="1" s="1"/>
  <c r="AC20" i="3"/>
  <c r="AG20" i="3" s="1"/>
  <c r="Z20" i="3"/>
  <c r="G10" i="1"/>
  <c r="I10" i="1" s="1"/>
  <c r="O14" i="1"/>
  <c r="I11" i="1"/>
  <c r="Y24" i="3"/>
  <c r="J8" i="1"/>
  <c r="Y18" i="3"/>
  <c r="L10" i="1"/>
  <c r="Q10" i="1" s="1"/>
  <c r="I7" i="1"/>
  <c r="M23" i="1"/>
  <c r="M25" i="1"/>
  <c r="Q25" i="1" s="1"/>
  <c r="M24" i="1"/>
  <c r="Y27" i="3"/>
  <c r="G22" i="1"/>
  <c r="I22" i="1" s="1"/>
  <c r="I21" i="1"/>
  <c r="L8" i="1"/>
  <c r="Q8" i="1" s="1"/>
  <c r="L19" i="1"/>
  <c r="Q19" i="1" s="1"/>
  <c r="I23" i="1"/>
  <c r="AC27" i="3"/>
  <c r="Z27" i="3"/>
  <c r="L42" i="3" s="1"/>
  <c r="M11" i="1"/>
  <c r="M13" i="1"/>
  <c r="M12" i="1"/>
  <c r="AE13" i="3"/>
  <c r="AC19" i="3"/>
  <c r="AG19" i="3" s="1"/>
  <c r="Z19" i="3"/>
  <c r="O16" i="1"/>
  <c r="AC26" i="3"/>
  <c r="Z26" i="3"/>
  <c r="L41" i="3" s="1"/>
  <c r="L11" i="1"/>
  <c r="J19" i="1"/>
  <c r="AE20" i="3"/>
  <c r="AC25" i="3"/>
  <c r="Z25" i="3"/>
  <c r="L40" i="3" s="1"/>
  <c r="AE15" i="3"/>
  <c r="Z18" i="3"/>
  <c r="AC18" i="3"/>
  <c r="AG18" i="3" s="1"/>
  <c r="AC21" i="3"/>
  <c r="AG21" i="3" s="1"/>
  <c r="Z21" i="3"/>
  <c r="Q24" i="1" l="1"/>
  <c r="Q18" i="1"/>
  <c r="Q12" i="1"/>
  <c r="J13" i="1"/>
  <c r="Q17" i="1"/>
  <c r="J14" i="1"/>
  <c r="N8" i="1"/>
  <c r="R8" i="1" s="1"/>
  <c r="N20" i="1"/>
  <c r="R20" i="1" s="1"/>
  <c r="K11" i="1"/>
  <c r="N27" i="1"/>
  <c r="R27" i="1" s="1"/>
  <c r="Q23" i="1"/>
  <c r="N19" i="1"/>
  <c r="R19" i="1" s="1"/>
  <c r="K19" i="1"/>
  <c r="P19" i="1" s="1"/>
  <c r="K12" i="1"/>
  <c r="N12" i="1"/>
  <c r="R12" i="1" s="1"/>
  <c r="K20" i="1"/>
  <c r="P20" i="1" s="1"/>
  <c r="N18" i="1"/>
  <c r="R18" i="1" s="1"/>
  <c r="Q16" i="1"/>
  <c r="J11" i="1"/>
  <c r="K27" i="1"/>
  <c r="P27" i="1" s="1"/>
  <c r="K18" i="1"/>
  <c r="P18" i="1" s="1"/>
  <c r="Q13" i="1"/>
  <c r="Q11" i="1"/>
  <c r="N25" i="1"/>
  <c r="R25" i="1" s="1"/>
  <c r="K25" i="1"/>
  <c r="B41" i="3"/>
  <c r="F41" i="3" s="1"/>
  <c r="N10" i="1"/>
  <c r="R10" i="1" s="1"/>
  <c r="K10" i="1"/>
  <c r="AE26" i="3"/>
  <c r="N11" i="1"/>
  <c r="R11" i="1" s="1"/>
  <c r="J24" i="1"/>
  <c r="AE18" i="3"/>
  <c r="N13" i="1"/>
  <c r="R13" i="1" s="1"/>
  <c r="K13" i="1"/>
  <c r="Q20" i="1"/>
  <c r="K23" i="1"/>
  <c r="N23" i="1"/>
  <c r="R23" i="1" s="1"/>
  <c r="J23" i="1"/>
  <c r="AG26" i="3"/>
  <c r="P41" i="3"/>
  <c r="Q21" i="1"/>
  <c r="AE24" i="3"/>
  <c r="J22" i="1"/>
  <c r="N40" i="3"/>
  <c r="I40" i="3"/>
  <c r="K9" i="1"/>
  <c r="P9" i="1" s="1"/>
  <c r="N9" i="1"/>
  <c r="R9" i="1" s="1"/>
  <c r="P40" i="3"/>
  <c r="AG25" i="3"/>
  <c r="AE23" i="3"/>
  <c r="P42" i="3"/>
  <c r="AG27" i="3"/>
  <c r="AE27" i="3"/>
  <c r="B42" i="3"/>
  <c r="F42" i="3" s="1"/>
  <c r="AC23" i="3"/>
  <c r="AG23" i="3" s="1"/>
  <c r="Z23" i="3"/>
  <c r="Z22" i="3"/>
  <c r="AC22" i="3"/>
  <c r="AG22" i="3" s="1"/>
  <c r="N22" i="1"/>
  <c r="R22" i="1" s="1"/>
  <c r="K22" i="1"/>
  <c r="AE11" i="3"/>
  <c r="J25" i="1"/>
  <c r="J12" i="1"/>
  <c r="N26" i="1"/>
  <c r="R26" i="1" s="1"/>
  <c r="K26" i="1"/>
  <c r="P26" i="1" s="1"/>
  <c r="J10" i="1"/>
  <c r="I14" i="1"/>
  <c r="K14" i="1" s="1"/>
  <c r="J15" i="1"/>
  <c r="J17" i="1"/>
  <c r="AE22" i="3"/>
  <c r="K8" i="1"/>
  <c r="P8" i="1" s="1"/>
  <c r="K21" i="1"/>
  <c r="P21" i="1" s="1"/>
  <c r="N21" i="1"/>
  <c r="R21" i="1" s="1"/>
  <c r="N24" i="1"/>
  <c r="R24" i="1" s="1"/>
  <c r="K24" i="1"/>
  <c r="P13" i="1" l="1"/>
  <c r="P14" i="1"/>
  <c r="P11" i="1"/>
  <c r="P10" i="1"/>
  <c r="P12" i="1"/>
  <c r="P25" i="1"/>
  <c r="P24" i="1"/>
  <c r="P23" i="1"/>
  <c r="N17" i="1"/>
  <c r="R17" i="1" s="1"/>
  <c r="K17" i="1"/>
  <c r="P17" i="1" s="1"/>
  <c r="N15" i="1"/>
  <c r="R15" i="1" s="1"/>
  <c r="K16" i="1"/>
  <c r="P16" i="1" s="1"/>
  <c r="N16" i="1"/>
  <c r="R16" i="1" s="1"/>
  <c r="K15" i="1"/>
  <c r="P15" i="1" s="1"/>
  <c r="P22" i="1"/>
  <c r="N41" i="3"/>
  <c r="I41" i="3"/>
  <c r="N42" i="3"/>
  <c r="I42" i="3"/>
  <c r="N14" i="1"/>
  <c r="R14" i="1" s="1"/>
</calcChain>
</file>

<file path=xl/comments1.xml><?xml version="1.0" encoding="utf-8"?>
<comments xmlns="http://schemas.openxmlformats.org/spreadsheetml/2006/main">
  <authors>
    <author/>
  </authors>
  <commentList>
    <comment ref="H3" authorId="0" shapeId="0">
      <text>
        <r>
          <rPr>
            <sz val="11"/>
            <color theme="1"/>
            <rFont val="Calibri"/>
            <scheme val="minor"/>
          </rPr>
          <t>======
ID#AAAAjcU0SvA
tc={45993C69-8EDA-4431-8BCC-E2433FB7E332}    (2022-11-15 22:45:05)
[Threaded comment]
Your version of Excel allows you to read this threaded comment; however, any edits to it will get removed if the file is opened in a newer version of Excel. Learn more: https://go.microsoft.com/fwlink/?linkid=870924
Comment:
    Sport harvest estimates from Statewide Harvest Survey query run by Michael Martz (ADF&amp;G) for Northern Economics, February 4, 2020.</t>
        </r>
      </text>
    </comment>
    <comment ref="Q3" authorId="0" shapeId="0">
      <text>
        <r>
          <rPr>
            <sz val="11"/>
            <color theme="1"/>
            <rFont val="Calibri"/>
            <scheme val="minor"/>
          </rPr>
          <t>======
ID#AAAAjcU0Stw
tc={C51BFCFC-2199-4FC2-ACF2-04E19FD9E7EE}    (2022-11-15 22:45:05)
[Threaded comment]
Your version of Excel allows you to read this threaded comment; however, any edits to it will get removed if the file is opened in a newer version of Excel. Learn more: https://go.microsoft.com/fwlink/?linkid=870924
Comment:
    From EEZPercentBySpecies.xls sent by Marcus Hartley 3/26/2020.  Percent of Catch table in sheet 'EEZEachSpeciesAnnualS03H'</t>
        </r>
      </text>
    </comment>
    <comment ref="AJ3" authorId="0" shapeId="0">
      <text>
        <r>
          <rPr>
            <sz val="11"/>
            <color theme="1"/>
            <rFont val="Calibri"/>
            <scheme val="minor"/>
          </rPr>
          <t>======
ID#AAAAjcU0St8
raclark    (2022-11-15 22:45:05)
Accountability Measure is the state responsibility to meet escapement goals annually.
Yes = the state took action because escapement was below the goal of 21,500</t>
        </r>
      </text>
    </comment>
    <comment ref="C4" authorId="0" shapeId="0">
      <text>
        <r>
          <rPr>
            <sz val="11"/>
            <color theme="1"/>
            <rFont val="Calibri"/>
            <scheme val="minor"/>
          </rPr>
          <t>======
ID#AAAAjcU0Su8
Brenner, Richard E (DFG)    (2022-11-15 22:45:05)
East Side Set Net</t>
        </r>
      </text>
    </comment>
    <comment ref="F4" authorId="0" shapeId="0">
      <text>
        <r>
          <rPr>
            <sz val="11"/>
            <color theme="1"/>
            <rFont val="Calibri"/>
            <scheme val="minor"/>
          </rPr>
          <t>======
ID#AAAAjcU0SvU
Munro, Andrew R (DFG)    (2022-11-15 22:45:05)
total commercial fishery catches</t>
        </r>
      </text>
    </comment>
    <comment ref="N4" authorId="0" shapeId="0">
      <text>
        <r>
          <rPr>
            <sz val="11"/>
            <color theme="1"/>
            <rFont val="Calibri"/>
            <scheme val="minor"/>
          </rPr>
          <t>======
ID#AAAAjcU0SvQ
Brenner, Richard E (DFG)    (2022-11-15 22:45:05)
Personal Use data includes Kasilof River gillnet, Kasilof River dipnet, Kenai River dipnet, Unknown PU harvest, and Fish Creek dipnet.
A. Munro (4/7/2020)
Does not include Beluga River dipnet fishery
Appendix B17 FMR19-25</t>
        </r>
      </text>
    </comment>
    <comment ref="R4" authorId="0" shapeId="0">
      <text>
        <r>
          <rPr>
            <sz val="11"/>
            <color theme="1"/>
            <rFont val="Calibri"/>
            <scheme val="minor"/>
          </rPr>
          <t>======
ID#AAAAjcU0Stk
(DFG)    (2022-11-15 22:45:05)
Assummed a certain proportion of commercial drift fishery catch.</t>
        </r>
      </text>
    </comment>
    <comment ref="AA4" authorId="0" shapeId="0">
      <text>
        <r>
          <rPr>
            <sz val="11"/>
            <color theme="1"/>
            <rFont val="Calibri"/>
            <scheme val="minor"/>
          </rPr>
          <t>======
ID#AAAAjcU0Svg
raclark    (2022-11-15 22:45:05)
Fishing mortality
Index of F (not actual F!!)
EEZ Catch/(Run index)
Run index = Total Catch+ Total Esc Index</t>
        </r>
      </text>
    </comment>
    <comment ref="AB4" authorId="0" shapeId="0">
      <text>
        <r>
          <rPr>
            <sz val="11"/>
            <color theme="1"/>
            <rFont val="Calibri"/>
            <scheme val="minor"/>
          </rPr>
          <t>======
ID#AAAAjcU0SuY
raclark    (2022-11-15 22:45:05)
Maximum Fishing Mortality Threshold:
Index of F (not actual F)
MFMT = the % of fishing mortality (F) at which the escapement goal would not be met.
MFMT increases (higher level of fishing mortality allowed) as overall biomass increases.</t>
        </r>
      </text>
    </comment>
    <comment ref="AC4" authorId="0" shapeId="0">
      <text>
        <r>
          <rPr>
            <sz val="11"/>
            <color theme="1"/>
            <rFont val="Calibri"/>
            <scheme val="minor"/>
          </rPr>
          <t>======
ID#AAAAjcU0Sug
raclark    (2022-11-15 22:45:05)
Minimum Stock Size Threshold.
Index of S, not S.
MSST =
(Spawning goal x 4)/2
Multiplied by 4 because this exercise uses a 4-year running mean due to approximate lifecycle of coho.
"MSST is given by the largest of 1/2Bmsy, or the lowest biomass from which Bsmy will be reached in 10 years if fishing at MFMT"....but this is for a data rich scenario.....thus, this approximation for MSST might be too low, especially if these are from a LB SEG that isn't expected to include Smsy.</t>
        </r>
      </text>
    </comment>
    <comment ref="AD4" authorId="0" shapeId="0">
      <text>
        <r>
          <rPr>
            <sz val="11"/>
            <color theme="1"/>
            <rFont val="Calibri"/>
            <scheme val="minor"/>
          </rPr>
          <t>======
ID#AAAAjcU0SvM
raclark    (2022-11-15 22:45:05)
Index of S, not S.
# of Spawners</t>
        </r>
      </text>
    </comment>
    <comment ref="AE4" authorId="0" shapeId="0">
      <text>
        <r>
          <rPr>
            <sz val="11"/>
            <color theme="1"/>
            <rFont val="Calibri"/>
            <scheme val="minor"/>
          </rPr>
          <t>======
ID#AAAAjcU0SuQ
Brenner, Richard E (DFG)    (2022-11-15 22:45:05)
Annual Catch Limit</t>
        </r>
      </text>
    </comment>
    <comment ref="AF4" authorId="0" shapeId="0">
      <text>
        <r>
          <rPr>
            <sz val="11"/>
            <color theme="1"/>
            <rFont val="Calibri"/>
            <scheme val="minor"/>
          </rPr>
          <t>======
ID#AAAAjcU0SuA
Brenner, Richard E (DFG)    (2022-11-15 22:45:05)
Catch</t>
        </r>
      </text>
    </comment>
    <comment ref="AG4" authorId="0" shapeId="0">
      <text>
        <r>
          <rPr>
            <sz val="11"/>
            <color theme="1"/>
            <rFont val="Calibri"/>
            <scheme val="minor"/>
          </rPr>
          <t>======
ID#AAAAjcU0Suk
Brenner, Richard E (DFG)    (2022-11-15 22:45:05)
Overfishing = Fishing mortality &gt; maximum fishing mortality threshold.
This is from the perspective of harvest.</t>
        </r>
      </text>
    </comment>
    <comment ref="AH4" authorId="0" shapeId="0">
      <text>
        <r>
          <rPr>
            <sz val="11"/>
            <color theme="1"/>
            <rFont val="Calibri"/>
            <scheme val="minor"/>
          </rPr>
          <t>======
ID#AAAAjcU0SvE
Brenner, Richard E (DFG)    (2022-11-15 22:45:05)
If actual spawners is less than minimum sustainable stock threshold, then the stock has been overfished.
This is from the perspective of spawning.</t>
        </r>
      </text>
    </comment>
    <comment ref="B15" authorId="0" shapeId="0">
      <text>
        <r>
          <rPr>
            <sz val="11"/>
            <color theme="1"/>
            <rFont val="Calibri"/>
            <scheme val="minor"/>
          </rPr>
          <t>======
ID#AAAAjcU0Svk
tc={8ED82167-E115-4267-8E8F-75D36413E95B}    (2022-11-15 22:45:05)
[Threaded comment]
Your version of Excel allows you to read this threaded comment; however, any edits to it will get removed if the file is opened in a newer version of Excel. Learn more: https://go.microsoft.com/fwlink/?linkid=870924
Comment:
    same situation as in chum example Marcus Hartley has 82,133 in first tab, but same number as this in his sheet 3</t>
        </r>
      </text>
    </comment>
    <comment ref="B28" authorId="0" shapeId="0">
      <text>
        <r>
          <rPr>
            <sz val="11"/>
            <color theme="1"/>
            <rFont val="Calibri"/>
            <scheme val="minor"/>
          </rPr>
          <t>======
ID#AAAA-KAINLs
Joshua Russell - NOAA Federal    (2023-11-01 18:57:51)
https://www.adfg.alaska.gov/static/applications/dcfnewsrelease/1447206643.pdf</t>
        </r>
      </text>
    </comment>
    <comment ref="E28" authorId="0" shapeId="0">
      <text>
        <r>
          <rPr>
            <sz val="11"/>
            <color theme="1"/>
            <rFont val="Calibri"/>
            <scheme val="minor"/>
          </rPr>
          <t>======
ID#AAAA-KAINLw
Joshua Russell - NOAA Federal    (2023-11-01 18:58:23)
https://www.adfg.alaska.gov/static/applications/dcfnewsrelease/1447206643.pdf</t>
        </r>
      </text>
    </comment>
    <comment ref="F28" authorId="0" shapeId="0">
      <text>
        <r>
          <rPr>
            <sz val="11"/>
            <color theme="1"/>
            <rFont val="Calibri"/>
            <scheme val="minor"/>
          </rPr>
          <t>======
ID#AAAA_pRZx7Q
Richard Brenner - NOAA Federal    (2023-11-18 01:19:15)
The total is 102,666 as per this report:  https://www.adfg.alaska.gov/static/applications/dcfnewsrelease/1546815985.pdf</t>
        </r>
      </text>
    </comment>
    <comment ref="H28" authorId="0" shapeId="0">
      <text>
        <r>
          <rPr>
            <sz val="11"/>
            <color theme="1"/>
            <rFont val="Calibri"/>
            <scheme val="minor"/>
          </rPr>
          <t>======
ID#AAAA_pRZx7E
Richard Brenner - NOAA Federal    (2023-11-18 01:04:53)
Northern Economics obtained from Sportfish Division (product of Statewide harvest survey)</t>
        </r>
      </text>
    </comment>
    <comment ref="N28" authorId="0" shapeId="0">
      <text>
        <r>
          <rPr>
            <sz val="11"/>
            <color theme="1"/>
            <rFont val="Calibri"/>
            <scheme val="minor"/>
          </rPr>
          <t>======
ID#AAAA_pRZx7I
Richard Brenner - NOAA Federal    (2023-11-18 01:16:44)
Not aware of a source for this.</t>
        </r>
      </text>
    </comment>
    <comment ref="Q28" authorId="0" shapeId="0">
      <text>
        <r>
          <rPr>
            <sz val="11"/>
            <color theme="1"/>
            <rFont val="Calibri"/>
            <scheme val="minor"/>
          </rPr>
          <t>======
ID#AAAA_pRZx7M
Richard Brenner - NOAA Federal    (2023-11-18 01:17:39)
Need stat area x locale codes as per page 235 of EA/RIR to get this.</t>
        </r>
      </text>
    </comment>
    <comment ref="T28" authorId="0" shapeId="0">
      <text>
        <r>
          <rPr>
            <sz val="11"/>
            <color theme="1"/>
            <rFont val="Calibri"/>
            <scheme val="minor"/>
          </rPr>
          <t>======
ID#AAAA-KAINL4
Joshua Russell - NOAA Federal    (2023-11-01 19:02:55)
Due to budget issues, weir pulled early. Total considered incomplete. 
https://www.adfg.alaska.gov/static/applications/dcfnewsrelease/1447206643.pdf</t>
        </r>
      </text>
    </comment>
    <comment ref="U28" authorId="0" shapeId="0">
      <text>
        <r>
          <rPr>
            <sz val="11"/>
            <color theme="1"/>
            <rFont val="Calibri"/>
            <scheme val="minor"/>
          </rPr>
          <t>======
ID#AAAA-KAINL0
Joshua Russell - NOAA Federal    (2023-11-01 19:02:05)
Due to floods, this number is considered incomplete, SEG of 9200-17000 was likely to have been attained. 
https://www.adfg.alaska.gov/static/applications/dcfnewsrelease/1447206643.pdf</t>
        </r>
      </text>
    </comment>
    <comment ref="B29" authorId="0" shapeId="0">
      <text>
        <r>
          <rPr>
            <sz val="11"/>
            <color theme="1"/>
            <rFont val="Calibri"/>
            <scheme val="minor"/>
          </rPr>
          <t>======
ID#AAABAUArZ2o
Joshua Russell - NOAA Federal    (2023-11-13 21:27:01)
https://www.adfg.alaska.gov/static/applications/dcfnewsrelease/1546815985.pdf</t>
        </r>
      </text>
    </comment>
    <comment ref="C29" authorId="0" shapeId="0">
      <text>
        <r>
          <rPr>
            <sz val="11"/>
            <color theme="1"/>
            <rFont val="Calibri"/>
            <scheme val="minor"/>
          </rPr>
          <t>======
ID#AAAA_pRZx64
Richard Brenner - NOAA Federal    (2023-11-18 00:55:25)
Closed during 2023 due to low Chinook abundance.</t>
        </r>
      </text>
    </comment>
    <comment ref="D29" authorId="0" shapeId="0">
      <text>
        <r>
          <rPr>
            <sz val="11"/>
            <color theme="1"/>
            <rFont val="Calibri"/>
            <scheme val="minor"/>
          </rPr>
          <t>======
ID#AAAA_pRZx68
Richard Brenner - NOAA Federal    (2023-11-18 00:56:59)
From here: https://www.adfg.alaska.gov/static/applications/dcfnewsrelease/1546815985.pdf</t>
        </r>
      </text>
    </comment>
    <comment ref="E29" authorId="0" shapeId="0">
      <text>
        <r>
          <rPr>
            <sz val="11"/>
            <color theme="1"/>
            <rFont val="Calibri"/>
            <scheme val="minor"/>
          </rPr>
          <t>======
ID#AAABAUArZ2s
Joshua Russell - NOAA Federal    (2023-11-13 21:27:18)
https://www.adfg.alaska.gov/static/applications/dcfnewsrelease/1546815985.pdf</t>
        </r>
      </text>
    </comment>
    <comment ref="T29" authorId="0" shapeId="0">
      <text>
        <r>
          <rPr>
            <sz val="11"/>
            <color theme="1"/>
            <rFont val="Calibri"/>
            <scheme val="minor"/>
          </rPr>
          <t>======
ID#AAABAUArZ20
Joshua Russell - NOAA Federal    (2023-11-13 21:29:45)
Due to floods, count is considered incomplete and minimum. SEG of 10,200-24,100 likely would not have been met
https://www.adfg.alaska.gov/static/applications/dcfnewsrelease/1546815985.pdf</t>
        </r>
      </text>
    </comment>
    <comment ref="U29" authorId="0" shapeId="0">
      <text>
        <r>
          <rPr>
            <sz val="11"/>
            <color theme="1"/>
            <rFont val="Calibri"/>
            <scheme val="minor"/>
          </rPr>
          <t>======
ID#AAABAUArZ2w
Joshua Russell - NOAA Federal    (2023-11-13 21:28:42)
Due to floods, count is considered incomplete and minimum
https://www.adfg.alaska.gov/static/applications/dcfnewsrelease/1546815985.pdf</t>
        </r>
      </text>
    </comment>
    <comment ref="V29" authorId="0" shapeId="0">
      <text>
        <r>
          <rPr>
            <sz val="11"/>
            <color theme="1"/>
            <rFont val="Calibri"/>
            <scheme val="minor"/>
          </rPr>
          <t>======
ID#AAAA_pRZx7A
Richard Brenner - NOAA Federal    (2023-11-18 01:03:35)
From https://www.adfg.alaska.gov/static/applications/dcfnewsrelease/1546815985.pdf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g42Has1rqsSiNosX/WAZ7kRmwtYg=="/>
    </ext>
  </extLst>
</comments>
</file>

<file path=xl/comments2.xml><?xml version="1.0" encoding="utf-8"?>
<comments xmlns="http://schemas.openxmlformats.org/spreadsheetml/2006/main">
  <authors>
    <author/>
  </authors>
  <commentList>
    <comment ref="O6" authorId="0" shapeId="0">
      <text>
        <r>
          <rPr>
            <sz val="11"/>
            <color theme="1"/>
            <rFont val="Calibri"/>
            <scheme val="minor"/>
          </rPr>
          <t>======
ID#AAAAjcU0Sts
tc={5CF1E027-11EA-47F3-BEE5-5726E237140B}    (2022-11-15 22:45:05)
[Threaded comment]
Your version of Excel allows you to read this threaded comment; however, any edits to it will get removed if the file is opened in a newer version of Excel. Learn more: https://go.microsoft.com/fwlink/?linkid=870924
Comment:
    From EEZPercentBySpecies.xls sent by Marcus Hartley 3/26/2020.  Percent of Catch table in sheet 'EEZEachSpeciesAnnualS03H'</t>
        </r>
      </text>
    </comment>
    <comment ref="AH6" authorId="0" shapeId="0">
      <text>
        <r>
          <rPr>
            <sz val="11"/>
            <color theme="1"/>
            <rFont val="Calibri"/>
            <scheme val="minor"/>
          </rPr>
          <t>======
ID#AAAAjcU0Suw
raclark    (2022-11-15 22:45:05)
Accountability Measure is the state responsibility to meet escapement goals annually.
Yes = the state took action because escapement was below the goal of 21,500</t>
        </r>
      </text>
    </comment>
    <comment ref="C7" authorId="0" shapeId="0">
      <text>
        <r>
          <rPr>
            <sz val="11"/>
            <color theme="1"/>
            <rFont val="Calibri"/>
            <scheme val="minor"/>
          </rPr>
          <t>======
ID#AAAAjcU0Svc
Brenner, Richard E (DFG)    (2022-11-15 22:45:05)
East Side Set Net</t>
        </r>
      </text>
    </comment>
    <comment ref="F7" authorId="0" shapeId="0">
      <text>
        <r>
          <rPr>
            <sz val="11"/>
            <color theme="1"/>
            <rFont val="Calibri"/>
            <scheme val="minor"/>
          </rPr>
          <t>======
ID#AAAAjcU0SuM
Munro, Andrew R (DFG)    (2022-11-15 22:45:05)
total commercial fishery catches in</t>
        </r>
      </text>
    </comment>
    <comment ref="H7" authorId="0" shapeId="0">
      <text>
        <r>
          <rPr>
            <sz val="11"/>
            <color theme="1"/>
            <rFont val="Calibri"/>
            <scheme val="minor"/>
          </rPr>
          <t>======
ID#AAAAjcU0SuI
Brenner, Richard E (DFG)    (2022-11-15 22:45:05)
Northern Cook Inlet
Munro, A:
(K) Knik Arm + (L) Anchorage Fresh + (M) Susitna River drainage + (N) West Cook Inlet drainages.  From online SWHS (updated 3/2020)</t>
        </r>
      </text>
    </comment>
    <comment ref="I7" authorId="0" shapeId="0">
      <text>
        <r>
          <rPr>
            <sz val="11"/>
            <color theme="1"/>
            <rFont val="Calibri"/>
            <scheme val="minor"/>
          </rPr>
          <t>======
ID#AAAAjcU0SvI
Brenner, Richard E (DFG)    (2022-11-15 22:45:05)
Northern Kenai Peninsula
Munro, A.
Kenai Peninsula (PF) minus Anchor River plus Kenai Peninsula Salt - Used North of Bluff/Chinitna Pts only.  Early years (99-05) include some fish south of Anchor Point</t>
        </r>
      </text>
    </comment>
    <comment ref="L7" authorId="0" shapeId="0">
      <text>
        <r>
          <rPr>
            <sz val="11"/>
            <color theme="1"/>
            <rFont val="Calibri"/>
            <scheme val="minor"/>
          </rPr>
          <t>======
ID#AAAAjcU0Sto
Brenner, Richard E (DFG)    (2022-11-15 22:45:05)
Personal Use data includes Kasilof River gillnet, Kasilof River dipnet, Kenai River dipnet, Unknown PU harvest, and Fish Creek dipnet.
A. Munro (4/7/2020)
Does not include Beluga River dipnet fishery
Appendix B17 FMR19-25</t>
        </r>
      </text>
    </comment>
    <comment ref="P7" authorId="0" shapeId="0">
      <text>
        <r>
          <rPr>
            <sz val="11"/>
            <color theme="1"/>
            <rFont val="Calibri"/>
            <scheme val="minor"/>
          </rPr>
          <t>======
ID#AAAAjcU0SuE
(DFG)    (2022-11-15 22:45:05)
Assummed a certain proportion of commercial drift fishery catch.</t>
        </r>
      </text>
    </comment>
    <comment ref="Y7" authorId="0" shapeId="0">
      <text>
        <r>
          <rPr>
            <sz val="11"/>
            <color theme="1"/>
            <rFont val="Calibri"/>
            <scheme val="minor"/>
          </rPr>
          <t>======
ID#AAAAjcU0SuU
raclark    (2022-11-15 22:45:05)
Fishing mortality
Index of F (not actual F!!)
EEZ Catch/(Run index)
Run index = Total Catch+ Total Esc Index</t>
        </r>
      </text>
    </comment>
    <comment ref="Z7" authorId="0" shapeId="0">
      <text>
        <r>
          <rPr>
            <sz val="11"/>
            <color theme="1"/>
            <rFont val="Calibri"/>
            <scheme val="minor"/>
          </rPr>
          <t>======
ID#AAAAjcU0Suo
raclark    (2022-11-15 22:45:05)
Maximum Fishing Mortality Threshold:
Index of F (not actual F)
MFMT = the % of fishing mortality (F) at which the escapement goal would not be met.
MFMT increases (higher level of fishing mortality allowed) as overall biomass increases.</t>
        </r>
      </text>
    </comment>
    <comment ref="AA7" authorId="0" shapeId="0">
      <text>
        <r>
          <rPr>
            <sz val="11"/>
            <color theme="1"/>
            <rFont val="Calibri"/>
            <scheme val="minor"/>
          </rPr>
          <t>======
ID#AAAAjcU0Suc
raclark    (2022-11-15 22:45:05)
Minimum Stock Size Threshold.
Index of S, not S.
MSST =
(Spawning goal x 4)/2
Multiplied by 4 because this exercise uses a 4-year running mean due to approximate lifecycle of coho.
"MSST is given by the largest of 1/2Bmsy, or the lowest biomass from which Bsmy will be reached in 10 years if fishing at MFMT"....but this is for a data rich scenario.....thus, this approximation for MSST might be too low, especially if these are from a LB SEG that isn't expected to include Smsy.</t>
        </r>
      </text>
    </comment>
    <comment ref="AB7" authorId="0" shapeId="0">
      <text>
        <r>
          <rPr>
            <sz val="11"/>
            <color theme="1"/>
            <rFont val="Calibri"/>
            <scheme val="minor"/>
          </rPr>
          <t>======
ID#AAAAjcU0St4
raclark    (2022-11-15 22:45:05)
Index of S, not S.
# of Spawners</t>
        </r>
      </text>
    </comment>
    <comment ref="AC7" authorId="0" shapeId="0">
      <text>
        <r>
          <rPr>
            <sz val="11"/>
            <color theme="1"/>
            <rFont val="Calibri"/>
            <scheme val="minor"/>
          </rPr>
          <t>======
ID#AAAAjcU0Su0
Brenner, Richard E (DFG)    (2022-11-15 22:45:05)
Annual Catch Limit</t>
        </r>
      </text>
    </comment>
    <comment ref="AD7" authorId="0" shapeId="0">
      <text>
        <r>
          <rPr>
            <sz val="11"/>
            <color theme="1"/>
            <rFont val="Calibri"/>
            <scheme val="minor"/>
          </rPr>
          <t>======
ID#AAAAjcU0Sus
Brenner, Richard E (DFG)    (2022-11-15 22:45:05)
Catch</t>
        </r>
      </text>
    </comment>
    <comment ref="AE7" authorId="0" shapeId="0">
      <text>
        <r>
          <rPr>
            <sz val="11"/>
            <color theme="1"/>
            <rFont val="Calibri"/>
            <scheme val="minor"/>
          </rPr>
          <t>======
ID#AAAAjcU0St0
Brenner, Richard E (DFG)    (2022-11-15 22:45:05)
Overfishing = Fishing mortality &gt; maximum fishing mortality threshold.
This is from the perspective of harvest.</t>
        </r>
      </text>
    </comment>
    <comment ref="AF7" authorId="0" shapeId="0">
      <text>
        <r>
          <rPr>
            <sz val="11"/>
            <color theme="1"/>
            <rFont val="Calibri"/>
            <scheme val="minor"/>
          </rPr>
          <t>======
ID#AAAAjcU0Su4
Brenner, Richard E (DFG)    (2022-11-15 22:45:05)
If actual spawners is less than minimum sustainable stock threshold, then the stock has been overfished.
This is from the perspective of spawning.</t>
        </r>
      </text>
    </comment>
    <comment ref="B18" authorId="0" shapeId="0">
      <text>
        <r>
          <rPr>
            <sz val="11"/>
            <color theme="1"/>
            <rFont val="Calibri"/>
            <scheme val="minor"/>
          </rPr>
          <t>======
ID#AAAAjcU0SvY
tc={B45242B2-971D-434D-A662-B4797F1ADE3D}    (2022-11-15 22:45:05)
[Threaded comment]
Your version of Excel allows you to read this threaded comment; however, any edits to it will get removed if the file is opened in a newer version of Excel. Learn more: https://go.microsoft.com/fwlink/?linkid=870924
Comment:
    same situation as in chum example Marcus Hartley has 82,133 in first tab, but same number as this in his sheet 3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jvyVrjD+k6V174ej143ZQlcSI1jA=="/>
    </ext>
  </extLst>
</comments>
</file>

<file path=xl/sharedStrings.xml><?xml version="1.0" encoding="utf-8"?>
<sst xmlns="http://schemas.openxmlformats.org/spreadsheetml/2006/main" count="131" uniqueCount="90">
  <si>
    <t>Table 3‑8   Tier 2 example using Upper Cook Inlet coho salmon total catch, estimated catch in the EEZ, indexed escapements, proxy run size, and sum of lower bounds of escapement goals from 1999-2021 and retrospective estimates of the Status Determination Criteria and Annual Catch Limits, 2002-2021</t>
  </si>
  <si>
    <t>Escapement</t>
  </si>
  <si>
    <t>EEZ</t>
  </si>
  <si>
    <t>Year</t>
  </si>
  <si>
    <r>
      <rPr>
        <b/>
        <sz val="9"/>
        <color theme="1"/>
        <rFont val="Arial"/>
      </rPr>
      <t>Total Catch (</t>
    </r>
    <r>
      <rPr>
        <b/>
        <i/>
        <sz val="9"/>
        <color theme="1"/>
        <rFont val="Arial"/>
      </rPr>
      <t>C</t>
    </r>
    <r>
      <rPr>
        <b/>
        <i/>
        <vertAlign val="subscript"/>
        <sz val="9"/>
        <color theme="1"/>
        <rFont val="Arial"/>
      </rPr>
      <t>Total</t>
    </r>
    <r>
      <rPr>
        <b/>
        <sz val="9"/>
        <color theme="1"/>
        <rFont val="Arial"/>
      </rPr>
      <t>)</t>
    </r>
  </si>
  <si>
    <r>
      <rPr>
        <b/>
        <sz val="9"/>
        <color theme="1"/>
        <rFont val="Arial"/>
      </rPr>
      <t>EEZ Catch (C</t>
    </r>
    <r>
      <rPr>
        <b/>
        <vertAlign val="subscript"/>
        <sz val="9"/>
        <color theme="1"/>
        <rFont val="Arial"/>
      </rPr>
      <t>EEZ</t>
    </r>
    <r>
      <rPr>
        <b/>
        <sz val="9"/>
        <color theme="1"/>
        <rFont val="Arial"/>
      </rPr>
      <t>)</t>
    </r>
  </si>
  <si>
    <t>Deshka R.</t>
  </si>
  <si>
    <t>Little Susitna R.</t>
  </si>
  <si>
    <r>
      <rPr>
        <b/>
        <sz val="9"/>
        <color theme="1"/>
        <rFont val="Arial"/>
      </rPr>
      <t>Total      (</t>
    </r>
    <r>
      <rPr>
        <b/>
        <i/>
        <sz val="9"/>
        <color theme="1"/>
        <rFont val="Arial"/>
      </rPr>
      <t>S</t>
    </r>
    <r>
      <rPr>
        <b/>
        <sz val="9"/>
        <color theme="1"/>
        <rFont val="Arial"/>
      </rPr>
      <t>)</t>
    </r>
  </si>
  <si>
    <r>
      <rPr>
        <b/>
        <sz val="9"/>
        <color theme="1"/>
        <rFont val="Arial"/>
      </rPr>
      <t>Run        (</t>
    </r>
    <r>
      <rPr>
        <b/>
        <i/>
        <sz val="9"/>
        <color theme="1"/>
        <rFont val="Arial"/>
      </rPr>
      <t>R</t>
    </r>
    <r>
      <rPr>
        <b/>
        <sz val="9"/>
        <color theme="1"/>
        <rFont val="Arial"/>
      </rPr>
      <t>)</t>
    </r>
  </si>
  <si>
    <r>
      <rPr>
        <b/>
        <sz val="9"/>
        <color theme="1"/>
        <rFont val="Arial"/>
      </rPr>
      <t>LB Goal Index     (</t>
    </r>
    <r>
      <rPr>
        <b/>
        <i/>
        <sz val="9"/>
        <color theme="1"/>
        <rFont val="Arial"/>
      </rPr>
      <t>G</t>
    </r>
    <r>
      <rPr>
        <b/>
        <sz val="9"/>
        <color theme="1"/>
        <rFont val="Arial"/>
      </rPr>
      <t>)</t>
    </r>
  </si>
  <si>
    <r>
      <rPr>
        <b/>
        <sz val="9"/>
        <color theme="1"/>
        <rFont val="Arial"/>
      </rPr>
      <t>Potential Yield (</t>
    </r>
    <r>
      <rPr>
        <b/>
        <i/>
        <sz val="9"/>
        <color theme="1"/>
        <rFont val="Arial"/>
      </rPr>
      <t>Y</t>
    </r>
    <r>
      <rPr>
        <b/>
        <i/>
        <vertAlign val="subscript"/>
        <sz val="9"/>
        <color theme="1"/>
        <rFont val="Arial"/>
      </rPr>
      <t>EEZ</t>
    </r>
    <r>
      <rPr>
        <b/>
        <sz val="9"/>
        <color theme="1"/>
        <rFont val="Arial"/>
      </rPr>
      <t>)</t>
    </r>
  </si>
  <si>
    <r>
      <rPr>
        <b/>
        <i/>
        <sz val="9"/>
        <color theme="1"/>
        <rFont val="Arial"/>
      </rPr>
      <t>F</t>
    </r>
    <r>
      <rPr>
        <b/>
        <i/>
        <vertAlign val="subscript"/>
        <sz val="9"/>
        <color theme="1"/>
        <rFont val="Arial"/>
      </rPr>
      <t>EEZ</t>
    </r>
  </si>
  <si>
    <t>MFMT</t>
  </si>
  <si>
    <t>MSST</t>
  </si>
  <si>
    <r>
      <rPr>
        <b/>
        <sz val="9"/>
        <color theme="1"/>
        <rFont val="Arial"/>
      </rPr>
      <t>Cumulative Escapement (∑</t>
    </r>
    <r>
      <rPr>
        <b/>
        <i/>
        <sz val="9"/>
        <color theme="1"/>
        <rFont val="Arial"/>
      </rPr>
      <t>S</t>
    </r>
    <r>
      <rPr>
        <b/>
        <i/>
        <vertAlign val="subscript"/>
        <sz val="9"/>
        <color theme="1"/>
        <rFont val="Arial"/>
      </rPr>
      <t>t</t>
    </r>
    <r>
      <rPr>
        <b/>
        <i/>
        <sz val="9"/>
        <color theme="1"/>
        <rFont val="Arial"/>
      </rPr>
      <t>)</t>
    </r>
  </si>
  <si>
    <r>
      <rPr>
        <b/>
        <sz val="9"/>
        <color theme="1"/>
        <rFont val="Arial"/>
      </rPr>
      <t>ACL (∑</t>
    </r>
    <r>
      <rPr>
        <b/>
        <i/>
        <sz val="9"/>
        <color theme="1"/>
        <rFont val="Arial"/>
      </rPr>
      <t>Y</t>
    </r>
    <r>
      <rPr>
        <b/>
        <i/>
        <vertAlign val="subscript"/>
        <sz val="9"/>
        <color theme="1"/>
        <rFont val="Arial"/>
      </rPr>
      <t>EEZ,t</t>
    </r>
    <r>
      <rPr>
        <b/>
        <sz val="9"/>
        <color theme="1"/>
        <rFont val="Arial"/>
      </rPr>
      <t>)</t>
    </r>
  </si>
  <si>
    <r>
      <rPr>
        <b/>
        <sz val="9"/>
        <color theme="1"/>
        <rFont val="Arial"/>
      </rPr>
      <t>Cumulative Catch (∑</t>
    </r>
    <r>
      <rPr>
        <b/>
        <i/>
        <sz val="9"/>
        <color theme="1"/>
        <rFont val="Arial"/>
      </rPr>
      <t>C</t>
    </r>
    <r>
      <rPr>
        <b/>
        <i/>
        <vertAlign val="subscript"/>
        <sz val="9"/>
        <color theme="1"/>
        <rFont val="Arial"/>
      </rPr>
      <t>EEZ</t>
    </r>
    <r>
      <rPr>
        <b/>
        <i/>
        <sz val="9"/>
        <color theme="1"/>
        <rFont val="Arial"/>
      </rPr>
      <t>)</t>
    </r>
  </si>
  <si>
    <t>Overfishing?</t>
  </si>
  <si>
    <t>Overfished?</t>
  </si>
  <si>
    <t>ACL Exceeded?</t>
  </si>
  <si>
    <t>NA</t>
  </si>
  <si>
    <t>Escapements in bold did not meet the lower bound of the escapement goal.</t>
  </si>
  <si>
    <t>NOTE: Average generation time (T) is assummed to be 4 years in this example.</t>
  </si>
  <si>
    <t xml:space="preserve">Source: Developed by ADF&amp;G fisheries scientists using harvest and escapement data from ADF&amp;G. </t>
  </si>
  <si>
    <t>UCI coho salmon data 1999-2021</t>
  </si>
  <si>
    <t>Deshka Escapement goal range: 10,200-24,100</t>
  </si>
  <si>
    <t>LB of SEG for index systems</t>
  </si>
  <si>
    <t>Generation time (yrs):</t>
  </si>
  <si>
    <t>Little Susitna escapement goal range: 10,100-17,700</t>
  </si>
  <si>
    <t>Deshka</t>
  </si>
  <si>
    <t>Little Su</t>
  </si>
  <si>
    <t>Fish</t>
  </si>
  <si>
    <t>Total</t>
  </si>
  <si>
    <t>Shaded = incomplete catch data.</t>
  </si>
  <si>
    <t>Assumed proportion catch in EEZ:</t>
  </si>
  <si>
    <t>Annual est.</t>
  </si>
  <si>
    <t>Proxies = *</t>
  </si>
  <si>
    <t>Commercial Catches</t>
  </si>
  <si>
    <t>Sport Fish Catches</t>
  </si>
  <si>
    <t>Personal Use</t>
  </si>
  <si>
    <t>P_EEZ</t>
  </si>
  <si>
    <t>Escapement Indexes</t>
  </si>
  <si>
    <t>SDCs</t>
  </si>
  <si>
    <t>EEZ ACL Exceeded?</t>
  </si>
  <si>
    <t>AM Triggered?</t>
  </si>
  <si>
    <t>Drift</t>
  </si>
  <si>
    <t>ESSN</t>
  </si>
  <si>
    <t>Kalgin-Westside Set Gillnet</t>
  </si>
  <si>
    <t>N. Disitrict Set gillnet</t>
  </si>
  <si>
    <t>SW_Res</t>
  </si>
  <si>
    <t>SW_Non</t>
  </si>
  <si>
    <t>FW_Res</t>
  </si>
  <si>
    <t>FW_Non</t>
  </si>
  <si>
    <t>Catch</t>
  </si>
  <si>
    <t>EEZ Catch</t>
  </si>
  <si>
    <t>Run*</t>
  </si>
  <si>
    <t>Yield*</t>
  </si>
  <si>
    <t>F*</t>
  </si>
  <si>
    <t>MFMT*</t>
  </si>
  <si>
    <t>MSST*</t>
  </si>
  <si>
    <t>S*</t>
  </si>
  <si>
    <t>ACL</t>
  </si>
  <si>
    <t>C</t>
  </si>
  <si>
    <t>Data sources:</t>
  </si>
  <si>
    <t>Commercial Catches: FMR19-25 Appendix table B3</t>
  </si>
  <si>
    <t>Sport harvest estimates from Statewide Harvest Survey query run by Michael Martz (ADF&amp;G) for Northern Economics, February 4, 2020.</t>
  </si>
  <si>
    <t>Personal Use Catches: From FMR19-25 Appendix table B17 (total UCI Personal Use Fisheries Total)</t>
  </si>
  <si>
    <t>Proportion of harvest in EEZ from EEZPercentBySpecies.xls sent by Marcus Hartley 3/26/2020.  Percent of Catch table in sheet 'EEZEachSpeciesAnnualS03H'.</t>
  </si>
  <si>
    <t>Escapement data: McKinley et al. (2020; FMS20-02)</t>
  </si>
  <si>
    <t>2022 update:</t>
  </si>
  <si>
    <t>Commercial harvest estimates from Appendix B3 FMR22-16; http://www.adfg.alaska.gov/FedAidPDFs/FMR22-16.pdf) and upadated from 2019 AMR (FMR19-25;http://www.adfg.alaska.gov/FedAidPDFs/FMR19-25.pdf).</t>
  </si>
  <si>
    <t>Sport harvest estimates from Statewide Harvest Survey query run by J. Bozzini (ADF&amp;G) for Northern Economics, November 7, 2022.</t>
  </si>
  <si>
    <t>Personal use from Appendix A17 in FMR21-26, FMR22-12, FMR22-16</t>
  </si>
  <si>
    <t>Note: 2020 and 2021 Deshka weir pulled early so any count is minimum (2020: 5368 8/13; 2021: 3,338 8/12) - 2018 and 2019 escapements for Little Su are incomplete weir counts as well</t>
  </si>
  <si>
    <t>Drift gillnet catch proportion in EEZ updated from data provided by M. Hartley in email 11/14/2022</t>
  </si>
  <si>
    <t>UCI coho salmon data 1999-2018</t>
  </si>
  <si>
    <t>NCI</t>
  </si>
  <si>
    <t>NKP</t>
  </si>
  <si>
    <t>Sport Fish Catches: From Statewide Harvest Survey online database (accessed 3/31/2020)</t>
  </si>
  <si>
    <t xml:space="preserve">From EEZPercentBySpecies.xls sent by Marcus Hartley 3/26/2020.  Percent of Catch table in sheet 'EEZEachSpeciesAnnualS03H', methods used to </t>
  </si>
  <si>
    <t>Preseason example</t>
  </si>
  <si>
    <t>Forecast Run</t>
  </si>
  <si>
    <t>LB EG</t>
  </si>
  <si>
    <t>Potential Yield</t>
  </si>
  <si>
    <t>Preseason MFMT</t>
  </si>
  <si>
    <t>Final MFMT</t>
  </si>
  <si>
    <t>Preseason ACL</t>
  </si>
  <si>
    <t>Final ACL</t>
  </si>
  <si>
    <t>Note: Formal forecast for coho salmon are not done in Upper Cook Inlet, although a 5-year average projection of commercial harvest is produced annually.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</si>
</sst>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"/>
    <numFmt numFmtId="165" formatCode="#,###,###,##0"/>
    <numFmt numFmtId="166" formatCode="#,##0.000"/>
    <numFmt numFmtId="167" formatCode="0.0000"/>
  </numFmts>
  <fonts count="23">
    <font>
      <sz val="11"/>
      <color theme="1"/>
      <name val="Calibri"/>
      <scheme val="minor"/>
    </font>
    <font>
      <sz val="9"/>
      <color rgb="FF000000"/>
      <name val="Arial"/>
    </font>
    <font>
      <sz val="11"/>
      <name val="Calibri"/>
    </font>
    <font>
      <b/>
      <sz val="9"/>
      <color theme="1"/>
      <name val="Arial"/>
    </font>
    <font>
      <b/>
      <i/>
      <sz val="9"/>
      <color theme="1"/>
      <name val="Arial"/>
    </font>
    <font>
      <sz val="9"/>
      <color theme="1"/>
      <name val="Arial"/>
    </font>
    <font>
      <sz val="9"/>
      <color rgb="FF0000FF"/>
      <name val="Arial"/>
    </font>
    <font>
      <b/>
      <sz val="9"/>
      <color rgb="FF0000FF"/>
      <name val="Arial"/>
    </font>
    <font>
      <sz val="11"/>
      <color theme="1"/>
      <name val="Calibri"/>
    </font>
    <font>
      <sz val="11"/>
      <color theme="1"/>
      <name val="Calibri"/>
      <scheme val="minor"/>
    </font>
    <font>
      <sz val="11"/>
      <color theme="1"/>
      <name val="Calibri"/>
    </font>
    <font>
      <u/>
      <sz val="11"/>
      <color theme="1"/>
      <name val="Calibri"/>
    </font>
    <font>
      <b/>
      <sz val="11"/>
      <color theme="1"/>
      <name val="Calibri"/>
    </font>
    <font>
      <b/>
      <sz val="11"/>
      <color rgb="FFBFBFBF"/>
      <name val="Calibri"/>
    </font>
    <font>
      <sz val="11"/>
      <color rgb="FFBFBFBF"/>
      <name val="Calibri"/>
    </font>
    <font>
      <b/>
      <i/>
      <sz val="11"/>
      <color theme="1"/>
      <name val="Calibri"/>
    </font>
    <font>
      <i/>
      <sz val="11"/>
      <color rgb="FF0000FF"/>
      <name val="Calibri"/>
    </font>
    <font>
      <sz val="11"/>
      <color rgb="FF000000"/>
      <name val="Calibri"/>
    </font>
    <font>
      <sz val="11"/>
      <color rgb="FF0000FF"/>
      <name val="Calibri"/>
    </font>
    <font>
      <sz val="11"/>
      <color rgb="FF0000FF"/>
      <name val="Calibri"/>
      <scheme val="minor"/>
    </font>
    <font>
      <i/>
      <sz val="11"/>
      <color theme="1"/>
      <name val="Calibri"/>
    </font>
    <font>
      <b/>
      <i/>
      <vertAlign val="subscript"/>
      <sz val="9"/>
      <color theme="1"/>
      <name val="Arial"/>
    </font>
    <font>
      <b/>
      <vertAlign val="subscript"/>
      <sz val="9"/>
      <color theme="1"/>
      <name val="Arial"/>
    </font>
  </fonts>
  <fills count="7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EAF1DD"/>
        <bgColor rgb="FFEAF1DD"/>
      </patternFill>
    </fill>
    <fill>
      <patternFill patternType="solid">
        <fgColor rgb="FFFFFFFF"/>
        <bgColor rgb="FFFFFFFF"/>
      </patternFill>
    </fill>
    <fill>
      <patternFill patternType="solid">
        <fgColor theme="2" tint="-0.249977111117893"/>
        <bgColor rgb="FFFF9900"/>
      </patternFill>
    </fill>
    <fill>
      <patternFill patternType="solid">
        <fgColor theme="2" tint="-0.249977111117893"/>
        <bgColor rgb="FFFF0000"/>
      </patternFill>
    </fill>
  </fills>
  <borders count="21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rgb="FFC1C1C1"/>
      </left>
      <right style="thin">
        <color rgb="FFC1C1C1"/>
      </right>
      <top style="thin">
        <color rgb="FFC1C1C1"/>
      </top>
      <bottom style="thin">
        <color rgb="FFC1C1C1"/>
      </bottom>
      <diagonal/>
    </border>
    <border>
      <left style="thin">
        <color rgb="FFC1C1C1"/>
      </left>
      <right style="thin">
        <color rgb="FFC1C1C1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07">
    <xf numFmtId="0" fontId="0" fillId="0" borderId="0" xfId="0" applyFont="1" applyAlignment="1"/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vertical="center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5" fillId="0" borderId="0" xfId="0" applyFont="1"/>
    <xf numFmtId="3" fontId="6" fillId="0" borderId="0" xfId="0" applyNumberFormat="1" applyFont="1"/>
    <xf numFmtId="3" fontId="7" fillId="0" borderId="0" xfId="0" applyNumberFormat="1" applyFont="1"/>
    <xf numFmtId="3" fontId="5" fillId="0" borderId="0" xfId="0" applyNumberFormat="1" applyFont="1"/>
    <xf numFmtId="0" fontId="6" fillId="0" borderId="0" xfId="0" applyFont="1"/>
    <xf numFmtId="164" fontId="6" fillId="0" borderId="0" xfId="0" applyNumberFormat="1" applyFont="1"/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3" fontId="8" fillId="0" borderId="0" xfId="0" applyNumberFormat="1" applyFont="1"/>
    <xf numFmtId="3" fontId="6" fillId="0" borderId="0" xfId="0" applyNumberFormat="1" applyFont="1" applyAlignment="1">
      <alignment horizontal="right"/>
    </xf>
    <xf numFmtId="0" fontId="9" fillId="0" borderId="0" xfId="0" applyFont="1" applyAlignment="1"/>
    <xf numFmtId="0" fontId="9" fillId="0" borderId="1" xfId="0" applyFont="1" applyBorder="1" applyAlignment="1"/>
    <xf numFmtId="0" fontId="9" fillId="0" borderId="1" xfId="0" applyFont="1" applyBorder="1"/>
    <xf numFmtId="0" fontId="10" fillId="0" borderId="0" xfId="0" applyFont="1"/>
    <xf numFmtId="0" fontId="11" fillId="0" borderId="0" xfId="0" applyFont="1"/>
    <xf numFmtId="0" fontId="8" fillId="0" borderId="0" xfId="0" applyFont="1"/>
    <xf numFmtId="0" fontId="12" fillId="0" borderId="0" xfId="0" applyFont="1"/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right"/>
    </xf>
    <xf numFmtId="0" fontId="8" fillId="3" borderId="11" xfId="0" applyFont="1" applyFill="1" applyBorder="1"/>
    <xf numFmtId="0" fontId="12" fillId="0" borderId="12" xfId="0" applyFont="1" applyBorder="1" applyAlignment="1">
      <alignment horizontal="right"/>
    </xf>
    <xf numFmtId="0" fontId="13" fillId="0" borderId="12" xfId="0" applyFont="1" applyBorder="1" applyAlignment="1">
      <alignment horizontal="right"/>
    </xf>
    <xf numFmtId="0" fontId="8" fillId="3" borderId="13" xfId="0" applyFont="1" applyFill="1" applyBorder="1"/>
    <xf numFmtId="3" fontId="14" fillId="0" borderId="0" xfId="0" applyNumberFormat="1" applyFont="1"/>
    <xf numFmtId="3" fontId="8" fillId="0" borderId="14" xfId="0" applyNumberFormat="1" applyFont="1" applyBorder="1"/>
    <xf numFmtId="0" fontId="12" fillId="0" borderId="14" xfId="0" applyFont="1" applyBorder="1"/>
    <xf numFmtId="0" fontId="12" fillId="0" borderId="15" xfId="0" applyFont="1" applyBorder="1"/>
    <xf numFmtId="0" fontId="12" fillId="0" borderId="14" xfId="0" applyFont="1" applyBorder="1" applyAlignment="1">
      <alignment horizontal="center"/>
    </xf>
    <xf numFmtId="0" fontId="15" fillId="0" borderId="14" xfId="0" applyFont="1" applyBorder="1" applyAlignment="1">
      <alignment horizontal="center"/>
    </xf>
    <xf numFmtId="0" fontId="12" fillId="0" borderId="14" xfId="0" applyFont="1" applyBorder="1" applyAlignment="1">
      <alignment horizontal="center" wrapText="1"/>
    </xf>
    <xf numFmtId="0" fontId="12" fillId="0" borderId="12" xfId="0" applyFont="1" applyBorder="1" applyAlignment="1">
      <alignment horizontal="left"/>
    </xf>
    <xf numFmtId="0" fontId="15" fillId="0" borderId="12" xfId="0" applyFont="1" applyBorder="1" applyAlignment="1">
      <alignment horizontal="right"/>
    </xf>
    <xf numFmtId="0" fontId="15" fillId="0" borderId="12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12" fillId="0" borderId="12" xfId="0" applyFont="1" applyBorder="1" applyAlignment="1">
      <alignment horizontal="center" wrapText="1"/>
    </xf>
    <xf numFmtId="3" fontId="16" fillId="0" borderId="0" xfId="0" applyNumberFormat="1" applyFont="1"/>
    <xf numFmtId="165" fontId="16" fillId="0" borderId="0" xfId="0" applyNumberFormat="1" applyFont="1"/>
    <xf numFmtId="3" fontId="17" fillId="0" borderId="0" xfId="0" applyNumberFormat="1" applyFont="1" applyAlignment="1">
      <alignment horizontal="right"/>
    </xf>
    <xf numFmtId="166" fontId="8" fillId="0" borderId="0" xfId="0" applyNumberFormat="1" applyFont="1"/>
    <xf numFmtId="3" fontId="12" fillId="0" borderId="0" xfId="0" applyNumberFormat="1" applyFont="1"/>
    <xf numFmtId="3" fontId="18" fillId="0" borderId="0" xfId="0" applyNumberFormat="1" applyFont="1"/>
    <xf numFmtId="0" fontId="19" fillId="0" borderId="0" xfId="0" applyFont="1"/>
    <xf numFmtId="164" fontId="18" fillId="0" borderId="0" xfId="0" applyNumberFormat="1" applyFont="1"/>
    <xf numFmtId="0" fontId="8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3" fontId="17" fillId="0" borderId="0" xfId="0" applyNumberFormat="1" applyFont="1"/>
    <xf numFmtId="167" fontId="18" fillId="0" borderId="0" xfId="0" applyNumberFormat="1" applyFont="1"/>
    <xf numFmtId="3" fontId="17" fillId="4" borderId="17" xfId="0" applyNumberFormat="1" applyFont="1" applyFill="1" applyBorder="1" applyAlignment="1">
      <alignment horizontal="right"/>
    </xf>
    <xf numFmtId="3" fontId="17" fillId="4" borderId="18" xfId="0" applyNumberFormat="1" applyFont="1" applyFill="1" applyBorder="1" applyAlignment="1">
      <alignment horizontal="right"/>
    </xf>
    <xf numFmtId="3" fontId="8" fillId="0" borderId="0" xfId="0" applyNumberFormat="1" applyFont="1" applyAlignment="1">
      <alignment horizontal="right"/>
    </xf>
    <xf numFmtId="3" fontId="17" fillId="4" borderId="0" xfId="0" applyNumberFormat="1" applyFont="1" applyFill="1" applyAlignment="1">
      <alignment horizontal="right"/>
    </xf>
    <xf numFmtId="0" fontId="8" fillId="0" borderId="0" xfId="0" applyFont="1" applyAlignment="1"/>
    <xf numFmtId="3" fontId="8" fillId="0" borderId="0" xfId="0" applyNumberFormat="1" applyFont="1" applyAlignment="1"/>
    <xf numFmtId="3" fontId="20" fillId="0" borderId="0" xfId="0" applyNumberFormat="1" applyFont="1" applyAlignment="1"/>
    <xf numFmtId="165" fontId="20" fillId="0" borderId="0" xfId="0" applyNumberFormat="1" applyFont="1"/>
    <xf numFmtId="3" fontId="20" fillId="0" borderId="0" xfId="0" applyNumberFormat="1" applyFont="1"/>
    <xf numFmtId="3" fontId="8" fillId="0" borderId="0" xfId="0" applyNumberFormat="1" applyFont="1" applyAlignment="1">
      <alignment horizontal="right"/>
    </xf>
    <xf numFmtId="0" fontId="8" fillId="0" borderId="12" xfId="0" applyFont="1" applyBorder="1" applyAlignment="1"/>
    <xf numFmtId="3" fontId="8" fillId="0" borderId="12" xfId="0" applyNumberFormat="1" applyFont="1" applyBorder="1" applyAlignment="1"/>
    <xf numFmtId="0" fontId="8" fillId="0" borderId="12" xfId="0" applyFont="1" applyBorder="1"/>
    <xf numFmtId="165" fontId="20" fillId="0" borderId="12" xfId="0" applyNumberFormat="1" applyFont="1" applyBorder="1"/>
    <xf numFmtId="3" fontId="17" fillId="0" borderId="12" xfId="0" applyNumberFormat="1" applyFont="1" applyBorder="1" applyAlignment="1">
      <alignment horizontal="right"/>
    </xf>
    <xf numFmtId="3" fontId="20" fillId="0" borderId="12" xfId="0" applyNumberFormat="1" applyFont="1" applyBorder="1"/>
    <xf numFmtId="3" fontId="8" fillId="0" borderId="12" xfId="0" applyNumberFormat="1" applyFont="1" applyBorder="1"/>
    <xf numFmtId="3" fontId="8" fillId="0" borderId="12" xfId="0" applyNumberFormat="1" applyFont="1" applyBorder="1" applyAlignment="1">
      <alignment horizontal="right"/>
    </xf>
    <xf numFmtId="3" fontId="14" fillId="0" borderId="12" xfId="0" applyNumberFormat="1" applyFont="1" applyBorder="1" applyAlignment="1"/>
    <xf numFmtId="3" fontId="18" fillId="0" borderId="12" xfId="0" applyNumberFormat="1" applyFont="1" applyBorder="1"/>
    <xf numFmtId="164" fontId="18" fillId="0" borderId="12" xfId="0" applyNumberFormat="1" applyFont="1" applyBorder="1"/>
    <xf numFmtId="164" fontId="8" fillId="0" borderId="0" xfId="0" applyNumberFormat="1" applyFont="1"/>
    <xf numFmtId="167" fontId="8" fillId="0" borderId="0" xfId="0" applyNumberFormat="1" applyFont="1"/>
    <xf numFmtId="0" fontId="8" fillId="0" borderId="19" xfId="0" applyFont="1" applyBorder="1"/>
    <xf numFmtId="166" fontId="8" fillId="0" borderId="12" xfId="0" applyNumberFormat="1" applyFont="1" applyBorder="1"/>
    <xf numFmtId="3" fontId="12" fillId="0" borderId="12" xfId="0" applyNumberFormat="1" applyFont="1" applyBorder="1"/>
    <xf numFmtId="3" fontId="14" fillId="0" borderId="12" xfId="0" applyNumberFormat="1" applyFont="1" applyBorder="1"/>
    <xf numFmtId="164" fontId="8" fillId="0" borderId="12" xfId="0" applyNumberFormat="1" applyFont="1" applyBorder="1"/>
    <xf numFmtId="0" fontId="8" fillId="0" borderId="12" xfId="0" applyFont="1" applyBorder="1" applyAlignment="1">
      <alignment horizontal="center"/>
    </xf>
    <xf numFmtId="0" fontId="8" fillId="0" borderId="20" xfId="0" applyFont="1" applyBorder="1" applyAlignment="1">
      <alignment horizontal="center"/>
    </xf>
    <xf numFmtId="0" fontId="8" fillId="0" borderId="14" xfId="0" applyFont="1" applyBorder="1"/>
    <xf numFmtId="0" fontId="8" fillId="0" borderId="1" xfId="0" applyFont="1" applyBorder="1"/>
    <xf numFmtId="3" fontId="8" fillId="5" borderId="0" xfId="0" applyNumberFormat="1" applyFont="1" applyFill="1"/>
    <xf numFmtId="3" fontId="8" fillId="6" borderId="0" xfId="0" applyNumberFormat="1" applyFont="1" applyFill="1"/>
    <xf numFmtId="3" fontId="17" fillId="6" borderId="0" xfId="0" applyNumberFormat="1" applyFont="1" applyFill="1" applyAlignment="1">
      <alignment horizontal="right"/>
    </xf>
    <xf numFmtId="3" fontId="8" fillId="6" borderId="12" xfId="0" applyNumberFormat="1" applyFont="1" applyFill="1" applyBorder="1"/>
    <xf numFmtId="3" fontId="17" fillId="6" borderId="12" xfId="0" applyNumberFormat="1" applyFont="1" applyFill="1" applyBorder="1" applyAlignment="1">
      <alignment horizontal="right"/>
    </xf>
    <xf numFmtId="166" fontId="8" fillId="0" borderId="0" xfId="0" applyNumberFormat="1" applyFont="1" applyFill="1"/>
    <xf numFmtId="166" fontId="8" fillId="0" borderId="12" xfId="0" applyNumberFormat="1" applyFont="1" applyFill="1" applyBorder="1"/>
    <xf numFmtId="0" fontId="1" fillId="0" borderId="1" xfId="0" applyFont="1" applyBorder="1" applyAlignment="1">
      <alignment horizontal="left" wrapText="1"/>
    </xf>
    <xf numFmtId="0" fontId="2" fillId="0" borderId="1" xfId="0" applyFont="1" applyBorder="1"/>
    <xf numFmtId="0" fontId="3" fillId="2" borderId="4" xfId="0" applyFont="1" applyFill="1" applyBorder="1" applyAlignment="1">
      <alignment horizontal="center" vertical="center"/>
    </xf>
    <xf numFmtId="0" fontId="2" fillId="0" borderId="5" xfId="0" applyFont="1" applyBorder="1"/>
    <xf numFmtId="0" fontId="3" fillId="2" borderId="4" xfId="0" applyFont="1" applyFill="1" applyBorder="1" applyAlignment="1">
      <alignment horizontal="center" vertical="center" wrapText="1"/>
    </xf>
    <xf numFmtId="0" fontId="12" fillId="0" borderId="15" xfId="0" applyFont="1" applyBorder="1" applyAlignment="1">
      <alignment horizontal="center"/>
    </xf>
    <xf numFmtId="0" fontId="2" fillId="0" borderId="15" xfId="0" applyFont="1" applyBorder="1"/>
    <xf numFmtId="0" fontId="12" fillId="0" borderId="0" xfId="0" applyFont="1" applyAlignment="1">
      <alignment horizontal="center"/>
    </xf>
    <xf numFmtId="0" fontId="0" fillId="0" borderId="0" xfId="0" applyFont="1" applyAlignment="1"/>
    <xf numFmtId="3" fontId="12" fillId="0" borderId="16" xfId="0" applyNumberFormat="1" applyFont="1" applyBorder="1" applyAlignment="1">
      <alignment horizontal="center"/>
    </xf>
    <xf numFmtId="0" fontId="2" fillId="0" borderId="16" xfId="0" applyFont="1" applyBorder="1"/>
  </cellXfs>
  <cellStyles count="1">
    <cellStyle name="Normal" xfId="0" builtinId="0"/>
  </cellStyles>
  <dxfs count="2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
<Relationships xmlns="http://schemas.openxmlformats.org/package/2006/relationships"><Relationship Id="rId1" Type="http://customschemas.google.com/relationships/workbookmetadata" Target="commentsmeta1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0-0BAE-4533-9E02-572E4966D5DE}"/>
              </c:ext>
            </c:extLst>
          </c:dPt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1-0BAE-4533-9E02-572E4966D5DE}"/>
              </c:ext>
            </c:extLst>
          </c:dPt>
          <c:dPt>
            <c:idx val="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2-0BAE-4533-9E02-572E4966D5DE}"/>
              </c:ext>
            </c:extLst>
          </c:dPt>
          <c:dPt>
            <c:idx val="3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3-0BAE-4533-9E02-572E4966D5DE}"/>
              </c:ext>
            </c:extLst>
          </c:dPt>
          <c:dPt>
            <c:idx val="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4-0BAE-4533-9E02-572E4966D5DE}"/>
              </c:ext>
            </c:extLst>
          </c:dPt>
          <c:dPt>
            <c:idx val="5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5-0BAE-4533-9E02-572E4966D5DE}"/>
              </c:ext>
            </c:extLst>
          </c:dPt>
          <c:dPt>
            <c:idx val="6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6-0BAE-4533-9E02-572E4966D5DE}"/>
              </c:ext>
            </c:extLst>
          </c:dPt>
          <c:dPt>
            <c:idx val="7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7-0BAE-4533-9E02-572E4966D5DE}"/>
              </c:ext>
            </c:extLst>
          </c:dPt>
          <c:dPt>
            <c:idx val="8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8-0BAE-4533-9E02-572E4966D5DE}"/>
              </c:ext>
            </c:extLst>
          </c:dPt>
          <c:dPt>
            <c:idx val="9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9-0BAE-4533-9E02-572E4966D5DE}"/>
              </c:ext>
            </c:extLst>
          </c:dPt>
          <c:dPt>
            <c:idx val="1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A-0BAE-4533-9E02-572E4966D5DE}"/>
              </c:ext>
            </c:extLst>
          </c:dPt>
          <c:dPt>
            <c:idx val="1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B-0BAE-4533-9E02-572E4966D5DE}"/>
              </c:ext>
            </c:extLst>
          </c:dPt>
          <c:dPt>
            <c:idx val="1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C-0BAE-4533-9E02-572E4966D5DE}"/>
              </c:ext>
            </c:extLst>
          </c:dPt>
          <c:dPt>
            <c:idx val="13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D-0BAE-4533-9E02-572E4966D5DE}"/>
              </c:ext>
            </c:extLst>
          </c:dPt>
          <c:dPt>
            <c:idx val="1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E-0BAE-4533-9E02-572E4966D5DE}"/>
              </c:ext>
            </c:extLst>
          </c:dPt>
          <c:dPt>
            <c:idx val="15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F-0BAE-4533-9E02-572E4966D5DE}"/>
              </c:ext>
            </c:extLst>
          </c:dPt>
          <c:dPt>
            <c:idx val="16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0-0BAE-4533-9E02-572E4966D5DE}"/>
              </c:ext>
            </c:extLst>
          </c:dPt>
          <c:dPt>
            <c:idx val="17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1-0BAE-4533-9E02-572E4966D5DE}"/>
              </c:ext>
            </c:extLst>
          </c:dPt>
          <c:dPt>
            <c:idx val="18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2-0BAE-4533-9E02-572E4966D5DE}"/>
              </c:ext>
            </c:extLst>
          </c:dPt>
          <c:dPt>
            <c:idx val="19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3-0BAE-4533-9E02-572E4966D5DE}"/>
              </c:ext>
            </c:extLst>
          </c:dPt>
          <c:xVal>
            <c:numRef>
              <c:f>'UCI Coho Data'!$W$5:$W$24</c:f>
              <c:numCache>
                <c:formatCode>#,##0</c:formatCode>
                <c:ptCount val="20"/>
                <c:pt idx="0">
                  <c:v>7583</c:v>
                </c:pt>
                <c:pt idx="1">
                  <c:v>41823</c:v>
                </c:pt>
                <c:pt idx="2">
                  <c:v>60514</c:v>
                </c:pt>
                <c:pt idx="3">
                  <c:v>72550</c:v>
                </c:pt>
                <c:pt idx="4">
                  <c:v>28182</c:v>
                </c:pt>
                <c:pt idx="5">
                  <c:v>103139</c:v>
                </c:pt>
                <c:pt idx="6">
                  <c:v>64726</c:v>
                </c:pt>
                <c:pt idx="7">
                  <c:v>68205</c:v>
                </c:pt>
                <c:pt idx="8">
                  <c:v>28148</c:v>
                </c:pt>
                <c:pt idx="9">
                  <c:v>31209</c:v>
                </c:pt>
                <c:pt idx="10">
                  <c:v>36871</c:v>
                </c:pt>
                <c:pt idx="11">
                  <c:v>19607</c:v>
                </c:pt>
                <c:pt idx="12">
                  <c:v>12152</c:v>
                </c:pt>
                <c:pt idx="13">
                  <c:v>13604</c:v>
                </c:pt>
                <c:pt idx="14">
                  <c:v>35724</c:v>
                </c:pt>
                <c:pt idx="15">
                  <c:v>35789</c:v>
                </c:pt>
                <c:pt idx="16">
                  <c:v>23531</c:v>
                </c:pt>
                <c:pt idx="17">
                  <c:v>16869</c:v>
                </c:pt>
                <c:pt idx="18">
                  <c:v>54650</c:v>
                </c:pt>
                <c:pt idx="19">
                  <c:v>20655</c:v>
                </c:pt>
              </c:numCache>
            </c:numRef>
          </c:xVal>
          <c:yVal>
            <c:numRef>
              <c:f>'UCI Coho Data'!$R$5:$R$24</c:f>
              <c:numCache>
                <c:formatCode>#,##0</c:formatCode>
                <c:ptCount val="2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0BAE-4533-9E02-572E4966D5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0141050"/>
        <c:axId val="657266718"/>
      </c:scatterChart>
      <c:valAx>
        <c:axId val="183014105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  <c:overlay val="0"/>
        </c:title>
        <c:numFmt formatCode="#,##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57266718"/>
        <c:crosses val="autoZero"/>
        <c:crossBetween val="midCat"/>
      </c:valAx>
      <c:valAx>
        <c:axId val="65726671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  <c:overlay val="0"/>
        </c:title>
        <c:numFmt formatCode="#,##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30141050"/>
        <c:crosses val="autoZero"/>
        <c:crossBetween val="midCat"/>
      </c:valAx>
    </c:plotArea>
    <c:legend>
      <c:legendPos val="b"/>
      <c:layout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0-BD71-4B5B-B2CE-0F7409333E7C}"/>
              </c:ext>
            </c:extLst>
          </c:dPt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1-BD71-4B5B-B2CE-0F7409333E7C}"/>
              </c:ext>
            </c:extLst>
          </c:dPt>
          <c:dPt>
            <c:idx val="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2-BD71-4B5B-B2CE-0F7409333E7C}"/>
              </c:ext>
            </c:extLst>
          </c:dPt>
          <c:dPt>
            <c:idx val="3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3-BD71-4B5B-B2CE-0F7409333E7C}"/>
              </c:ext>
            </c:extLst>
          </c:dPt>
          <c:dPt>
            <c:idx val="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4-BD71-4B5B-B2CE-0F7409333E7C}"/>
              </c:ext>
            </c:extLst>
          </c:dPt>
          <c:dPt>
            <c:idx val="5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5-BD71-4B5B-B2CE-0F7409333E7C}"/>
              </c:ext>
            </c:extLst>
          </c:dPt>
          <c:dPt>
            <c:idx val="6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6-BD71-4B5B-B2CE-0F7409333E7C}"/>
              </c:ext>
            </c:extLst>
          </c:dPt>
          <c:dPt>
            <c:idx val="7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7-BD71-4B5B-B2CE-0F7409333E7C}"/>
              </c:ext>
            </c:extLst>
          </c:dPt>
          <c:dPt>
            <c:idx val="8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8-BD71-4B5B-B2CE-0F7409333E7C}"/>
              </c:ext>
            </c:extLst>
          </c:dPt>
          <c:dPt>
            <c:idx val="9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9-BD71-4B5B-B2CE-0F7409333E7C}"/>
              </c:ext>
            </c:extLst>
          </c:dPt>
          <c:dPt>
            <c:idx val="1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A-BD71-4B5B-B2CE-0F7409333E7C}"/>
              </c:ext>
            </c:extLst>
          </c:dPt>
          <c:dPt>
            <c:idx val="1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B-BD71-4B5B-B2CE-0F7409333E7C}"/>
              </c:ext>
            </c:extLst>
          </c:dPt>
          <c:dPt>
            <c:idx val="1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C-BD71-4B5B-B2CE-0F7409333E7C}"/>
              </c:ext>
            </c:extLst>
          </c:dPt>
          <c:dPt>
            <c:idx val="13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D-BD71-4B5B-B2CE-0F7409333E7C}"/>
              </c:ext>
            </c:extLst>
          </c:dPt>
          <c:dPt>
            <c:idx val="1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E-BD71-4B5B-B2CE-0F7409333E7C}"/>
              </c:ext>
            </c:extLst>
          </c:dPt>
          <c:dPt>
            <c:idx val="15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F-BD71-4B5B-B2CE-0F7409333E7C}"/>
              </c:ext>
            </c:extLst>
          </c:dPt>
          <c:dPt>
            <c:idx val="16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0-BD71-4B5B-B2CE-0F7409333E7C}"/>
              </c:ext>
            </c:extLst>
          </c:dPt>
          <c:dPt>
            <c:idx val="17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1-BD71-4B5B-B2CE-0F7409333E7C}"/>
              </c:ext>
            </c:extLst>
          </c:dPt>
          <c:dPt>
            <c:idx val="18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2-BD71-4B5B-B2CE-0F7409333E7C}"/>
              </c:ext>
            </c:extLst>
          </c:dPt>
          <c:dPt>
            <c:idx val="19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3-BD71-4B5B-B2CE-0F7409333E7C}"/>
              </c:ext>
            </c:extLst>
          </c:dPt>
          <c:xVal>
            <c:numRef>
              <c:f>'UCI Coho DataOld'!$U$8:$U$27</c:f>
              <c:numCache>
                <c:formatCode>#,##0</c:formatCode>
                <c:ptCount val="20"/>
                <c:pt idx="0">
                  <c:v>7583</c:v>
                </c:pt>
                <c:pt idx="1">
                  <c:v>41823</c:v>
                </c:pt>
                <c:pt idx="2">
                  <c:v>60514</c:v>
                </c:pt>
                <c:pt idx="3">
                  <c:v>72550</c:v>
                </c:pt>
                <c:pt idx="4">
                  <c:v>28182</c:v>
                </c:pt>
                <c:pt idx="5">
                  <c:v>103139</c:v>
                </c:pt>
                <c:pt idx="6">
                  <c:v>64726</c:v>
                </c:pt>
                <c:pt idx="7">
                  <c:v>68205</c:v>
                </c:pt>
                <c:pt idx="8">
                  <c:v>28148</c:v>
                </c:pt>
                <c:pt idx="9">
                  <c:v>31209</c:v>
                </c:pt>
                <c:pt idx="10">
                  <c:v>36871</c:v>
                </c:pt>
                <c:pt idx="11">
                  <c:v>19607</c:v>
                </c:pt>
                <c:pt idx="12">
                  <c:v>12152</c:v>
                </c:pt>
                <c:pt idx="13">
                  <c:v>13604</c:v>
                </c:pt>
                <c:pt idx="14">
                  <c:v>35724</c:v>
                </c:pt>
                <c:pt idx="15">
                  <c:v>35789</c:v>
                </c:pt>
                <c:pt idx="16">
                  <c:v>23531</c:v>
                </c:pt>
                <c:pt idx="17">
                  <c:v>16869</c:v>
                </c:pt>
                <c:pt idx="18">
                  <c:v>54650</c:v>
                </c:pt>
                <c:pt idx="19">
                  <c:v>20655</c:v>
                </c:pt>
              </c:numCache>
            </c:numRef>
          </c:xVal>
          <c:yVal>
            <c:numRef>
              <c:f>'UCI Coho DataOld'!$P$8:$P$27</c:f>
              <c:numCache>
                <c:formatCode>#,##0</c:formatCode>
                <c:ptCount val="20"/>
                <c:pt idx="0">
                  <c:v>29177</c:v>
                </c:pt>
                <c:pt idx="1">
                  <c:v>68810</c:v>
                </c:pt>
                <c:pt idx="2">
                  <c:v>19384</c:v>
                </c:pt>
                <c:pt idx="3">
                  <c:v>66185</c:v>
                </c:pt>
                <c:pt idx="4">
                  <c:v>26096</c:v>
                </c:pt>
                <c:pt idx="5">
                  <c:v>92888</c:v>
                </c:pt>
                <c:pt idx="6">
                  <c:v>67466</c:v>
                </c:pt>
                <c:pt idx="7">
                  <c:v>47311</c:v>
                </c:pt>
                <c:pt idx="8">
                  <c:v>67818</c:v>
                </c:pt>
                <c:pt idx="9">
                  <c:v>41346</c:v>
                </c:pt>
                <c:pt idx="10">
                  <c:v>39164</c:v>
                </c:pt>
                <c:pt idx="11">
                  <c:v>61165</c:v>
                </c:pt>
                <c:pt idx="12">
                  <c:v>19173</c:v>
                </c:pt>
                <c:pt idx="13">
                  <c:v>36844</c:v>
                </c:pt>
                <c:pt idx="14">
                  <c:v>110875</c:v>
                </c:pt>
                <c:pt idx="15">
                  <c:v>35622</c:v>
                </c:pt>
                <c:pt idx="16">
                  <c:v>56635</c:v>
                </c:pt>
                <c:pt idx="17">
                  <c:v>36202</c:v>
                </c:pt>
                <c:pt idx="18">
                  <c:v>83343</c:v>
                </c:pt>
                <c:pt idx="19">
                  <c:v>63450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BD71-4B5B-B2CE-0F7409333E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232274"/>
        <c:axId val="1980895664"/>
      </c:scatterChart>
      <c:valAx>
        <c:axId val="50223227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80895664"/>
        <c:crosses val="autoZero"/>
        <c:crossBetween val="midCat"/>
      </c:valAx>
      <c:valAx>
        <c:axId val="19808956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02232274"/>
        <c:crosses val="autoZero"/>
        <c:crossBetween val="midCat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19</xdr:col>
      <xdr:colOff>428625</xdr:colOff>
      <xdr:row>31</xdr:row>
      <xdr:rowOff>152400</xdr:rowOff>
    </xdr:from>
    <xdr:ext cx="4391025" cy="2905125"/>
    <xdr:graphicFrame macro="">
      <xdr:nvGraphicFramePr>
        <xdr:cNvPr id="1583096725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428625</xdr:colOff>
      <xdr:row>29</xdr:row>
      <xdr:rowOff>152400</xdr:rowOff>
    </xdr:from>
    <xdr:ext cx="4391025" cy="2905125"/>
    <xdr:graphicFrame macro="">
      <xdr:nvGraphicFramePr>
        <xdr:cNvPr id="132821988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1002"/>
  <sheetViews>
    <sheetView workbookViewId="0"/>
  </sheetViews>
  <sheetFormatPr defaultColWidth="14.44140625" defaultRowHeight="15" customHeight="1"/>
  <cols>
    <col min="1" max="1" width="8.6640625" customWidth="1"/>
    <col min="2" max="2" width="12.33203125" customWidth="1"/>
    <col min="3" max="12" width="8.6640625" customWidth="1"/>
    <col min="13" max="13" width="10.88671875" customWidth="1"/>
    <col min="14" max="14" width="8.6640625" customWidth="1"/>
    <col min="15" max="15" width="10.33203125" customWidth="1"/>
    <col min="16" max="16" width="11.5546875" customWidth="1"/>
    <col min="17" max="17" width="11.33203125" customWidth="1"/>
    <col min="18" max="18" width="11.109375" customWidth="1"/>
    <col min="19" max="26" width="8.6640625" customWidth="1"/>
  </cols>
  <sheetData>
    <row r="2" spans="1:18" ht="30.75" customHeight="1">
      <c r="A2" s="96" t="s">
        <v>0</v>
      </c>
      <c r="B2" s="97"/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  <c r="N2" s="97"/>
      <c r="O2" s="97"/>
      <c r="P2" s="97"/>
      <c r="Q2" s="97"/>
      <c r="R2" s="97"/>
    </row>
    <row r="3" spans="1:18" ht="14.4">
      <c r="A3" s="1"/>
      <c r="B3" s="2"/>
      <c r="C3" s="2"/>
      <c r="D3" s="98" t="s">
        <v>1</v>
      </c>
      <c r="E3" s="99"/>
      <c r="F3" s="99"/>
      <c r="G3" s="3"/>
      <c r="H3" s="2"/>
      <c r="I3" s="100" t="s">
        <v>2</v>
      </c>
      <c r="J3" s="99"/>
      <c r="K3" s="99"/>
      <c r="L3" s="2"/>
      <c r="M3" s="2"/>
      <c r="N3" s="100" t="s">
        <v>2</v>
      </c>
      <c r="O3" s="99"/>
      <c r="P3" s="2"/>
      <c r="Q3" s="2"/>
      <c r="R3" s="4"/>
    </row>
    <row r="4" spans="1:18" ht="37.799999999999997">
      <c r="A4" s="5" t="s">
        <v>3</v>
      </c>
      <c r="B4" s="6" t="s">
        <v>4</v>
      </c>
      <c r="C4" s="6" t="s">
        <v>5</v>
      </c>
      <c r="D4" s="6" t="s">
        <v>6</v>
      </c>
      <c r="E4" s="6" t="s">
        <v>7</v>
      </c>
      <c r="F4" s="6" t="s">
        <v>8</v>
      </c>
      <c r="G4" s="6" t="s">
        <v>9</v>
      </c>
      <c r="H4" s="6" t="s">
        <v>10</v>
      </c>
      <c r="I4" s="6" t="s">
        <v>11</v>
      </c>
      <c r="J4" s="7" t="s">
        <v>12</v>
      </c>
      <c r="K4" s="8" t="s">
        <v>13</v>
      </c>
      <c r="L4" s="6" t="s">
        <v>14</v>
      </c>
      <c r="M4" s="6" t="s">
        <v>15</v>
      </c>
      <c r="N4" s="6" t="s">
        <v>16</v>
      </c>
      <c r="O4" s="7" t="s">
        <v>17</v>
      </c>
      <c r="P4" s="6" t="s">
        <v>18</v>
      </c>
      <c r="Q4" s="6" t="s">
        <v>19</v>
      </c>
      <c r="R4" s="9" t="s">
        <v>20</v>
      </c>
    </row>
    <row r="5" spans="1:18" ht="14.4">
      <c r="A5" s="10">
        <v>1999</v>
      </c>
      <c r="B5" s="11">
        <f>'UCI Coho Data'!P5</f>
        <v>257704</v>
      </c>
      <c r="C5" s="11">
        <f>'UCI Coho Data'!R5</f>
        <v>0</v>
      </c>
      <c r="D5" s="12">
        <f>'UCI Coho Data'!T5</f>
        <v>4566</v>
      </c>
      <c r="E5" s="12">
        <f>'UCI Coho Data'!U5</f>
        <v>3017</v>
      </c>
      <c r="F5" s="11">
        <f>'UCI Coho Data'!W5</f>
        <v>7583</v>
      </c>
      <c r="G5" s="11">
        <f t="shared" ref="G5:G27" si="0">B5+F5</f>
        <v>265287</v>
      </c>
      <c r="H5" s="13" t="e">
        <f>'UCI Coho Data'!esc_index</f>
        <v>#REF!</v>
      </c>
      <c r="I5" s="11" t="e">
        <f t="shared" ref="I5:I27" si="1">MAX(G5-H5-(B5-C5),0)</f>
        <v>#REF!</v>
      </c>
      <c r="J5" s="14"/>
      <c r="K5" s="14"/>
      <c r="L5" s="14"/>
      <c r="M5" s="14"/>
      <c r="N5" s="14"/>
      <c r="O5" s="14"/>
      <c r="P5" s="14"/>
      <c r="Q5" s="14"/>
      <c r="R5" s="14"/>
    </row>
    <row r="6" spans="1:18" ht="14.4">
      <c r="A6" s="10">
        <v>2000</v>
      </c>
      <c r="B6" s="11">
        <f>'UCI Coho Data'!P6</f>
        <v>443988</v>
      </c>
      <c r="C6" s="11">
        <f>'UCI Coho Data'!R6</f>
        <v>0</v>
      </c>
      <c r="D6" s="11">
        <f>'UCI Coho Data'!T6</f>
        <v>26387</v>
      </c>
      <c r="E6" s="11">
        <f>'UCI Coho Data'!U6</f>
        <v>15436</v>
      </c>
      <c r="F6" s="11">
        <f>'UCI Coho Data'!W6</f>
        <v>41823</v>
      </c>
      <c r="G6" s="11">
        <f t="shared" si="0"/>
        <v>485811</v>
      </c>
      <c r="H6" s="13" t="e">
        <f>'UCI Coho Data'!esc_index</f>
        <v>#REF!</v>
      </c>
      <c r="I6" s="11" t="e">
        <f t="shared" si="1"/>
        <v>#REF!</v>
      </c>
      <c r="J6" s="14"/>
      <c r="K6" s="14"/>
      <c r="L6" s="14"/>
      <c r="M6" s="14"/>
      <c r="N6" s="14"/>
      <c r="O6" s="14"/>
      <c r="P6" s="14"/>
      <c r="Q6" s="14"/>
      <c r="R6" s="14"/>
    </row>
    <row r="7" spans="1:18" ht="14.4">
      <c r="A7" s="10">
        <v>2001</v>
      </c>
      <c r="B7" s="11">
        <f>'UCI Coho Data'!P7</f>
        <v>320985</v>
      </c>
      <c r="C7" s="11">
        <f>'UCI Coho Data'!R7</f>
        <v>0</v>
      </c>
      <c r="D7" s="11">
        <f>'UCI Coho Data'!T7</f>
        <v>29927</v>
      </c>
      <c r="E7" s="11">
        <f>'UCI Coho Data'!U7</f>
        <v>30587</v>
      </c>
      <c r="F7" s="11">
        <f>'UCI Coho Data'!W7</f>
        <v>60514</v>
      </c>
      <c r="G7" s="11">
        <f t="shared" si="0"/>
        <v>381499</v>
      </c>
      <c r="H7" s="13" t="e">
        <f>'UCI Coho Data'!esc_index</f>
        <v>#REF!</v>
      </c>
      <c r="I7" s="11" t="e">
        <f t="shared" si="1"/>
        <v>#REF!</v>
      </c>
      <c r="J7" s="14"/>
      <c r="K7" s="14"/>
      <c r="L7" s="14"/>
      <c r="M7" s="14"/>
      <c r="N7" s="14"/>
      <c r="O7" s="14"/>
      <c r="P7" s="14"/>
      <c r="Q7" s="14"/>
      <c r="R7" s="14"/>
    </row>
    <row r="8" spans="1:18" ht="14.4">
      <c r="A8" s="10">
        <v>2002</v>
      </c>
      <c r="B8" s="11">
        <f>'UCI Coho Data'!P8</f>
        <v>465327</v>
      </c>
      <c r="C8" s="11">
        <f>'UCI Coho Data'!R8</f>
        <v>0</v>
      </c>
      <c r="D8" s="11">
        <f>'UCI Coho Data'!T8</f>
        <v>24612</v>
      </c>
      <c r="E8" s="11">
        <f>'UCI Coho Data'!U8</f>
        <v>47938</v>
      </c>
      <c r="F8" s="11">
        <f>'UCI Coho Data'!W8</f>
        <v>72550</v>
      </c>
      <c r="G8" s="11">
        <f t="shared" si="0"/>
        <v>537877</v>
      </c>
      <c r="H8" s="13" t="e">
        <f>'UCI Coho Data'!esc_index</f>
        <v>#REF!</v>
      </c>
      <c r="I8" s="11" t="e">
        <f t="shared" si="1"/>
        <v>#REF!</v>
      </c>
      <c r="J8" s="15">
        <f t="shared" ref="J8:J27" si="2">SUM(C5:C8)/SUM(G5:G8)</f>
        <v>0</v>
      </c>
      <c r="K8" s="15" t="e">
        <f t="shared" ref="K8:K27" si="3">SUM(I5:I8)/SUM(G5:G8)</f>
        <v>#REF!</v>
      </c>
      <c r="L8" s="11" t="e">
        <f t="shared" ref="L8:L27" si="4">SUM(H5:H8)/2</f>
        <v>#REF!</v>
      </c>
      <c r="M8" s="11">
        <f t="shared" ref="M8:M27" si="5">SUM(F5:F8)</f>
        <v>182470</v>
      </c>
      <c r="N8" s="11" t="e">
        <f t="shared" ref="N8:N27" si="6">SUM(I5:I8)</f>
        <v>#REF!</v>
      </c>
      <c r="O8" s="11">
        <f t="shared" ref="O8:O27" si="7">SUM(C5:C8)</f>
        <v>0</v>
      </c>
      <c r="P8" s="16" t="e">
        <f t="shared" ref="P8:P27" si="8">IF(J8&gt;K8,"Yes","No")</f>
        <v>#REF!</v>
      </c>
      <c r="Q8" s="16" t="e">
        <f t="shared" ref="Q8:Q27" si="9">IF(M8&lt;L8,"Yes","No")</f>
        <v>#REF!</v>
      </c>
      <c r="R8" s="16" t="e">
        <f t="shared" ref="R8:R27" si="10">IF(O8&lt;=N8,"No","Yes")</f>
        <v>#REF!</v>
      </c>
    </row>
    <row r="9" spans="1:18" ht="14.4">
      <c r="A9" s="10">
        <v>2003</v>
      </c>
      <c r="B9" s="11">
        <f>'UCI Coho Data'!P9</f>
        <v>261952</v>
      </c>
      <c r="C9" s="11">
        <f>'UCI Coho Data'!R9</f>
        <v>0</v>
      </c>
      <c r="D9" s="11">
        <f>'UCI Coho Data'!T9</f>
        <v>17305</v>
      </c>
      <c r="E9" s="11">
        <f>'UCI Coho Data'!U9</f>
        <v>10877</v>
      </c>
      <c r="F9" s="11">
        <f>'UCI Coho Data'!W9</f>
        <v>28182</v>
      </c>
      <c r="G9" s="11">
        <f t="shared" si="0"/>
        <v>290134</v>
      </c>
      <c r="H9" s="13" t="e">
        <f>'UCI Coho Data'!esc_index</f>
        <v>#REF!</v>
      </c>
      <c r="I9" s="11" t="e">
        <f t="shared" si="1"/>
        <v>#REF!</v>
      </c>
      <c r="J9" s="15">
        <f t="shared" si="2"/>
        <v>0</v>
      </c>
      <c r="K9" s="15" t="e">
        <f t="shared" si="3"/>
        <v>#REF!</v>
      </c>
      <c r="L9" s="11" t="e">
        <f t="shared" si="4"/>
        <v>#REF!</v>
      </c>
      <c r="M9" s="11">
        <f t="shared" si="5"/>
        <v>203069</v>
      </c>
      <c r="N9" s="11" t="e">
        <f t="shared" si="6"/>
        <v>#REF!</v>
      </c>
      <c r="O9" s="11">
        <f t="shared" si="7"/>
        <v>0</v>
      </c>
      <c r="P9" s="16" t="e">
        <f t="shared" si="8"/>
        <v>#REF!</v>
      </c>
      <c r="Q9" s="16" t="e">
        <f t="shared" si="9"/>
        <v>#REF!</v>
      </c>
      <c r="R9" s="16" t="e">
        <f t="shared" si="10"/>
        <v>#REF!</v>
      </c>
    </row>
    <row r="10" spans="1:18" ht="14.4">
      <c r="A10" s="10">
        <v>2004</v>
      </c>
      <c r="B10" s="11">
        <f>'UCI Coho Data'!P10</f>
        <v>509533</v>
      </c>
      <c r="C10" s="11">
        <f>'UCI Coho Data'!R10</f>
        <v>0</v>
      </c>
      <c r="D10" s="11">
        <f>'UCI Coho Data'!T10</f>
        <v>62940</v>
      </c>
      <c r="E10" s="11">
        <f>'UCI Coho Data'!U10</f>
        <v>40199</v>
      </c>
      <c r="F10" s="11">
        <f>'UCI Coho Data'!W10</f>
        <v>103139</v>
      </c>
      <c r="G10" s="11">
        <f t="shared" si="0"/>
        <v>612672</v>
      </c>
      <c r="H10" s="13" t="e">
        <f>'UCI Coho Data'!esc_index</f>
        <v>#REF!</v>
      </c>
      <c r="I10" s="11" t="e">
        <f t="shared" si="1"/>
        <v>#REF!</v>
      </c>
      <c r="J10" s="15">
        <f t="shared" si="2"/>
        <v>0</v>
      </c>
      <c r="K10" s="15" t="e">
        <f t="shared" si="3"/>
        <v>#REF!</v>
      </c>
      <c r="L10" s="11" t="e">
        <f t="shared" si="4"/>
        <v>#REF!</v>
      </c>
      <c r="M10" s="11">
        <f t="shared" si="5"/>
        <v>264385</v>
      </c>
      <c r="N10" s="11" t="e">
        <f t="shared" si="6"/>
        <v>#REF!</v>
      </c>
      <c r="O10" s="11">
        <f t="shared" si="7"/>
        <v>0</v>
      </c>
      <c r="P10" s="16" t="e">
        <f t="shared" si="8"/>
        <v>#REF!</v>
      </c>
      <c r="Q10" s="16" t="e">
        <f t="shared" si="9"/>
        <v>#REF!</v>
      </c>
      <c r="R10" s="16" t="e">
        <f t="shared" si="10"/>
        <v>#REF!</v>
      </c>
    </row>
    <row r="11" spans="1:18" ht="14.4">
      <c r="A11" s="10">
        <v>2005</v>
      </c>
      <c r="B11" s="11">
        <f>'UCI Coho Data'!P11</f>
        <v>391817</v>
      </c>
      <c r="C11" s="11">
        <f>'UCI Coho Data'!R11</f>
        <v>0</v>
      </c>
      <c r="D11" s="11">
        <f>'UCI Coho Data'!T11</f>
        <v>47887</v>
      </c>
      <c r="E11" s="11">
        <f>'UCI Coho Data'!U11</f>
        <v>16839</v>
      </c>
      <c r="F11" s="11">
        <f>'UCI Coho Data'!W11</f>
        <v>64726</v>
      </c>
      <c r="G11" s="11">
        <f t="shared" si="0"/>
        <v>456543</v>
      </c>
      <c r="H11" s="13" t="e">
        <f>'UCI Coho Data'!esc_index</f>
        <v>#REF!</v>
      </c>
      <c r="I11" s="11" t="e">
        <f t="shared" si="1"/>
        <v>#REF!</v>
      </c>
      <c r="J11" s="15">
        <f t="shared" si="2"/>
        <v>0</v>
      </c>
      <c r="K11" s="15" t="e">
        <f t="shared" si="3"/>
        <v>#REF!</v>
      </c>
      <c r="L11" s="11" t="e">
        <f t="shared" si="4"/>
        <v>#REF!</v>
      </c>
      <c r="M11" s="11">
        <f t="shared" si="5"/>
        <v>268597</v>
      </c>
      <c r="N11" s="11" t="e">
        <f t="shared" si="6"/>
        <v>#REF!</v>
      </c>
      <c r="O11" s="11">
        <f t="shared" si="7"/>
        <v>0</v>
      </c>
      <c r="P11" s="16" t="e">
        <f t="shared" si="8"/>
        <v>#REF!</v>
      </c>
      <c r="Q11" s="16" t="e">
        <f t="shared" si="9"/>
        <v>#REF!</v>
      </c>
      <c r="R11" s="16" t="e">
        <f t="shared" si="10"/>
        <v>#REF!</v>
      </c>
    </row>
    <row r="12" spans="1:18" ht="14.4">
      <c r="A12" s="10">
        <v>2006</v>
      </c>
      <c r="B12" s="11">
        <f>'UCI Coho Data'!P12</f>
        <v>359893</v>
      </c>
      <c r="C12" s="11">
        <f>'UCI Coho Data'!R12</f>
        <v>0</v>
      </c>
      <c r="D12" s="11">
        <f>'UCI Coho Data'!T12</f>
        <v>59419</v>
      </c>
      <c r="E12" s="12">
        <f>'UCI Coho Data'!U12</f>
        <v>8786</v>
      </c>
      <c r="F12" s="11">
        <f>'UCI Coho Data'!W12</f>
        <v>68205</v>
      </c>
      <c r="G12" s="11">
        <f t="shared" si="0"/>
        <v>428098</v>
      </c>
      <c r="H12" s="13" t="e">
        <f>'UCI Coho Data'!esc_index</f>
        <v>#REF!</v>
      </c>
      <c r="I12" s="11" t="e">
        <f t="shared" si="1"/>
        <v>#REF!</v>
      </c>
      <c r="J12" s="15">
        <f t="shared" si="2"/>
        <v>0</v>
      </c>
      <c r="K12" s="15" t="e">
        <f t="shared" si="3"/>
        <v>#REF!</v>
      </c>
      <c r="L12" s="11" t="e">
        <f t="shared" si="4"/>
        <v>#REF!</v>
      </c>
      <c r="M12" s="11">
        <f t="shared" si="5"/>
        <v>264252</v>
      </c>
      <c r="N12" s="11" t="e">
        <f t="shared" si="6"/>
        <v>#REF!</v>
      </c>
      <c r="O12" s="11">
        <f t="shared" si="7"/>
        <v>0</v>
      </c>
      <c r="P12" s="16" t="e">
        <f t="shared" si="8"/>
        <v>#REF!</v>
      </c>
      <c r="Q12" s="16" t="e">
        <f t="shared" si="9"/>
        <v>#REF!</v>
      </c>
      <c r="R12" s="16" t="e">
        <f t="shared" si="10"/>
        <v>#REF!</v>
      </c>
    </row>
    <row r="13" spans="1:18" ht="14.4">
      <c r="A13" s="10">
        <v>2007</v>
      </c>
      <c r="B13" s="11">
        <f>'UCI Coho Data'!P13</f>
        <v>316900</v>
      </c>
      <c r="C13" s="11">
        <f>'UCI Coho Data'!R13</f>
        <v>0</v>
      </c>
      <c r="D13" s="11">
        <f>'UCI Coho Data'!T13</f>
        <v>10575</v>
      </c>
      <c r="E13" s="11">
        <f>'UCI Coho Data'!U13</f>
        <v>17573</v>
      </c>
      <c r="F13" s="11">
        <f>'UCI Coho Data'!W13</f>
        <v>28148</v>
      </c>
      <c r="G13" s="11">
        <f t="shared" si="0"/>
        <v>345048</v>
      </c>
      <c r="H13" s="13" t="e">
        <f>'UCI Coho Data'!esc_index</f>
        <v>#REF!</v>
      </c>
      <c r="I13" s="11" t="e">
        <f t="shared" si="1"/>
        <v>#REF!</v>
      </c>
      <c r="J13" s="15">
        <f t="shared" si="2"/>
        <v>0</v>
      </c>
      <c r="K13" s="15" t="e">
        <f t="shared" si="3"/>
        <v>#REF!</v>
      </c>
      <c r="L13" s="11" t="e">
        <f t="shared" si="4"/>
        <v>#REF!</v>
      </c>
      <c r="M13" s="11">
        <f t="shared" si="5"/>
        <v>264218</v>
      </c>
      <c r="N13" s="11" t="e">
        <f t="shared" si="6"/>
        <v>#REF!</v>
      </c>
      <c r="O13" s="11">
        <f t="shared" si="7"/>
        <v>0</v>
      </c>
      <c r="P13" s="16" t="e">
        <f t="shared" si="8"/>
        <v>#REF!</v>
      </c>
      <c r="Q13" s="16" t="e">
        <f t="shared" si="9"/>
        <v>#REF!</v>
      </c>
      <c r="R13" s="16" t="e">
        <f t="shared" si="10"/>
        <v>#REF!</v>
      </c>
    </row>
    <row r="14" spans="1:18" ht="14.4">
      <c r="A14" s="10">
        <v>2008</v>
      </c>
      <c r="B14" s="11">
        <f>'UCI Coho Data'!P14</f>
        <v>357443</v>
      </c>
      <c r="C14" s="11">
        <f>'UCI Coho Data'!R14</f>
        <v>0</v>
      </c>
      <c r="D14" s="11">
        <f>'UCI Coho Data'!T14</f>
        <v>12724</v>
      </c>
      <c r="E14" s="11">
        <f>'UCI Coho Data'!U14</f>
        <v>18485</v>
      </c>
      <c r="F14" s="11">
        <f>'UCI Coho Data'!W14</f>
        <v>31209</v>
      </c>
      <c r="G14" s="11">
        <f t="shared" si="0"/>
        <v>388652</v>
      </c>
      <c r="H14" s="13" t="e">
        <f>'UCI Coho Data'!esc_index</f>
        <v>#REF!</v>
      </c>
      <c r="I14" s="11" t="e">
        <f t="shared" si="1"/>
        <v>#REF!</v>
      </c>
      <c r="J14" s="15">
        <f t="shared" si="2"/>
        <v>0</v>
      </c>
      <c r="K14" s="15" t="e">
        <f t="shared" si="3"/>
        <v>#REF!</v>
      </c>
      <c r="L14" s="11" t="e">
        <f t="shared" si="4"/>
        <v>#REF!</v>
      </c>
      <c r="M14" s="11">
        <f t="shared" si="5"/>
        <v>192288</v>
      </c>
      <c r="N14" s="11" t="e">
        <f t="shared" si="6"/>
        <v>#REF!</v>
      </c>
      <c r="O14" s="11">
        <f t="shared" si="7"/>
        <v>0</v>
      </c>
      <c r="P14" s="16" t="e">
        <f t="shared" si="8"/>
        <v>#REF!</v>
      </c>
      <c r="Q14" s="16" t="e">
        <f t="shared" si="9"/>
        <v>#REF!</v>
      </c>
      <c r="R14" s="16" t="e">
        <f t="shared" si="10"/>
        <v>#REF!</v>
      </c>
    </row>
    <row r="15" spans="1:18" ht="14.4">
      <c r="A15" s="10">
        <v>2009</v>
      </c>
      <c r="B15" s="11">
        <f>'UCI Coho Data'!P15</f>
        <v>315690</v>
      </c>
      <c r="C15" s="11">
        <f>'UCI Coho Data'!R15</f>
        <v>0</v>
      </c>
      <c r="D15" s="11">
        <f>'UCI Coho Data'!T15</f>
        <v>27348</v>
      </c>
      <c r="E15" s="12">
        <f>'UCI Coho Data'!U15</f>
        <v>9523</v>
      </c>
      <c r="F15" s="11">
        <f>'UCI Coho Data'!W15</f>
        <v>36871</v>
      </c>
      <c r="G15" s="11">
        <f t="shared" si="0"/>
        <v>352561</v>
      </c>
      <c r="H15" s="13" t="e">
        <f>'UCI Coho Data'!esc_index</f>
        <v>#REF!</v>
      </c>
      <c r="I15" s="11" t="e">
        <f t="shared" si="1"/>
        <v>#REF!</v>
      </c>
      <c r="J15" s="15">
        <f t="shared" si="2"/>
        <v>0</v>
      </c>
      <c r="K15" s="15" t="e">
        <f t="shared" si="3"/>
        <v>#REF!</v>
      </c>
      <c r="L15" s="11" t="e">
        <f t="shared" si="4"/>
        <v>#REF!</v>
      </c>
      <c r="M15" s="11">
        <f t="shared" si="5"/>
        <v>164433</v>
      </c>
      <c r="N15" s="11" t="e">
        <f t="shared" si="6"/>
        <v>#REF!</v>
      </c>
      <c r="O15" s="11">
        <f t="shared" si="7"/>
        <v>0</v>
      </c>
      <c r="P15" s="16" t="e">
        <f t="shared" si="8"/>
        <v>#REF!</v>
      </c>
      <c r="Q15" s="16" t="e">
        <f t="shared" si="9"/>
        <v>#REF!</v>
      </c>
      <c r="R15" s="16" t="e">
        <f t="shared" si="10"/>
        <v>#REF!</v>
      </c>
    </row>
    <row r="16" spans="1:18" ht="14.4">
      <c r="A16" s="10">
        <v>2010</v>
      </c>
      <c r="B16" s="11">
        <f>'UCI Coho Data'!P16</f>
        <v>353653</v>
      </c>
      <c r="C16" s="11">
        <f>'UCI Coho Data'!R16</f>
        <v>0</v>
      </c>
      <c r="D16" s="11">
        <f>'UCI Coho Data'!T16</f>
        <v>10393</v>
      </c>
      <c r="E16" s="12">
        <f>'UCI Coho Data'!U16</f>
        <v>9214</v>
      </c>
      <c r="F16" s="11">
        <f>'UCI Coho Data'!W16</f>
        <v>19607</v>
      </c>
      <c r="G16" s="11">
        <f t="shared" si="0"/>
        <v>373260</v>
      </c>
      <c r="H16" s="13" t="e">
        <f>'UCI Coho Data'!esc_index</f>
        <v>#REF!</v>
      </c>
      <c r="I16" s="11" t="e">
        <f t="shared" si="1"/>
        <v>#REF!</v>
      </c>
      <c r="J16" s="15">
        <f t="shared" si="2"/>
        <v>0</v>
      </c>
      <c r="K16" s="15" t="e">
        <f t="shared" si="3"/>
        <v>#REF!</v>
      </c>
      <c r="L16" s="11" t="e">
        <f t="shared" si="4"/>
        <v>#REF!</v>
      </c>
      <c r="M16" s="11">
        <f t="shared" si="5"/>
        <v>115835</v>
      </c>
      <c r="N16" s="11" t="e">
        <f t="shared" si="6"/>
        <v>#REF!</v>
      </c>
      <c r="O16" s="11">
        <f t="shared" si="7"/>
        <v>0</v>
      </c>
      <c r="P16" s="16" t="e">
        <f t="shared" si="8"/>
        <v>#REF!</v>
      </c>
      <c r="Q16" s="16" t="e">
        <f t="shared" si="9"/>
        <v>#REF!</v>
      </c>
      <c r="R16" s="16" t="e">
        <f t="shared" si="10"/>
        <v>#REF!</v>
      </c>
    </row>
    <row r="17" spans="1:19" ht="14.4">
      <c r="A17" s="10">
        <v>2011</v>
      </c>
      <c r="B17" s="11">
        <f>'UCI Coho Data'!P17</f>
        <v>203893</v>
      </c>
      <c r="C17" s="11">
        <f>'UCI Coho Data'!R17</f>
        <v>0</v>
      </c>
      <c r="D17" s="12">
        <f>'UCI Coho Data'!T17</f>
        <v>7326</v>
      </c>
      <c r="E17" s="12">
        <f>'UCI Coho Data'!U17</f>
        <v>4826</v>
      </c>
      <c r="F17" s="11">
        <f>'UCI Coho Data'!W17</f>
        <v>12152</v>
      </c>
      <c r="G17" s="11">
        <f t="shared" si="0"/>
        <v>216045</v>
      </c>
      <c r="H17" s="13" t="e">
        <f>'UCI Coho Data'!esc_index</f>
        <v>#REF!</v>
      </c>
      <c r="I17" s="11" t="e">
        <f t="shared" si="1"/>
        <v>#REF!</v>
      </c>
      <c r="J17" s="15">
        <f t="shared" si="2"/>
        <v>0</v>
      </c>
      <c r="K17" s="15" t="e">
        <f t="shared" si="3"/>
        <v>#REF!</v>
      </c>
      <c r="L17" s="11" t="e">
        <f t="shared" si="4"/>
        <v>#REF!</v>
      </c>
      <c r="M17" s="11">
        <f t="shared" si="5"/>
        <v>99839</v>
      </c>
      <c r="N17" s="11" t="e">
        <f t="shared" si="6"/>
        <v>#REF!</v>
      </c>
      <c r="O17" s="11">
        <f t="shared" si="7"/>
        <v>0</v>
      </c>
      <c r="P17" s="16" t="e">
        <f t="shared" si="8"/>
        <v>#REF!</v>
      </c>
      <c r="Q17" s="16" t="e">
        <f t="shared" si="9"/>
        <v>#REF!</v>
      </c>
      <c r="R17" s="16" t="e">
        <f t="shared" si="10"/>
        <v>#REF!</v>
      </c>
    </row>
    <row r="18" spans="1:19" ht="14.4">
      <c r="A18" s="10">
        <v>2012</v>
      </c>
      <c r="B18" s="11">
        <f>'UCI Coho Data'!P18</f>
        <v>197966.31232095574</v>
      </c>
      <c r="C18" s="11">
        <f>'UCI Coho Data'!R18</f>
        <v>0</v>
      </c>
      <c r="D18" s="12">
        <f>'UCI Coho Data'!T18</f>
        <v>6825</v>
      </c>
      <c r="E18" s="12">
        <f>'UCI Coho Data'!U18</f>
        <v>6779</v>
      </c>
      <c r="F18" s="11">
        <f>'UCI Coho Data'!W18</f>
        <v>13604</v>
      </c>
      <c r="G18" s="11">
        <f t="shared" si="0"/>
        <v>211570.31232095574</v>
      </c>
      <c r="H18" s="13" t="e">
        <f>'UCI Coho Data'!esc_index</f>
        <v>#REF!</v>
      </c>
      <c r="I18" s="11" t="e">
        <f t="shared" si="1"/>
        <v>#REF!</v>
      </c>
      <c r="J18" s="15">
        <f t="shared" si="2"/>
        <v>0</v>
      </c>
      <c r="K18" s="15" t="e">
        <f t="shared" si="3"/>
        <v>#REF!</v>
      </c>
      <c r="L18" s="11" t="e">
        <f t="shared" si="4"/>
        <v>#REF!</v>
      </c>
      <c r="M18" s="11">
        <f t="shared" si="5"/>
        <v>82234</v>
      </c>
      <c r="N18" s="11" t="e">
        <f t="shared" si="6"/>
        <v>#REF!</v>
      </c>
      <c r="O18" s="11">
        <f t="shared" si="7"/>
        <v>0</v>
      </c>
      <c r="P18" s="16" t="e">
        <f t="shared" si="8"/>
        <v>#REF!</v>
      </c>
      <c r="Q18" s="16" t="e">
        <f t="shared" si="9"/>
        <v>#REF!</v>
      </c>
      <c r="R18" s="16" t="e">
        <f t="shared" si="10"/>
        <v>#REF!</v>
      </c>
    </row>
    <row r="19" spans="1:19" ht="14.4">
      <c r="A19" s="10">
        <v>2013</v>
      </c>
      <c r="B19" s="11">
        <f>'UCI Coho Data'!P19</f>
        <v>382699</v>
      </c>
      <c r="C19" s="11">
        <f>'UCI Coho Data'!R19</f>
        <v>0</v>
      </c>
      <c r="D19" s="11">
        <f>'UCI Coho Data'!T19</f>
        <v>22141</v>
      </c>
      <c r="E19" s="11">
        <f>'UCI Coho Data'!U19</f>
        <v>13583</v>
      </c>
      <c r="F19" s="11">
        <f>'UCI Coho Data'!W19</f>
        <v>35724</v>
      </c>
      <c r="G19" s="11">
        <f t="shared" si="0"/>
        <v>418423</v>
      </c>
      <c r="H19" s="13" t="e">
        <f>'UCI Coho Data'!esc_index</f>
        <v>#REF!</v>
      </c>
      <c r="I19" s="11" t="e">
        <f t="shared" si="1"/>
        <v>#REF!</v>
      </c>
      <c r="J19" s="15">
        <f t="shared" si="2"/>
        <v>0</v>
      </c>
      <c r="K19" s="15" t="e">
        <f t="shared" si="3"/>
        <v>#REF!</v>
      </c>
      <c r="L19" s="11" t="e">
        <f t="shared" si="4"/>
        <v>#REF!</v>
      </c>
      <c r="M19" s="11">
        <f t="shared" si="5"/>
        <v>81087</v>
      </c>
      <c r="N19" s="11" t="e">
        <f t="shared" si="6"/>
        <v>#REF!</v>
      </c>
      <c r="O19" s="11">
        <f t="shared" si="7"/>
        <v>0</v>
      </c>
      <c r="P19" s="17" t="e">
        <f t="shared" si="8"/>
        <v>#REF!</v>
      </c>
      <c r="Q19" s="16" t="e">
        <f t="shared" si="9"/>
        <v>#REF!</v>
      </c>
      <c r="R19" s="17" t="e">
        <f t="shared" si="10"/>
        <v>#REF!</v>
      </c>
      <c r="S19" s="18"/>
    </row>
    <row r="20" spans="1:19" ht="14.4">
      <c r="A20" s="10">
        <v>2014</v>
      </c>
      <c r="B20" s="11">
        <f>'UCI Coho Data'!P20</f>
        <v>280218</v>
      </c>
      <c r="C20" s="11">
        <f>'UCI Coho Data'!R20</f>
        <v>0</v>
      </c>
      <c r="D20" s="11">
        <f>'UCI Coho Data'!T20</f>
        <v>11578</v>
      </c>
      <c r="E20" s="11">
        <f>'UCI Coho Data'!U20</f>
        <v>24211</v>
      </c>
      <c r="F20" s="11">
        <f>'UCI Coho Data'!W20</f>
        <v>35789</v>
      </c>
      <c r="G20" s="11">
        <f t="shared" si="0"/>
        <v>316007</v>
      </c>
      <c r="H20" s="13" t="e">
        <f>'UCI Coho Data'!esc_index</f>
        <v>#REF!</v>
      </c>
      <c r="I20" s="11" t="e">
        <f t="shared" si="1"/>
        <v>#REF!</v>
      </c>
      <c r="J20" s="15">
        <f t="shared" si="2"/>
        <v>0</v>
      </c>
      <c r="K20" s="15" t="e">
        <f t="shared" si="3"/>
        <v>#REF!</v>
      </c>
      <c r="L20" s="11" t="e">
        <f t="shared" si="4"/>
        <v>#REF!</v>
      </c>
      <c r="M20" s="11">
        <f t="shared" si="5"/>
        <v>97269</v>
      </c>
      <c r="N20" s="11" t="e">
        <f t="shared" si="6"/>
        <v>#REF!</v>
      </c>
      <c r="O20" s="11">
        <f t="shared" si="7"/>
        <v>0</v>
      </c>
      <c r="P20" s="16" t="e">
        <f t="shared" si="8"/>
        <v>#REF!</v>
      </c>
      <c r="Q20" s="16" t="e">
        <f t="shared" si="9"/>
        <v>#REF!</v>
      </c>
      <c r="R20" s="16" t="e">
        <f t="shared" si="10"/>
        <v>#REF!</v>
      </c>
    </row>
    <row r="21" spans="1:19" ht="15.75" customHeight="1">
      <c r="A21" s="10">
        <v>2015</v>
      </c>
      <c r="B21" s="11">
        <f>'UCI Coho Data'!P21</f>
        <v>377887</v>
      </c>
      <c r="C21" s="11">
        <f>'UCI Coho Data'!R21</f>
        <v>0</v>
      </c>
      <c r="D21" s="11">
        <f>'UCI Coho Data'!T21</f>
        <v>10775</v>
      </c>
      <c r="E21" s="11">
        <f>'UCI Coho Data'!U21</f>
        <v>12756</v>
      </c>
      <c r="F21" s="11">
        <f>'UCI Coho Data'!W21</f>
        <v>23531</v>
      </c>
      <c r="G21" s="11">
        <f t="shared" si="0"/>
        <v>401418</v>
      </c>
      <c r="H21" s="13" t="e">
        <f>'UCI Coho Data'!esc_index</f>
        <v>#REF!</v>
      </c>
      <c r="I21" s="11" t="e">
        <f t="shared" si="1"/>
        <v>#REF!</v>
      </c>
      <c r="J21" s="15">
        <f t="shared" si="2"/>
        <v>0</v>
      </c>
      <c r="K21" s="15" t="e">
        <f t="shared" si="3"/>
        <v>#REF!</v>
      </c>
      <c r="L21" s="11" t="e">
        <f t="shared" si="4"/>
        <v>#REF!</v>
      </c>
      <c r="M21" s="11">
        <f t="shared" si="5"/>
        <v>108648</v>
      </c>
      <c r="N21" s="11" t="e">
        <f t="shared" si="6"/>
        <v>#REF!</v>
      </c>
      <c r="O21" s="11">
        <f t="shared" si="7"/>
        <v>0</v>
      </c>
      <c r="P21" s="16" t="e">
        <f t="shared" si="8"/>
        <v>#REF!</v>
      </c>
      <c r="Q21" s="16" t="e">
        <f t="shared" si="9"/>
        <v>#REF!</v>
      </c>
      <c r="R21" s="16" t="e">
        <f t="shared" si="10"/>
        <v>#REF!</v>
      </c>
    </row>
    <row r="22" spans="1:19" ht="15.75" customHeight="1">
      <c r="A22" s="10">
        <v>2016</v>
      </c>
      <c r="B22" s="11">
        <f>'UCI Coho Data'!P22</f>
        <v>231482</v>
      </c>
      <c r="C22" s="11">
        <f>'UCI Coho Data'!R22</f>
        <v>0</v>
      </c>
      <c r="D22" s="12">
        <f>'UCI Coho Data'!T22</f>
        <v>6820</v>
      </c>
      <c r="E22" s="12">
        <f>'UCI Coho Data'!U22</f>
        <v>10049</v>
      </c>
      <c r="F22" s="11">
        <f>'UCI Coho Data'!W22</f>
        <v>16869</v>
      </c>
      <c r="G22" s="11">
        <f t="shared" si="0"/>
        <v>248351</v>
      </c>
      <c r="H22" s="13" t="e">
        <f>'UCI Coho Data'!esc_index</f>
        <v>#REF!</v>
      </c>
      <c r="I22" s="11" t="e">
        <f t="shared" si="1"/>
        <v>#REF!</v>
      </c>
      <c r="J22" s="15">
        <f t="shared" si="2"/>
        <v>0</v>
      </c>
      <c r="K22" s="15" t="e">
        <f t="shared" si="3"/>
        <v>#REF!</v>
      </c>
      <c r="L22" s="11" t="e">
        <f t="shared" si="4"/>
        <v>#REF!</v>
      </c>
      <c r="M22" s="11">
        <f t="shared" si="5"/>
        <v>111913</v>
      </c>
      <c r="N22" s="11" t="e">
        <f t="shared" si="6"/>
        <v>#REF!</v>
      </c>
      <c r="O22" s="11">
        <f t="shared" si="7"/>
        <v>0</v>
      </c>
      <c r="P22" s="16" t="e">
        <f t="shared" si="8"/>
        <v>#REF!</v>
      </c>
      <c r="Q22" s="16" t="e">
        <f t="shared" si="9"/>
        <v>#REF!</v>
      </c>
      <c r="R22" s="16" t="e">
        <f t="shared" si="10"/>
        <v>#REF!</v>
      </c>
    </row>
    <row r="23" spans="1:19" ht="15.75" customHeight="1">
      <c r="A23" s="10">
        <v>2017</v>
      </c>
      <c r="B23" s="11">
        <f>'UCI Coho Data'!P23</f>
        <v>416258</v>
      </c>
      <c r="C23" s="11">
        <f>'UCI Coho Data'!R23</f>
        <v>0</v>
      </c>
      <c r="D23" s="11">
        <f>'UCI Coho Data'!T23</f>
        <v>36869</v>
      </c>
      <c r="E23" s="11">
        <f>'UCI Coho Data'!U23</f>
        <v>17781</v>
      </c>
      <c r="F23" s="11">
        <f>'UCI Coho Data'!W23</f>
        <v>54650</v>
      </c>
      <c r="G23" s="11">
        <f t="shared" si="0"/>
        <v>470908</v>
      </c>
      <c r="H23" s="13" t="e">
        <f>'UCI Coho Data'!esc_index</f>
        <v>#REF!</v>
      </c>
      <c r="I23" s="11" t="e">
        <f t="shared" si="1"/>
        <v>#REF!</v>
      </c>
      <c r="J23" s="15">
        <f t="shared" si="2"/>
        <v>0</v>
      </c>
      <c r="K23" s="15" t="e">
        <f t="shared" si="3"/>
        <v>#REF!</v>
      </c>
      <c r="L23" s="11" t="e">
        <f t="shared" si="4"/>
        <v>#REF!</v>
      </c>
      <c r="M23" s="11">
        <f t="shared" si="5"/>
        <v>130839</v>
      </c>
      <c r="N23" s="11" t="e">
        <f t="shared" si="6"/>
        <v>#REF!</v>
      </c>
      <c r="O23" s="11">
        <f t="shared" si="7"/>
        <v>0</v>
      </c>
      <c r="P23" s="16" t="e">
        <f t="shared" si="8"/>
        <v>#REF!</v>
      </c>
      <c r="Q23" s="16" t="e">
        <f t="shared" si="9"/>
        <v>#REF!</v>
      </c>
      <c r="R23" s="16" t="e">
        <f t="shared" si="10"/>
        <v>#REF!</v>
      </c>
    </row>
    <row r="24" spans="1:19" ht="15.75" customHeight="1">
      <c r="A24" s="10">
        <v>2018</v>
      </c>
      <c r="B24" s="11">
        <f>'UCI Coho Data'!P24</f>
        <v>362708</v>
      </c>
      <c r="C24" s="11">
        <f>'UCI Coho Data'!R24</f>
        <v>0</v>
      </c>
      <c r="D24" s="11">
        <f>'UCI Coho Data'!T24</f>
        <v>13072</v>
      </c>
      <c r="E24" s="12">
        <f>'UCI Coho Data'!U24</f>
        <v>7583</v>
      </c>
      <c r="F24" s="11">
        <f>'UCI Coho Data'!W24</f>
        <v>20655</v>
      </c>
      <c r="G24" s="11">
        <f t="shared" si="0"/>
        <v>383363</v>
      </c>
      <c r="H24" s="13" t="e">
        <f>'UCI Coho Data'!esc_index</f>
        <v>#REF!</v>
      </c>
      <c r="I24" s="11" t="e">
        <f t="shared" si="1"/>
        <v>#REF!</v>
      </c>
      <c r="J24" s="15">
        <f t="shared" si="2"/>
        <v>0</v>
      </c>
      <c r="K24" s="15" t="e">
        <f t="shared" si="3"/>
        <v>#REF!</v>
      </c>
      <c r="L24" s="11" t="e">
        <f t="shared" si="4"/>
        <v>#REF!</v>
      </c>
      <c r="M24" s="11">
        <f t="shared" si="5"/>
        <v>115705</v>
      </c>
      <c r="N24" s="11" t="e">
        <f t="shared" si="6"/>
        <v>#REF!</v>
      </c>
      <c r="O24" s="11">
        <f t="shared" si="7"/>
        <v>0</v>
      </c>
      <c r="P24" s="16" t="e">
        <f t="shared" si="8"/>
        <v>#REF!</v>
      </c>
      <c r="Q24" s="16" t="e">
        <f t="shared" si="9"/>
        <v>#REF!</v>
      </c>
      <c r="R24" s="16" t="e">
        <f t="shared" si="10"/>
        <v>#REF!</v>
      </c>
    </row>
    <row r="25" spans="1:19" ht="15.75" customHeight="1">
      <c r="A25" s="10">
        <v>2019</v>
      </c>
      <c r="B25" s="11">
        <f>'UCI Coho Data'!P25</f>
        <v>273194</v>
      </c>
      <c r="C25" s="11">
        <f>'UCI Coho Data'!R25</f>
        <v>0</v>
      </c>
      <c r="D25" s="11">
        <f>'UCI Coho Data'!T25</f>
        <v>10445</v>
      </c>
      <c r="E25" s="12">
        <f>'UCI Coho Data'!U25</f>
        <v>4229</v>
      </c>
      <c r="F25" s="11">
        <f>'UCI Coho Data'!W25</f>
        <v>14674</v>
      </c>
      <c r="G25" s="11">
        <f t="shared" si="0"/>
        <v>287868</v>
      </c>
      <c r="H25" s="13">
        <v>20300</v>
      </c>
      <c r="I25" s="11">
        <f t="shared" si="1"/>
        <v>0</v>
      </c>
      <c r="J25" s="15">
        <f t="shared" si="2"/>
        <v>0</v>
      </c>
      <c r="K25" s="15" t="e">
        <f t="shared" si="3"/>
        <v>#REF!</v>
      </c>
      <c r="L25" s="11" t="e">
        <f t="shared" si="4"/>
        <v>#REF!</v>
      </c>
      <c r="M25" s="11">
        <f t="shared" si="5"/>
        <v>106848</v>
      </c>
      <c r="N25" s="11" t="e">
        <f t="shared" si="6"/>
        <v>#REF!</v>
      </c>
      <c r="O25" s="11">
        <f t="shared" si="7"/>
        <v>0</v>
      </c>
      <c r="P25" s="16" t="e">
        <f t="shared" si="8"/>
        <v>#REF!</v>
      </c>
      <c r="Q25" s="16" t="e">
        <f t="shared" si="9"/>
        <v>#REF!</v>
      </c>
      <c r="R25" s="16" t="e">
        <f t="shared" si="10"/>
        <v>#REF!</v>
      </c>
    </row>
    <row r="26" spans="1:19" ht="15.75" customHeight="1">
      <c r="A26" s="10">
        <v>2020</v>
      </c>
      <c r="B26" s="11">
        <f>'UCI Coho Data'!P26</f>
        <v>226730</v>
      </c>
      <c r="C26" s="11">
        <f>'UCI Coho Data'!R26</f>
        <v>0</v>
      </c>
      <c r="D26" s="19" t="s">
        <v>21</v>
      </c>
      <c r="E26" s="11">
        <f>'UCI Coho Data'!U26</f>
        <v>10765</v>
      </c>
      <c r="F26" s="11">
        <f>'UCI Coho Data'!W26</f>
        <v>10765</v>
      </c>
      <c r="G26" s="11">
        <f t="shared" si="0"/>
        <v>237495</v>
      </c>
      <c r="H26" s="13">
        <v>20300</v>
      </c>
      <c r="I26" s="11">
        <f t="shared" si="1"/>
        <v>0</v>
      </c>
      <c r="J26" s="15">
        <f t="shared" si="2"/>
        <v>0</v>
      </c>
      <c r="K26" s="15" t="e">
        <f t="shared" si="3"/>
        <v>#REF!</v>
      </c>
      <c r="L26" s="11" t="e">
        <f t="shared" si="4"/>
        <v>#REF!</v>
      </c>
      <c r="M26" s="11">
        <f t="shared" si="5"/>
        <v>100744</v>
      </c>
      <c r="N26" s="11" t="e">
        <f t="shared" si="6"/>
        <v>#REF!</v>
      </c>
      <c r="O26" s="11">
        <f t="shared" si="7"/>
        <v>0</v>
      </c>
      <c r="P26" s="16" t="e">
        <f t="shared" si="8"/>
        <v>#REF!</v>
      </c>
      <c r="Q26" s="16" t="e">
        <f t="shared" si="9"/>
        <v>#REF!</v>
      </c>
      <c r="R26" s="16" t="e">
        <f t="shared" si="10"/>
        <v>#REF!</v>
      </c>
    </row>
    <row r="27" spans="1:19" ht="15.75" customHeight="1">
      <c r="A27" s="10">
        <v>2021</v>
      </c>
      <c r="B27" s="11">
        <f>'UCI Coho Data'!P27</f>
        <v>277020</v>
      </c>
      <c r="C27" s="11">
        <f>'UCI Coho Data'!R27</f>
        <v>0</v>
      </c>
      <c r="D27" s="19" t="s">
        <v>21</v>
      </c>
      <c r="E27" s="11">
        <f>'UCI Coho Data'!U27</f>
        <v>10923</v>
      </c>
      <c r="F27" s="11">
        <f>'UCI Coho Data'!W27</f>
        <v>10923</v>
      </c>
      <c r="G27" s="11">
        <f t="shared" si="0"/>
        <v>287943</v>
      </c>
      <c r="H27" s="13">
        <v>20300</v>
      </c>
      <c r="I27" s="11">
        <f t="shared" si="1"/>
        <v>0</v>
      </c>
      <c r="J27" s="15">
        <f t="shared" si="2"/>
        <v>0</v>
      </c>
      <c r="K27" s="15" t="e">
        <f t="shared" si="3"/>
        <v>#REF!</v>
      </c>
      <c r="L27" s="11" t="e">
        <f t="shared" si="4"/>
        <v>#REF!</v>
      </c>
      <c r="M27" s="11">
        <f t="shared" si="5"/>
        <v>57017</v>
      </c>
      <c r="N27" s="11" t="e">
        <f t="shared" si="6"/>
        <v>#REF!</v>
      </c>
      <c r="O27" s="11">
        <f t="shared" si="7"/>
        <v>0</v>
      </c>
      <c r="P27" s="17" t="e">
        <f t="shared" si="8"/>
        <v>#REF!</v>
      </c>
      <c r="Q27" s="16" t="e">
        <f t="shared" si="9"/>
        <v>#REF!</v>
      </c>
      <c r="R27" s="17" t="e">
        <f t="shared" si="10"/>
        <v>#REF!</v>
      </c>
      <c r="S27" s="18"/>
    </row>
    <row r="28" spans="1:19" ht="15.75" customHeight="1">
      <c r="A28" s="20">
        <v>2022</v>
      </c>
    </row>
    <row r="29" spans="1:19" ht="15.75" customHeight="1">
      <c r="A29" s="21">
        <v>2023</v>
      </c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</row>
    <row r="30" spans="1:19" ht="15.75" customHeight="1"/>
    <row r="31" spans="1:19" ht="15.75" customHeight="1">
      <c r="A31" s="23" t="s">
        <v>22</v>
      </c>
    </row>
    <row r="32" spans="1:19" ht="15.75" customHeight="1">
      <c r="A32" s="10" t="s">
        <v>23</v>
      </c>
    </row>
    <row r="33" spans="1:1" ht="15.75" customHeight="1">
      <c r="A33" s="23" t="s">
        <v>24</v>
      </c>
    </row>
    <row r="34" spans="1:1" ht="15.75" customHeight="1"/>
    <row r="35" spans="1:1" ht="15.75" customHeight="1">
      <c r="A35" s="24"/>
    </row>
    <row r="36" spans="1:1" ht="15.75" customHeight="1">
      <c r="A36" s="25"/>
    </row>
    <row r="37" spans="1:1" ht="15.75" customHeight="1"/>
    <row r="38" spans="1:1" ht="15.75" customHeight="1">
      <c r="A38" s="25"/>
    </row>
    <row r="39" spans="1:1" ht="15.75" customHeight="1">
      <c r="A39" s="25"/>
    </row>
    <row r="40" spans="1:1" ht="15.75" customHeight="1"/>
    <row r="41" spans="1:1" ht="15.75" customHeight="1"/>
    <row r="42" spans="1:1" ht="15.75" customHeight="1"/>
    <row r="43" spans="1:1" ht="15.75" customHeight="1"/>
    <row r="44" spans="1:1" ht="15.75" customHeight="1"/>
    <row r="45" spans="1:1" ht="15.75" customHeight="1"/>
    <row r="46" spans="1:1" ht="15.75" customHeight="1"/>
    <row r="47" spans="1:1" ht="15.75" customHeight="1"/>
    <row r="48" spans="1:1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mergeCells count="4">
    <mergeCell ref="A2:R2"/>
    <mergeCell ref="D3:F3"/>
    <mergeCell ref="I3:K3"/>
    <mergeCell ref="N3:O3"/>
  </mergeCell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O999"/>
  <sheetViews>
    <sheetView tabSelected="1" workbookViewId="0">
      <pane ySplit="4" topLeftCell="A14" activePane="bottomLeft" state="frozen"/>
      <selection pane="bottomLeft" activeCell="A4" sqref="A2:XFD4"/>
    </sheetView>
  </sheetViews>
  <sheetFormatPr defaultColWidth="14.44140625" defaultRowHeight="15" customHeight="1"/>
  <cols>
    <col min="1" max="3" width="8.6640625" customWidth="1"/>
    <col min="4" max="5" width="10.5546875" customWidth="1"/>
    <col min="6" max="6" width="8.6640625" customWidth="1"/>
    <col min="7" max="7" width="2.6640625" customWidth="1"/>
    <col min="8" max="12" width="8.6640625" customWidth="1"/>
    <col min="13" max="13" width="2.6640625" customWidth="1"/>
    <col min="14" max="14" width="12.5546875" customWidth="1"/>
    <col min="15" max="15" width="2.6640625" customWidth="1"/>
    <col min="16" max="17" width="8.6640625" customWidth="1"/>
    <col min="18" max="18" width="10.5546875" customWidth="1"/>
    <col min="19" max="19" width="2.6640625" customWidth="1"/>
    <col min="20" max="23" width="8.6640625" customWidth="1"/>
    <col min="24" max="24" width="2.6640625" customWidth="1"/>
    <col min="25" max="25" width="9.5546875" customWidth="1"/>
    <col min="26" max="27" width="8.6640625" customWidth="1"/>
    <col min="28" max="28" width="10.33203125" customWidth="1"/>
    <col min="29" max="30" width="8.6640625" customWidth="1"/>
    <col min="31" max="31" width="10.33203125" customWidth="1"/>
    <col min="32" max="32" width="8.6640625" customWidth="1"/>
    <col min="33" max="33" width="13.33203125" customWidth="1"/>
    <col min="35" max="35" width="14.6640625" customWidth="1"/>
    <col min="36" max="36" width="12.33203125" customWidth="1"/>
    <col min="37" max="37" width="8.6640625" customWidth="1"/>
    <col min="38" max="38" width="15.5546875" customWidth="1"/>
    <col min="39" max="41" width="8.6640625" customWidth="1"/>
  </cols>
  <sheetData>
    <row r="1" spans="1:41" ht="14.4">
      <c r="A1" s="26" t="s">
        <v>25</v>
      </c>
    </row>
    <row r="2" spans="1:41" ht="14.4">
      <c r="A2" s="25"/>
      <c r="B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6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L2" s="25"/>
    </row>
    <row r="3" spans="1:41" ht="15" customHeight="1">
      <c r="A3" s="35"/>
      <c r="B3" s="36" t="s">
        <v>38</v>
      </c>
      <c r="C3" s="36"/>
      <c r="D3" s="36"/>
      <c r="E3" s="36"/>
      <c r="F3" s="36"/>
      <c r="G3" s="35"/>
      <c r="H3" s="101" t="s">
        <v>39</v>
      </c>
      <c r="I3" s="102"/>
      <c r="J3" s="102"/>
      <c r="K3" s="102"/>
      <c r="L3" s="102"/>
      <c r="M3" s="37"/>
      <c r="N3" s="36" t="s">
        <v>40</v>
      </c>
      <c r="O3" s="35"/>
      <c r="P3" s="38" t="s">
        <v>33</v>
      </c>
      <c r="Q3" s="37"/>
      <c r="R3" s="35"/>
      <c r="S3" s="35"/>
      <c r="T3" s="101" t="s">
        <v>42</v>
      </c>
      <c r="U3" s="102"/>
      <c r="V3" s="102"/>
      <c r="W3" s="102"/>
      <c r="X3" s="37"/>
      <c r="Y3" s="37"/>
      <c r="Z3" s="105"/>
      <c r="AA3" s="106"/>
      <c r="AB3" s="106"/>
      <c r="AC3" s="35"/>
      <c r="AD3" s="35"/>
      <c r="AE3" s="101"/>
      <c r="AF3" s="102"/>
      <c r="AG3" s="101"/>
      <c r="AH3" s="102"/>
      <c r="AI3" s="39"/>
      <c r="AJ3" s="39"/>
      <c r="AL3" s="26"/>
    </row>
    <row r="4" spans="1:41" ht="14.4">
      <c r="A4" s="30" t="s">
        <v>3</v>
      </c>
      <c r="B4" s="30" t="s">
        <v>46</v>
      </c>
      <c r="C4" s="30" t="s">
        <v>47</v>
      </c>
      <c r="D4" s="40" t="s">
        <v>48</v>
      </c>
      <c r="E4" s="40" t="s">
        <v>49</v>
      </c>
      <c r="F4" s="41" t="s">
        <v>33</v>
      </c>
      <c r="H4" s="30" t="s">
        <v>50</v>
      </c>
      <c r="I4" s="30" t="s">
        <v>51</v>
      </c>
      <c r="J4" s="30" t="s">
        <v>52</v>
      </c>
      <c r="K4" s="30" t="s">
        <v>53</v>
      </c>
      <c r="L4" s="41" t="s">
        <v>33</v>
      </c>
      <c r="M4" s="30"/>
      <c r="N4" s="30" t="s">
        <v>33</v>
      </c>
      <c r="O4" s="30"/>
      <c r="P4" s="42" t="s">
        <v>54</v>
      </c>
      <c r="Q4" s="43"/>
      <c r="R4" s="41"/>
      <c r="S4" s="30"/>
      <c r="T4" s="30" t="s">
        <v>30</v>
      </c>
      <c r="U4" s="30" t="s">
        <v>31</v>
      </c>
      <c r="V4" s="31" t="s">
        <v>32</v>
      </c>
      <c r="W4" s="41" t="s">
        <v>33</v>
      </c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44"/>
      <c r="AJ4" s="44"/>
    </row>
    <row r="5" spans="1:41" ht="14.4">
      <c r="A5" s="23">
        <v>1999</v>
      </c>
      <c r="B5" s="18">
        <v>64814</v>
      </c>
      <c r="C5" s="18">
        <v>11923</v>
      </c>
      <c r="D5" s="18">
        <v>17725</v>
      </c>
      <c r="E5" s="18">
        <v>31643</v>
      </c>
      <c r="F5" s="45">
        <f t="shared" ref="F5:F27" si="0">SUM(B5:E5)</f>
        <v>126105</v>
      </c>
      <c r="G5" s="25"/>
      <c r="H5" s="18">
        <v>1652</v>
      </c>
      <c r="I5" s="18">
        <v>1329</v>
      </c>
      <c r="J5" s="18">
        <v>76289</v>
      </c>
      <c r="K5" s="18">
        <v>50916</v>
      </c>
      <c r="L5" s="46">
        <f t="shared" ref="L5:L27" si="1">SUM(H5:K5)</f>
        <v>130186</v>
      </c>
      <c r="M5" s="18"/>
      <c r="N5" s="47">
        <v>1413</v>
      </c>
      <c r="O5" s="47"/>
      <c r="P5" s="45">
        <f t="shared" ref="P5:P27" si="2">F5+L5+N5</f>
        <v>257704</v>
      </c>
      <c r="Q5" s="48"/>
      <c r="R5" s="45"/>
      <c r="S5" s="18"/>
      <c r="T5" s="49">
        <v>4566</v>
      </c>
      <c r="U5" s="49">
        <v>3017</v>
      </c>
      <c r="V5" s="33">
        <v>1766</v>
      </c>
      <c r="W5" s="45">
        <f t="shared" ref="W5:W29" si="3">SUM(T5:U5)</f>
        <v>7583</v>
      </c>
      <c r="X5" s="18"/>
      <c r="Y5" s="50"/>
      <c r="Z5" s="50"/>
      <c r="AA5" s="51"/>
      <c r="AB5" s="51"/>
      <c r="AC5" s="50"/>
      <c r="AD5" s="50"/>
      <c r="AE5" s="50"/>
      <c r="AF5" s="50"/>
      <c r="AN5" s="18"/>
      <c r="AO5" s="18"/>
    </row>
    <row r="6" spans="1:41" ht="14.4">
      <c r="A6" s="23">
        <v>2000</v>
      </c>
      <c r="B6" s="18">
        <v>131478</v>
      </c>
      <c r="C6" s="18">
        <v>11078</v>
      </c>
      <c r="D6" s="18">
        <v>22840</v>
      </c>
      <c r="E6" s="18">
        <v>71475</v>
      </c>
      <c r="F6" s="45">
        <f t="shared" si="0"/>
        <v>236871</v>
      </c>
      <c r="G6" s="25"/>
      <c r="H6" s="18">
        <v>1631</v>
      </c>
      <c r="I6" s="18">
        <v>2612</v>
      </c>
      <c r="J6" s="18">
        <v>135590</v>
      </c>
      <c r="K6" s="18">
        <v>63646</v>
      </c>
      <c r="L6" s="46">
        <f t="shared" si="1"/>
        <v>203479</v>
      </c>
      <c r="M6" s="18"/>
      <c r="N6" s="47">
        <v>3638</v>
      </c>
      <c r="O6" s="47"/>
      <c r="P6" s="45">
        <f t="shared" si="2"/>
        <v>443988</v>
      </c>
      <c r="Q6" s="48"/>
      <c r="R6" s="45"/>
      <c r="S6" s="18"/>
      <c r="T6" s="18">
        <v>26387</v>
      </c>
      <c r="U6" s="18">
        <v>15436</v>
      </c>
      <c r="V6" s="33">
        <v>5218</v>
      </c>
      <c r="W6" s="45">
        <f t="shared" si="3"/>
        <v>41823</v>
      </c>
      <c r="X6" s="18"/>
      <c r="Y6" s="50"/>
      <c r="Z6" s="50"/>
      <c r="AA6" s="51"/>
      <c r="AB6" s="51"/>
      <c r="AC6" s="50"/>
      <c r="AD6" s="50"/>
      <c r="AE6" s="50"/>
      <c r="AF6" s="50"/>
      <c r="AN6" s="18"/>
      <c r="AO6" s="18"/>
    </row>
    <row r="7" spans="1:41" ht="14.4">
      <c r="A7" s="23">
        <v>2001</v>
      </c>
      <c r="B7" s="18">
        <v>39418</v>
      </c>
      <c r="C7" s="18">
        <v>4246</v>
      </c>
      <c r="D7" s="18">
        <v>23719</v>
      </c>
      <c r="E7" s="18">
        <v>45928</v>
      </c>
      <c r="F7" s="45">
        <f t="shared" si="0"/>
        <v>113311</v>
      </c>
      <c r="G7" s="25"/>
      <c r="H7" s="18">
        <v>2900</v>
      </c>
      <c r="I7" s="18">
        <v>3736</v>
      </c>
      <c r="J7" s="18">
        <v>128762</v>
      </c>
      <c r="K7" s="18">
        <v>69639</v>
      </c>
      <c r="L7" s="46">
        <f t="shared" si="1"/>
        <v>205037</v>
      </c>
      <c r="M7" s="18"/>
      <c r="N7" s="47">
        <v>2637</v>
      </c>
      <c r="O7" s="47"/>
      <c r="P7" s="45">
        <f t="shared" si="2"/>
        <v>320985</v>
      </c>
      <c r="Q7" s="48"/>
      <c r="R7" s="45"/>
      <c r="S7" s="18"/>
      <c r="T7" s="18">
        <v>29927</v>
      </c>
      <c r="U7" s="18">
        <v>30587</v>
      </c>
      <c r="V7" s="33">
        <v>9247</v>
      </c>
      <c r="W7" s="45">
        <f t="shared" si="3"/>
        <v>60514</v>
      </c>
      <c r="X7" s="18"/>
      <c r="Y7" s="50"/>
      <c r="Z7" s="50"/>
      <c r="AA7" s="52"/>
      <c r="AB7" s="52"/>
      <c r="AC7" s="50"/>
      <c r="AD7" s="50"/>
      <c r="AE7" s="50"/>
      <c r="AF7" s="50"/>
      <c r="AG7" s="53"/>
      <c r="AH7" s="53"/>
      <c r="AI7" s="53"/>
      <c r="AJ7" s="53"/>
      <c r="AN7" s="18"/>
      <c r="AO7" s="18"/>
    </row>
    <row r="8" spans="1:41" ht="14.4">
      <c r="A8" s="23">
        <v>2002</v>
      </c>
      <c r="B8" s="18">
        <v>125831</v>
      </c>
      <c r="C8" s="18">
        <v>35153</v>
      </c>
      <c r="D8" s="18">
        <v>35005</v>
      </c>
      <c r="E8" s="18">
        <v>50292</v>
      </c>
      <c r="F8" s="45">
        <f t="shared" si="0"/>
        <v>246281</v>
      </c>
      <c r="G8" s="25"/>
      <c r="H8" s="18">
        <v>3146</v>
      </c>
      <c r="I8" s="18">
        <v>3982</v>
      </c>
      <c r="J8" s="18">
        <v>126494</v>
      </c>
      <c r="K8" s="18">
        <v>82153</v>
      </c>
      <c r="L8" s="46">
        <f t="shared" si="1"/>
        <v>215775</v>
      </c>
      <c r="M8" s="18"/>
      <c r="N8" s="47">
        <v>3271</v>
      </c>
      <c r="O8" s="47"/>
      <c r="P8" s="45">
        <f t="shared" si="2"/>
        <v>465327</v>
      </c>
      <c r="Q8" s="48"/>
      <c r="R8" s="45"/>
      <c r="S8" s="18"/>
      <c r="T8" s="18">
        <v>24612</v>
      </c>
      <c r="U8" s="18">
        <v>47938</v>
      </c>
      <c r="V8" s="33">
        <v>14651</v>
      </c>
      <c r="W8" s="45">
        <f t="shared" si="3"/>
        <v>72550</v>
      </c>
      <c r="X8" s="18"/>
      <c r="Y8" s="50"/>
      <c r="Z8" s="50"/>
      <c r="AA8" s="52"/>
      <c r="AB8" s="52"/>
      <c r="AC8" s="50"/>
      <c r="AD8" s="50"/>
      <c r="AE8" s="50"/>
      <c r="AF8" s="50"/>
      <c r="AG8" s="54"/>
      <c r="AH8" s="54"/>
      <c r="AI8" s="54"/>
      <c r="AJ8" s="54"/>
      <c r="AN8" s="18"/>
      <c r="AO8" s="18"/>
    </row>
    <row r="9" spans="1:41" ht="14.4">
      <c r="A9" s="23">
        <v>2003</v>
      </c>
      <c r="B9" s="18">
        <v>52432</v>
      </c>
      <c r="C9" s="18">
        <v>10171</v>
      </c>
      <c r="D9" s="18">
        <v>15138</v>
      </c>
      <c r="E9" s="18">
        <v>24015</v>
      </c>
      <c r="F9" s="45">
        <f t="shared" si="0"/>
        <v>101756</v>
      </c>
      <c r="G9" s="25"/>
      <c r="H9" s="18">
        <v>1345</v>
      </c>
      <c r="I9" s="18">
        <v>2122</v>
      </c>
      <c r="J9" s="18">
        <v>84252</v>
      </c>
      <c r="K9" s="18">
        <v>70227</v>
      </c>
      <c r="L9" s="46">
        <f t="shared" si="1"/>
        <v>157946</v>
      </c>
      <c r="M9" s="18"/>
      <c r="N9" s="47">
        <v>2250</v>
      </c>
      <c r="O9" s="47"/>
      <c r="P9" s="45">
        <f t="shared" si="2"/>
        <v>261952</v>
      </c>
      <c r="Q9" s="48"/>
      <c r="R9" s="45"/>
      <c r="S9" s="18"/>
      <c r="T9" s="18">
        <v>17305</v>
      </c>
      <c r="U9" s="18">
        <v>10877</v>
      </c>
      <c r="V9" s="33">
        <v>1231</v>
      </c>
      <c r="W9" s="45">
        <f t="shared" si="3"/>
        <v>28182</v>
      </c>
      <c r="X9" s="18"/>
      <c r="Y9" s="50"/>
      <c r="Z9" s="50"/>
      <c r="AA9" s="52"/>
      <c r="AB9" s="52"/>
      <c r="AC9" s="50"/>
      <c r="AD9" s="50"/>
      <c r="AE9" s="50"/>
      <c r="AF9" s="50"/>
      <c r="AG9" s="54"/>
      <c r="AH9" s="54"/>
      <c r="AI9" s="54"/>
      <c r="AJ9" s="54"/>
      <c r="AN9" s="18"/>
      <c r="AO9" s="18"/>
    </row>
    <row r="10" spans="1:41" ht="14.4">
      <c r="A10" s="23">
        <v>2004</v>
      </c>
      <c r="B10" s="18">
        <v>199587</v>
      </c>
      <c r="C10" s="18">
        <v>30154</v>
      </c>
      <c r="D10" s="18">
        <v>36498</v>
      </c>
      <c r="E10" s="18">
        <v>44819</v>
      </c>
      <c r="F10" s="45">
        <f t="shared" si="0"/>
        <v>311058</v>
      </c>
      <c r="G10" s="25"/>
      <c r="H10" s="18">
        <v>1269</v>
      </c>
      <c r="I10" s="18">
        <v>3163</v>
      </c>
      <c r="J10" s="18">
        <v>107722</v>
      </c>
      <c r="K10" s="18">
        <v>82567</v>
      </c>
      <c r="L10" s="46">
        <f t="shared" si="1"/>
        <v>194721</v>
      </c>
      <c r="M10" s="18"/>
      <c r="N10" s="47">
        <v>3754</v>
      </c>
      <c r="O10" s="47"/>
      <c r="P10" s="45">
        <f t="shared" si="2"/>
        <v>509533</v>
      </c>
      <c r="Q10" s="48"/>
      <c r="R10" s="45"/>
      <c r="S10" s="18"/>
      <c r="T10" s="18">
        <v>62940</v>
      </c>
      <c r="U10" s="18">
        <v>40199</v>
      </c>
      <c r="V10" s="33">
        <v>1415</v>
      </c>
      <c r="W10" s="45">
        <f t="shared" si="3"/>
        <v>103139</v>
      </c>
      <c r="X10" s="18"/>
      <c r="Y10" s="50"/>
      <c r="Z10" s="50"/>
      <c r="AA10" s="52"/>
      <c r="AB10" s="52"/>
      <c r="AC10" s="50"/>
      <c r="AD10" s="50"/>
      <c r="AE10" s="50"/>
      <c r="AF10" s="50"/>
      <c r="AG10" s="54"/>
      <c r="AH10" s="54"/>
      <c r="AI10" s="54"/>
      <c r="AJ10" s="54"/>
      <c r="AN10" s="18"/>
      <c r="AO10" s="18"/>
    </row>
    <row r="11" spans="1:41" ht="14.4">
      <c r="A11" s="23">
        <v>2005</v>
      </c>
      <c r="B11" s="18">
        <v>144753</v>
      </c>
      <c r="C11" s="18">
        <v>19543</v>
      </c>
      <c r="D11" s="18">
        <v>29502</v>
      </c>
      <c r="E11" s="18">
        <v>30859</v>
      </c>
      <c r="F11" s="45">
        <f t="shared" si="0"/>
        <v>224657</v>
      </c>
      <c r="G11" s="25"/>
      <c r="H11" s="18">
        <v>2291</v>
      </c>
      <c r="I11" s="18">
        <v>2056</v>
      </c>
      <c r="J11" s="18">
        <v>84250</v>
      </c>
      <c r="K11" s="18">
        <v>75148</v>
      </c>
      <c r="L11" s="46">
        <f t="shared" si="1"/>
        <v>163745</v>
      </c>
      <c r="M11" s="18"/>
      <c r="N11" s="47">
        <v>3415</v>
      </c>
      <c r="O11" s="47"/>
      <c r="P11" s="45">
        <f t="shared" si="2"/>
        <v>391817</v>
      </c>
      <c r="Q11" s="48"/>
      <c r="R11" s="45"/>
      <c r="S11" s="18"/>
      <c r="T11" s="18">
        <v>47887</v>
      </c>
      <c r="U11" s="18">
        <v>16839</v>
      </c>
      <c r="V11" s="33">
        <v>3011</v>
      </c>
      <c r="W11" s="45">
        <f t="shared" si="3"/>
        <v>64726</v>
      </c>
      <c r="X11" s="18"/>
      <c r="Y11" s="50"/>
      <c r="Z11" s="50"/>
      <c r="AA11" s="52"/>
      <c r="AB11" s="52"/>
      <c r="AC11" s="50"/>
      <c r="AD11" s="50"/>
      <c r="AE11" s="50"/>
      <c r="AF11" s="50"/>
      <c r="AG11" s="54"/>
      <c r="AH11" s="54"/>
      <c r="AI11" s="54"/>
      <c r="AJ11" s="54"/>
      <c r="AN11" s="18"/>
      <c r="AO11" s="18"/>
    </row>
    <row r="12" spans="1:41" ht="14.4">
      <c r="A12" s="23">
        <v>2006</v>
      </c>
      <c r="B12" s="18">
        <v>98473</v>
      </c>
      <c r="C12" s="18">
        <v>22167</v>
      </c>
      <c r="D12" s="18">
        <v>36845</v>
      </c>
      <c r="E12" s="18">
        <v>20368</v>
      </c>
      <c r="F12" s="45">
        <f t="shared" si="0"/>
        <v>177853</v>
      </c>
      <c r="G12" s="25"/>
      <c r="H12" s="18">
        <v>1407</v>
      </c>
      <c r="I12" s="18">
        <v>2341</v>
      </c>
      <c r="J12" s="18">
        <v>111254</v>
      </c>
      <c r="K12" s="18">
        <v>63279</v>
      </c>
      <c r="L12" s="46">
        <f t="shared" si="1"/>
        <v>178281</v>
      </c>
      <c r="M12" s="18"/>
      <c r="N12" s="47">
        <v>3759</v>
      </c>
      <c r="O12" s="47"/>
      <c r="P12" s="45">
        <f t="shared" si="2"/>
        <v>359893</v>
      </c>
      <c r="Q12" s="48"/>
      <c r="R12" s="45"/>
      <c r="S12" s="18"/>
      <c r="T12" s="18">
        <v>59419</v>
      </c>
      <c r="U12" s="49">
        <v>8786</v>
      </c>
      <c r="V12" s="33">
        <v>4967</v>
      </c>
      <c r="W12" s="45">
        <f t="shared" si="3"/>
        <v>68205</v>
      </c>
      <c r="X12" s="18"/>
      <c r="Y12" s="50"/>
      <c r="Z12" s="50"/>
      <c r="AA12" s="52"/>
      <c r="AB12" s="52"/>
      <c r="AC12" s="50"/>
      <c r="AD12" s="50"/>
      <c r="AE12" s="50"/>
      <c r="AF12" s="50"/>
      <c r="AG12" s="54"/>
      <c r="AH12" s="54"/>
      <c r="AI12" s="54"/>
      <c r="AJ12" s="54"/>
      <c r="AN12" s="18"/>
      <c r="AO12" s="18"/>
    </row>
    <row r="13" spans="1:41" ht="14.4">
      <c r="A13" s="23">
        <v>2007</v>
      </c>
      <c r="B13" s="18">
        <v>108703</v>
      </c>
      <c r="C13" s="18">
        <v>23610</v>
      </c>
      <c r="D13" s="18">
        <v>23495</v>
      </c>
      <c r="E13" s="18">
        <v>21531</v>
      </c>
      <c r="F13" s="45">
        <f t="shared" si="0"/>
        <v>177339</v>
      </c>
      <c r="G13" s="25"/>
      <c r="H13" s="18">
        <v>1628</v>
      </c>
      <c r="I13" s="18">
        <v>1794</v>
      </c>
      <c r="J13" s="18">
        <v>82678</v>
      </c>
      <c r="K13" s="18">
        <v>50734</v>
      </c>
      <c r="L13" s="46">
        <f t="shared" si="1"/>
        <v>136834</v>
      </c>
      <c r="M13" s="18"/>
      <c r="N13" s="47">
        <v>2727</v>
      </c>
      <c r="O13" s="47"/>
      <c r="P13" s="45">
        <f t="shared" si="2"/>
        <v>316900</v>
      </c>
      <c r="Q13" s="48"/>
      <c r="R13" s="45"/>
      <c r="S13" s="18"/>
      <c r="T13" s="18">
        <v>10575</v>
      </c>
      <c r="U13" s="18">
        <v>17573</v>
      </c>
      <c r="V13" s="33">
        <v>6868</v>
      </c>
      <c r="W13" s="45">
        <f t="shared" si="3"/>
        <v>28148</v>
      </c>
      <c r="X13" s="18"/>
      <c r="Y13" s="50"/>
      <c r="Z13" s="50"/>
      <c r="AA13" s="52"/>
      <c r="AB13" s="52"/>
      <c r="AC13" s="50"/>
      <c r="AD13" s="50"/>
      <c r="AE13" s="50"/>
      <c r="AF13" s="50"/>
      <c r="AG13" s="54"/>
      <c r="AH13" s="54"/>
      <c r="AI13" s="54"/>
      <c r="AJ13" s="54"/>
      <c r="AN13" s="18"/>
      <c r="AO13" s="18"/>
    </row>
    <row r="14" spans="1:41" ht="14.4">
      <c r="A14" s="23">
        <v>2008</v>
      </c>
      <c r="B14" s="18">
        <v>89428</v>
      </c>
      <c r="C14" s="18">
        <v>21823</v>
      </c>
      <c r="D14" s="18">
        <v>18441</v>
      </c>
      <c r="E14" s="18">
        <v>42177</v>
      </c>
      <c r="F14" s="45">
        <f t="shared" si="0"/>
        <v>171869</v>
      </c>
      <c r="G14" s="25"/>
      <c r="H14" s="18">
        <v>1184</v>
      </c>
      <c r="I14" s="18">
        <v>867</v>
      </c>
      <c r="J14" s="18">
        <v>109259</v>
      </c>
      <c r="K14" s="18">
        <v>71015</v>
      </c>
      <c r="L14" s="46">
        <f t="shared" si="1"/>
        <v>182325</v>
      </c>
      <c r="M14" s="18"/>
      <c r="N14" s="55">
        <v>3249</v>
      </c>
      <c r="O14" s="55"/>
      <c r="P14" s="45">
        <f t="shared" si="2"/>
        <v>357443</v>
      </c>
      <c r="Q14" s="48"/>
      <c r="R14" s="45"/>
      <c r="S14" s="18"/>
      <c r="T14" s="18">
        <v>12724</v>
      </c>
      <c r="U14" s="18">
        <v>18485</v>
      </c>
      <c r="V14" s="33">
        <v>4868</v>
      </c>
      <c r="W14" s="45">
        <f t="shared" si="3"/>
        <v>31209</v>
      </c>
      <c r="X14" s="18"/>
      <c r="Y14" s="50"/>
      <c r="Z14" s="50"/>
      <c r="AA14" s="52"/>
      <c r="AB14" s="52"/>
      <c r="AC14" s="50"/>
      <c r="AD14" s="50"/>
      <c r="AE14" s="50"/>
      <c r="AF14" s="50"/>
      <c r="AG14" s="54"/>
      <c r="AH14" s="54"/>
      <c r="AI14" s="54"/>
      <c r="AJ14" s="54"/>
      <c r="AN14" s="18"/>
      <c r="AO14" s="18"/>
    </row>
    <row r="15" spans="1:41" ht="14.4">
      <c r="A15" s="23">
        <v>2009</v>
      </c>
      <c r="B15" s="18">
        <v>82096</v>
      </c>
      <c r="C15" s="18">
        <v>11435</v>
      </c>
      <c r="D15" s="18">
        <v>22050</v>
      </c>
      <c r="E15" s="18">
        <v>37629</v>
      </c>
      <c r="F15" s="45">
        <f t="shared" si="0"/>
        <v>153210</v>
      </c>
      <c r="G15" s="25"/>
      <c r="H15" s="18">
        <v>923</v>
      </c>
      <c r="I15" s="18">
        <v>1595</v>
      </c>
      <c r="J15" s="18">
        <v>96660</v>
      </c>
      <c r="K15" s="18">
        <v>59098</v>
      </c>
      <c r="L15" s="46">
        <f t="shared" si="1"/>
        <v>158276</v>
      </c>
      <c r="M15" s="18"/>
      <c r="N15" s="47">
        <v>4204</v>
      </c>
      <c r="O15" s="47"/>
      <c r="P15" s="45">
        <f t="shared" si="2"/>
        <v>315690</v>
      </c>
      <c r="Q15" s="48"/>
      <c r="R15" s="45"/>
      <c r="S15" s="18"/>
      <c r="T15" s="18">
        <v>27348</v>
      </c>
      <c r="U15" s="49">
        <v>9523</v>
      </c>
      <c r="V15" s="33">
        <v>8214</v>
      </c>
      <c r="W15" s="45">
        <f t="shared" si="3"/>
        <v>36871</v>
      </c>
      <c r="X15" s="18"/>
      <c r="Y15" s="50"/>
      <c r="Z15" s="50"/>
      <c r="AA15" s="52"/>
      <c r="AB15" s="52"/>
      <c r="AC15" s="50"/>
      <c r="AD15" s="50"/>
      <c r="AE15" s="50"/>
      <c r="AF15" s="50"/>
      <c r="AG15" s="54"/>
      <c r="AH15" s="54"/>
      <c r="AI15" s="54"/>
      <c r="AJ15" s="54"/>
      <c r="AN15" s="18"/>
      <c r="AO15" s="18"/>
    </row>
    <row r="16" spans="1:41" ht="14.4">
      <c r="A16" s="23">
        <v>2010</v>
      </c>
      <c r="B16" s="18">
        <v>110275</v>
      </c>
      <c r="C16" s="18">
        <v>32683</v>
      </c>
      <c r="D16" s="18">
        <v>26281</v>
      </c>
      <c r="E16" s="18">
        <v>38111</v>
      </c>
      <c r="F16" s="45">
        <f t="shared" si="0"/>
        <v>207350</v>
      </c>
      <c r="G16" s="25"/>
      <c r="H16" s="18">
        <v>1097</v>
      </c>
      <c r="I16" s="18">
        <v>1454</v>
      </c>
      <c r="J16" s="18">
        <v>77102</v>
      </c>
      <c r="K16" s="18">
        <v>58245</v>
      </c>
      <c r="L16" s="46">
        <f t="shared" si="1"/>
        <v>137898</v>
      </c>
      <c r="M16" s="18"/>
      <c r="N16" s="47">
        <v>8405</v>
      </c>
      <c r="O16" s="47"/>
      <c r="P16" s="45">
        <f t="shared" si="2"/>
        <v>353653</v>
      </c>
      <c r="Q16" s="48"/>
      <c r="R16" s="45"/>
      <c r="S16" s="18"/>
      <c r="T16" s="18">
        <v>10393</v>
      </c>
      <c r="U16" s="49">
        <v>9214</v>
      </c>
      <c r="V16" s="33">
        <v>6977</v>
      </c>
      <c r="W16" s="45">
        <f t="shared" si="3"/>
        <v>19607</v>
      </c>
      <c r="X16" s="18"/>
      <c r="Y16" s="50"/>
      <c r="Z16" s="50"/>
      <c r="AA16" s="52"/>
      <c r="AB16" s="52"/>
      <c r="AC16" s="50"/>
      <c r="AD16" s="50"/>
      <c r="AE16" s="50"/>
      <c r="AF16" s="50"/>
      <c r="AG16" s="54"/>
      <c r="AH16" s="54"/>
      <c r="AI16" s="54"/>
      <c r="AJ16" s="54"/>
      <c r="AN16" s="18"/>
      <c r="AO16" s="18"/>
    </row>
    <row r="17" spans="1:41" ht="14.4">
      <c r="A17" s="23">
        <v>2011</v>
      </c>
      <c r="B17" s="18">
        <v>40858</v>
      </c>
      <c r="C17" s="18">
        <v>15560</v>
      </c>
      <c r="D17" s="18">
        <v>16760</v>
      </c>
      <c r="E17" s="18">
        <v>22113</v>
      </c>
      <c r="F17" s="45">
        <f t="shared" si="0"/>
        <v>95291</v>
      </c>
      <c r="G17" s="25"/>
      <c r="H17" s="18">
        <v>964</v>
      </c>
      <c r="I17" s="18">
        <v>1475</v>
      </c>
      <c r="J17" s="18">
        <v>55669</v>
      </c>
      <c r="K17" s="18">
        <v>43740</v>
      </c>
      <c r="L17" s="46">
        <f t="shared" si="1"/>
        <v>101848</v>
      </c>
      <c r="M17" s="18"/>
      <c r="N17" s="47">
        <v>6754</v>
      </c>
      <c r="O17" s="47"/>
      <c r="P17" s="45">
        <f t="shared" si="2"/>
        <v>203893</v>
      </c>
      <c r="Q17" s="48"/>
      <c r="R17" s="45"/>
      <c r="S17" s="18"/>
      <c r="T17" s="49">
        <v>7326</v>
      </c>
      <c r="U17" s="49">
        <v>4826</v>
      </c>
      <c r="V17" s="33">
        <v>1428</v>
      </c>
      <c r="W17" s="45">
        <f t="shared" si="3"/>
        <v>12152</v>
      </c>
      <c r="X17" s="18"/>
      <c r="Y17" s="50"/>
      <c r="Z17" s="50"/>
      <c r="AA17" s="52"/>
      <c r="AB17" s="52"/>
      <c r="AC17" s="50"/>
      <c r="AD17" s="50"/>
      <c r="AE17" s="50"/>
      <c r="AF17" s="50"/>
      <c r="AG17" s="54"/>
      <c r="AH17" s="54"/>
      <c r="AI17" s="54"/>
      <c r="AJ17" s="54"/>
      <c r="AN17" s="18"/>
      <c r="AO17" s="18"/>
    </row>
    <row r="18" spans="1:41" ht="15.75" customHeight="1">
      <c r="A18" s="23">
        <v>2012</v>
      </c>
      <c r="B18" s="18">
        <v>74678</v>
      </c>
      <c r="C18" s="18">
        <v>6537</v>
      </c>
      <c r="D18" s="18">
        <v>12354</v>
      </c>
      <c r="E18" s="18">
        <v>13206</v>
      </c>
      <c r="F18" s="45">
        <f t="shared" si="0"/>
        <v>106775</v>
      </c>
      <c r="G18" s="18"/>
      <c r="H18" s="18">
        <v>1194</v>
      </c>
      <c r="I18" s="18">
        <v>1930</v>
      </c>
      <c r="J18" s="18">
        <v>39369</v>
      </c>
      <c r="K18" s="18">
        <v>43186</v>
      </c>
      <c r="L18" s="46">
        <f t="shared" si="1"/>
        <v>85679</v>
      </c>
      <c r="M18" s="18"/>
      <c r="N18" s="47">
        <v>5512.3123209557325</v>
      </c>
      <c r="O18" s="47"/>
      <c r="P18" s="45">
        <f t="shared" si="2"/>
        <v>197966.31232095574</v>
      </c>
      <c r="Q18" s="48"/>
      <c r="R18" s="45"/>
      <c r="S18" s="18"/>
      <c r="T18" s="49">
        <v>6825</v>
      </c>
      <c r="U18" s="49">
        <v>6779</v>
      </c>
      <c r="V18" s="33">
        <v>1237</v>
      </c>
      <c r="W18" s="45">
        <f t="shared" si="3"/>
        <v>13604</v>
      </c>
      <c r="X18" s="18"/>
      <c r="Y18" s="50"/>
      <c r="Z18" s="50"/>
      <c r="AA18" s="52"/>
      <c r="AB18" s="52"/>
      <c r="AC18" s="50"/>
      <c r="AD18" s="50"/>
      <c r="AE18" s="50"/>
      <c r="AF18" s="50"/>
      <c r="AG18" s="54"/>
      <c r="AH18" s="54"/>
      <c r="AI18" s="54"/>
      <c r="AJ18" s="54"/>
      <c r="AN18" s="18"/>
      <c r="AO18" s="18"/>
    </row>
    <row r="19" spans="1:41" ht="15.75" customHeight="1">
      <c r="A19" s="23">
        <v>2013</v>
      </c>
      <c r="B19" s="18">
        <v>184771</v>
      </c>
      <c r="C19" s="18">
        <v>2266</v>
      </c>
      <c r="D19" s="18">
        <v>31513</v>
      </c>
      <c r="E19" s="18">
        <v>42413</v>
      </c>
      <c r="F19" s="45">
        <f t="shared" si="0"/>
        <v>260963</v>
      </c>
      <c r="G19" s="18"/>
      <c r="H19" s="18">
        <v>450</v>
      </c>
      <c r="I19" s="18">
        <v>3921</v>
      </c>
      <c r="J19" s="18">
        <v>54869</v>
      </c>
      <c r="K19" s="18">
        <v>57377</v>
      </c>
      <c r="L19" s="46">
        <f t="shared" si="1"/>
        <v>116617</v>
      </c>
      <c r="M19" s="18"/>
      <c r="N19" s="47">
        <v>5119</v>
      </c>
      <c r="O19" s="47"/>
      <c r="P19" s="45">
        <f t="shared" si="2"/>
        <v>382699</v>
      </c>
      <c r="Q19" s="48"/>
      <c r="R19" s="45"/>
      <c r="S19" s="18"/>
      <c r="T19" s="18">
        <v>22141</v>
      </c>
      <c r="U19" s="18">
        <v>13583</v>
      </c>
      <c r="V19" s="33">
        <v>7593</v>
      </c>
      <c r="W19" s="45">
        <f t="shared" si="3"/>
        <v>35724</v>
      </c>
      <c r="X19" s="18"/>
      <c r="Y19" s="50"/>
      <c r="Z19" s="50"/>
      <c r="AA19" s="56"/>
      <c r="AB19" s="56"/>
      <c r="AC19" s="50"/>
      <c r="AD19" s="50"/>
      <c r="AE19" s="50"/>
      <c r="AF19" s="50"/>
      <c r="AG19" s="54"/>
      <c r="AH19" s="54"/>
      <c r="AI19" s="54"/>
      <c r="AJ19" s="54"/>
      <c r="AN19" s="18"/>
      <c r="AO19" s="18"/>
    </row>
    <row r="20" spans="1:41" ht="15.75" customHeight="1">
      <c r="A20" s="23">
        <v>2014</v>
      </c>
      <c r="B20" s="18">
        <v>76932</v>
      </c>
      <c r="C20" s="18">
        <v>5908</v>
      </c>
      <c r="D20" s="18">
        <v>19379</v>
      </c>
      <c r="E20" s="18">
        <v>35200</v>
      </c>
      <c r="F20" s="45">
        <f t="shared" si="0"/>
        <v>137419</v>
      </c>
      <c r="G20" s="18"/>
      <c r="H20" s="18">
        <v>1166</v>
      </c>
      <c r="I20" s="18">
        <v>1614</v>
      </c>
      <c r="J20" s="18">
        <v>78348</v>
      </c>
      <c r="K20" s="18">
        <v>52301</v>
      </c>
      <c r="L20" s="46">
        <f t="shared" si="1"/>
        <v>133429</v>
      </c>
      <c r="M20" s="18"/>
      <c r="N20" s="47">
        <v>9370</v>
      </c>
      <c r="O20" s="47"/>
      <c r="P20" s="45">
        <f t="shared" si="2"/>
        <v>280218</v>
      </c>
      <c r="Q20" s="48"/>
      <c r="R20" s="45"/>
      <c r="S20" s="18"/>
      <c r="T20" s="18">
        <v>11578</v>
      </c>
      <c r="U20" s="18">
        <v>24211</v>
      </c>
      <c r="V20" s="33">
        <v>10283</v>
      </c>
      <c r="W20" s="45">
        <f t="shared" si="3"/>
        <v>35789</v>
      </c>
      <c r="X20" s="18"/>
      <c r="Y20" s="50"/>
      <c r="Z20" s="50"/>
      <c r="AA20" s="52"/>
      <c r="AB20" s="52"/>
      <c r="AC20" s="50"/>
      <c r="AD20" s="50"/>
      <c r="AE20" s="50"/>
      <c r="AF20" s="50"/>
      <c r="AG20" s="54"/>
      <c r="AH20" s="54"/>
      <c r="AI20" s="54"/>
      <c r="AJ20" s="54"/>
      <c r="AN20" s="18"/>
      <c r="AO20" s="18"/>
    </row>
    <row r="21" spans="1:41" ht="15.75" customHeight="1">
      <c r="A21" s="23">
        <v>2015</v>
      </c>
      <c r="B21" s="18">
        <v>130720</v>
      </c>
      <c r="C21" s="18">
        <v>17948</v>
      </c>
      <c r="D21" s="18">
        <v>20748</v>
      </c>
      <c r="E21" s="18">
        <v>46616</v>
      </c>
      <c r="F21" s="45">
        <f t="shared" si="0"/>
        <v>216032</v>
      </c>
      <c r="G21" s="18"/>
      <c r="H21" s="18">
        <v>1560</v>
      </c>
      <c r="I21" s="18">
        <v>4154</v>
      </c>
      <c r="J21" s="18">
        <v>85189</v>
      </c>
      <c r="K21" s="18">
        <v>60304</v>
      </c>
      <c r="L21" s="46">
        <f t="shared" si="1"/>
        <v>151207</v>
      </c>
      <c r="M21" s="18"/>
      <c r="N21" s="47">
        <v>10648</v>
      </c>
      <c r="O21" s="47"/>
      <c r="P21" s="45">
        <f t="shared" si="2"/>
        <v>377887</v>
      </c>
      <c r="Q21" s="48"/>
      <c r="R21" s="45"/>
      <c r="S21" s="18"/>
      <c r="T21" s="18">
        <v>10775</v>
      </c>
      <c r="U21" s="18">
        <v>12756</v>
      </c>
      <c r="V21" s="33">
        <v>7912</v>
      </c>
      <c r="W21" s="45">
        <f t="shared" si="3"/>
        <v>23531</v>
      </c>
      <c r="X21" s="18"/>
      <c r="Y21" s="50"/>
      <c r="Z21" s="50"/>
      <c r="AA21" s="52"/>
      <c r="AB21" s="52"/>
      <c r="AC21" s="50"/>
      <c r="AD21" s="50"/>
      <c r="AE21" s="50"/>
      <c r="AF21" s="50"/>
      <c r="AG21" s="54"/>
      <c r="AH21" s="54"/>
      <c r="AI21" s="54"/>
      <c r="AJ21" s="54"/>
      <c r="AN21" s="18"/>
      <c r="AO21" s="18"/>
    </row>
    <row r="22" spans="1:41" ht="15.75" customHeight="1">
      <c r="A22" s="23">
        <v>2016</v>
      </c>
      <c r="B22" s="18">
        <v>90242</v>
      </c>
      <c r="C22" s="18">
        <v>11606</v>
      </c>
      <c r="D22" s="18">
        <v>15171</v>
      </c>
      <c r="E22" s="18">
        <v>30476</v>
      </c>
      <c r="F22" s="45">
        <f t="shared" si="0"/>
        <v>147495</v>
      </c>
      <c r="G22" s="18"/>
      <c r="H22" s="18">
        <v>678</v>
      </c>
      <c r="I22" s="18">
        <v>1831</v>
      </c>
      <c r="J22" s="18">
        <v>42809</v>
      </c>
      <c r="K22" s="18">
        <v>34079</v>
      </c>
      <c r="L22" s="46">
        <f t="shared" si="1"/>
        <v>79397</v>
      </c>
      <c r="M22" s="18"/>
      <c r="N22" s="47">
        <v>4590</v>
      </c>
      <c r="O22" s="47"/>
      <c r="P22" s="45">
        <f t="shared" si="2"/>
        <v>231482</v>
      </c>
      <c r="Q22" s="48"/>
      <c r="R22" s="45"/>
      <c r="S22" s="18"/>
      <c r="T22" s="49">
        <v>6820</v>
      </c>
      <c r="U22" s="49">
        <v>10049</v>
      </c>
      <c r="V22" s="33">
        <v>2484</v>
      </c>
      <c r="W22" s="45">
        <f t="shared" si="3"/>
        <v>16869</v>
      </c>
      <c r="X22" s="18"/>
      <c r="Y22" s="50"/>
      <c r="Z22" s="50"/>
      <c r="AA22" s="52"/>
      <c r="AB22" s="52"/>
      <c r="AC22" s="50"/>
      <c r="AD22" s="50"/>
      <c r="AE22" s="50"/>
      <c r="AF22" s="50"/>
      <c r="AG22" s="54"/>
      <c r="AH22" s="54"/>
      <c r="AI22" s="54"/>
      <c r="AJ22" s="54"/>
      <c r="AN22" s="18"/>
      <c r="AO22" s="18"/>
    </row>
    <row r="23" spans="1:41" ht="15.75" customHeight="1">
      <c r="A23" s="25">
        <v>2017</v>
      </c>
      <c r="B23" s="18">
        <v>191490</v>
      </c>
      <c r="C23" s="18">
        <v>29916</v>
      </c>
      <c r="D23" s="18">
        <v>29535</v>
      </c>
      <c r="E23" s="18">
        <v>52701</v>
      </c>
      <c r="F23" s="45">
        <f t="shared" si="0"/>
        <v>303642</v>
      </c>
      <c r="G23" s="25"/>
      <c r="H23" s="18">
        <v>660</v>
      </c>
      <c r="I23" s="18">
        <v>2912</v>
      </c>
      <c r="J23" s="18">
        <v>56708</v>
      </c>
      <c r="K23" s="18">
        <v>50671</v>
      </c>
      <c r="L23" s="46">
        <f t="shared" si="1"/>
        <v>110951</v>
      </c>
      <c r="M23" s="25"/>
      <c r="N23" s="47">
        <v>1665</v>
      </c>
      <c r="O23" s="47"/>
      <c r="P23" s="45">
        <f t="shared" si="2"/>
        <v>416258</v>
      </c>
      <c r="Q23" s="48"/>
      <c r="R23" s="45"/>
      <c r="S23" s="18"/>
      <c r="T23" s="18">
        <v>36869</v>
      </c>
      <c r="U23" s="18">
        <v>17781</v>
      </c>
      <c r="V23" s="33">
        <v>8966</v>
      </c>
      <c r="W23" s="45">
        <f t="shared" si="3"/>
        <v>54650</v>
      </c>
      <c r="X23" s="18"/>
      <c r="Y23" s="50"/>
      <c r="Z23" s="50"/>
      <c r="AA23" s="52"/>
      <c r="AB23" s="52"/>
      <c r="AC23" s="50"/>
      <c r="AD23" s="50"/>
      <c r="AE23" s="50"/>
      <c r="AF23" s="50"/>
      <c r="AG23" s="54"/>
      <c r="AH23" s="54"/>
      <c r="AI23" s="54"/>
      <c r="AJ23" s="54"/>
      <c r="AL23" s="53"/>
      <c r="AM23" s="25"/>
      <c r="AN23" s="25"/>
      <c r="AO23" s="25"/>
    </row>
    <row r="24" spans="1:41" ht="15.75" customHeight="1">
      <c r="A24" s="25">
        <v>2018</v>
      </c>
      <c r="B24" s="18">
        <v>108906</v>
      </c>
      <c r="C24" s="18">
        <v>4705</v>
      </c>
      <c r="D24" s="18">
        <v>51581</v>
      </c>
      <c r="E24" s="18">
        <v>67098</v>
      </c>
      <c r="F24" s="45">
        <f t="shared" si="0"/>
        <v>232290</v>
      </c>
      <c r="G24" s="25"/>
      <c r="H24" s="18">
        <v>795</v>
      </c>
      <c r="I24" s="18">
        <v>2185</v>
      </c>
      <c r="J24" s="18">
        <v>64708</v>
      </c>
      <c r="K24" s="18">
        <v>59727</v>
      </c>
      <c r="L24" s="46">
        <f t="shared" si="1"/>
        <v>127415</v>
      </c>
      <c r="M24" s="25"/>
      <c r="N24" s="47">
        <v>3003</v>
      </c>
      <c r="O24" s="47"/>
      <c r="P24" s="45">
        <f t="shared" si="2"/>
        <v>362708</v>
      </c>
      <c r="Q24" s="48"/>
      <c r="R24" s="45"/>
      <c r="S24" s="18"/>
      <c r="T24" s="18">
        <v>13072</v>
      </c>
      <c r="U24" s="49">
        <v>7583</v>
      </c>
      <c r="V24" s="33">
        <v>5022</v>
      </c>
      <c r="W24" s="45">
        <f t="shared" si="3"/>
        <v>20655</v>
      </c>
      <c r="X24" s="18"/>
      <c r="Y24" s="50"/>
      <c r="Z24" s="50"/>
      <c r="AA24" s="52"/>
      <c r="AB24" s="52"/>
      <c r="AC24" s="50"/>
      <c r="AD24" s="50"/>
      <c r="AE24" s="50"/>
      <c r="AF24" s="50"/>
      <c r="AG24" s="54"/>
      <c r="AH24" s="54"/>
      <c r="AI24" s="54"/>
      <c r="AJ24" s="54"/>
      <c r="AL24" s="53"/>
    </row>
    <row r="25" spans="1:41" ht="15.75" customHeight="1">
      <c r="A25" s="23">
        <v>2019</v>
      </c>
      <c r="B25" s="18">
        <v>88618</v>
      </c>
      <c r="C25" s="18">
        <v>6511</v>
      </c>
      <c r="D25" s="18">
        <v>16799</v>
      </c>
      <c r="E25" s="18">
        <v>51935</v>
      </c>
      <c r="F25" s="45">
        <f t="shared" si="0"/>
        <v>163863</v>
      </c>
      <c r="G25" s="25"/>
      <c r="H25" s="18">
        <v>756</v>
      </c>
      <c r="I25" s="18">
        <v>1240</v>
      </c>
      <c r="J25" s="18">
        <v>52014</v>
      </c>
      <c r="K25" s="57">
        <v>51360</v>
      </c>
      <c r="L25" s="46">
        <f t="shared" si="1"/>
        <v>105370</v>
      </c>
      <c r="M25" s="25"/>
      <c r="N25" s="47">
        <v>3961</v>
      </c>
      <c r="O25" s="47"/>
      <c r="P25" s="45">
        <f t="shared" si="2"/>
        <v>273194</v>
      </c>
      <c r="Q25" s="48"/>
      <c r="R25" s="45"/>
      <c r="S25" s="18"/>
      <c r="T25" s="18">
        <v>10445</v>
      </c>
      <c r="U25" s="49">
        <v>4229</v>
      </c>
      <c r="V25" s="33"/>
      <c r="W25" s="45">
        <f t="shared" si="3"/>
        <v>14674</v>
      </c>
      <c r="X25" s="18"/>
      <c r="Y25" s="50"/>
      <c r="Z25" s="50"/>
      <c r="AA25" s="52"/>
      <c r="AB25" s="52"/>
      <c r="AC25" s="50"/>
      <c r="AD25" s="50"/>
      <c r="AE25" s="50"/>
      <c r="AF25" s="50"/>
      <c r="AG25" s="54"/>
      <c r="AH25" s="54"/>
      <c r="AI25" s="54"/>
      <c r="AJ25" s="54"/>
      <c r="AL25" s="53"/>
    </row>
    <row r="26" spans="1:41" ht="15.75" customHeight="1">
      <c r="A26" s="23">
        <v>2020</v>
      </c>
      <c r="B26" s="18">
        <v>48803</v>
      </c>
      <c r="C26" s="18">
        <v>372</v>
      </c>
      <c r="D26" s="18">
        <v>35612</v>
      </c>
      <c r="E26" s="18">
        <v>54453</v>
      </c>
      <c r="F26" s="45">
        <f t="shared" si="0"/>
        <v>139240</v>
      </c>
      <c r="G26" s="25"/>
      <c r="H26" s="18">
        <v>328</v>
      </c>
      <c r="I26" s="18">
        <v>407</v>
      </c>
      <c r="J26" s="18">
        <v>49654</v>
      </c>
      <c r="K26" s="58">
        <v>25378</v>
      </c>
      <c r="L26" s="46">
        <f t="shared" si="1"/>
        <v>75767</v>
      </c>
      <c r="M26" s="25"/>
      <c r="N26" s="47">
        <v>11723</v>
      </c>
      <c r="O26" s="47"/>
      <c r="P26" s="45">
        <f t="shared" si="2"/>
        <v>226730</v>
      </c>
      <c r="Q26" s="48"/>
      <c r="R26" s="45"/>
      <c r="S26" s="18"/>
      <c r="T26" s="59" t="s">
        <v>21</v>
      </c>
      <c r="U26" s="18">
        <v>10765</v>
      </c>
      <c r="V26" s="33"/>
      <c r="W26" s="45">
        <f t="shared" si="3"/>
        <v>10765</v>
      </c>
      <c r="X26" s="18"/>
      <c r="Y26" s="50"/>
      <c r="Z26" s="50"/>
      <c r="AA26" s="52"/>
      <c r="AB26" s="52"/>
      <c r="AC26" s="50"/>
      <c r="AD26" s="50"/>
      <c r="AE26" s="50"/>
      <c r="AF26" s="50"/>
      <c r="AG26" s="54"/>
      <c r="AH26" s="54"/>
      <c r="AI26" s="54"/>
      <c r="AJ26" s="54"/>
      <c r="AL26" s="53"/>
    </row>
    <row r="27" spans="1:41" ht="15.75" customHeight="1">
      <c r="A27" s="25">
        <v>2021</v>
      </c>
      <c r="B27" s="18">
        <v>80982</v>
      </c>
      <c r="C27" s="18">
        <v>883</v>
      </c>
      <c r="D27" s="18">
        <v>19702</v>
      </c>
      <c r="E27" s="18">
        <v>45825</v>
      </c>
      <c r="F27" s="45">
        <f t="shared" si="0"/>
        <v>147392</v>
      </c>
      <c r="G27" s="25"/>
      <c r="H27" s="18">
        <v>566</v>
      </c>
      <c r="I27" s="18">
        <v>1223</v>
      </c>
      <c r="J27" s="18">
        <v>66120</v>
      </c>
      <c r="K27" s="60">
        <v>57553</v>
      </c>
      <c r="L27" s="46">
        <f t="shared" si="1"/>
        <v>125462</v>
      </c>
      <c r="M27" s="25"/>
      <c r="N27" s="47">
        <v>4166</v>
      </c>
      <c r="O27" s="47"/>
      <c r="P27" s="45">
        <f t="shared" si="2"/>
        <v>277020</v>
      </c>
      <c r="Q27" s="48"/>
      <c r="R27" s="45"/>
      <c r="S27" s="18"/>
      <c r="T27" s="59" t="s">
        <v>21</v>
      </c>
      <c r="U27" s="18">
        <v>10923</v>
      </c>
      <c r="V27" s="33"/>
      <c r="W27" s="45">
        <f t="shared" si="3"/>
        <v>10923</v>
      </c>
      <c r="X27" s="18"/>
      <c r="Y27" s="50"/>
      <c r="Z27" s="50"/>
      <c r="AA27" s="52"/>
      <c r="AB27" s="52"/>
      <c r="AC27" s="50"/>
      <c r="AD27" s="50"/>
      <c r="AE27" s="50"/>
      <c r="AF27" s="50"/>
      <c r="AG27" s="54"/>
      <c r="AH27" s="54"/>
      <c r="AI27" s="54"/>
      <c r="AJ27" s="54"/>
      <c r="AL27" s="53"/>
    </row>
    <row r="28" spans="1:41" ht="15.75" customHeight="1">
      <c r="A28" s="61">
        <v>2022</v>
      </c>
      <c r="B28" s="62">
        <v>51306</v>
      </c>
      <c r="C28" s="89"/>
      <c r="D28" s="89"/>
      <c r="E28" s="62">
        <v>36895</v>
      </c>
      <c r="F28" s="63">
        <v>102666</v>
      </c>
      <c r="G28" s="25"/>
      <c r="H28" s="90"/>
      <c r="I28" s="90"/>
      <c r="J28" s="90"/>
      <c r="K28" s="91"/>
      <c r="L28" s="64"/>
      <c r="M28" s="25"/>
      <c r="N28" s="91"/>
      <c r="O28" s="47"/>
      <c r="P28" s="65"/>
      <c r="Q28" s="94"/>
      <c r="R28" s="65"/>
      <c r="S28" s="18"/>
      <c r="T28" s="66">
        <v>1899</v>
      </c>
      <c r="U28" s="62">
        <v>3162</v>
      </c>
      <c r="V28" s="33"/>
      <c r="W28" s="45">
        <f t="shared" si="3"/>
        <v>5061</v>
      </c>
      <c r="X28" s="18"/>
      <c r="Y28" s="50"/>
      <c r="Z28" s="50"/>
      <c r="AA28" s="52"/>
      <c r="AB28" s="52"/>
      <c r="AC28" s="50"/>
      <c r="AD28" s="50"/>
      <c r="AE28" s="50"/>
      <c r="AF28" s="50"/>
      <c r="AG28" s="54"/>
      <c r="AH28" s="54"/>
      <c r="AI28" s="54"/>
      <c r="AJ28" s="54"/>
      <c r="AL28" s="53"/>
    </row>
    <row r="29" spans="1:41" ht="15.75" customHeight="1">
      <c r="A29" s="67">
        <v>2023</v>
      </c>
      <c r="B29" s="68">
        <v>49801</v>
      </c>
      <c r="C29" s="68">
        <v>0</v>
      </c>
      <c r="D29" s="68">
        <v>10586</v>
      </c>
      <c r="E29" s="68">
        <v>23525</v>
      </c>
      <c r="F29" s="45">
        <f>SUM(B29:E29)</f>
        <v>83912</v>
      </c>
      <c r="G29" s="69"/>
      <c r="H29" s="92"/>
      <c r="I29" s="92"/>
      <c r="J29" s="92"/>
      <c r="K29" s="93"/>
      <c r="L29" s="70"/>
      <c r="M29" s="69"/>
      <c r="N29" s="93"/>
      <c r="O29" s="71"/>
      <c r="P29" s="72"/>
      <c r="Q29" s="95"/>
      <c r="R29" s="72"/>
      <c r="S29" s="73"/>
      <c r="T29" s="74">
        <v>1817</v>
      </c>
      <c r="U29" s="68">
        <v>3726</v>
      </c>
      <c r="V29" s="75">
        <v>1534</v>
      </c>
      <c r="W29" s="45">
        <f t="shared" si="3"/>
        <v>5543</v>
      </c>
      <c r="X29" s="73"/>
      <c r="Y29" s="76"/>
      <c r="Z29" s="76"/>
      <c r="AA29" s="77"/>
      <c r="AB29" s="77"/>
      <c r="AC29" s="76"/>
      <c r="AD29" s="76"/>
      <c r="AE29" s="76"/>
      <c r="AF29" s="76"/>
      <c r="AG29" s="54"/>
      <c r="AH29" s="54"/>
      <c r="AI29" s="54"/>
      <c r="AJ29" s="54"/>
      <c r="AL29" s="53"/>
    </row>
    <row r="30" spans="1:41" ht="15.75" customHeight="1">
      <c r="G30" s="18"/>
      <c r="Q30" s="48"/>
      <c r="S30" s="48"/>
    </row>
    <row r="31" spans="1:41" ht="15.75" customHeight="1">
      <c r="A31" s="24" t="s">
        <v>64</v>
      </c>
      <c r="G31" s="18"/>
      <c r="S31" s="48"/>
    </row>
    <row r="32" spans="1:41" ht="15.75" customHeight="1">
      <c r="A32" s="25" t="s">
        <v>65</v>
      </c>
      <c r="B32" s="25"/>
      <c r="C32" s="25"/>
      <c r="D32" s="25"/>
      <c r="E32" s="25"/>
      <c r="F32" s="25"/>
      <c r="G32" s="18"/>
      <c r="S32" s="48"/>
    </row>
    <row r="33" spans="1:18" ht="15.75" customHeight="1">
      <c r="A33" s="23" t="s">
        <v>66</v>
      </c>
      <c r="B33" s="25"/>
      <c r="C33" s="25"/>
      <c r="D33" s="25"/>
      <c r="E33" s="25"/>
      <c r="F33" s="25"/>
      <c r="G33" s="18"/>
    </row>
    <row r="34" spans="1:18" ht="15.75" customHeight="1">
      <c r="A34" s="25" t="s">
        <v>67</v>
      </c>
      <c r="B34" s="25"/>
      <c r="C34" s="25"/>
      <c r="D34" s="25"/>
      <c r="E34" s="25"/>
      <c r="F34" s="25"/>
      <c r="G34" s="18"/>
    </row>
    <row r="35" spans="1:18" ht="15.75" customHeight="1">
      <c r="A35" s="23" t="s">
        <v>68</v>
      </c>
      <c r="G35" s="18"/>
    </row>
    <row r="36" spans="1:18" ht="15.75" customHeight="1">
      <c r="A36" s="23" t="s">
        <v>69</v>
      </c>
      <c r="G36" s="18"/>
    </row>
    <row r="37" spans="1:18" ht="15.75" customHeight="1">
      <c r="G37" s="18"/>
    </row>
    <row r="38" spans="1:18" ht="15.75" customHeight="1">
      <c r="A38" s="24" t="s">
        <v>70</v>
      </c>
    </row>
    <row r="39" spans="1:18" ht="15.75" customHeight="1">
      <c r="A39" s="23" t="s">
        <v>71</v>
      </c>
    </row>
    <row r="40" spans="1:18" ht="15.75" customHeight="1">
      <c r="A40" s="23" t="s">
        <v>72</v>
      </c>
    </row>
    <row r="41" spans="1:18" ht="15.75" customHeight="1">
      <c r="A41" s="23" t="s">
        <v>73</v>
      </c>
    </row>
    <row r="42" spans="1:18" ht="15.75" customHeight="1">
      <c r="A42" s="25" t="s">
        <v>74</v>
      </c>
      <c r="B42" s="25"/>
      <c r="C42" s="25"/>
      <c r="D42" s="25"/>
      <c r="E42" s="25"/>
      <c r="F42" s="25"/>
      <c r="G42" s="25"/>
      <c r="H42" s="25"/>
      <c r="I42" s="25"/>
      <c r="J42" s="25"/>
      <c r="K42" s="25"/>
    </row>
    <row r="43" spans="1:18" ht="15.75" customHeight="1">
      <c r="A43" s="18" t="s">
        <v>75</v>
      </c>
      <c r="B43" s="25"/>
      <c r="C43" s="25"/>
      <c r="D43" s="25"/>
      <c r="E43" s="25"/>
      <c r="F43" s="25"/>
      <c r="G43" s="25"/>
      <c r="H43" s="25"/>
      <c r="I43" s="25"/>
      <c r="J43" s="25"/>
      <c r="K43" s="25"/>
    </row>
    <row r="44" spans="1:18" ht="15.75" customHeight="1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</row>
    <row r="45" spans="1:18" ht="15.75" customHeight="1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</row>
    <row r="46" spans="1:18" ht="15.75" customHeight="1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</row>
    <row r="47" spans="1:18" ht="15.75" customHeight="1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</row>
    <row r="48" spans="1:18" ht="15.75" customHeight="1">
      <c r="A48" s="25"/>
      <c r="B48" s="18"/>
      <c r="C48" s="25"/>
      <c r="D48" s="18"/>
      <c r="E48" s="25"/>
      <c r="F48" s="18"/>
      <c r="G48" s="25"/>
      <c r="H48" s="25"/>
      <c r="I48" s="25"/>
      <c r="J48" s="25"/>
      <c r="K48" s="78"/>
      <c r="L48" s="25"/>
      <c r="M48" s="25"/>
      <c r="N48" s="78"/>
      <c r="O48" s="25"/>
      <c r="P48" s="18"/>
      <c r="Q48" s="25"/>
      <c r="R48" s="18"/>
    </row>
    <row r="49" spans="1:18" ht="15.75" customHeight="1">
      <c r="A49" s="25"/>
      <c r="B49" s="18"/>
      <c r="C49" s="25"/>
      <c r="D49" s="18"/>
      <c r="E49" s="25"/>
      <c r="F49" s="18"/>
      <c r="G49" s="25"/>
      <c r="H49" s="25"/>
      <c r="I49" s="25"/>
      <c r="J49" s="25"/>
      <c r="K49" s="78"/>
      <c r="L49" s="25"/>
      <c r="M49" s="25"/>
      <c r="N49" s="78"/>
      <c r="O49" s="25"/>
      <c r="P49" s="18"/>
      <c r="Q49" s="25"/>
      <c r="R49" s="18"/>
    </row>
    <row r="50" spans="1:18" ht="15.75" customHeight="1">
      <c r="A50" s="25"/>
      <c r="B50" s="18"/>
      <c r="C50" s="25"/>
      <c r="D50" s="18"/>
      <c r="E50" s="25"/>
      <c r="F50" s="18"/>
      <c r="G50" s="25"/>
      <c r="H50" s="25"/>
      <c r="I50" s="25"/>
      <c r="J50" s="25"/>
      <c r="K50" s="78"/>
      <c r="L50" s="25"/>
      <c r="M50" s="25"/>
      <c r="N50" s="78"/>
      <c r="O50" s="25"/>
      <c r="P50" s="18"/>
      <c r="Q50" s="25"/>
      <c r="R50" s="18"/>
    </row>
    <row r="51" spans="1:18" ht="15.75" customHeight="1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</row>
    <row r="52" spans="1:18" ht="15.75" customHeight="1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</row>
    <row r="53" spans="1:18" ht="15.75" customHeight="1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</row>
    <row r="54" spans="1:18" ht="15.75" customHeight="1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</row>
    <row r="55" spans="1:18" ht="15.75" customHeight="1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</row>
    <row r="56" spans="1:18" ht="15.75" customHeight="1"/>
    <row r="57" spans="1:18" ht="15.75" customHeight="1"/>
    <row r="58" spans="1:18" ht="15.75" customHeight="1"/>
    <row r="59" spans="1:18" ht="15.75" customHeight="1"/>
    <row r="60" spans="1:18" ht="15.75" customHeight="1"/>
    <row r="61" spans="1:18" ht="15.75" customHeight="1"/>
    <row r="62" spans="1:18" ht="15.75" customHeight="1"/>
    <row r="63" spans="1:18" ht="15.75" customHeight="1"/>
    <row r="64" spans="1:18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5">
    <mergeCell ref="AG3:AH3"/>
    <mergeCell ref="H3:L3"/>
    <mergeCell ref="T3:W3"/>
    <mergeCell ref="Z3:AB3"/>
    <mergeCell ref="AE3:AF3"/>
  </mergeCells>
  <conditionalFormatting sqref="AG8:AJ29">
    <cfRule type="cellIs" dxfId="1" priority="1" operator="equal">
      <formula>"yes"</formula>
    </cfRule>
  </conditionalFormatting>
  <pageMargins left="0.7" right="0.7" top="0.75" bottom="0.75" header="0" footer="0"/>
  <pageSetup orientation="portrait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1000"/>
  <sheetViews>
    <sheetView workbookViewId="0"/>
  </sheetViews>
  <sheetFormatPr defaultColWidth="14.44140625" defaultRowHeight="15" customHeight="1"/>
  <cols>
    <col min="1" max="3" width="8.6640625" customWidth="1"/>
    <col min="4" max="5" width="10.5546875" customWidth="1"/>
    <col min="6" max="6" width="8.6640625" customWidth="1"/>
    <col min="7" max="7" width="2.6640625" customWidth="1"/>
    <col min="8" max="10" width="8.6640625" customWidth="1"/>
    <col min="11" max="11" width="2.6640625" customWidth="1"/>
    <col min="12" max="12" width="12.5546875" customWidth="1"/>
    <col min="13" max="13" width="2.6640625" customWidth="1"/>
    <col min="14" max="15" width="8.6640625" customWidth="1"/>
    <col min="16" max="16" width="10.5546875" customWidth="1"/>
    <col min="17" max="17" width="2.6640625" customWidth="1"/>
    <col min="18" max="21" width="8.6640625" customWidth="1"/>
    <col min="22" max="22" width="2.6640625" customWidth="1"/>
    <col min="23" max="23" width="9.5546875" customWidth="1"/>
    <col min="24" max="25" width="8.6640625" customWidth="1"/>
    <col min="26" max="26" width="10.33203125" customWidth="1"/>
    <col min="27" max="28" width="8.6640625" customWidth="1"/>
    <col min="29" max="29" width="10.33203125" customWidth="1"/>
    <col min="30" max="30" width="8.6640625" customWidth="1"/>
    <col min="31" max="31" width="13.33203125" customWidth="1"/>
    <col min="33" max="33" width="14.6640625" customWidth="1"/>
    <col min="34" max="34" width="12.33203125" customWidth="1"/>
    <col min="35" max="35" width="8.6640625" customWidth="1"/>
    <col min="36" max="36" width="15.5546875" customWidth="1"/>
    <col min="37" max="39" width="8.6640625" customWidth="1"/>
  </cols>
  <sheetData>
    <row r="1" spans="1:39" ht="14.4">
      <c r="A1" s="26" t="s">
        <v>76</v>
      </c>
    </row>
    <row r="2" spans="1:39" ht="14.4">
      <c r="D2" s="25"/>
      <c r="E2" s="25"/>
      <c r="F2" s="25"/>
      <c r="J2" s="23" t="s">
        <v>26</v>
      </c>
      <c r="R2" s="103" t="s">
        <v>27</v>
      </c>
      <c r="S2" s="104"/>
      <c r="T2" s="104"/>
      <c r="U2" s="104"/>
      <c r="V2" s="27"/>
      <c r="W2" s="27"/>
    </row>
    <row r="3" spans="1:39" ht="14.4">
      <c r="D3" s="28" t="s">
        <v>28</v>
      </c>
      <c r="E3" s="28"/>
      <c r="F3" s="29">
        <v>4</v>
      </c>
      <c r="J3" s="23" t="s">
        <v>29</v>
      </c>
      <c r="R3" s="30" t="s">
        <v>30</v>
      </c>
      <c r="S3" s="30" t="s">
        <v>31</v>
      </c>
      <c r="T3" s="31" t="s">
        <v>32</v>
      </c>
      <c r="U3" s="30" t="s">
        <v>33</v>
      </c>
      <c r="V3" s="28"/>
      <c r="W3" s="28"/>
      <c r="Y3" s="26" t="s">
        <v>34</v>
      </c>
    </row>
    <row r="4" spans="1:39" ht="14.4">
      <c r="A4" s="25"/>
      <c r="B4" s="25"/>
      <c r="C4" s="25"/>
      <c r="D4" s="28" t="s">
        <v>35</v>
      </c>
      <c r="E4" s="28"/>
      <c r="F4" s="32" t="s">
        <v>36</v>
      </c>
      <c r="G4" s="25"/>
      <c r="H4" s="25"/>
      <c r="P4" s="25"/>
      <c r="Q4" s="25"/>
      <c r="R4" s="18">
        <v>10200</v>
      </c>
      <c r="S4" s="18">
        <v>10100</v>
      </c>
      <c r="T4" s="33">
        <v>1200</v>
      </c>
      <c r="U4" s="34">
        <f>SUM(R4:S4)</f>
        <v>20300</v>
      </c>
      <c r="V4" s="18"/>
      <c r="W4" s="18"/>
      <c r="Y4" s="26" t="s">
        <v>37</v>
      </c>
      <c r="Z4" s="25"/>
      <c r="AA4" s="25"/>
      <c r="AB4" s="25"/>
      <c r="AC4" s="25"/>
      <c r="AD4" s="25"/>
      <c r="AE4" s="25"/>
      <c r="AF4" s="25"/>
      <c r="AG4" s="25"/>
      <c r="AH4" s="25"/>
      <c r="AJ4" s="25"/>
    </row>
    <row r="5" spans="1:39" ht="14.4">
      <c r="A5" s="25"/>
      <c r="B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6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  <c r="AJ5" s="25"/>
    </row>
    <row r="6" spans="1:39" ht="15" customHeight="1">
      <c r="A6" s="35"/>
      <c r="B6" s="36" t="s">
        <v>38</v>
      </c>
      <c r="C6" s="36"/>
      <c r="D6" s="36"/>
      <c r="E6" s="36"/>
      <c r="F6" s="36"/>
      <c r="G6" s="35"/>
      <c r="H6" s="101" t="s">
        <v>39</v>
      </c>
      <c r="I6" s="102"/>
      <c r="J6" s="102"/>
      <c r="K6" s="37"/>
      <c r="L6" s="36" t="s">
        <v>40</v>
      </c>
      <c r="M6" s="35"/>
      <c r="N6" s="38" t="s">
        <v>33</v>
      </c>
      <c r="O6" s="37" t="s">
        <v>41</v>
      </c>
      <c r="P6" s="35"/>
      <c r="Q6" s="35"/>
      <c r="R6" s="101" t="s">
        <v>42</v>
      </c>
      <c r="S6" s="102"/>
      <c r="T6" s="102"/>
      <c r="U6" s="102"/>
      <c r="V6" s="37"/>
      <c r="W6" s="37"/>
      <c r="X6" s="105" t="s">
        <v>2</v>
      </c>
      <c r="Y6" s="106"/>
      <c r="Z6" s="106"/>
      <c r="AA6" s="35"/>
      <c r="AB6" s="35"/>
      <c r="AC6" s="101" t="s">
        <v>2</v>
      </c>
      <c r="AD6" s="102"/>
      <c r="AE6" s="101" t="s">
        <v>43</v>
      </c>
      <c r="AF6" s="102"/>
      <c r="AG6" s="39" t="s">
        <v>44</v>
      </c>
      <c r="AH6" s="39" t="s">
        <v>45</v>
      </c>
      <c r="AJ6" s="26"/>
    </row>
    <row r="7" spans="1:39" ht="14.4">
      <c r="A7" s="30" t="s">
        <v>3</v>
      </c>
      <c r="B7" s="30" t="s">
        <v>46</v>
      </c>
      <c r="C7" s="30" t="s">
        <v>47</v>
      </c>
      <c r="D7" s="40" t="s">
        <v>48</v>
      </c>
      <c r="E7" s="40" t="s">
        <v>49</v>
      </c>
      <c r="F7" s="41" t="s">
        <v>33</v>
      </c>
      <c r="H7" s="30" t="s">
        <v>77</v>
      </c>
      <c r="I7" s="30" t="s">
        <v>78</v>
      </c>
      <c r="J7" s="41" t="s">
        <v>33</v>
      </c>
      <c r="K7" s="30"/>
      <c r="L7" s="30" t="s">
        <v>33</v>
      </c>
      <c r="M7" s="30"/>
      <c r="N7" s="42" t="s">
        <v>54</v>
      </c>
      <c r="O7" s="43" t="s">
        <v>46</v>
      </c>
      <c r="P7" s="41" t="s">
        <v>55</v>
      </c>
      <c r="Q7" s="30"/>
      <c r="R7" s="30" t="s">
        <v>30</v>
      </c>
      <c r="S7" s="30" t="s">
        <v>31</v>
      </c>
      <c r="T7" s="31" t="s">
        <v>32</v>
      </c>
      <c r="U7" s="41" t="s">
        <v>33</v>
      </c>
      <c r="V7" s="30"/>
      <c r="W7" s="30" t="s">
        <v>56</v>
      </c>
      <c r="X7" s="30" t="s">
        <v>57</v>
      </c>
      <c r="Y7" s="30" t="s">
        <v>58</v>
      </c>
      <c r="Z7" s="30" t="s">
        <v>59</v>
      </c>
      <c r="AA7" s="30" t="s">
        <v>60</v>
      </c>
      <c r="AB7" s="30" t="s">
        <v>61</v>
      </c>
      <c r="AC7" s="30" t="s">
        <v>62</v>
      </c>
      <c r="AD7" s="30" t="s">
        <v>63</v>
      </c>
      <c r="AE7" s="30" t="s">
        <v>18</v>
      </c>
      <c r="AF7" s="30" t="s">
        <v>19</v>
      </c>
      <c r="AG7" s="44"/>
      <c r="AH7" s="44"/>
    </row>
    <row r="8" spans="1:39" ht="14.4">
      <c r="A8" s="23">
        <v>1999</v>
      </c>
      <c r="B8" s="18">
        <v>64814</v>
      </c>
      <c r="C8" s="18">
        <v>11923</v>
      </c>
      <c r="D8" s="18">
        <v>17725</v>
      </c>
      <c r="E8" s="18">
        <v>31643</v>
      </c>
      <c r="F8" s="65">
        <f t="shared" ref="F8:F27" si="0">SUM(B8:E8)</f>
        <v>126105</v>
      </c>
      <c r="G8" s="25"/>
      <c r="H8" s="18">
        <v>79402</v>
      </c>
      <c r="I8" s="18">
        <v>50139</v>
      </c>
      <c r="J8" s="65">
        <f t="shared" ref="J8:J27" si="1">H8+I8</f>
        <v>129541</v>
      </c>
      <c r="K8" s="18"/>
      <c r="L8" s="47">
        <v>1413</v>
      </c>
      <c r="M8" s="47"/>
      <c r="N8" s="65">
        <f t="shared" ref="N8:N27" si="2">F8+J8+L8</f>
        <v>257059</v>
      </c>
      <c r="O8" s="48">
        <v>0.45016508778967507</v>
      </c>
      <c r="P8" s="65">
        <f t="shared" ref="P8:P27" si="3">ROUND(B8*O8,0)</f>
        <v>29177</v>
      </c>
      <c r="Q8" s="18">
        <f t="shared" ref="Q8:Q27" si="4">P8/N8</f>
        <v>0.11350312574156128</v>
      </c>
      <c r="R8" s="49">
        <v>4566</v>
      </c>
      <c r="S8" s="49">
        <v>3017</v>
      </c>
      <c r="T8" s="33">
        <v>1766</v>
      </c>
      <c r="U8" s="65">
        <f t="shared" ref="U8:U27" si="5">SUM(R8:S8)</f>
        <v>7583</v>
      </c>
      <c r="V8" s="18"/>
      <c r="W8" s="18">
        <f>'UCI Coho DataOld'!tot_catch+'UCI Coho DataOld'!tot_esc</f>
        <v>264642</v>
      </c>
      <c r="X8" s="18">
        <f>'UCI Coho DataOld'!run-('UCI Coho DataOld'!tot_catch-'UCI Coho DataOld'!EEZ_catch)-'UCI Coho DataOld'!esc_index</f>
        <v>16460</v>
      </c>
      <c r="AA8" s="18"/>
      <c r="AB8" s="18"/>
      <c r="AC8" s="18"/>
      <c r="AD8" s="18"/>
      <c r="AL8" s="18"/>
      <c r="AM8" s="18"/>
    </row>
    <row r="9" spans="1:39" ht="14.4">
      <c r="A9" s="23">
        <v>2000</v>
      </c>
      <c r="B9" s="18">
        <v>131478</v>
      </c>
      <c r="C9" s="18">
        <v>11078</v>
      </c>
      <c r="D9" s="18">
        <v>22840</v>
      </c>
      <c r="E9" s="18">
        <v>71745</v>
      </c>
      <c r="F9" s="65">
        <f t="shared" si="0"/>
        <v>237141</v>
      </c>
      <c r="G9" s="25"/>
      <c r="H9" s="18">
        <v>134456</v>
      </c>
      <c r="I9" s="18">
        <v>67374</v>
      </c>
      <c r="J9" s="65">
        <f t="shared" si="1"/>
        <v>201830</v>
      </c>
      <c r="K9" s="18"/>
      <c r="L9" s="47">
        <v>3638</v>
      </c>
      <c r="M9" s="47"/>
      <c r="N9" s="65">
        <f t="shared" si="2"/>
        <v>442609</v>
      </c>
      <c r="O9" s="48">
        <v>0.52335561843045986</v>
      </c>
      <c r="P9" s="65">
        <f t="shared" si="3"/>
        <v>68810</v>
      </c>
      <c r="Q9" s="18">
        <f t="shared" si="4"/>
        <v>0.1554645296412861</v>
      </c>
      <c r="R9" s="18">
        <v>26387</v>
      </c>
      <c r="S9" s="18">
        <v>15436</v>
      </c>
      <c r="T9" s="33">
        <v>5218</v>
      </c>
      <c r="U9" s="65">
        <f t="shared" si="5"/>
        <v>41823</v>
      </c>
      <c r="V9" s="18"/>
      <c r="W9" s="18">
        <f>'UCI Coho DataOld'!tot_catch+'UCI Coho DataOld'!tot_esc</f>
        <v>484432</v>
      </c>
      <c r="X9" s="18">
        <f>'UCI Coho DataOld'!run-('UCI Coho DataOld'!tot_catch-'UCI Coho DataOld'!EEZ_catch)-'UCI Coho DataOld'!esc_index</f>
        <v>90333</v>
      </c>
      <c r="AA9" s="18"/>
      <c r="AB9" s="18"/>
      <c r="AC9" s="18"/>
      <c r="AD9" s="18"/>
      <c r="AL9" s="18"/>
      <c r="AM9" s="18"/>
    </row>
    <row r="10" spans="1:39" ht="14.4">
      <c r="A10" s="23">
        <v>2001</v>
      </c>
      <c r="B10" s="18">
        <v>39418</v>
      </c>
      <c r="C10" s="18">
        <v>4246</v>
      </c>
      <c r="D10" s="18">
        <v>23719</v>
      </c>
      <c r="E10" s="18">
        <v>45928</v>
      </c>
      <c r="F10" s="65">
        <f t="shared" si="0"/>
        <v>113311</v>
      </c>
      <c r="G10" s="25"/>
      <c r="H10" s="18">
        <v>132726</v>
      </c>
      <c r="I10" s="18">
        <v>69439</v>
      </c>
      <c r="J10" s="65">
        <f t="shared" si="1"/>
        <v>202165</v>
      </c>
      <c r="K10" s="18"/>
      <c r="L10" s="47">
        <v>2637</v>
      </c>
      <c r="M10" s="47"/>
      <c r="N10" s="65">
        <f t="shared" si="2"/>
        <v>318113</v>
      </c>
      <c r="O10" s="48">
        <v>0.4917550357704602</v>
      </c>
      <c r="P10" s="65">
        <f t="shared" si="3"/>
        <v>19384</v>
      </c>
      <c r="Q10" s="18">
        <f t="shared" si="4"/>
        <v>6.0934322080518556E-2</v>
      </c>
      <c r="R10" s="18">
        <v>29927</v>
      </c>
      <c r="S10" s="18">
        <v>30587</v>
      </c>
      <c r="T10" s="33">
        <v>9247</v>
      </c>
      <c r="U10" s="65">
        <f t="shared" si="5"/>
        <v>60514</v>
      </c>
      <c r="V10" s="18"/>
      <c r="W10" s="18">
        <f>'UCI Coho DataOld'!tot_catch+'UCI Coho DataOld'!tot_esc</f>
        <v>378627</v>
      </c>
      <c r="X10" s="18">
        <f>'UCI Coho DataOld'!run-('UCI Coho DataOld'!tot_catch-'UCI Coho DataOld'!EEZ_catch)-'UCI Coho DataOld'!esc_index</f>
        <v>59598</v>
      </c>
      <c r="Y10" s="78"/>
      <c r="Z10" s="78"/>
      <c r="AA10" s="18"/>
      <c r="AB10" s="18"/>
      <c r="AC10" s="18"/>
      <c r="AD10" s="18"/>
      <c r="AE10" s="53"/>
      <c r="AF10" s="53"/>
      <c r="AG10" s="53"/>
      <c r="AH10" s="53"/>
      <c r="AL10" s="18"/>
      <c r="AM10" s="18"/>
    </row>
    <row r="11" spans="1:39" ht="14.4">
      <c r="A11" s="23">
        <v>2002</v>
      </c>
      <c r="B11" s="18">
        <v>125831</v>
      </c>
      <c r="C11" s="18">
        <v>35153</v>
      </c>
      <c r="D11" s="18">
        <v>35005</v>
      </c>
      <c r="E11" s="18">
        <v>50292</v>
      </c>
      <c r="F11" s="65">
        <f t="shared" si="0"/>
        <v>246281</v>
      </c>
      <c r="G11" s="25"/>
      <c r="H11" s="18">
        <v>126520</v>
      </c>
      <c r="I11" s="18">
        <v>86793</v>
      </c>
      <c r="J11" s="65">
        <f t="shared" si="1"/>
        <v>213313</v>
      </c>
      <c r="K11" s="18"/>
      <c r="L11" s="47">
        <v>3271</v>
      </c>
      <c r="M11" s="47"/>
      <c r="N11" s="65">
        <f t="shared" si="2"/>
        <v>462865</v>
      </c>
      <c r="O11" s="48">
        <v>0.52598326326580891</v>
      </c>
      <c r="P11" s="65">
        <f t="shared" si="3"/>
        <v>66185</v>
      </c>
      <c r="Q11" s="18">
        <f t="shared" si="4"/>
        <v>0.14298985665366792</v>
      </c>
      <c r="R11" s="18">
        <v>24612</v>
      </c>
      <c r="S11" s="18">
        <v>47938</v>
      </c>
      <c r="T11" s="33">
        <v>14651</v>
      </c>
      <c r="U11" s="65">
        <f t="shared" si="5"/>
        <v>72550</v>
      </c>
      <c r="V11" s="18"/>
      <c r="W11" s="18">
        <f>'UCI Coho DataOld'!tot_catch+'UCI Coho DataOld'!tot_esc</f>
        <v>535415</v>
      </c>
      <c r="X11" s="18">
        <f>'UCI Coho DataOld'!run-('UCI Coho DataOld'!tot_catch-'UCI Coho DataOld'!EEZ_catch)-'UCI Coho DataOld'!esc_index</f>
        <v>118435</v>
      </c>
      <c r="Y11" s="78">
        <f t="shared" ref="Y11:Y27" si="6">SUM(P8:P11)/SUM(W8:W11)</f>
        <v>0.11036872954141504</v>
      </c>
      <c r="Z11" s="78">
        <f t="shared" ref="Z11:Z27" si="7">SUM(X8:X11)/SUM(W8:W11)</f>
        <v>0.17126045326964565</v>
      </c>
      <c r="AA11" s="18">
        <f>'UCI Coho DataOld'!esc_index*'UCI Coho DataOld'!gen_time/2</f>
        <v>40600</v>
      </c>
      <c r="AB11" s="18">
        <f t="shared" ref="AB11:AB27" si="8">SUM(U8:U11)</f>
        <v>182470</v>
      </c>
      <c r="AC11" s="18">
        <f t="shared" ref="AC11:AC27" si="9">SUM(X8:X11)</f>
        <v>284826</v>
      </c>
      <c r="AD11" s="18">
        <f t="shared" ref="AD11:AD27" si="10">SUM(P8:P11)</f>
        <v>183556</v>
      </c>
      <c r="AE11" s="53" t="str">
        <f t="shared" ref="AE11:AE27" si="11">IF(Y11&gt;Z11,"Yes","No")</f>
        <v>No</v>
      </c>
      <c r="AF11" s="53" t="str">
        <f t="shared" ref="AF11:AF27" si="12">IF(AB11&lt;AA11,"Yes","No")</f>
        <v>No</v>
      </c>
      <c r="AG11" s="53" t="str">
        <f t="shared" ref="AG11:AG27" si="13">IF(AD11&lt;=AC11,"No","Yes")</f>
        <v>No</v>
      </c>
      <c r="AH11" s="53" t="str">
        <f t="shared" ref="AH11:AH27" si="14">IF(U11&lt;$U$4,"Yes","No")</f>
        <v>No</v>
      </c>
      <c r="AL11" s="18"/>
      <c r="AM11" s="18"/>
    </row>
    <row r="12" spans="1:39" ht="14.4">
      <c r="A12" s="23">
        <v>2003</v>
      </c>
      <c r="B12" s="18">
        <v>52432</v>
      </c>
      <c r="C12" s="18">
        <v>10171</v>
      </c>
      <c r="D12" s="18">
        <v>15138</v>
      </c>
      <c r="E12" s="18">
        <v>24015</v>
      </c>
      <c r="F12" s="65">
        <f t="shared" si="0"/>
        <v>101756</v>
      </c>
      <c r="G12" s="25"/>
      <c r="H12" s="18">
        <v>86854</v>
      </c>
      <c r="I12" s="18">
        <v>69238</v>
      </c>
      <c r="J12" s="65">
        <f t="shared" si="1"/>
        <v>156092</v>
      </c>
      <c r="K12" s="18"/>
      <c r="L12" s="47">
        <v>2250</v>
      </c>
      <c r="M12" s="47"/>
      <c r="N12" s="65">
        <f t="shared" si="2"/>
        <v>260098</v>
      </c>
      <c r="O12" s="48">
        <v>0.4977017851693622</v>
      </c>
      <c r="P12" s="65">
        <f t="shared" si="3"/>
        <v>26096</v>
      </c>
      <c r="Q12" s="18">
        <f t="shared" si="4"/>
        <v>0.10033141354412567</v>
      </c>
      <c r="R12" s="18">
        <v>17305</v>
      </c>
      <c r="S12" s="18">
        <v>10877</v>
      </c>
      <c r="T12" s="33">
        <v>1231</v>
      </c>
      <c r="U12" s="65">
        <f t="shared" si="5"/>
        <v>28182</v>
      </c>
      <c r="V12" s="18"/>
      <c r="W12" s="18">
        <f>'UCI Coho DataOld'!tot_catch+'UCI Coho DataOld'!tot_esc</f>
        <v>288280</v>
      </c>
      <c r="X12" s="18">
        <f>'UCI Coho DataOld'!run-('UCI Coho DataOld'!tot_catch-'UCI Coho DataOld'!EEZ_catch)-'UCI Coho DataOld'!esc_index</f>
        <v>33978</v>
      </c>
      <c r="Y12" s="78">
        <f t="shared" si="6"/>
        <v>0.1069954480617802</v>
      </c>
      <c r="Z12" s="78">
        <f t="shared" si="7"/>
        <v>0.17924605484854342</v>
      </c>
      <c r="AA12" s="18">
        <f>'UCI Coho DataOld'!esc_index*'UCI Coho DataOld'!gen_time/2</f>
        <v>40600</v>
      </c>
      <c r="AB12" s="18">
        <f t="shared" si="8"/>
        <v>203069</v>
      </c>
      <c r="AC12" s="18">
        <f t="shared" si="9"/>
        <v>302344</v>
      </c>
      <c r="AD12" s="18">
        <f t="shared" si="10"/>
        <v>180475</v>
      </c>
      <c r="AE12" s="53" t="str">
        <f t="shared" si="11"/>
        <v>No</v>
      </c>
      <c r="AF12" s="53" t="str">
        <f t="shared" si="12"/>
        <v>No</v>
      </c>
      <c r="AG12" s="53" t="str">
        <f t="shared" si="13"/>
        <v>No</v>
      </c>
      <c r="AH12" s="53" t="str">
        <f t="shared" si="14"/>
        <v>No</v>
      </c>
      <c r="AL12" s="18"/>
      <c r="AM12" s="18"/>
    </row>
    <row r="13" spans="1:39" ht="14.4">
      <c r="A13" s="23">
        <v>2004</v>
      </c>
      <c r="B13" s="18">
        <v>199587</v>
      </c>
      <c r="C13" s="18">
        <v>30154</v>
      </c>
      <c r="D13" s="18">
        <v>36498</v>
      </c>
      <c r="E13" s="18">
        <v>44819</v>
      </c>
      <c r="F13" s="65">
        <f t="shared" si="0"/>
        <v>311058</v>
      </c>
      <c r="G13" s="25"/>
      <c r="H13" s="18">
        <v>101783</v>
      </c>
      <c r="I13" s="18">
        <v>91542</v>
      </c>
      <c r="J13" s="65">
        <f t="shared" si="1"/>
        <v>193325</v>
      </c>
      <c r="K13" s="18"/>
      <c r="L13" s="47">
        <v>3754</v>
      </c>
      <c r="M13" s="47"/>
      <c r="N13" s="65">
        <f t="shared" si="2"/>
        <v>508137</v>
      </c>
      <c r="O13" s="48">
        <v>0.46540230576139729</v>
      </c>
      <c r="P13" s="65">
        <f t="shared" si="3"/>
        <v>92888</v>
      </c>
      <c r="Q13" s="18">
        <f t="shared" si="4"/>
        <v>0.18280109498029073</v>
      </c>
      <c r="R13" s="18">
        <v>62940</v>
      </c>
      <c r="S13" s="18">
        <v>40199</v>
      </c>
      <c r="T13" s="33">
        <v>1415</v>
      </c>
      <c r="U13" s="65">
        <f t="shared" si="5"/>
        <v>103139</v>
      </c>
      <c r="V13" s="18"/>
      <c r="W13" s="18">
        <f>'UCI Coho DataOld'!tot_catch+'UCI Coho DataOld'!tot_esc</f>
        <v>611276</v>
      </c>
      <c r="X13" s="18">
        <f>'UCI Coho DataOld'!run-('UCI Coho DataOld'!tot_catch-'UCI Coho DataOld'!EEZ_catch)-'UCI Coho DataOld'!esc_index</f>
        <v>175727</v>
      </c>
      <c r="Y13" s="78">
        <f t="shared" si="6"/>
        <v>0.11278850109009825</v>
      </c>
      <c r="Z13" s="78">
        <f t="shared" si="7"/>
        <v>0.21379489831814988</v>
      </c>
      <c r="AA13" s="18">
        <f>'UCI Coho DataOld'!esc_index*'UCI Coho DataOld'!gen_time/2</f>
        <v>40600</v>
      </c>
      <c r="AB13" s="18">
        <f t="shared" si="8"/>
        <v>264385</v>
      </c>
      <c r="AC13" s="18">
        <f t="shared" si="9"/>
        <v>387738</v>
      </c>
      <c r="AD13" s="18">
        <f t="shared" si="10"/>
        <v>204553</v>
      </c>
      <c r="AE13" s="53" t="str">
        <f t="shared" si="11"/>
        <v>No</v>
      </c>
      <c r="AF13" s="53" t="str">
        <f t="shared" si="12"/>
        <v>No</v>
      </c>
      <c r="AG13" s="53" t="str">
        <f t="shared" si="13"/>
        <v>No</v>
      </c>
      <c r="AH13" s="53" t="str">
        <f t="shared" si="14"/>
        <v>No</v>
      </c>
      <c r="AL13" s="18"/>
      <c r="AM13" s="18"/>
    </row>
    <row r="14" spans="1:39" ht="14.4">
      <c r="A14" s="23">
        <v>2005</v>
      </c>
      <c r="B14" s="18">
        <v>144753</v>
      </c>
      <c r="C14" s="18">
        <v>19543</v>
      </c>
      <c r="D14" s="18">
        <v>29502</v>
      </c>
      <c r="E14" s="18">
        <v>30859</v>
      </c>
      <c r="F14" s="65">
        <f t="shared" si="0"/>
        <v>224657</v>
      </c>
      <c r="G14" s="25"/>
      <c r="H14" s="18">
        <v>90599</v>
      </c>
      <c r="I14" s="18">
        <v>68699</v>
      </c>
      <c r="J14" s="65">
        <f t="shared" si="1"/>
        <v>159298</v>
      </c>
      <c r="K14" s="18"/>
      <c r="L14" s="47">
        <v>3415</v>
      </c>
      <c r="M14" s="47"/>
      <c r="N14" s="65">
        <f t="shared" si="2"/>
        <v>387370</v>
      </c>
      <c r="O14" s="48">
        <v>0.46607669616519176</v>
      </c>
      <c r="P14" s="65">
        <f t="shared" si="3"/>
        <v>67466</v>
      </c>
      <c r="Q14" s="18">
        <f t="shared" si="4"/>
        <v>0.17416423574360432</v>
      </c>
      <c r="R14" s="18">
        <v>47887</v>
      </c>
      <c r="S14" s="18">
        <v>16839</v>
      </c>
      <c r="T14" s="33">
        <v>3011</v>
      </c>
      <c r="U14" s="65">
        <f t="shared" si="5"/>
        <v>64726</v>
      </c>
      <c r="V14" s="18"/>
      <c r="W14" s="18">
        <f>'UCI Coho DataOld'!tot_catch+'UCI Coho DataOld'!tot_esc</f>
        <v>452096</v>
      </c>
      <c r="X14" s="18">
        <f>'UCI Coho DataOld'!run-('UCI Coho DataOld'!tot_catch-'UCI Coho DataOld'!EEZ_catch)-'UCI Coho DataOld'!esc_index</f>
        <v>111892</v>
      </c>
      <c r="Y14" s="78">
        <f t="shared" si="6"/>
        <v>0.13387706954761014</v>
      </c>
      <c r="Z14" s="78">
        <f t="shared" si="7"/>
        <v>0.23318302953737202</v>
      </c>
      <c r="AA14" s="18">
        <f>'UCI Coho DataOld'!esc_index*'UCI Coho DataOld'!gen_time/2</f>
        <v>40600</v>
      </c>
      <c r="AB14" s="18">
        <f t="shared" si="8"/>
        <v>268597</v>
      </c>
      <c r="AC14" s="18">
        <f t="shared" si="9"/>
        <v>440032</v>
      </c>
      <c r="AD14" s="18">
        <f t="shared" si="10"/>
        <v>252635</v>
      </c>
      <c r="AE14" s="53" t="str">
        <f t="shared" si="11"/>
        <v>No</v>
      </c>
      <c r="AF14" s="53" t="str">
        <f t="shared" si="12"/>
        <v>No</v>
      </c>
      <c r="AG14" s="53" t="str">
        <f t="shared" si="13"/>
        <v>No</v>
      </c>
      <c r="AH14" s="53" t="str">
        <f t="shared" si="14"/>
        <v>No</v>
      </c>
      <c r="AL14" s="18"/>
      <c r="AM14" s="18"/>
    </row>
    <row r="15" spans="1:39" ht="14.4">
      <c r="A15" s="23">
        <v>2006</v>
      </c>
      <c r="B15" s="18">
        <v>98473</v>
      </c>
      <c r="C15" s="18">
        <v>22167</v>
      </c>
      <c r="D15" s="18">
        <v>36845</v>
      </c>
      <c r="E15" s="18">
        <v>20368</v>
      </c>
      <c r="F15" s="65">
        <f t="shared" si="0"/>
        <v>177853</v>
      </c>
      <c r="G15" s="25"/>
      <c r="H15" s="18">
        <v>117494</v>
      </c>
      <c r="I15" s="18">
        <v>58760</v>
      </c>
      <c r="J15" s="65">
        <f t="shared" si="1"/>
        <v>176254</v>
      </c>
      <c r="K15" s="18"/>
      <c r="L15" s="47">
        <v>3759</v>
      </c>
      <c r="M15" s="47"/>
      <c r="N15" s="65">
        <f t="shared" si="2"/>
        <v>357866</v>
      </c>
      <c r="O15" s="48">
        <v>0.48044641678429623</v>
      </c>
      <c r="P15" s="65">
        <f t="shared" si="3"/>
        <v>47311</v>
      </c>
      <c r="Q15" s="18">
        <f t="shared" si="4"/>
        <v>0.13220311513247976</v>
      </c>
      <c r="R15" s="18">
        <v>59419</v>
      </c>
      <c r="S15" s="49">
        <v>8786</v>
      </c>
      <c r="T15" s="33">
        <v>4967</v>
      </c>
      <c r="U15" s="65">
        <f t="shared" si="5"/>
        <v>68205</v>
      </c>
      <c r="V15" s="18"/>
      <c r="W15" s="18">
        <f>'UCI Coho DataOld'!tot_catch+'UCI Coho DataOld'!tot_esc</f>
        <v>426071</v>
      </c>
      <c r="X15" s="18">
        <f>'UCI Coho DataOld'!run-('UCI Coho DataOld'!tot_catch-'UCI Coho DataOld'!EEZ_catch)-'UCI Coho DataOld'!esc_index</f>
        <v>95216</v>
      </c>
      <c r="Y15" s="78">
        <f t="shared" si="6"/>
        <v>0.13149461417779934</v>
      </c>
      <c r="Z15" s="78">
        <f t="shared" si="7"/>
        <v>0.23446453693854441</v>
      </c>
      <c r="AA15" s="18">
        <f>'UCI Coho DataOld'!esc_index*'UCI Coho DataOld'!gen_time/2</f>
        <v>40600</v>
      </c>
      <c r="AB15" s="18">
        <f t="shared" si="8"/>
        <v>264252</v>
      </c>
      <c r="AC15" s="18">
        <f t="shared" si="9"/>
        <v>416813</v>
      </c>
      <c r="AD15" s="18">
        <f t="shared" si="10"/>
        <v>233761</v>
      </c>
      <c r="AE15" s="53" t="str">
        <f t="shared" si="11"/>
        <v>No</v>
      </c>
      <c r="AF15" s="53" t="str">
        <f t="shared" si="12"/>
        <v>No</v>
      </c>
      <c r="AG15" s="53" t="str">
        <f t="shared" si="13"/>
        <v>No</v>
      </c>
      <c r="AH15" s="53" t="str">
        <f t="shared" si="14"/>
        <v>No</v>
      </c>
      <c r="AL15" s="18"/>
      <c r="AM15" s="18"/>
    </row>
    <row r="16" spans="1:39" ht="14.4">
      <c r="A16" s="23">
        <v>2007</v>
      </c>
      <c r="B16" s="18">
        <v>108703</v>
      </c>
      <c r="C16" s="18">
        <v>23610</v>
      </c>
      <c r="D16" s="18">
        <v>23495</v>
      </c>
      <c r="E16" s="18">
        <v>21531</v>
      </c>
      <c r="F16" s="65">
        <f t="shared" si="0"/>
        <v>177339</v>
      </c>
      <c r="G16" s="25"/>
      <c r="H16" s="18">
        <v>81266</v>
      </c>
      <c r="I16" s="18">
        <v>52233</v>
      </c>
      <c r="J16" s="65">
        <f t="shared" si="1"/>
        <v>133499</v>
      </c>
      <c r="K16" s="18"/>
      <c r="L16" s="47">
        <v>2727</v>
      </c>
      <c r="M16" s="47"/>
      <c r="N16" s="65">
        <f t="shared" si="2"/>
        <v>313565</v>
      </c>
      <c r="O16" s="48">
        <v>0.623885725324968</v>
      </c>
      <c r="P16" s="65">
        <f t="shared" si="3"/>
        <v>67818</v>
      </c>
      <c r="Q16" s="18">
        <f t="shared" si="4"/>
        <v>0.216280516001467</v>
      </c>
      <c r="R16" s="18">
        <v>10575</v>
      </c>
      <c r="S16" s="18">
        <v>17573</v>
      </c>
      <c r="T16" s="33">
        <v>6868</v>
      </c>
      <c r="U16" s="65">
        <f t="shared" si="5"/>
        <v>28148</v>
      </c>
      <c r="V16" s="18"/>
      <c r="W16" s="18">
        <f>'UCI Coho DataOld'!tot_catch+'UCI Coho DataOld'!tot_esc</f>
        <v>341713</v>
      </c>
      <c r="X16" s="18">
        <f>'UCI Coho DataOld'!run-('UCI Coho DataOld'!tot_catch-'UCI Coho DataOld'!EEZ_catch)-'UCI Coho DataOld'!esc_index</f>
        <v>75666</v>
      </c>
      <c r="Y16" s="78">
        <f t="shared" si="6"/>
        <v>0.15044212508382682</v>
      </c>
      <c r="Z16" s="78">
        <f t="shared" si="7"/>
        <v>0.25038882541957103</v>
      </c>
      <c r="AA16" s="18">
        <f>'UCI Coho DataOld'!esc_index*'UCI Coho DataOld'!gen_time/2</f>
        <v>40600</v>
      </c>
      <c r="AB16" s="18">
        <f t="shared" si="8"/>
        <v>264218</v>
      </c>
      <c r="AC16" s="18">
        <f t="shared" si="9"/>
        <v>458501</v>
      </c>
      <c r="AD16" s="18">
        <f t="shared" si="10"/>
        <v>275483</v>
      </c>
      <c r="AE16" s="53" t="str">
        <f t="shared" si="11"/>
        <v>No</v>
      </c>
      <c r="AF16" s="53" t="str">
        <f t="shared" si="12"/>
        <v>No</v>
      </c>
      <c r="AG16" s="53" t="str">
        <f t="shared" si="13"/>
        <v>No</v>
      </c>
      <c r="AH16" s="53" t="str">
        <f t="shared" si="14"/>
        <v>No</v>
      </c>
      <c r="AL16" s="18"/>
      <c r="AM16" s="18"/>
    </row>
    <row r="17" spans="1:39" ht="14.4">
      <c r="A17" s="23">
        <v>2008</v>
      </c>
      <c r="B17" s="18">
        <v>89428</v>
      </c>
      <c r="C17" s="18">
        <v>21823</v>
      </c>
      <c r="D17" s="18">
        <v>18441</v>
      </c>
      <c r="E17" s="18">
        <v>42177</v>
      </c>
      <c r="F17" s="65">
        <f t="shared" si="0"/>
        <v>171869</v>
      </c>
      <c r="G17" s="25"/>
      <c r="H17" s="18">
        <v>110373</v>
      </c>
      <c r="I17" s="18">
        <v>67869</v>
      </c>
      <c r="J17" s="65">
        <f t="shared" si="1"/>
        <v>178242</v>
      </c>
      <c r="K17" s="18"/>
      <c r="L17" s="55">
        <v>3249</v>
      </c>
      <c r="M17" s="55"/>
      <c r="N17" s="65">
        <f t="shared" si="2"/>
        <v>353360</v>
      </c>
      <c r="O17" s="48">
        <v>0.46233841749787541</v>
      </c>
      <c r="P17" s="65">
        <f t="shared" si="3"/>
        <v>41346</v>
      </c>
      <c r="Q17" s="18">
        <f t="shared" si="4"/>
        <v>0.11700815032827711</v>
      </c>
      <c r="R17" s="18">
        <v>12724</v>
      </c>
      <c r="S17" s="18">
        <v>18485</v>
      </c>
      <c r="T17" s="33">
        <v>4868</v>
      </c>
      <c r="U17" s="65">
        <f t="shared" si="5"/>
        <v>31209</v>
      </c>
      <c r="V17" s="18"/>
      <c r="W17" s="18">
        <f>'UCI Coho DataOld'!tot_catch+'UCI Coho DataOld'!tot_esc</f>
        <v>384569</v>
      </c>
      <c r="X17" s="18">
        <f>'UCI Coho DataOld'!run-('UCI Coho DataOld'!tot_catch-'UCI Coho DataOld'!EEZ_catch)-'UCI Coho DataOld'!esc_index</f>
        <v>52255</v>
      </c>
      <c r="Y17" s="78">
        <f t="shared" si="6"/>
        <v>0.13957501921220306</v>
      </c>
      <c r="Z17" s="78">
        <f t="shared" si="7"/>
        <v>0.20881249575399405</v>
      </c>
      <c r="AA17" s="18">
        <f>'UCI Coho DataOld'!esc_index*'UCI Coho DataOld'!gen_time/2</f>
        <v>40600</v>
      </c>
      <c r="AB17" s="18">
        <f t="shared" si="8"/>
        <v>192288</v>
      </c>
      <c r="AC17" s="18">
        <f t="shared" si="9"/>
        <v>335029</v>
      </c>
      <c r="AD17" s="18">
        <f t="shared" si="10"/>
        <v>223941</v>
      </c>
      <c r="AE17" s="53" t="str">
        <f t="shared" si="11"/>
        <v>No</v>
      </c>
      <c r="AF17" s="53" t="str">
        <f t="shared" si="12"/>
        <v>No</v>
      </c>
      <c r="AG17" s="53" t="str">
        <f t="shared" si="13"/>
        <v>No</v>
      </c>
      <c r="AH17" s="53" t="str">
        <f t="shared" si="14"/>
        <v>No</v>
      </c>
      <c r="AL17" s="18"/>
      <c r="AM17" s="18"/>
    </row>
    <row r="18" spans="1:39" ht="14.4">
      <c r="A18" s="23">
        <v>2009</v>
      </c>
      <c r="B18" s="18">
        <v>82096</v>
      </c>
      <c r="C18" s="18">
        <v>11435</v>
      </c>
      <c r="D18" s="18">
        <v>22050</v>
      </c>
      <c r="E18" s="18">
        <v>37629</v>
      </c>
      <c r="F18" s="65">
        <f t="shared" si="0"/>
        <v>153210</v>
      </c>
      <c r="G18" s="25"/>
      <c r="H18" s="18">
        <v>89179</v>
      </c>
      <c r="I18" s="18">
        <v>65540</v>
      </c>
      <c r="J18" s="65">
        <f t="shared" si="1"/>
        <v>154719</v>
      </c>
      <c r="K18" s="18"/>
      <c r="L18" s="47">
        <v>4204</v>
      </c>
      <c r="M18" s="47"/>
      <c r="N18" s="65">
        <f t="shared" si="2"/>
        <v>312133</v>
      </c>
      <c r="O18" s="48">
        <v>0.47705550753046888</v>
      </c>
      <c r="P18" s="65">
        <f t="shared" si="3"/>
        <v>39164</v>
      </c>
      <c r="Q18" s="18">
        <f t="shared" si="4"/>
        <v>0.12547215449824273</v>
      </c>
      <c r="R18" s="18">
        <v>27348</v>
      </c>
      <c r="S18" s="49">
        <v>9523</v>
      </c>
      <c r="T18" s="33">
        <v>8214</v>
      </c>
      <c r="U18" s="65">
        <f t="shared" si="5"/>
        <v>36871</v>
      </c>
      <c r="V18" s="18"/>
      <c r="W18" s="18">
        <f>'UCI Coho DataOld'!tot_catch+'UCI Coho DataOld'!tot_esc</f>
        <v>349004</v>
      </c>
      <c r="X18" s="18">
        <f>'UCI Coho DataOld'!run-('UCI Coho DataOld'!tot_catch-'UCI Coho DataOld'!EEZ_catch)-'UCI Coho DataOld'!esc_index</f>
        <v>55735</v>
      </c>
      <c r="Y18" s="78">
        <f t="shared" si="6"/>
        <v>0.13030811459233213</v>
      </c>
      <c r="Z18" s="78">
        <f t="shared" si="7"/>
        <v>0.18574662788397431</v>
      </c>
      <c r="AA18" s="18">
        <f>'UCI Coho DataOld'!esc_index*'UCI Coho DataOld'!gen_time/2</f>
        <v>40600</v>
      </c>
      <c r="AB18" s="18">
        <f t="shared" si="8"/>
        <v>164433</v>
      </c>
      <c r="AC18" s="18">
        <f t="shared" si="9"/>
        <v>278872</v>
      </c>
      <c r="AD18" s="18">
        <f t="shared" si="10"/>
        <v>195639</v>
      </c>
      <c r="AE18" s="53" t="str">
        <f t="shared" si="11"/>
        <v>No</v>
      </c>
      <c r="AF18" s="53" t="str">
        <f t="shared" si="12"/>
        <v>No</v>
      </c>
      <c r="AG18" s="53" t="str">
        <f t="shared" si="13"/>
        <v>No</v>
      </c>
      <c r="AH18" s="53" t="str">
        <f t="shared" si="14"/>
        <v>No</v>
      </c>
      <c r="AL18" s="18"/>
      <c r="AM18" s="18"/>
    </row>
    <row r="19" spans="1:39" ht="14.4">
      <c r="A19" s="23">
        <v>2010</v>
      </c>
      <c r="B19" s="18">
        <v>110275</v>
      </c>
      <c r="C19" s="18">
        <v>32683</v>
      </c>
      <c r="D19" s="18">
        <v>26281</v>
      </c>
      <c r="E19" s="18">
        <v>38111</v>
      </c>
      <c r="F19" s="65">
        <f t="shared" si="0"/>
        <v>207350</v>
      </c>
      <c r="G19" s="25"/>
      <c r="H19" s="18">
        <v>70192</v>
      </c>
      <c r="I19" s="18">
        <v>65143</v>
      </c>
      <c r="J19" s="65">
        <f t="shared" si="1"/>
        <v>135335</v>
      </c>
      <c r="K19" s="18"/>
      <c r="L19" s="47">
        <v>8405</v>
      </c>
      <c r="M19" s="47"/>
      <c r="N19" s="65">
        <f t="shared" si="2"/>
        <v>351090</v>
      </c>
      <c r="O19" s="48">
        <v>0.55466107458626157</v>
      </c>
      <c r="P19" s="65">
        <f t="shared" si="3"/>
        <v>61165</v>
      </c>
      <c r="Q19" s="18">
        <f t="shared" si="4"/>
        <v>0.17421458885186134</v>
      </c>
      <c r="R19" s="18">
        <v>10393</v>
      </c>
      <c r="S19" s="49">
        <v>9214</v>
      </c>
      <c r="T19" s="33">
        <v>6977</v>
      </c>
      <c r="U19" s="65">
        <f t="shared" si="5"/>
        <v>19607</v>
      </c>
      <c r="V19" s="18"/>
      <c r="W19" s="18">
        <f>'UCI Coho DataOld'!tot_catch+'UCI Coho DataOld'!tot_esc</f>
        <v>370697</v>
      </c>
      <c r="X19" s="18">
        <f>'UCI Coho DataOld'!run-('UCI Coho DataOld'!tot_catch-'UCI Coho DataOld'!EEZ_catch)-'UCI Coho DataOld'!esc_index</f>
        <v>60472</v>
      </c>
      <c r="Y19" s="78">
        <f t="shared" si="6"/>
        <v>0.14487929664456636</v>
      </c>
      <c r="Z19" s="78">
        <f t="shared" si="7"/>
        <v>0.16883186040223155</v>
      </c>
      <c r="AA19" s="18">
        <f>'UCI Coho DataOld'!esc_index*'UCI Coho DataOld'!gen_time/2</f>
        <v>40600</v>
      </c>
      <c r="AB19" s="18">
        <f t="shared" si="8"/>
        <v>115835</v>
      </c>
      <c r="AC19" s="18">
        <f t="shared" si="9"/>
        <v>244128</v>
      </c>
      <c r="AD19" s="18">
        <f t="shared" si="10"/>
        <v>209493</v>
      </c>
      <c r="AE19" s="53" t="str">
        <f t="shared" si="11"/>
        <v>No</v>
      </c>
      <c r="AF19" s="53" t="str">
        <f t="shared" si="12"/>
        <v>No</v>
      </c>
      <c r="AG19" s="53" t="str">
        <f t="shared" si="13"/>
        <v>No</v>
      </c>
      <c r="AH19" s="53" t="str">
        <f t="shared" si="14"/>
        <v>Yes</v>
      </c>
      <c r="AL19" s="18"/>
      <c r="AM19" s="18"/>
    </row>
    <row r="20" spans="1:39" ht="14.4">
      <c r="A20" s="23">
        <v>2011</v>
      </c>
      <c r="B20" s="18">
        <v>40858</v>
      </c>
      <c r="C20" s="18">
        <v>15560</v>
      </c>
      <c r="D20" s="18">
        <v>16760</v>
      </c>
      <c r="E20" s="18">
        <v>22113</v>
      </c>
      <c r="F20" s="65">
        <f t="shared" si="0"/>
        <v>95291</v>
      </c>
      <c r="G20" s="25"/>
      <c r="H20" s="18">
        <v>43987</v>
      </c>
      <c r="I20" s="18">
        <v>57208</v>
      </c>
      <c r="J20" s="65">
        <f t="shared" si="1"/>
        <v>101195</v>
      </c>
      <c r="K20" s="18"/>
      <c r="L20" s="47">
        <v>6754</v>
      </c>
      <c r="M20" s="47"/>
      <c r="N20" s="65">
        <f t="shared" si="2"/>
        <v>203240</v>
      </c>
      <c r="O20" s="48">
        <v>0.46926550491947722</v>
      </c>
      <c r="P20" s="65">
        <f t="shared" si="3"/>
        <v>19173</v>
      </c>
      <c r="Q20" s="18">
        <f t="shared" si="4"/>
        <v>9.433674473528833E-2</v>
      </c>
      <c r="R20" s="49">
        <v>7326</v>
      </c>
      <c r="S20" s="49">
        <v>4826</v>
      </c>
      <c r="T20" s="33">
        <v>1428</v>
      </c>
      <c r="U20" s="65">
        <f t="shared" si="5"/>
        <v>12152</v>
      </c>
      <c r="V20" s="18"/>
      <c r="W20" s="18">
        <f>'UCI Coho DataOld'!tot_catch+'UCI Coho DataOld'!tot_esc</f>
        <v>215392</v>
      </c>
      <c r="X20" s="18">
        <f>'UCI Coho DataOld'!run-('UCI Coho DataOld'!tot_catch-'UCI Coho DataOld'!EEZ_catch)-'UCI Coho DataOld'!esc_index</f>
        <v>11025</v>
      </c>
      <c r="Y20" s="78">
        <f t="shared" si="6"/>
        <v>0.12188575559499326</v>
      </c>
      <c r="Z20" s="78">
        <f t="shared" si="7"/>
        <v>0.13600982675867002</v>
      </c>
      <c r="AA20" s="18">
        <f>'UCI Coho DataOld'!esc_index*'UCI Coho DataOld'!gen_time/2</f>
        <v>40600</v>
      </c>
      <c r="AB20" s="18">
        <f t="shared" si="8"/>
        <v>99839</v>
      </c>
      <c r="AC20" s="18">
        <f t="shared" si="9"/>
        <v>179487</v>
      </c>
      <c r="AD20" s="18">
        <f t="shared" si="10"/>
        <v>160848</v>
      </c>
      <c r="AE20" s="53" t="str">
        <f t="shared" si="11"/>
        <v>No</v>
      </c>
      <c r="AF20" s="53" t="str">
        <f t="shared" si="12"/>
        <v>No</v>
      </c>
      <c r="AG20" s="53" t="str">
        <f t="shared" si="13"/>
        <v>No</v>
      </c>
      <c r="AH20" s="53" t="str">
        <f t="shared" si="14"/>
        <v>Yes</v>
      </c>
      <c r="AL20" s="18"/>
      <c r="AM20" s="18"/>
    </row>
    <row r="21" spans="1:39" ht="15.75" customHeight="1">
      <c r="A21" s="23">
        <v>2012</v>
      </c>
      <c r="B21" s="18">
        <v>74678</v>
      </c>
      <c r="C21" s="18">
        <v>6537</v>
      </c>
      <c r="D21" s="18">
        <v>12354</v>
      </c>
      <c r="E21" s="18">
        <v>13206</v>
      </c>
      <c r="F21" s="65">
        <f t="shared" si="0"/>
        <v>106775</v>
      </c>
      <c r="G21" s="18"/>
      <c r="H21" s="18">
        <v>34077</v>
      </c>
      <c r="I21" s="18">
        <v>51007</v>
      </c>
      <c r="J21" s="65">
        <f t="shared" si="1"/>
        <v>85084</v>
      </c>
      <c r="K21" s="18"/>
      <c r="L21" s="47">
        <v>5512.3123209557325</v>
      </c>
      <c r="M21" s="47"/>
      <c r="N21" s="65">
        <f t="shared" si="2"/>
        <v>197371.31232095574</v>
      </c>
      <c r="O21" s="48">
        <v>0.49337488952569697</v>
      </c>
      <c r="P21" s="65">
        <f t="shared" si="3"/>
        <v>36844</v>
      </c>
      <c r="Q21" s="18">
        <f t="shared" si="4"/>
        <v>0.18667353206876416</v>
      </c>
      <c r="R21" s="49">
        <v>6825</v>
      </c>
      <c r="S21" s="49">
        <v>6779</v>
      </c>
      <c r="T21" s="33">
        <v>1237</v>
      </c>
      <c r="U21" s="65">
        <f t="shared" si="5"/>
        <v>13604</v>
      </c>
      <c r="V21" s="18"/>
      <c r="W21" s="18">
        <f>'UCI Coho DataOld'!tot_catch+'UCI Coho DataOld'!tot_esc</f>
        <v>210975.31232095574</v>
      </c>
      <c r="X21" s="18">
        <f>'UCI Coho DataOld'!run-('UCI Coho DataOld'!tot_catch-'UCI Coho DataOld'!EEZ_catch)-'UCI Coho DataOld'!esc_index</f>
        <v>30148</v>
      </c>
      <c r="Y21" s="78">
        <f t="shared" si="6"/>
        <v>0.13641944229604996</v>
      </c>
      <c r="Z21" s="78">
        <f t="shared" si="7"/>
        <v>0.13732165727650431</v>
      </c>
      <c r="AA21" s="18">
        <f>'UCI Coho DataOld'!esc_index*'UCI Coho DataOld'!gen_time/2</f>
        <v>40600</v>
      </c>
      <c r="AB21" s="18">
        <f t="shared" si="8"/>
        <v>82234</v>
      </c>
      <c r="AC21" s="18">
        <f t="shared" si="9"/>
        <v>157380</v>
      </c>
      <c r="AD21" s="18">
        <f t="shared" si="10"/>
        <v>156346</v>
      </c>
      <c r="AE21" s="53" t="str">
        <f t="shared" si="11"/>
        <v>No</v>
      </c>
      <c r="AF21" s="53" t="str">
        <f t="shared" si="12"/>
        <v>No</v>
      </c>
      <c r="AG21" s="53" t="str">
        <f t="shared" si="13"/>
        <v>No</v>
      </c>
      <c r="AH21" s="53" t="str">
        <f t="shared" si="14"/>
        <v>Yes</v>
      </c>
      <c r="AL21" s="18"/>
      <c r="AM21" s="18"/>
    </row>
    <row r="22" spans="1:39" ht="15.75" customHeight="1">
      <c r="A22" s="23">
        <v>2013</v>
      </c>
      <c r="B22" s="18">
        <v>184771</v>
      </c>
      <c r="C22" s="18">
        <v>2266</v>
      </c>
      <c r="D22" s="18">
        <v>31513</v>
      </c>
      <c r="E22" s="18">
        <v>42413</v>
      </c>
      <c r="F22" s="65">
        <f t="shared" si="0"/>
        <v>260963</v>
      </c>
      <c r="G22" s="18"/>
      <c r="H22" s="18">
        <v>51817</v>
      </c>
      <c r="I22" s="18">
        <v>64243</v>
      </c>
      <c r="J22" s="65">
        <f t="shared" si="1"/>
        <v>116060</v>
      </c>
      <c r="K22" s="18"/>
      <c r="L22" s="47">
        <v>5119</v>
      </c>
      <c r="M22" s="47"/>
      <c r="N22" s="65">
        <f t="shared" si="2"/>
        <v>382142</v>
      </c>
      <c r="O22" s="48">
        <v>0.60006711009844615</v>
      </c>
      <c r="P22" s="65">
        <f t="shared" si="3"/>
        <v>110875</v>
      </c>
      <c r="Q22" s="18">
        <f t="shared" si="4"/>
        <v>0.29014083769907523</v>
      </c>
      <c r="R22" s="18">
        <v>22141</v>
      </c>
      <c r="S22" s="18">
        <v>13583</v>
      </c>
      <c r="T22" s="33">
        <v>7593</v>
      </c>
      <c r="U22" s="65">
        <f t="shared" si="5"/>
        <v>35724</v>
      </c>
      <c r="V22" s="18"/>
      <c r="W22" s="18">
        <f>'UCI Coho DataOld'!tot_catch+'UCI Coho DataOld'!tot_esc</f>
        <v>417866</v>
      </c>
      <c r="X22" s="18">
        <f>'UCI Coho DataOld'!run-('UCI Coho DataOld'!tot_catch-'UCI Coho DataOld'!EEZ_catch)-'UCI Coho DataOld'!esc_index</f>
        <v>126299</v>
      </c>
      <c r="Y22" s="79">
        <f t="shared" si="6"/>
        <v>0.18771200099891222</v>
      </c>
      <c r="Z22" s="79">
        <f t="shared" si="7"/>
        <v>0.18761899154902523</v>
      </c>
      <c r="AA22" s="18">
        <f>'UCI Coho DataOld'!esc_index*'UCI Coho DataOld'!gen_time/2</f>
        <v>40600</v>
      </c>
      <c r="AB22" s="18">
        <f t="shared" si="8"/>
        <v>81087</v>
      </c>
      <c r="AC22" s="18">
        <f t="shared" si="9"/>
        <v>227944</v>
      </c>
      <c r="AD22" s="18">
        <f t="shared" si="10"/>
        <v>228057</v>
      </c>
      <c r="AE22" s="53" t="str">
        <f t="shared" si="11"/>
        <v>Yes</v>
      </c>
      <c r="AF22" s="53" t="str">
        <f t="shared" si="12"/>
        <v>No</v>
      </c>
      <c r="AG22" s="53" t="str">
        <f t="shared" si="13"/>
        <v>Yes</v>
      </c>
      <c r="AH22" s="53" t="str">
        <f t="shared" si="14"/>
        <v>No</v>
      </c>
      <c r="AL22" s="18"/>
      <c r="AM22" s="18"/>
    </row>
    <row r="23" spans="1:39" ht="15.75" customHeight="1">
      <c r="A23" s="23">
        <v>2014</v>
      </c>
      <c r="B23" s="18">
        <v>76932</v>
      </c>
      <c r="C23" s="18">
        <v>5908</v>
      </c>
      <c r="D23" s="18">
        <v>19379</v>
      </c>
      <c r="E23" s="18">
        <v>35200</v>
      </c>
      <c r="F23" s="65">
        <f t="shared" si="0"/>
        <v>137419</v>
      </c>
      <c r="G23" s="18"/>
      <c r="H23" s="18">
        <v>58584</v>
      </c>
      <c r="I23" s="18">
        <v>73871</v>
      </c>
      <c r="J23" s="65">
        <f t="shared" si="1"/>
        <v>132455</v>
      </c>
      <c r="K23" s="18"/>
      <c r="L23" s="47">
        <v>9370</v>
      </c>
      <c r="M23" s="47"/>
      <c r="N23" s="65">
        <f t="shared" si="2"/>
        <v>279244</v>
      </c>
      <c r="O23" s="48">
        <v>0.46302578900847502</v>
      </c>
      <c r="P23" s="65">
        <f t="shared" si="3"/>
        <v>35622</v>
      </c>
      <c r="Q23" s="18">
        <f t="shared" si="4"/>
        <v>0.12756585638366447</v>
      </c>
      <c r="R23" s="18">
        <v>11578</v>
      </c>
      <c r="S23" s="18">
        <v>24211</v>
      </c>
      <c r="T23" s="33">
        <v>10283</v>
      </c>
      <c r="U23" s="65">
        <f t="shared" si="5"/>
        <v>35789</v>
      </c>
      <c r="V23" s="18"/>
      <c r="W23" s="18">
        <f>'UCI Coho DataOld'!tot_catch+'UCI Coho DataOld'!tot_esc</f>
        <v>315033</v>
      </c>
      <c r="X23" s="18">
        <f>'UCI Coho DataOld'!run-('UCI Coho DataOld'!tot_catch-'UCI Coho DataOld'!EEZ_catch)-'UCI Coho DataOld'!esc_index</f>
        <v>51111</v>
      </c>
      <c r="Y23" s="78">
        <f t="shared" si="6"/>
        <v>0.17469152501684337</v>
      </c>
      <c r="Z23" s="78">
        <f t="shared" si="7"/>
        <v>0.18855287838251514</v>
      </c>
      <c r="AA23" s="18">
        <f>'UCI Coho DataOld'!esc_index*'UCI Coho DataOld'!gen_time/2</f>
        <v>40600</v>
      </c>
      <c r="AB23" s="18">
        <f t="shared" si="8"/>
        <v>97269</v>
      </c>
      <c r="AC23" s="18">
        <f t="shared" si="9"/>
        <v>218583</v>
      </c>
      <c r="AD23" s="18">
        <f t="shared" si="10"/>
        <v>202514</v>
      </c>
      <c r="AE23" s="53" t="str">
        <f t="shared" si="11"/>
        <v>No</v>
      </c>
      <c r="AF23" s="53" t="str">
        <f t="shared" si="12"/>
        <v>No</v>
      </c>
      <c r="AG23" s="53" t="str">
        <f t="shared" si="13"/>
        <v>No</v>
      </c>
      <c r="AH23" s="53" t="str">
        <f t="shared" si="14"/>
        <v>No</v>
      </c>
      <c r="AL23" s="18"/>
      <c r="AM23" s="18"/>
    </row>
    <row r="24" spans="1:39" ht="15.75" customHeight="1">
      <c r="A24" s="23">
        <v>2015</v>
      </c>
      <c r="B24" s="18">
        <v>130720</v>
      </c>
      <c r="C24" s="18">
        <v>17948</v>
      </c>
      <c r="D24" s="18">
        <v>20748</v>
      </c>
      <c r="E24" s="18">
        <v>46616</v>
      </c>
      <c r="F24" s="65">
        <f t="shared" si="0"/>
        <v>216032</v>
      </c>
      <c r="G24" s="18"/>
      <c r="H24" s="18">
        <v>74982</v>
      </c>
      <c r="I24" s="18">
        <v>74328</v>
      </c>
      <c r="J24" s="65">
        <f t="shared" si="1"/>
        <v>149310</v>
      </c>
      <c r="K24" s="18"/>
      <c r="L24" s="47">
        <v>10648</v>
      </c>
      <c r="M24" s="47"/>
      <c r="N24" s="65">
        <f t="shared" si="2"/>
        <v>375990</v>
      </c>
      <c r="O24" s="48">
        <v>0.4332561964504284</v>
      </c>
      <c r="P24" s="65">
        <f t="shared" si="3"/>
        <v>56635</v>
      </c>
      <c r="Q24" s="18">
        <f t="shared" si="4"/>
        <v>0.15062900609058752</v>
      </c>
      <c r="R24" s="18">
        <v>10775</v>
      </c>
      <c r="S24" s="18">
        <v>12756</v>
      </c>
      <c r="T24" s="33">
        <v>7912</v>
      </c>
      <c r="U24" s="65">
        <f t="shared" si="5"/>
        <v>23531</v>
      </c>
      <c r="V24" s="18"/>
      <c r="W24" s="18">
        <f>'UCI Coho DataOld'!tot_catch+'UCI Coho DataOld'!tot_esc</f>
        <v>399521</v>
      </c>
      <c r="X24" s="18">
        <f>'UCI Coho DataOld'!run-('UCI Coho DataOld'!tot_catch-'UCI Coho DataOld'!EEZ_catch)-'UCI Coho DataOld'!esc_index</f>
        <v>59866</v>
      </c>
      <c r="Y24" s="78">
        <f t="shared" si="6"/>
        <v>0.17863394177354877</v>
      </c>
      <c r="Z24" s="78">
        <f t="shared" si="7"/>
        <v>0.19906575342888252</v>
      </c>
      <c r="AA24" s="18">
        <f>'UCI Coho DataOld'!esc_index*'UCI Coho DataOld'!gen_time/2</f>
        <v>40600</v>
      </c>
      <c r="AB24" s="18">
        <f t="shared" si="8"/>
        <v>108648</v>
      </c>
      <c r="AC24" s="18">
        <f t="shared" si="9"/>
        <v>267424</v>
      </c>
      <c r="AD24" s="18">
        <f t="shared" si="10"/>
        <v>239976</v>
      </c>
      <c r="AE24" s="53" t="str">
        <f t="shared" si="11"/>
        <v>No</v>
      </c>
      <c r="AF24" s="53" t="str">
        <f t="shared" si="12"/>
        <v>No</v>
      </c>
      <c r="AG24" s="53" t="str">
        <f t="shared" si="13"/>
        <v>No</v>
      </c>
      <c r="AH24" s="53" t="str">
        <f t="shared" si="14"/>
        <v>No</v>
      </c>
      <c r="AL24" s="18"/>
      <c r="AM24" s="18"/>
    </row>
    <row r="25" spans="1:39" ht="15.75" customHeight="1">
      <c r="A25" s="23">
        <v>2016</v>
      </c>
      <c r="B25" s="18">
        <v>90242</v>
      </c>
      <c r="C25" s="18">
        <v>11606</v>
      </c>
      <c r="D25" s="18">
        <v>15171</v>
      </c>
      <c r="E25" s="18">
        <v>30476</v>
      </c>
      <c r="F25" s="65">
        <f t="shared" si="0"/>
        <v>147495</v>
      </c>
      <c r="G25" s="18"/>
      <c r="H25" s="18">
        <v>28967</v>
      </c>
      <c r="I25" s="18">
        <v>49790</v>
      </c>
      <c r="J25" s="65">
        <f t="shared" si="1"/>
        <v>78757</v>
      </c>
      <c r="K25" s="18"/>
      <c r="L25" s="47">
        <v>4590</v>
      </c>
      <c r="M25" s="47"/>
      <c r="N25" s="65">
        <f t="shared" si="2"/>
        <v>230842</v>
      </c>
      <c r="O25" s="48">
        <v>0.40116298397641897</v>
      </c>
      <c r="P25" s="65">
        <f t="shared" si="3"/>
        <v>36202</v>
      </c>
      <c r="Q25" s="18">
        <f t="shared" si="4"/>
        <v>0.15682588090555444</v>
      </c>
      <c r="R25" s="49">
        <v>6820</v>
      </c>
      <c r="S25" s="49">
        <v>10049</v>
      </c>
      <c r="T25" s="33">
        <v>2484</v>
      </c>
      <c r="U25" s="65">
        <f t="shared" si="5"/>
        <v>16869</v>
      </c>
      <c r="V25" s="18"/>
      <c r="W25" s="18">
        <f>'UCI Coho DataOld'!tot_catch+'UCI Coho DataOld'!tot_esc</f>
        <v>247711</v>
      </c>
      <c r="X25" s="18">
        <f>'UCI Coho DataOld'!run-('UCI Coho DataOld'!tot_catch-'UCI Coho DataOld'!EEZ_catch)-'UCI Coho DataOld'!esc_index</f>
        <v>32771</v>
      </c>
      <c r="Y25" s="78">
        <f t="shared" si="6"/>
        <v>0.1734139730214016</v>
      </c>
      <c r="Z25" s="78">
        <f t="shared" si="7"/>
        <v>0.19566765763539837</v>
      </c>
      <c r="AA25" s="18">
        <f>'UCI Coho DataOld'!esc_index*'UCI Coho DataOld'!gen_time/2</f>
        <v>40600</v>
      </c>
      <c r="AB25" s="18">
        <f t="shared" si="8"/>
        <v>111913</v>
      </c>
      <c r="AC25" s="18">
        <f t="shared" si="9"/>
        <v>270047</v>
      </c>
      <c r="AD25" s="18">
        <f t="shared" si="10"/>
        <v>239334</v>
      </c>
      <c r="AE25" s="53" t="str">
        <f t="shared" si="11"/>
        <v>No</v>
      </c>
      <c r="AF25" s="53" t="str">
        <f t="shared" si="12"/>
        <v>No</v>
      </c>
      <c r="AG25" s="53" t="str">
        <f t="shared" si="13"/>
        <v>No</v>
      </c>
      <c r="AH25" s="53" t="str">
        <f t="shared" si="14"/>
        <v>Yes</v>
      </c>
      <c r="AL25" s="18"/>
      <c r="AM25" s="18"/>
    </row>
    <row r="26" spans="1:39" ht="15.75" customHeight="1">
      <c r="A26" s="25">
        <v>2017</v>
      </c>
      <c r="B26" s="18">
        <v>191490</v>
      </c>
      <c r="C26" s="18">
        <v>29916</v>
      </c>
      <c r="D26" s="18">
        <v>29535</v>
      </c>
      <c r="E26" s="18">
        <v>52701</v>
      </c>
      <c r="F26" s="65">
        <f t="shared" si="0"/>
        <v>303642</v>
      </c>
      <c r="G26" s="25"/>
      <c r="H26" s="18">
        <v>47706</v>
      </c>
      <c r="I26" s="18">
        <v>62416</v>
      </c>
      <c r="J26" s="65">
        <f t="shared" si="1"/>
        <v>110122</v>
      </c>
      <c r="K26" s="25"/>
      <c r="L26" s="47">
        <v>1665</v>
      </c>
      <c r="M26" s="47"/>
      <c r="N26" s="65">
        <f t="shared" si="2"/>
        <v>415429</v>
      </c>
      <c r="O26" s="48">
        <v>0.43523421588594707</v>
      </c>
      <c r="P26" s="65">
        <f t="shared" si="3"/>
        <v>83343</v>
      </c>
      <c r="Q26" s="18">
        <f t="shared" si="4"/>
        <v>0.20061911903117019</v>
      </c>
      <c r="R26" s="18">
        <v>36869</v>
      </c>
      <c r="S26" s="18">
        <v>17781</v>
      </c>
      <c r="T26" s="33">
        <v>8966</v>
      </c>
      <c r="U26" s="65">
        <f t="shared" si="5"/>
        <v>54650</v>
      </c>
      <c r="V26" s="18"/>
      <c r="W26" s="18">
        <f>'UCI Coho DataOld'!tot_catch+'UCI Coho DataOld'!tot_esc</f>
        <v>470079</v>
      </c>
      <c r="X26" s="18">
        <f>'UCI Coho DataOld'!run-('UCI Coho DataOld'!tot_catch-'UCI Coho DataOld'!EEZ_catch)-'UCI Coho DataOld'!esc_index</f>
        <v>117693</v>
      </c>
      <c r="Y26" s="78">
        <f t="shared" si="6"/>
        <v>0.14787090252062354</v>
      </c>
      <c r="Z26" s="78">
        <f t="shared" si="7"/>
        <v>0.18252668353412307</v>
      </c>
      <c r="AA26" s="18">
        <f>'UCI Coho DataOld'!esc_index*'UCI Coho DataOld'!gen_time/2</f>
        <v>40600</v>
      </c>
      <c r="AB26" s="18">
        <f t="shared" si="8"/>
        <v>130839</v>
      </c>
      <c r="AC26" s="18">
        <f t="shared" si="9"/>
        <v>261441</v>
      </c>
      <c r="AD26" s="18">
        <f t="shared" si="10"/>
        <v>211802</v>
      </c>
      <c r="AE26" s="53" t="str">
        <f t="shared" si="11"/>
        <v>No</v>
      </c>
      <c r="AF26" s="53" t="str">
        <f t="shared" si="12"/>
        <v>No</v>
      </c>
      <c r="AG26" s="53" t="str">
        <f t="shared" si="13"/>
        <v>No</v>
      </c>
      <c r="AH26" s="53" t="str">
        <f t="shared" si="14"/>
        <v>No</v>
      </c>
      <c r="AJ26" s="53"/>
      <c r="AK26" s="25"/>
      <c r="AL26" s="25"/>
      <c r="AM26" s="25"/>
    </row>
    <row r="27" spans="1:39" ht="15.75" customHeight="1">
      <c r="A27" s="80">
        <v>2018</v>
      </c>
      <c r="B27" s="73">
        <v>108906</v>
      </c>
      <c r="C27" s="73">
        <v>4705</v>
      </c>
      <c r="D27" s="73">
        <v>51581</v>
      </c>
      <c r="E27" s="73">
        <v>67098</v>
      </c>
      <c r="F27" s="72">
        <f t="shared" si="0"/>
        <v>232290</v>
      </c>
      <c r="G27" s="69"/>
      <c r="H27" s="73">
        <v>59976</v>
      </c>
      <c r="I27" s="73">
        <v>67018</v>
      </c>
      <c r="J27" s="72">
        <f t="shared" si="1"/>
        <v>126994</v>
      </c>
      <c r="K27" s="69"/>
      <c r="L27" s="71">
        <v>3003</v>
      </c>
      <c r="M27" s="71"/>
      <c r="N27" s="72">
        <f t="shared" si="2"/>
        <v>362287</v>
      </c>
      <c r="O27" s="81">
        <v>0.58261482379299578</v>
      </c>
      <c r="P27" s="72">
        <f t="shared" si="3"/>
        <v>63450</v>
      </c>
      <c r="Q27" s="73">
        <f t="shared" si="4"/>
        <v>0.17513739107392759</v>
      </c>
      <c r="R27" s="73">
        <v>13072</v>
      </c>
      <c r="S27" s="82">
        <v>7583</v>
      </c>
      <c r="T27" s="83">
        <v>5022</v>
      </c>
      <c r="U27" s="72">
        <f t="shared" si="5"/>
        <v>20655</v>
      </c>
      <c r="V27" s="73"/>
      <c r="W27" s="73">
        <f>'UCI Coho DataOld'!tot_catch+'UCI Coho DataOld'!tot_esc</f>
        <v>382942</v>
      </c>
      <c r="X27" s="73">
        <f>'UCI Coho DataOld'!run-('UCI Coho DataOld'!tot_catch-'UCI Coho DataOld'!EEZ_catch)-'UCI Coho DataOld'!esc_index</f>
        <v>63805</v>
      </c>
      <c r="Y27" s="84">
        <f t="shared" si="6"/>
        <v>0.15972639281507853</v>
      </c>
      <c r="Z27" s="84">
        <f t="shared" si="7"/>
        <v>0.18272584690715499</v>
      </c>
      <c r="AA27" s="73">
        <f>'UCI Coho DataOld'!esc_index*'UCI Coho DataOld'!gen_time/2</f>
        <v>40600</v>
      </c>
      <c r="AB27" s="73">
        <f t="shared" si="8"/>
        <v>115705</v>
      </c>
      <c r="AC27" s="73">
        <f t="shared" si="9"/>
        <v>274135</v>
      </c>
      <c r="AD27" s="73">
        <f t="shared" si="10"/>
        <v>239630</v>
      </c>
      <c r="AE27" s="85" t="str">
        <f t="shared" si="11"/>
        <v>No</v>
      </c>
      <c r="AF27" s="85" t="str">
        <f t="shared" si="12"/>
        <v>No</v>
      </c>
      <c r="AG27" s="85" t="str">
        <f t="shared" si="13"/>
        <v>No</v>
      </c>
      <c r="AH27" s="86" t="str">
        <f t="shared" si="14"/>
        <v>No</v>
      </c>
      <c r="AJ27" s="53"/>
    </row>
    <row r="28" spans="1:39" ht="15.75" customHeight="1">
      <c r="G28" s="18"/>
      <c r="O28" s="48"/>
      <c r="Q28" s="48"/>
    </row>
    <row r="29" spans="1:39" ht="15.75" customHeight="1">
      <c r="A29" s="24" t="s">
        <v>64</v>
      </c>
      <c r="G29" s="18"/>
      <c r="Q29" s="48"/>
    </row>
    <row r="30" spans="1:39" ht="15.75" customHeight="1">
      <c r="A30" s="25" t="s">
        <v>65</v>
      </c>
      <c r="B30" s="25"/>
      <c r="C30" s="25"/>
      <c r="D30" s="25"/>
      <c r="E30" s="25"/>
      <c r="F30" s="25"/>
      <c r="G30" s="18"/>
      <c r="Q30" s="48"/>
    </row>
    <row r="31" spans="1:39" ht="15.75" customHeight="1">
      <c r="A31" s="25" t="s">
        <v>79</v>
      </c>
      <c r="B31" s="25"/>
      <c r="C31" s="25"/>
      <c r="D31" s="25"/>
      <c r="E31" s="25"/>
      <c r="F31" s="25"/>
      <c r="G31" s="18"/>
    </row>
    <row r="32" spans="1:39" ht="15.75" customHeight="1">
      <c r="A32" s="25" t="s">
        <v>67</v>
      </c>
      <c r="B32" s="25"/>
      <c r="C32" s="25"/>
      <c r="D32" s="25"/>
      <c r="E32" s="25"/>
      <c r="F32" s="25"/>
      <c r="G32" s="18"/>
    </row>
    <row r="33" spans="1:16" ht="15.75" customHeight="1">
      <c r="A33" s="25" t="s">
        <v>80</v>
      </c>
      <c r="G33" s="18"/>
    </row>
    <row r="34" spans="1:16" ht="15.75" customHeight="1">
      <c r="A34" s="23" t="s">
        <v>69</v>
      </c>
      <c r="G34" s="18"/>
    </row>
    <row r="35" spans="1:16" ht="15.75" customHeight="1">
      <c r="G35" s="18"/>
    </row>
    <row r="36" spans="1:16" ht="15.75" customHeight="1"/>
    <row r="37" spans="1:16" ht="15.75" customHeight="1">
      <c r="A37" s="69" t="s">
        <v>81</v>
      </c>
      <c r="B37" s="69"/>
    </row>
    <row r="38" spans="1:16" ht="15.75" customHeight="1">
      <c r="A38" s="87"/>
      <c r="B38" s="87"/>
    </row>
    <row r="39" spans="1:16" ht="15.75" customHeight="1">
      <c r="A39" s="88" t="s">
        <v>3</v>
      </c>
      <c r="B39" s="88" t="s">
        <v>82</v>
      </c>
      <c r="C39" s="88"/>
      <c r="D39" s="88" t="s">
        <v>83</v>
      </c>
      <c r="E39" s="88"/>
      <c r="F39" s="88" t="s">
        <v>84</v>
      </c>
      <c r="G39" s="88"/>
      <c r="H39" s="88"/>
      <c r="I39" s="88" t="s">
        <v>85</v>
      </c>
      <c r="J39" s="88"/>
      <c r="K39" s="88"/>
      <c r="L39" s="88" t="s">
        <v>86</v>
      </c>
      <c r="M39" s="88"/>
      <c r="N39" s="88" t="s">
        <v>87</v>
      </c>
      <c r="O39" s="88"/>
      <c r="P39" s="88" t="s">
        <v>88</v>
      </c>
    </row>
    <row r="40" spans="1:16" ht="15.75" customHeight="1">
      <c r="A40" s="23">
        <v>2016</v>
      </c>
      <c r="B40" s="18">
        <f>AVERAGE(W20:W24)</f>
        <v>311757.46246419114</v>
      </c>
      <c r="D40" s="18">
        <f>'UCI Coho DataOld'!esc_index</f>
        <v>20300</v>
      </c>
      <c r="F40" s="18">
        <f t="shared" ref="F40:F42" si="15">(B40-D40)</f>
        <v>291457.46246419114</v>
      </c>
      <c r="I40" s="78">
        <f t="shared" ref="I40:I42" si="16">(SUM(X22:X24)+F40)/(SUM(W22:W24)+B40)</f>
        <v>0.36611391342585869</v>
      </c>
      <c r="L40" s="78">
        <f t="shared" ref="L40:L42" si="17">Z25</f>
        <v>0.19566765763539837</v>
      </c>
      <c r="N40" s="18">
        <f t="shared" ref="N40:N42" si="18">SUM(X21:X24)+F40</f>
        <v>558881.46246419114</v>
      </c>
      <c r="P40" s="18">
        <f t="shared" ref="P40:P42" si="19">AC25</f>
        <v>270047</v>
      </c>
    </row>
    <row r="41" spans="1:16" ht="15.75" customHeight="1">
      <c r="A41" s="23">
        <v>2017</v>
      </c>
      <c r="B41" s="18">
        <f>AVERAGE('Table 3-8'!G18:G22)</f>
        <v>319153.86246419116</v>
      </c>
      <c r="D41" s="18" t="e">
        <f>'Table 3-8'!H23</f>
        <v>#REF!</v>
      </c>
      <c r="F41" s="18" t="e">
        <f t="shared" si="15"/>
        <v>#REF!</v>
      </c>
      <c r="I41" s="78" t="e">
        <f t="shared" si="16"/>
        <v>#REF!</v>
      </c>
      <c r="L41" s="78">
        <f t="shared" si="17"/>
        <v>0.18252668353412307</v>
      </c>
      <c r="N41" s="18" t="e">
        <f t="shared" si="18"/>
        <v>#REF!</v>
      </c>
      <c r="P41" s="18">
        <f t="shared" si="19"/>
        <v>261441</v>
      </c>
    </row>
    <row r="42" spans="1:16" ht="15.75" customHeight="1">
      <c r="A42" s="23">
        <v>2018</v>
      </c>
      <c r="B42" s="18">
        <f>AVERAGE('Table 3-8'!G19:G23)</f>
        <v>371021.4</v>
      </c>
      <c r="D42" s="18" t="e">
        <f>'Table 3-8'!H24</f>
        <v>#REF!</v>
      </c>
      <c r="F42" s="18" t="e">
        <f t="shared" si="15"/>
        <v>#REF!</v>
      </c>
      <c r="I42" s="78" t="e">
        <f t="shared" si="16"/>
        <v>#REF!</v>
      </c>
      <c r="L42" s="78">
        <f t="shared" si="17"/>
        <v>0.18272584690715499</v>
      </c>
      <c r="N42" s="18" t="e">
        <f t="shared" si="18"/>
        <v>#REF!</v>
      </c>
      <c r="P42" s="18">
        <f t="shared" si="19"/>
        <v>274135</v>
      </c>
    </row>
    <row r="43" spans="1:16" ht="15.75" customHeight="1"/>
    <row r="44" spans="1:16" ht="15.75" customHeight="1">
      <c r="A44" s="23" t="s">
        <v>89</v>
      </c>
    </row>
    <row r="45" spans="1:16" ht="15.75" customHeight="1"/>
    <row r="46" spans="1:16" ht="15.75" customHeight="1"/>
    <row r="47" spans="1:16" ht="15.75" customHeight="1"/>
    <row r="48" spans="1:16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AE6:AF6"/>
    <mergeCell ref="R2:U2"/>
    <mergeCell ref="H6:J6"/>
    <mergeCell ref="R6:U6"/>
    <mergeCell ref="X6:Z6"/>
    <mergeCell ref="AC6:AD6"/>
  </mergeCells>
  <conditionalFormatting sqref="AE11:AH27">
    <cfRule type="cellIs" dxfId="0" priority="1" operator="equal">
      <formula>"yes"</formula>
    </cfRule>
  </conditionalFormatting>
  <pageMargins left="0.7" right="0.7" top="0.75" bottom="0.75" header="0" footer="0"/>
  <pageSetup orientation="portrait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11</vt:i4>
      </vt:variant>
    </vt:vector>
  </HeadingPairs>
  <TitlesOfParts>
    <vt:vector size="14" baseType="lpstr">
      <vt:lpstr>Table 3-8</vt:lpstr>
      <vt:lpstr>UCI Coho Data</vt:lpstr>
      <vt:lpstr>UCI Coho DataOld</vt:lpstr>
      <vt:lpstr>'UCI Coho Data'!EEZ_catch</vt:lpstr>
      <vt:lpstr>'UCI Coho DataOld'!EEZ_catch</vt:lpstr>
      <vt:lpstr>'UCI Coho DataOld'!esc_index</vt:lpstr>
      <vt:lpstr>'UCI Coho DataOld'!gen_time</vt:lpstr>
      <vt:lpstr>'UCI Coho DataOld'!p_EEZ</vt:lpstr>
      <vt:lpstr>'UCI Coho Data'!run</vt:lpstr>
      <vt:lpstr>'UCI Coho DataOld'!run</vt:lpstr>
      <vt:lpstr>'UCI Coho Data'!tot_catch</vt:lpstr>
      <vt:lpstr>'UCI Coho DataOld'!tot_catch</vt:lpstr>
      <vt:lpstr>'UCI Coho Data'!tot_esc</vt:lpstr>
      <vt:lpstr>'UCI Coho DataOld'!tot_esc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raclark</dc:creator>
  <cp:lastModifiedBy>Richard Brenner</cp:lastModifiedBy>
  <dcterms:created xsi:type="dcterms:W3CDTF">2018-01-22T19:29:37Z</dcterms:created>
  <dcterms:modified xsi:type="dcterms:W3CDTF">2023-11-20T22:36:57Z</dcterms:modified>
</cp:coreProperties>
</file>