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ta\Arman\Summerjob\Geothermal energy\Journal paper\Results\xls results\"/>
    </mc:Choice>
  </mc:AlternateContent>
  <xr:revisionPtr revIDLastSave="0" documentId="13_ncr:1_{EC3BF3BB-7102-4811-87E7-1AA5CD7779C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ntents" sheetId="3" r:id="rId1"/>
    <sheet name="Geo cost_assumptions_input data" sheetId="1" r:id="rId2"/>
    <sheet name="Future projections of Geo co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2" l="1"/>
  <c r="AD13" i="2"/>
  <c r="AE13" i="2"/>
  <c r="AB13" i="2"/>
  <c r="AA13" i="2"/>
  <c r="I13" i="2"/>
  <c r="E14" i="2"/>
  <c r="F14" i="2"/>
  <c r="G14" i="2"/>
  <c r="D14" i="2"/>
  <c r="E60" i="2"/>
  <c r="E59" i="2" s="1"/>
  <c r="E61" i="2" l="1"/>
  <c r="P61" i="2" l="1"/>
  <c r="L54" i="2"/>
  <c r="E54" i="2" s="1"/>
  <c r="G54" i="2" l="1"/>
  <c r="I54" i="2"/>
  <c r="C54" i="2"/>
  <c r="D41" i="2"/>
  <c r="E41" i="2"/>
  <c r="F41" i="2"/>
  <c r="G41" i="2"/>
  <c r="H41" i="2"/>
  <c r="I41" i="2"/>
  <c r="J41" i="2"/>
  <c r="C41" i="2"/>
  <c r="O82" i="2"/>
  <c r="D59" i="2" l="1"/>
  <c r="C59" i="2"/>
  <c r="C60" i="2" s="1"/>
  <c r="D87" i="2" l="1"/>
  <c r="C61" i="2"/>
  <c r="D60" i="2"/>
  <c r="C38" i="2"/>
  <c r="D61" i="2" l="1"/>
  <c r="J89" i="2"/>
  <c r="K89" i="2" s="1"/>
  <c r="L89" i="2" s="1"/>
  <c r="M89" i="2" s="1"/>
  <c r="N89" i="2" s="1"/>
  <c r="I87" i="2"/>
  <c r="P87" i="2" s="1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D38" i="2"/>
  <c r="E38" i="2"/>
  <c r="F38" i="2"/>
  <c r="G38" i="2"/>
  <c r="H38" i="2"/>
  <c r="I38" i="2"/>
  <c r="J38" i="2"/>
  <c r="J60" i="2" l="1"/>
  <c r="F47" i="2"/>
  <c r="F45" i="2"/>
  <c r="F48" i="2"/>
  <c r="F46" i="2"/>
  <c r="E87" i="2"/>
  <c r="F87" i="2" s="1"/>
  <c r="G87" i="2" s="1"/>
  <c r="H87" i="2" s="1"/>
  <c r="I8" i="1"/>
  <c r="AE10" i="2"/>
  <c r="AD10" i="2"/>
  <c r="AC10" i="2"/>
  <c r="AB10" i="2"/>
  <c r="AA10" i="2"/>
  <c r="AE19" i="2"/>
  <c r="AD19" i="2"/>
  <c r="AC19" i="2"/>
  <c r="AB19" i="2"/>
  <c r="AA19" i="2"/>
  <c r="I44" i="1"/>
  <c r="I21" i="1"/>
  <c r="I19" i="1"/>
  <c r="I10" i="1"/>
  <c r="I7" i="1"/>
  <c r="I3" i="1"/>
  <c r="I2" i="1"/>
  <c r="E7" i="1"/>
  <c r="J61" i="2" l="1"/>
  <c r="R60" i="2"/>
  <c r="N60" i="2" s="1"/>
  <c r="N61" i="2" s="1"/>
  <c r="J87" i="2"/>
  <c r="K87" i="2" s="1"/>
  <c r="L87" i="2" s="1"/>
  <c r="M87" i="2" s="1"/>
  <c r="N87" i="2" s="1"/>
  <c r="I4" i="1"/>
  <c r="I5" i="1" s="1"/>
  <c r="I20" i="1"/>
  <c r="AD6" i="2" s="1"/>
  <c r="AD7" i="2" s="1"/>
  <c r="I9" i="1"/>
  <c r="Y10" i="2"/>
  <c r="X10" i="2"/>
  <c r="W10" i="2"/>
  <c r="V10" i="2"/>
  <c r="U10" i="2"/>
  <c r="Y19" i="2"/>
  <c r="X19" i="2"/>
  <c r="W19" i="2"/>
  <c r="V19" i="2"/>
  <c r="U19" i="2"/>
  <c r="K60" i="2" l="1"/>
  <c r="K61" i="2" s="1"/>
  <c r="L60" i="2"/>
  <c r="L61" i="2" s="1"/>
  <c r="D45" i="2" s="1"/>
  <c r="M60" i="2"/>
  <c r="M61" i="2" s="1"/>
  <c r="E48" i="2"/>
  <c r="E45" i="2"/>
  <c r="E47" i="2"/>
  <c r="E46" i="2"/>
  <c r="O60" i="2"/>
  <c r="O61" i="2" s="1"/>
  <c r="I6" i="1"/>
  <c r="I11" i="1" s="1"/>
  <c r="C46" i="2"/>
  <c r="C47" i="2"/>
  <c r="C45" i="2"/>
  <c r="C48" i="2"/>
  <c r="AD12" i="2"/>
  <c r="AD8" i="2"/>
  <c r="AD9" i="2" s="1"/>
  <c r="AC6" i="2"/>
  <c r="AC7" i="2" s="1"/>
  <c r="I15" i="1"/>
  <c r="I23" i="1" s="1"/>
  <c r="AA6" i="2"/>
  <c r="AA7" i="2" s="1"/>
  <c r="AE6" i="2"/>
  <c r="AE7" i="2" s="1"/>
  <c r="AB6" i="2"/>
  <c r="AB7" i="2" s="1"/>
  <c r="H44" i="1"/>
  <c r="H21" i="1"/>
  <c r="H19" i="1"/>
  <c r="H8" i="1"/>
  <c r="H10" i="1" s="1"/>
  <c r="H7" i="1"/>
  <c r="H3" i="1"/>
  <c r="H2" i="1"/>
  <c r="I28" i="1" l="1"/>
  <c r="AE4" i="2"/>
  <c r="AA4" i="2"/>
  <c r="AD4" i="2"/>
  <c r="AC4" i="2"/>
  <c r="AB4" i="2"/>
  <c r="H4" i="1"/>
  <c r="H5" i="1" s="1"/>
  <c r="D46" i="2"/>
  <c r="D48" i="2"/>
  <c r="D47" i="2"/>
  <c r="H9" i="1"/>
  <c r="H6" i="1" s="1"/>
  <c r="H11" i="1" s="1"/>
  <c r="AA12" i="2"/>
  <c r="AA8" i="2"/>
  <c r="AA9" i="2" s="1"/>
  <c r="I24" i="1"/>
  <c r="I25" i="1" s="1"/>
  <c r="I29" i="1"/>
  <c r="AC8" i="2"/>
  <c r="AC9" i="2" s="1"/>
  <c r="AC12" i="2"/>
  <c r="AB12" i="2"/>
  <c r="AB8" i="2"/>
  <c r="AB9" i="2" s="1"/>
  <c r="H20" i="1"/>
  <c r="H15" i="1" s="1"/>
  <c r="H23" i="1" s="1"/>
  <c r="AE12" i="2"/>
  <c r="AE8" i="2"/>
  <c r="AE9" i="2" s="1"/>
  <c r="S10" i="2"/>
  <c r="R10" i="2"/>
  <c r="Q10" i="2"/>
  <c r="P10" i="2"/>
  <c r="O10" i="2"/>
  <c r="M10" i="2"/>
  <c r="L10" i="2"/>
  <c r="K10" i="2"/>
  <c r="J10" i="2"/>
  <c r="I10" i="2"/>
  <c r="S19" i="2"/>
  <c r="R19" i="2"/>
  <c r="Q19" i="2"/>
  <c r="P19" i="2"/>
  <c r="O19" i="2"/>
  <c r="M19" i="2"/>
  <c r="L19" i="2"/>
  <c r="K19" i="2"/>
  <c r="J19" i="2"/>
  <c r="I19" i="2"/>
  <c r="D19" i="2"/>
  <c r="E19" i="2"/>
  <c r="F19" i="2"/>
  <c r="G19" i="2"/>
  <c r="C19" i="2"/>
  <c r="AB11" i="2" l="1"/>
  <c r="AB14" i="2" s="1"/>
  <c r="AC11" i="2"/>
  <c r="AC14" i="2" s="1"/>
  <c r="AD11" i="2"/>
  <c r="AD14" i="2" s="1"/>
  <c r="AA11" i="2"/>
  <c r="AA14" i="2" s="1"/>
  <c r="AE11" i="2"/>
  <c r="AE14" i="2" s="1"/>
  <c r="U6" i="2"/>
  <c r="U7" i="2" s="1"/>
  <c r="U12" i="2" s="1"/>
  <c r="X4" i="2"/>
  <c r="V4" i="2"/>
  <c r="Y4" i="2"/>
  <c r="W4" i="2"/>
  <c r="U4" i="2"/>
  <c r="H28" i="1"/>
  <c r="H29" i="1"/>
  <c r="H24" i="1"/>
  <c r="H25" i="1" s="1"/>
  <c r="Y6" i="2"/>
  <c r="Y7" i="2" s="1"/>
  <c r="X6" i="2"/>
  <c r="X7" i="2" s="1"/>
  <c r="V6" i="2"/>
  <c r="V7" i="2" s="1"/>
  <c r="W6" i="2"/>
  <c r="W7" i="2" s="1"/>
  <c r="D10" i="2"/>
  <c r="E10" i="2"/>
  <c r="F10" i="2"/>
  <c r="G10" i="2"/>
  <c r="C10" i="2"/>
  <c r="U11" i="2" l="1"/>
  <c r="V11" i="2"/>
  <c r="W11" i="2"/>
  <c r="Y11" i="2"/>
  <c r="X11" i="2"/>
  <c r="U8" i="2"/>
  <c r="U9" i="2" s="1"/>
  <c r="U13" i="2" s="1"/>
  <c r="U14" i="2" s="1"/>
  <c r="V12" i="2"/>
  <c r="V8" i="2"/>
  <c r="V9" i="2" s="1"/>
  <c r="V13" i="2" s="1"/>
  <c r="V14" i="2" s="1"/>
  <c r="Y12" i="2"/>
  <c r="Y8" i="2"/>
  <c r="Y9" i="2" s="1"/>
  <c r="W12" i="2"/>
  <c r="W8" i="2"/>
  <c r="W9" i="2" s="1"/>
  <c r="W13" i="2" s="1"/>
  <c r="W14" i="2" s="1"/>
  <c r="X12" i="2"/>
  <c r="X8" i="2"/>
  <c r="X9" i="2" s="1"/>
  <c r="X13" i="2" s="1"/>
  <c r="X14" i="2" s="1"/>
  <c r="G19" i="1"/>
  <c r="Y13" i="2" l="1"/>
  <c r="Y14" i="2" s="1"/>
  <c r="E19" i="1"/>
  <c r="E20" i="1" s="1"/>
  <c r="E8" i="1"/>
  <c r="F44" i="1" l="1"/>
  <c r="G44" i="1"/>
  <c r="E44" i="1"/>
  <c r="Q4" i="1" l="1"/>
  <c r="P4" i="1"/>
  <c r="H31" i="1" l="1"/>
  <c r="H33" i="1" s="1"/>
  <c r="I31" i="1"/>
  <c r="F21" i="1"/>
  <c r="G21" i="1"/>
  <c r="E21" i="1"/>
  <c r="F19" i="1"/>
  <c r="G8" i="1"/>
  <c r="G7" i="1"/>
  <c r="G3" i="1"/>
  <c r="G2" i="1"/>
  <c r="F8" i="1"/>
  <c r="F10" i="1" s="1"/>
  <c r="F7" i="1"/>
  <c r="E3" i="1"/>
  <c r="E2" i="1"/>
  <c r="F3" i="1"/>
  <c r="F2" i="1"/>
  <c r="W20" i="2" l="1"/>
  <c r="W21" i="2" s="1"/>
  <c r="W15" i="2"/>
  <c r="AC20" i="2"/>
  <c r="AC21" i="2" s="1"/>
  <c r="AC15" i="2"/>
  <c r="AB20" i="2"/>
  <c r="AB21" i="2" s="1"/>
  <c r="AB15" i="2"/>
  <c r="Y20" i="2"/>
  <c r="Y21" i="2" s="1"/>
  <c r="Y15" i="2"/>
  <c r="Y16" i="2" s="1"/>
  <c r="X20" i="2"/>
  <c r="X21" i="2" s="1"/>
  <c r="X15" i="2"/>
  <c r="AE20" i="2"/>
  <c r="AE21" i="2" s="1"/>
  <c r="AE15" i="2"/>
  <c r="AE16" i="2" s="1"/>
  <c r="V20" i="2"/>
  <c r="V21" i="2" s="1"/>
  <c r="V15" i="2"/>
  <c r="AD20" i="2"/>
  <c r="AD21" i="2" s="1"/>
  <c r="AD15" i="2"/>
  <c r="G20" i="1"/>
  <c r="S6" i="2" s="1"/>
  <c r="S7" i="2" s="1"/>
  <c r="P6" i="2"/>
  <c r="P7" i="2" s="1"/>
  <c r="H35" i="1"/>
  <c r="H38" i="1" s="1"/>
  <c r="I32" i="1"/>
  <c r="I35" i="1"/>
  <c r="I38" i="1" s="1"/>
  <c r="I33" i="1"/>
  <c r="H32" i="1"/>
  <c r="F20" i="1"/>
  <c r="I6" i="2" s="1"/>
  <c r="I7" i="2" s="1"/>
  <c r="G15" i="1"/>
  <c r="G23" i="1" s="1"/>
  <c r="F4" i="1"/>
  <c r="F5" i="1" s="1"/>
  <c r="F9" i="1"/>
  <c r="G4" i="1"/>
  <c r="G5" i="1" s="1"/>
  <c r="G10" i="1"/>
  <c r="G9" i="1"/>
  <c r="E10" i="1"/>
  <c r="O6" i="2" l="1"/>
  <c r="O7" i="2" s="1"/>
  <c r="O8" i="2" s="1"/>
  <c r="O9" i="2" s="1"/>
  <c r="Q6" i="2"/>
  <c r="Q7" i="2" s="1"/>
  <c r="Q8" i="2" s="1"/>
  <c r="Q9" i="2" s="1"/>
  <c r="AB16" i="2"/>
  <c r="J6" i="2"/>
  <c r="J7" i="2" s="1"/>
  <c r="J12" i="2" s="1"/>
  <c r="AC16" i="2"/>
  <c r="V16" i="2"/>
  <c r="F6" i="1"/>
  <c r="F11" i="1" s="1"/>
  <c r="L6" i="2"/>
  <c r="L7" i="2" s="1"/>
  <c r="L12" i="2" s="1"/>
  <c r="M6" i="2"/>
  <c r="M7" i="2" s="1"/>
  <c r="M8" i="2" s="1"/>
  <c r="M9" i="2" s="1"/>
  <c r="R6" i="2"/>
  <c r="R7" i="2" s="1"/>
  <c r="R12" i="2" s="1"/>
  <c r="AD16" i="2"/>
  <c r="X16" i="2"/>
  <c r="W16" i="2"/>
  <c r="F15" i="1"/>
  <c r="F23" i="1" s="1"/>
  <c r="K6" i="2"/>
  <c r="K7" i="2" s="1"/>
  <c r="K12" i="2" s="1"/>
  <c r="I12" i="2"/>
  <c r="I8" i="2"/>
  <c r="I9" i="2" s="1"/>
  <c r="K4" i="2"/>
  <c r="L4" i="2"/>
  <c r="S12" i="2"/>
  <c r="S8" i="2"/>
  <c r="S9" i="2" s="1"/>
  <c r="P12" i="2"/>
  <c r="P8" i="2"/>
  <c r="P9" i="2" s="1"/>
  <c r="G6" i="1"/>
  <c r="G11" i="1" s="1"/>
  <c r="E15" i="1"/>
  <c r="E23" i="1" s="1"/>
  <c r="E24" i="1" s="1"/>
  <c r="E25" i="1" s="1"/>
  <c r="E6" i="2"/>
  <c r="E7" i="2" s="1"/>
  <c r="F6" i="2"/>
  <c r="F7" i="2" s="1"/>
  <c r="G6" i="2"/>
  <c r="G7" i="2" s="1"/>
  <c r="D6" i="2"/>
  <c r="D7" i="2" s="1"/>
  <c r="C6" i="2"/>
  <c r="C7" i="2" s="1"/>
  <c r="F28" i="1"/>
  <c r="G29" i="1"/>
  <c r="G24" i="1"/>
  <c r="G25" i="1" s="1"/>
  <c r="F29" i="1"/>
  <c r="F24" i="1"/>
  <c r="F25" i="1" s="1"/>
  <c r="E9" i="1"/>
  <c r="E4" i="1"/>
  <c r="K11" i="2" l="1"/>
  <c r="O12" i="2"/>
  <c r="L11" i="2"/>
  <c r="Q12" i="2"/>
  <c r="J4" i="2"/>
  <c r="M4" i="2"/>
  <c r="R8" i="2"/>
  <c r="R9" i="2" s="1"/>
  <c r="L8" i="2"/>
  <c r="L9" i="2" s="1"/>
  <c r="J8" i="2"/>
  <c r="J9" i="2" s="1"/>
  <c r="M12" i="2"/>
  <c r="K8" i="2"/>
  <c r="K9" i="2" s="1"/>
  <c r="K13" i="2" s="1"/>
  <c r="K14" i="2" s="1"/>
  <c r="I4" i="2"/>
  <c r="O4" i="2"/>
  <c r="Q4" i="2"/>
  <c r="P4" i="2"/>
  <c r="S4" i="2"/>
  <c r="R4" i="2"/>
  <c r="G28" i="1"/>
  <c r="G31" i="1" s="1"/>
  <c r="G35" i="1" s="1"/>
  <c r="G38" i="1" s="1"/>
  <c r="E29" i="1"/>
  <c r="F31" i="1"/>
  <c r="F33" i="1" s="1"/>
  <c r="F8" i="2"/>
  <c r="F9" i="2" s="1"/>
  <c r="F12" i="2"/>
  <c r="C12" i="2"/>
  <c r="C8" i="2"/>
  <c r="C9" i="2" s="1"/>
  <c r="E8" i="2"/>
  <c r="E9" i="2" s="1"/>
  <c r="E12" i="2"/>
  <c r="G12" i="2"/>
  <c r="G8" i="2"/>
  <c r="G9" i="2" s="1"/>
  <c r="D8" i="2"/>
  <c r="D9" i="2" s="1"/>
  <c r="D12" i="2"/>
  <c r="E6" i="1"/>
  <c r="E11" i="1" s="1"/>
  <c r="E5" i="1"/>
  <c r="L13" i="2" l="1"/>
  <c r="L14" i="2" s="1"/>
  <c r="Q11" i="2"/>
  <c r="Q13" i="2" s="1"/>
  <c r="Q14" i="2" s="1"/>
  <c r="M11" i="2"/>
  <c r="P11" i="2"/>
  <c r="P13" i="2" s="1"/>
  <c r="P14" i="2" s="1"/>
  <c r="I11" i="2"/>
  <c r="I14" i="2" s="1"/>
  <c r="K20" i="2"/>
  <c r="K21" i="2" s="1"/>
  <c r="R11" i="2"/>
  <c r="R13" i="2" s="1"/>
  <c r="R14" i="2" s="1"/>
  <c r="S11" i="2"/>
  <c r="S13" i="2" s="1"/>
  <c r="S14" i="2" s="1"/>
  <c r="O11" i="2"/>
  <c r="O13" i="2" s="1"/>
  <c r="O14" i="2" s="1"/>
  <c r="J11" i="2"/>
  <c r="J13" i="2" s="1"/>
  <c r="J14" i="2" s="1"/>
  <c r="G32" i="1"/>
  <c r="G33" i="1"/>
  <c r="F32" i="1"/>
  <c r="F35" i="1"/>
  <c r="F38" i="1" s="1"/>
  <c r="C4" i="2"/>
  <c r="D4" i="2"/>
  <c r="E4" i="2"/>
  <c r="F4" i="2"/>
  <c r="G4" i="2"/>
  <c r="E28" i="1"/>
  <c r="L20" i="2" l="1"/>
  <c r="L21" i="2" s="1"/>
  <c r="M13" i="2"/>
  <c r="M14" i="2" s="1"/>
  <c r="S20" i="2"/>
  <c r="S21" i="2" s="1"/>
  <c r="J20" i="2"/>
  <c r="J21" i="2" s="1"/>
  <c r="J15" i="2"/>
  <c r="J16" i="2" s="1"/>
  <c r="G11" i="2"/>
  <c r="C11" i="2"/>
  <c r="C13" i="2" s="1"/>
  <c r="C14" i="2" s="1"/>
  <c r="F11" i="2"/>
  <c r="E11" i="2"/>
  <c r="E13" i="2" s="1"/>
  <c r="D11" i="2"/>
  <c r="K15" i="2"/>
  <c r="K16" i="2" s="1"/>
  <c r="L15" i="2"/>
  <c r="L16" i="2" s="1"/>
  <c r="Q20" i="2"/>
  <c r="Q21" i="2" s="1"/>
  <c r="Q15" i="2"/>
  <c r="R20" i="2"/>
  <c r="R21" i="2" s="1"/>
  <c r="R15" i="2"/>
  <c r="P20" i="2"/>
  <c r="P21" i="2" s="1"/>
  <c r="P15" i="2"/>
  <c r="E31" i="1"/>
  <c r="E32" i="1" s="1"/>
  <c r="M20" i="2" l="1"/>
  <c r="M21" i="2" s="1"/>
  <c r="M15" i="2"/>
  <c r="M16" i="2" s="1"/>
  <c r="F13" i="2"/>
  <c r="G13" i="2"/>
  <c r="G15" i="2" s="1"/>
  <c r="G16" i="2" s="1"/>
  <c r="E20" i="2"/>
  <c r="E21" i="2" s="1"/>
  <c r="D13" i="2"/>
  <c r="D15" i="2" s="1"/>
  <c r="S15" i="2"/>
  <c r="S16" i="2" s="1"/>
  <c r="P16" i="2"/>
  <c r="Q16" i="2"/>
  <c r="R16" i="2"/>
  <c r="E15" i="2"/>
  <c r="E35" i="1"/>
  <c r="E38" i="1" s="1"/>
  <c r="E33" i="1"/>
  <c r="F20" i="2" l="1"/>
  <c r="F21" i="2" s="1"/>
  <c r="D20" i="2"/>
  <c r="D21" i="2" s="1"/>
  <c r="F15" i="2"/>
  <c r="F16" i="2" s="1"/>
  <c r="G20" i="2"/>
  <c r="G21" i="2" s="1"/>
  <c r="E16" i="2"/>
  <c r="D16" i="2"/>
  <c r="C15" i="2" l="1"/>
  <c r="C16" i="2" s="1"/>
  <c r="C20" i="2"/>
  <c r="C21" i="2" s="1"/>
  <c r="I15" i="2" l="1"/>
  <c r="I16" i="2" s="1"/>
  <c r="I20" i="2" l="1"/>
  <c r="I21" i="2" l="1"/>
  <c r="O15" i="2"/>
  <c r="O16" i="2" s="1"/>
  <c r="O20" i="2" l="1"/>
  <c r="O21" i="2" l="1"/>
  <c r="U15" i="2"/>
  <c r="U16" i="2" s="1"/>
  <c r="U20" i="2" l="1"/>
  <c r="U21" i="2" l="1"/>
  <c r="AA15" i="2"/>
  <c r="AA16" i="2" s="1"/>
  <c r="AA20" i="2" l="1"/>
  <c r="AA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</author>
  </authors>
  <commentList>
    <comment ref="E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Temperature should be ≥150˚C</t>
        </r>
      </text>
    </comment>
    <comment ref="T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Temperature should be ≥150˚C</t>
        </r>
      </text>
    </comment>
    <comment ref="E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For 2015</t>
        </r>
      </text>
    </comment>
    <comment ref="E1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Constant</t>
        </r>
      </text>
    </comment>
    <comment ref="E1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Constant</t>
        </r>
      </text>
    </comment>
    <comment ref="L2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T = (Tz + T0 + 80)/2</t>
        </r>
      </text>
    </comment>
    <comment ref="T2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Temperature should be ≥150˚C</t>
        </r>
      </text>
    </comment>
    <comment ref="L3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n = number of wells</t>
        </r>
      </text>
    </comment>
    <comment ref="T3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Temperature should be ≥150˚C</t>
        </r>
      </text>
    </comment>
    <comment ref="B3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According to Beckers et al., 2014</t>
        </r>
      </text>
    </comment>
    <comment ref="B3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2% of CAPEX.
References: 
JRC, 2014
NREL, 2018</t>
        </r>
      </text>
    </comment>
    <comment ref="T4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Temperature should be ≥150˚C</t>
        </r>
      </text>
    </comment>
    <comment ref="T5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Temperature should be ≥150˚C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</author>
    <author>tc={D2200492-8855-4037-BE9E-C2D82B8EC9B8}</author>
    <author>Arman Aghahosseini</author>
    <author>tc={9DDCFA4E-27E0-4026-821C-82AB6867F74B}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According to Beckers et al., 2014 and our own assumptions</t>
        </r>
      </text>
    </comment>
    <comment ref="A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According to Beckers et al., 2014 and our own assumptions</t>
        </r>
      </text>
    </comment>
    <comment ref="A7" authorId="1" shapeId="0" xr:uid="{D2200492-8855-4037-BE9E-C2D82B8EC9B8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assumed that the capacity factor remains constant in the future (0.9), which is in line with NREL, 2018.</t>
      </text>
    </comment>
    <comment ref="B1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2% of CAPEX (overnight total)
The unit is in USD/kW
</t>
        </r>
      </text>
    </comment>
    <comment ref="A18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According to NREL, 2018
(Deep EGS / Flash - Low)</t>
        </r>
      </text>
    </comment>
    <comment ref="A3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According to JRC, 2018
(page 27)</t>
        </r>
      </text>
    </comment>
    <comment ref="A38" authorId="2" shapeId="0" xr:uid="{AE0401A6-CE9F-4D8C-AB42-A4CDEB78C21D}">
      <text>
        <r>
          <rPr>
            <b/>
            <sz val="9"/>
            <color indexed="81"/>
            <rFont val="Tahoma"/>
            <family val="2"/>
          </rPr>
          <t>Arman Aghahosseini:</t>
        </r>
        <r>
          <rPr>
            <sz val="9"/>
            <color indexed="81"/>
            <rFont val="Tahoma"/>
            <family val="2"/>
          </rPr>
          <t xml:space="preserve">
The equation can be found in:
SM - Eq. S11
</t>
        </r>
      </text>
    </comment>
    <comment ref="A4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The equation can be found in:
SM - Eq. S11</t>
        </r>
      </text>
    </comment>
    <comment ref="A5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2015 JRC Geothermal Energy Status Report.
"hydrothermal flash power plants"</t>
        </r>
      </text>
    </comment>
    <comment ref="E6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LUT:</t>
        </r>
        <r>
          <rPr>
            <sz val="9"/>
            <color indexed="81"/>
            <rFont val="Tahoma"/>
            <family val="2"/>
          </rPr>
          <t xml:space="preserve">
It's projected based on the CAAGR of total global geothermal capacity (2009-2019)</t>
        </r>
      </text>
    </comment>
    <comment ref="P60" authorId="3" shapeId="0" xr:uid="{9DDCFA4E-27E0-4026-821C-82AB6867F74B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According to Lu, 2018, with the continued development of today's conventional geothermal technology, more than 70 GW of EGS will be exploited in 2050, based on a probability of 85%.</t>
      </text>
    </comment>
  </commentList>
</comments>
</file>

<file path=xl/sharedStrings.xml><?xml version="1.0" encoding="utf-8"?>
<sst xmlns="http://schemas.openxmlformats.org/spreadsheetml/2006/main" count="328" uniqueCount="196">
  <si>
    <t>k</t>
  </si>
  <si>
    <t>Thermal conductivity</t>
  </si>
  <si>
    <t>Surface heat flow</t>
  </si>
  <si>
    <t>W/m2</t>
  </si>
  <si>
    <t>Geothermal gradient</t>
  </si>
  <si>
    <t>K/m or C/m</t>
  </si>
  <si>
    <t>Parameters</t>
  </si>
  <si>
    <t>Description</t>
  </si>
  <si>
    <t>Unit</t>
  </si>
  <si>
    <t>B</t>
  </si>
  <si>
    <t>Tz</t>
  </si>
  <si>
    <t>Temperature at depth of z</t>
  </si>
  <si>
    <t>z</t>
  </si>
  <si>
    <t>K or C</t>
  </si>
  <si>
    <t>m or km</t>
  </si>
  <si>
    <t>Method</t>
  </si>
  <si>
    <r>
      <t>W/m</t>
    </r>
    <r>
      <rPr>
        <sz val="11"/>
        <color theme="1"/>
        <rFont val="Calibri"/>
        <family val="2"/>
      </rPr>
      <t>·K</t>
    </r>
  </si>
  <si>
    <t>C/km</t>
  </si>
  <si>
    <t>m</t>
  </si>
  <si>
    <t>km</t>
  </si>
  <si>
    <r>
      <t>g</t>
    </r>
    <r>
      <rPr>
        <vertAlign val="subscript"/>
        <sz val="11"/>
        <color theme="1"/>
        <rFont val="Calibri"/>
        <family val="2"/>
        <scheme val="minor"/>
      </rPr>
      <t>estimated</t>
    </r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</si>
  <si>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</si>
  <si>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r>
      <t>q</t>
    </r>
    <r>
      <rPr>
        <vertAlign val="subscript"/>
        <sz val="11"/>
        <color theme="1"/>
        <rFont val="Calibri"/>
        <family val="2"/>
        <scheme val="minor"/>
      </rPr>
      <t>0</t>
    </r>
  </si>
  <si>
    <t>Estimated geothermal gradient</t>
  </si>
  <si>
    <t>Depth</t>
  </si>
  <si>
    <t>Expected temperature based on g0</t>
  </si>
  <si>
    <r>
      <t>T</t>
    </r>
    <r>
      <rPr>
        <vertAlign val="subscript"/>
        <sz val="11"/>
        <color theme="1"/>
        <rFont val="Calibri"/>
        <family val="2"/>
        <scheme val="minor"/>
      </rPr>
      <t>expected</t>
    </r>
  </si>
  <si>
    <t>C</t>
  </si>
  <si>
    <t>The original method to calculate the drilling cost</t>
  </si>
  <si>
    <t>The new method to calculate the drilling cost</t>
  </si>
  <si>
    <t>Lat</t>
  </si>
  <si>
    <t>Long</t>
  </si>
  <si>
    <t>Ratio of geothermal gradient (g) 
to estimated geothermal gradient</t>
  </si>
  <si>
    <t>Example (Iceland)</t>
  </si>
  <si>
    <t>Example (Mexico)</t>
  </si>
  <si>
    <t>Example (India)</t>
  </si>
  <si>
    <t>Electricity production for LCOE calculation</t>
  </si>
  <si>
    <r>
      <t>C</t>
    </r>
    <r>
      <rPr>
        <vertAlign val="subscript"/>
        <sz val="11"/>
        <color theme="1"/>
        <rFont val="Calibri"/>
        <family val="2"/>
        <scheme val="minor"/>
      </rPr>
      <t>cap,well</t>
    </r>
    <r>
      <rPr>
        <sz val="11"/>
        <color theme="1"/>
        <rFont val="Calibri"/>
        <family val="2"/>
        <scheme val="minor"/>
      </rPr>
      <t xml:space="preserve">  = (1.72*10^-7*z^2+2.3*10^-3*z-0.62)*B</t>
    </r>
  </si>
  <si>
    <r>
      <t>C</t>
    </r>
    <r>
      <rPr>
        <vertAlign val="subscript"/>
        <sz val="11"/>
        <color theme="1"/>
        <rFont val="Calibri"/>
        <family val="2"/>
        <scheme val="minor"/>
      </rPr>
      <t>cap,well</t>
    </r>
    <r>
      <rPr>
        <sz val="11"/>
        <color theme="1"/>
        <rFont val="Calibri"/>
        <family val="2"/>
        <scheme val="minor"/>
      </rPr>
      <t xml:space="preserve">  = (1.72*10^-7*z^2+2.3*10^-3*z-0.62)</t>
    </r>
  </si>
  <si>
    <r>
      <t>B =  g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/g</t>
    </r>
    <r>
      <rPr>
        <vertAlign val="subscript"/>
        <sz val="11"/>
        <color theme="1"/>
        <rFont val="Calibri"/>
        <family val="2"/>
        <scheme val="minor"/>
      </rPr>
      <t>estimated</t>
    </r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</si>
  <si>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q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/k</t>
    </r>
  </si>
  <si>
    <t>Q</t>
  </si>
  <si>
    <r>
      <t>Cp</t>
    </r>
    <r>
      <rPr>
        <vertAlign val="subscript"/>
        <sz val="11"/>
        <color theme="1"/>
        <rFont val="Calibri"/>
        <family val="2"/>
        <scheme val="minor"/>
      </rPr>
      <t>water</t>
    </r>
  </si>
  <si>
    <r>
      <t>ρ</t>
    </r>
    <r>
      <rPr>
        <vertAlign val="subscript"/>
        <sz val="11"/>
        <color theme="1"/>
        <rFont val="Calibri"/>
        <family val="2"/>
        <scheme val="minor"/>
      </rPr>
      <t>water</t>
    </r>
  </si>
  <si>
    <t>Geofluid flow rate</t>
  </si>
  <si>
    <t>Water density</t>
  </si>
  <si>
    <t>Heat capacity for water</t>
  </si>
  <si>
    <t>Tr</t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</si>
  <si>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Calibri"/>
        <family val="2"/>
      </rPr>
      <t>th</t>
    </r>
  </si>
  <si>
    <t>Base or reference temperature</t>
  </si>
  <si>
    <t>Thermal efficiency</t>
  </si>
  <si>
    <t>Time</t>
  </si>
  <si>
    <r>
      <t>t</t>
    </r>
    <r>
      <rPr>
        <vertAlign val="subscript"/>
        <sz val="11"/>
        <color theme="1"/>
        <rFont val="Calibri"/>
        <family val="2"/>
      </rPr>
      <t>load</t>
    </r>
  </si>
  <si>
    <t>kg/m3</t>
  </si>
  <si>
    <t>J/kg·K</t>
  </si>
  <si>
    <t>%</t>
  </si>
  <si>
    <t>kg/s</t>
  </si>
  <si>
    <t>J</t>
  </si>
  <si>
    <t>s/a</t>
  </si>
  <si>
    <r>
      <t>g</t>
    </r>
    <r>
      <rPr>
        <vertAlign val="subscript"/>
        <sz val="11"/>
        <color theme="1"/>
        <rFont val="Calibri"/>
        <family val="2"/>
        <scheme val="minor"/>
      </rPr>
      <t>estimated</t>
    </r>
    <r>
      <rPr>
        <sz val="11"/>
        <color theme="1"/>
        <rFont val="Calibri"/>
        <family val="2"/>
        <scheme val="minor"/>
      </rPr>
      <t xml:space="preserve"> = Tz/z</t>
    </r>
  </si>
  <si>
    <r>
      <t>η</t>
    </r>
    <r>
      <rPr>
        <vertAlign val="subscript"/>
        <sz val="11"/>
        <color theme="1"/>
        <rFont val="Calibri"/>
        <family val="2"/>
        <scheme val="minor"/>
      </rPr>
      <t xml:space="preserve">th </t>
    </r>
    <r>
      <rPr>
        <sz val="11"/>
        <color theme="1"/>
        <rFont val="Calibri"/>
        <family val="2"/>
        <scheme val="minor"/>
      </rPr>
      <t>= 0.00052*T+0.032</t>
    </r>
  </si>
  <si>
    <t>Power capacity</t>
  </si>
  <si>
    <t>MW</t>
  </si>
  <si>
    <t>Capacity factor</t>
  </si>
  <si>
    <t>GWh</t>
  </si>
  <si>
    <t>Surface power plant costs</t>
  </si>
  <si>
    <t>M$</t>
  </si>
  <si>
    <t>M$/well</t>
  </si>
  <si>
    <r>
      <t>C</t>
    </r>
    <r>
      <rPr>
        <vertAlign val="subscript"/>
        <sz val="11"/>
        <color theme="1"/>
        <rFont val="Calibri"/>
        <family val="2"/>
        <scheme val="minor"/>
      </rPr>
      <t>cap,pp</t>
    </r>
    <r>
      <rPr>
        <sz val="11"/>
        <color theme="1"/>
        <rFont val="Calibri"/>
        <family val="2"/>
        <scheme val="minor"/>
      </rPr>
      <t xml:space="preserve"> = 750+1125*[exp⁡(-0.006115(W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-5))]</t>
    </r>
  </si>
  <si>
    <t xml:space="preserve">$/kW </t>
  </si>
  <si>
    <t>Stimulation costs</t>
  </si>
  <si>
    <r>
      <t>C</t>
    </r>
    <r>
      <rPr>
        <vertAlign val="subscript"/>
        <sz val="11"/>
        <color theme="1"/>
        <rFont val="Calibri"/>
        <family val="2"/>
        <scheme val="minor"/>
      </rPr>
      <t>cap,stim</t>
    </r>
  </si>
  <si>
    <t>Exploration costs</t>
  </si>
  <si>
    <r>
      <t>C</t>
    </r>
    <r>
      <rPr>
        <vertAlign val="subscript"/>
        <sz val="11"/>
        <color theme="1"/>
        <rFont val="Calibri"/>
        <family val="2"/>
        <scheme val="minor"/>
      </rPr>
      <t>cap,expl</t>
    </r>
    <r>
      <rPr>
        <sz val="11"/>
        <color theme="1"/>
        <rFont val="Calibri"/>
        <family val="2"/>
        <scheme val="minor"/>
      </rPr>
      <t xml:space="preserve"> = 1.12*(1 M$+0.6*C</t>
    </r>
    <r>
      <rPr>
        <vertAlign val="subscript"/>
        <sz val="11"/>
        <color theme="1"/>
        <rFont val="Calibri"/>
        <family val="2"/>
        <scheme val="minor"/>
      </rPr>
      <t>1 well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</si>
  <si>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cap,expl</t>
    </r>
  </si>
  <si>
    <r>
      <t>C</t>
    </r>
    <r>
      <rPr>
        <vertAlign val="subscript"/>
        <sz val="11"/>
        <color theme="1"/>
        <rFont val="Calibri"/>
        <family val="2"/>
        <scheme val="minor"/>
      </rPr>
      <t>cap,pp</t>
    </r>
  </si>
  <si>
    <r>
      <t>C</t>
    </r>
    <r>
      <rPr>
        <vertAlign val="subscript"/>
        <sz val="11"/>
        <color theme="1"/>
        <rFont val="Calibri"/>
        <family val="2"/>
        <scheme val="minor"/>
      </rPr>
      <t>cap,well_new</t>
    </r>
  </si>
  <si>
    <r>
      <t>C</t>
    </r>
    <r>
      <rPr>
        <vertAlign val="subscript"/>
        <sz val="11"/>
        <color theme="1"/>
        <rFont val="Calibri"/>
        <family val="2"/>
        <scheme val="minor"/>
      </rPr>
      <t>cap,well_orig</t>
    </r>
  </si>
  <si>
    <t>Distribution costs</t>
  </si>
  <si>
    <r>
      <t>C</t>
    </r>
    <r>
      <rPr>
        <vertAlign val="subscript"/>
        <sz val="11"/>
        <color theme="1"/>
        <rFont val="Calibri"/>
        <family val="2"/>
        <scheme val="minor"/>
      </rPr>
      <t>cap,distr</t>
    </r>
    <r>
      <rPr>
        <sz val="11"/>
        <color theme="1"/>
        <rFont val="Calibri"/>
        <family val="2"/>
        <scheme val="minor"/>
      </rPr>
      <t xml:space="preserve"> = 50*W</t>
    </r>
    <r>
      <rPr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</si>
  <si>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vertAlign val="subscript"/>
        <sz val="11"/>
        <color theme="1"/>
        <rFont val="Calibri"/>
        <family val="2"/>
        <scheme val="minor"/>
      </rPr>
      <t>cap,distr</t>
    </r>
  </si>
  <si>
    <t xml:space="preserve">M$ </t>
  </si>
  <si>
    <r>
      <t>C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= (C</t>
    </r>
    <r>
      <rPr>
        <vertAlign val="subscript"/>
        <sz val="11"/>
        <color theme="1"/>
        <rFont val="Calibri"/>
        <family val="2"/>
        <scheme val="minor"/>
      </rPr>
      <t>cap,well</t>
    </r>
    <r>
      <rPr>
        <sz val="11"/>
        <color theme="1"/>
        <rFont val="Calibri"/>
        <family val="2"/>
        <scheme val="minor"/>
      </rPr>
      <t>*n)+C</t>
    </r>
    <r>
      <rPr>
        <vertAlign val="subscript"/>
        <sz val="11"/>
        <color theme="1"/>
        <rFont val="Calibri"/>
        <family val="2"/>
        <scheme val="minor"/>
      </rPr>
      <t>cap,pp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cap,stim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cap,distr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cap,expl</t>
    </r>
  </si>
  <si>
    <t>n</t>
  </si>
  <si>
    <t>Low-grade</t>
  </si>
  <si>
    <t>Mid- and High-grade</t>
  </si>
  <si>
    <t>Injection</t>
  </si>
  <si>
    <t>Production</t>
  </si>
  <si>
    <t>Total capital cost (CAPEX)</t>
  </si>
  <si>
    <t>O&amp;M costs - OPEX (fixed)</t>
  </si>
  <si>
    <t>LCOE = (capex*crf + opex (for one year))/electricity (of one year)</t>
  </si>
  <si>
    <t>LCOE</t>
  </si>
  <si>
    <t>WACC</t>
  </si>
  <si>
    <t>years</t>
  </si>
  <si>
    <t>crf</t>
  </si>
  <si>
    <t>$/MWh</t>
  </si>
  <si>
    <t>Capital cost (CAPEX) - total costs (overnight cost)</t>
  </si>
  <si>
    <t>Capital cost (CAPEX) - total costs exc. Exploration cost
 (overnight cost)</t>
  </si>
  <si>
    <t>Iceland specific data parameters</t>
  </si>
  <si>
    <t>Mexico specific data parameters</t>
  </si>
  <si>
    <t>India specific data parameters</t>
  </si>
  <si>
    <t>Fraction of baseline drilling costs</t>
  </si>
  <si>
    <t>Q (Geofluid flow rate)</t>
  </si>
  <si>
    <t>GW</t>
  </si>
  <si>
    <t>CAPEX</t>
  </si>
  <si>
    <r>
      <t>OPEX</t>
    </r>
    <r>
      <rPr>
        <vertAlign val="subscript"/>
        <sz val="11"/>
        <color theme="1"/>
        <rFont val="Calibri"/>
        <family val="2"/>
        <scheme val="minor"/>
      </rPr>
      <t>fixed</t>
    </r>
  </si>
  <si>
    <t>Levelised cost of electricity</t>
  </si>
  <si>
    <t>N</t>
  </si>
  <si>
    <t>Lifetime</t>
  </si>
  <si>
    <t>Weighted Average Cost of Capital (WACC) (Nominal)</t>
  </si>
  <si>
    <t>Capital recovery factor</t>
  </si>
  <si>
    <t>-</t>
  </si>
  <si>
    <t>Example (Indonesia)</t>
  </si>
  <si>
    <t>Indonesia specific data parameters</t>
  </si>
  <si>
    <t>E</t>
  </si>
  <si>
    <t>W</t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</si>
  <si>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Q*ρ</t>
    </r>
    <r>
      <rPr>
        <vertAlign val="subscript"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>*Cp</t>
    </r>
    <r>
      <rPr>
        <vertAlign val="subscript"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 xml:space="preserve"> (Tz-Tr)*η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*10^-3*t</t>
    </r>
    <r>
      <rPr>
        <vertAlign val="subscript"/>
        <sz val="11"/>
        <color theme="1"/>
        <rFont val="Calibri"/>
        <family val="2"/>
        <scheme val="minor"/>
      </rPr>
      <t>load</t>
    </r>
  </si>
  <si>
    <t>Example (US)</t>
  </si>
  <si>
    <t>US specific data parameters</t>
  </si>
  <si>
    <t>€/MWh</t>
  </si>
  <si>
    <t>USD/€</t>
  </si>
  <si>
    <t>USD/kW</t>
  </si>
  <si>
    <t>% of capex</t>
  </si>
  <si>
    <t>CAPEX (overnight total)</t>
  </si>
  <si>
    <t>Learning rate for CAPEX (flash - ORC - EGS)</t>
  </si>
  <si>
    <t>Reference</t>
  </si>
  <si>
    <t>High</t>
  </si>
  <si>
    <t>Low</t>
  </si>
  <si>
    <t>(-b)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</si>
  <si>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Tsiropoulos I,Tarvydas, D, Zucker, A, Cost development of low carbon energy technologies-Scenario-based cost trajectories to 2050, 2017 Edition, EUR 29034 EN, Publications Office of the European Union, Luxembourg, 2018, ISBN 978-92-79-77479-9, doi:10.2760/490059, JRC109894.</t>
    </r>
  </si>
  <si>
    <t>Historical added installed capacity of EGS</t>
  </si>
  <si>
    <t>Cumulative installed capacity of EGS</t>
  </si>
  <si>
    <t>Cumulative geothermal installed capacity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</si>
  <si>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IRENA  (2019),  Renewable  capacity  statistics  2019,  International  Renewable  Energy  Agency (IRENA), Abu Dhabi</t>
    </r>
  </si>
  <si>
    <t>MWe</t>
  </si>
  <si>
    <t xml:space="preserve">Commercialised plants </t>
  </si>
  <si>
    <t>Projects in progress</t>
  </si>
  <si>
    <t>KiGam at Pohang (2010-present)</t>
  </si>
  <si>
    <t>Landau (2004-present)</t>
  </si>
  <si>
    <t>Soultz (1987-present)</t>
  </si>
  <si>
    <t>Habanero (2003-present)</t>
  </si>
  <si>
    <t>Insheim (2008-present)</t>
  </si>
  <si>
    <t>Desert Peak (2002-present)</t>
  </si>
  <si>
    <t>Paralana (2005-present)</t>
  </si>
  <si>
    <t>Groß Schönebeck (2007-present)</t>
  </si>
  <si>
    <t>The Geysers (2009-present)</t>
  </si>
  <si>
    <t>Raft River (2009-present)</t>
  </si>
  <si>
    <t>Bradys Hot Spring (2008-present)</t>
  </si>
  <si>
    <t>2005-2010</t>
  </si>
  <si>
    <t>2010-2015</t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</si>
  <si>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Lu, S., 2018. A global review of enhanced geothermal system (EGS), Renewable and Sustainable Energy Reviews, 81, 2902–2921</t>
    </r>
  </si>
  <si>
    <t>2015-2020</t>
  </si>
  <si>
    <t>http://www.thinkgeoenergy.com/global-geothermal-capacity-reaches-14900-mw-new-top10-ranking/</t>
  </si>
  <si>
    <t>Ratio of EGS to the total geothermal capacity</t>
  </si>
  <si>
    <t>CAAGR (2020-2050)</t>
  </si>
  <si>
    <t>CAAGR (2009-2019)</t>
  </si>
  <si>
    <t>Our assumption</t>
  </si>
  <si>
    <t>If the reference year is 2015</t>
  </si>
  <si>
    <t>Learning factor (LF)</t>
  </si>
  <si>
    <t xml:space="preserve">MWe </t>
  </si>
  <si>
    <t xml:space="preserve">MWth </t>
  </si>
  <si>
    <t>Net efficiency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</si>
  <si>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Bergur Sigfusson, Andreas Uihlein; 2015 JRC Geothermal Energy Status Report; EUR 27623 EN; doi: 10.2790/757652</t>
    </r>
  </si>
  <si>
    <t>CAAGR (2010-2015)</t>
  </si>
  <si>
    <r>
      <t>C</t>
    </r>
    <r>
      <rPr>
        <vertAlign val="subscript"/>
        <sz val="11"/>
        <color theme="1"/>
        <rFont val="Calibri"/>
        <family val="2"/>
        <scheme val="minor"/>
      </rPr>
      <t>cap,well</t>
    </r>
  </si>
  <si>
    <t>Exemplary site (Iceland)</t>
  </si>
  <si>
    <t>Exemplary site (Mexico)</t>
  </si>
  <si>
    <t>Exemplary site (India)</t>
  </si>
  <si>
    <t>Exemplary site (Indonesia)</t>
  </si>
  <si>
    <t>Exemplary site (US)</t>
  </si>
  <si>
    <t>Equation (x) of methods</t>
  </si>
  <si>
    <t>Manuscript - Eq. 2</t>
  </si>
  <si>
    <t>Manuscript - Eq. 6</t>
  </si>
  <si>
    <t>List of Contents</t>
  </si>
  <si>
    <t>Assumptions and input data</t>
  </si>
  <si>
    <t>Future cost projections for EGS</t>
  </si>
  <si>
    <t>This contains the methods used to estimate the future cost of EGS</t>
  </si>
  <si>
    <t>This contains the input data, assumptions and methods used for EGS cost estimation</t>
  </si>
  <si>
    <t>All the references can be found in the main manuscript and the Supplementary Material.</t>
  </si>
  <si>
    <t>Note 1:</t>
  </si>
  <si>
    <t>Note 2:</t>
  </si>
  <si>
    <t>All the presented methods can be found in the main manuscript and the Supplementary Material.</t>
  </si>
  <si>
    <t>SM - Eq. S3a</t>
  </si>
  <si>
    <t>SM - Eq. S3b</t>
  </si>
  <si>
    <t>SM - Eq. S3c</t>
  </si>
  <si>
    <t>SM - Eq. S2</t>
  </si>
  <si>
    <t>SM - Eq. S5a</t>
  </si>
  <si>
    <t>SM - Eq. S5b</t>
  </si>
  <si>
    <t>SM - Eq. S7</t>
  </si>
  <si>
    <t>SM - Eq. S4</t>
  </si>
  <si>
    <t>SM - Eq. S1</t>
  </si>
  <si>
    <t>SM - Eq. S8</t>
  </si>
  <si>
    <t>SM - Eq. S10</t>
  </si>
  <si>
    <t>SM - Eq. S9</t>
  </si>
  <si>
    <t>SM - Eq. S13</t>
  </si>
  <si>
    <t>SM - Eq. 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</si>
</sst>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"/>
    <numFmt numFmtId="166" formatCode="0.000"/>
    <numFmt numFmtId="167" formatCode="0.0E+00"/>
    <numFmt numFmtId="168" formatCode="_-* #,##0_-;\-* #,##0_-;_-* &quot;-&quot;??_-;_-@_-"/>
    <numFmt numFmtId="169" formatCode="0.0\ %"/>
    <numFmt numFmtId="170" formatCode="0.000\ %"/>
    <numFmt numFmtId="171" formatCode="0.00000000000000000\ %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u/>
      <sz val="9"/>
      <color theme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6" borderId="0" applyNumberFormat="0" applyBorder="0" applyAlignment="0" applyProtection="0"/>
    <xf numFmtId="0" fontId="10" fillId="7" borderId="1" applyNumberFormat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1" fillId="2" borderId="1" xfId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1" fillId="2" borderId="1" xfId="1" applyNumberFormat="1"/>
    <xf numFmtId="2" fontId="1" fillId="2" borderId="1" xfId="1" applyNumberFormat="1"/>
    <xf numFmtId="165" fontId="1" fillId="2" borderId="1" xfId="1" applyNumberFormat="1"/>
    <xf numFmtId="165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1" fillId="2" borderId="2" xfId="1" applyBorder="1"/>
    <xf numFmtId="167" fontId="0" fillId="0" borderId="0" xfId="0" applyNumberFormat="1"/>
    <xf numFmtId="168" fontId="0" fillId="0" borderId="0" xfId="2" applyNumberFormat="1" applyFont="1"/>
    <xf numFmtId="0" fontId="0" fillId="0" borderId="0" xfId="0" applyAlignment="1">
      <alignment wrapText="1"/>
    </xf>
    <xf numFmtId="168" fontId="0" fillId="0" borderId="0" xfId="2" applyNumberFormat="1" applyFont="1" applyAlignment="1">
      <alignment vertical="center"/>
    </xf>
    <xf numFmtId="1" fontId="1" fillId="2" borderId="1" xfId="1" applyNumberFormat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168" fontId="0" fillId="4" borderId="0" xfId="2" applyNumberFormat="1" applyFont="1" applyFill="1"/>
    <xf numFmtId="9" fontId="0" fillId="0" borderId="0" xfId="3" applyFont="1"/>
    <xf numFmtId="10" fontId="0" fillId="0" borderId="0" xfId="3" applyNumberFormat="1" applyFon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/>
    <xf numFmtId="0" fontId="1" fillId="2" borderId="1" xfId="1" applyAlignment="1">
      <alignment horizontal="right"/>
    </xf>
    <xf numFmtId="170" fontId="0" fillId="0" borderId="0" xfId="3" applyNumberFormat="1" applyFont="1"/>
    <xf numFmtId="170" fontId="0" fillId="0" borderId="0" xfId="0" applyNumberFormat="1"/>
    <xf numFmtId="171" fontId="0" fillId="0" borderId="0" xfId="0" applyNumberFormat="1"/>
    <xf numFmtId="0" fontId="11" fillId="0" borderId="0" xfId="6"/>
    <xf numFmtId="2" fontId="10" fillId="7" borderId="1" xfId="5" applyNumberFormat="1"/>
    <xf numFmtId="165" fontId="10" fillId="7" borderId="1" xfId="5" applyNumberFormat="1"/>
    <xf numFmtId="168" fontId="1" fillId="2" borderId="1" xfId="1" applyNumberFormat="1"/>
    <xf numFmtId="0" fontId="9" fillId="6" borderId="0" xfId="4"/>
    <xf numFmtId="169" fontId="9" fillId="6" borderId="0" xfId="4" applyNumberFormat="1"/>
    <xf numFmtId="166" fontId="9" fillId="6" borderId="0" xfId="4" applyNumberFormat="1"/>
    <xf numFmtId="3" fontId="1" fillId="2" borderId="1" xfId="1" applyNumberFormat="1"/>
    <xf numFmtId="169" fontId="0" fillId="0" borderId="0" xfId="3" applyNumberFormat="1" applyFont="1"/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6" applyFont="1"/>
    <xf numFmtId="0" fontId="13" fillId="0" borderId="0" xfId="0" applyFont="1" applyAlignment="1">
      <alignment horizontal="center"/>
    </xf>
    <xf numFmtId="2" fontId="9" fillId="6" borderId="0" xfId="4" applyNumberFormat="1"/>
  </cellXfs>
  <cellStyles count="7">
    <cellStyle name="Calculation" xfId="5" builtinId="22"/>
    <cellStyle name="Comma" xfId="2" builtinId="3"/>
    <cellStyle name="Good" xfId="4" builtinId="26"/>
    <cellStyle name="Hyperlink" xfId="6" builtinId="8"/>
    <cellStyle name="Input" xfId="1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man Aghahosseini" id="{D0374454-3DD7-413D-BDB9-FB4087C694D1}" userId="S::Arman.Aghahosseini@lut.fi::9bb918f4-84a1-49ec-9e86-9ddad56711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4-06T12:06:02.73" personId="{D0374454-3DD7-413D-BDB9-FB4087C694D1}" id="{D2200492-8855-4037-BE9E-C2D82B8EC9B8}">
    <text>It is assumed that the capacity factor remains constant in the future (0.9), which is in line with NREL, 2018.</text>
  </threadedComment>
  <threadedComment ref="P60" dT="2020-04-07T07:11:00.63" personId="{D0374454-3DD7-413D-BDB9-FB4087C694D1}" id="{9DDCFA4E-27E0-4026-821C-82AB6867F74B}">
    <text>According to Lu, 2018, with the continued development of today's conventional geothermal technology, more than 70 GW of EGS will be exploited in 2050, based on a probability of 85%.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hinkgeoenergy.com/global-geothermal-capacity-reaches-14900-mw-new-top10-ranking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E2CD-593A-4D6E-B6CD-291AB0B52B80}">
  <dimension ref="A1:C10"/>
  <sheetViews>
    <sheetView tabSelected="1" workbookViewId="0">
      <selection activeCell="B3" sqref="B3"/>
    </sheetView>
  </sheetViews>
  <sheetFormatPr defaultRowHeight="15" x14ac:dyDescent="0.25"/>
  <cols>
    <col min="2" max="2" width="28.5703125" bestFit="1" customWidth="1"/>
    <col min="3" max="3" width="65.28515625" customWidth="1"/>
  </cols>
  <sheetData>
    <row r="1" spans="1:3" x14ac:dyDescent="0.25">
      <c r="A1" s="53" t="s">
        <v>173</v>
      </c>
      <c r="B1" s="53"/>
      <c r="C1" s="53"/>
    </row>
    <row r="2" spans="1:3" x14ac:dyDescent="0.25">
      <c r="A2" s="56">
        <v>1</v>
      </c>
      <c r="B2" s="55" t="s">
        <v>174</v>
      </c>
      <c r="C2" s="54" t="s">
        <v>177</v>
      </c>
    </row>
    <row r="3" spans="1:3" x14ac:dyDescent="0.25">
      <c r="A3" s="56">
        <v>2</v>
      </c>
      <c r="B3" s="55" t="s">
        <v>175</v>
      </c>
      <c r="C3" s="54" t="s">
        <v>176</v>
      </c>
    </row>
    <row r="9" spans="1:3" x14ac:dyDescent="0.25">
      <c r="A9" s="54" t="s">
        <v>179</v>
      </c>
      <c r="B9" s="54" t="s">
        <v>178</v>
      </c>
    </row>
    <row r="10" spans="1:3" x14ac:dyDescent="0.25">
      <c r="A10" s="54" t="s">
        <v>180</v>
      </c>
      <c r="B10" s="54" t="s">
        <v>181</v>
      </c>
    </row>
  </sheetData>
  <mergeCells count="1">
    <mergeCell ref="A1:C1"/>
  </mergeCells>
  <hyperlinks>
    <hyperlink ref="B2" location="'Geo cost_assumptions_input data'!A1" display="Assumptions and input data" xr:uid="{C237C0F3-DB46-4D20-918D-00C4D108D13D}"/>
    <hyperlink ref="B3" location="'Future projections of Geo cost'!A1" display="Future cost projections for EGS" xr:uid="{09F03FCD-BB45-4C37-8108-D9ACCAC959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zoomScale="80" zoomScaleNormal="80" workbookViewId="0">
      <selection activeCell="Q4" sqref="Q4"/>
    </sheetView>
  </sheetViews>
  <sheetFormatPr defaultRowHeight="15" x14ac:dyDescent="0.25"/>
  <cols>
    <col min="1" max="1" width="14.5703125" bestFit="1" customWidth="1"/>
    <col min="2" max="2" width="52.85546875" bestFit="1" customWidth="1"/>
    <col min="3" max="3" width="26.140625" customWidth="1"/>
    <col min="4" max="4" width="11.140625" bestFit="1" customWidth="1"/>
    <col min="5" max="5" width="17" bestFit="1" customWidth="1"/>
    <col min="6" max="6" width="17.28515625" bestFit="1" customWidth="1"/>
    <col min="7" max="7" width="17.28515625" customWidth="1"/>
    <col min="8" max="8" width="19.140625" customWidth="1"/>
    <col min="9" max="9" width="17.85546875" customWidth="1"/>
  </cols>
  <sheetData>
    <row r="1" spans="1:21" x14ac:dyDescent="0.25">
      <c r="A1" s="2" t="s">
        <v>6</v>
      </c>
      <c r="B1" s="2" t="s">
        <v>7</v>
      </c>
      <c r="C1" s="2" t="s">
        <v>170</v>
      </c>
      <c r="D1" s="2" t="s">
        <v>8</v>
      </c>
      <c r="E1" s="2" t="s">
        <v>33</v>
      </c>
      <c r="F1" s="2" t="s">
        <v>34</v>
      </c>
      <c r="G1" s="2" t="s">
        <v>35</v>
      </c>
      <c r="H1" s="2" t="s">
        <v>112</v>
      </c>
      <c r="I1" s="2" t="s">
        <v>117</v>
      </c>
      <c r="J1" s="2" t="s">
        <v>8</v>
      </c>
      <c r="K1" s="2"/>
      <c r="L1" s="2" t="s">
        <v>15</v>
      </c>
      <c r="P1" t="s">
        <v>84</v>
      </c>
      <c r="Q1" t="s">
        <v>85</v>
      </c>
      <c r="T1" t="s">
        <v>18</v>
      </c>
      <c r="U1" t="s">
        <v>19</v>
      </c>
    </row>
    <row r="2" spans="1:21" ht="18" x14ac:dyDescent="0.35">
      <c r="A2" t="s">
        <v>22</v>
      </c>
      <c r="B2" t="s">
        <v>2</v>
      </c>
      <c r="C2" t="s">
        <v>111</v>
      </c>
      <c r="D2" t="s">
        <v>3</v>
      </c>
      <c r="E2" s="9">
        <f>T9</f>
        <v>0.2412</v>
      </c>
      <c r="F2" s="9">
        <f>T19</f>
        <v>7.4300000000000005E-2</v>
      </c>
      <c r="G2" s="9">
        <f>T29</f>
        <v>4.6199999999999998E-2</v>
      </c>
      <c r="H2" s="9">
        <f>T39</f>
        <v>0.18970000000000001</v>
      </c>
      <c r="I2" s="9">
        <f>T49</f>
        <v>0.38840000000000002</v>
      </c>
      <c r="J2" t="s">
        <v>3</v>
      </c>
      <c r="O2" t="s">
        <v>86</v>
      </c>
      <c r="P2" s="4">
        <v>1</v>
      </c>
      <c r="Q2" s="4">
        <v>1</v>
      </c>
      <c r="T2">
        <v>1000</v>
      </c>
      <c r="U2">
        <v>1</v>
      </c>
    </row>
    <row r="3" spans="1:21" x14ac:dyDescent="0.25">
      <c r="A3" t="s">
        <v>0</v>
      </c>
      <c r="B3" t="s">
        <v>1</v>
      </c>
      <c r="C3" t="s">
        <v>111</v>
      </c>
      <c r="D3" t="s">
        <v>16</v>
      </c>
      <c r="E3" s="9">
        <f>T10</f>
        <v>1.7749999999999999</v>
      </c>
      <c r="F3" s="9">
        <f>T20</f>
        <v>2.3860000000000001</v>
      </c>
      <c r="G3" s="9">
        <f>T30</f>
        <v>2.2690999999999999</v>
      </c>
      <c r="H3" s="9">
        <f>T40</f>
        <v>2.3199999999999998</v>
      </c>
      <c r="I3" s="9">
        <f>T50</f>
        <v>0.97</v>
      </c>
      <c r="J3" t="s">
        <v>16</v>
      </c>
      <c r="O3" t="s">
        <v>87</v>
      </c>
      <c r="P3" s="4">
        <v>2</v>
      </c>
      <c r="Q3" s="4">
        <v>4</v>
      </c>
      <c r="T3" t="s">
        <v>57</v>
      </c>
      <c r="U3" t="s">
        <v>64</v>
      </c>
    </row>
    <row r="4" spans="1:21" ht="18" x14ac:dyDescent="0.35">
      <c r="A4" t="s">
        <v>21</v>
      </c>
      <c r="B4" t="s">
        <v>4</v>
      </c>
      <c r="C4" t="s">
        <v>183</v>
      </c>
      <c r="D4" t="s">
        <v>5</v>
      </c>
      <c r="E4" s="5">
        <f>(E2/E3)*$T$2</f>
        <v>135.88732394366198</v>
      </c>
      <c r="F4" s="5">
        <f>(F2/F3)*$T$2</f>
        <v>31.139983235540655</v>
      </c>
      <c r="G4" s="5">
        <f>(G2/G3)*$T$2</f>
        <v>20.360495350579527</v>
      </c>
      <c r="H4" s="5">
        <f>(H2/H3)*$T$2</f>
        <v>81.767241379310349</v>
      </c>
      <c r="I4" s="5">
        <f>(I2/I3)*$T$2</f>
        <v>400.41237113402065</v>
      </c>
      <c r="J4" t="s">
        <v>17</v>
      </c>
      <c r="L4" s="1" t="s">
        <v>40</v>
      </c>
      <c r="O4" t="s">
        <v>83</v>
      </c>
      <c r="P4">
        <f>P2+P3</f>
        <v>3</v>
      </c>
      <c r="Q4">
        <f>Q2+Q3</f>
        <v>5</v>
      </c>
      <c r="T4" s="15">
        <v>3600000000000</v>
      </c>
      <c r="U4">
        <v>1</v>
      </c>
    </row>
    <row r="5" spans="1:21" ht="18" x14ac:dyDescent="0.35">
      <c r="A5" t="s">
        <v>26</v>
      </c>
      <c r="B5" t="s">
        <v>25</v>
      </c>
      <c r="C5" t="s">
        <v>111</v>
      </c>
      <c r="D5" t="s">
        <v>13</v>
      </c>
      <c r="E5" s="5">
        <f>E4*E8</f>
        <v>271.77464788732397</v>
      </c>
      <c r="F5" s="5">
        <f t="shared" ref="F5:H5" si="0">F4*F8</f>
        <v>155.69991617770327</v>
      </c>
      <c r="G5" s="5">
        <f t="shared" si="0"/>
        <v>142.52346745405669</v>
      </c>
      <c r="H5" s="5">
        <f t="shared" si="0"/>
        <v>163.5344827586207</v>
      </c>
      <c r="I5" s="5">
        <f t="shared" ref="I5" si="1">I4*I8</f>
        <v>400.41237113402065</v>
      </c>
      <c r="J5" t="s">
        <v>27</v>
      </c>
    </row>
    <row r="6" spans="1:21" ht="28.5" customHeight="1" x14ac:dyDescent="0.35">
      <c r="A6" s="3" t="s">
        <v>9</v>
      </c>
      <c r="B6" s="12" t="s">
        <v>32</v>
      </c>
      <c r="C6" t="s">
        <v>182</v>
      </c>
      <c r="E6" s="11">
        <f>E4/E9</f>
        <v>0.99866225526661223</v>
      </c>
      <c r="F6" s="11">
        <f t="shared" ref="F6:H6" si="2">F4/F9</f>
        <v>0.93534136180070593</v>
      </c>
      <c r="G6" s="11">
        <f t="shared" si="2"/>
        <v>0.94054781323371561</v>
      </c>
      <c r="H6" s="11">
        <f t="shared" si="2"/>
        <v>0.87194022981641761</v>
      </c>
      <c r="I6" s="11">
        <f t="shared" ref="I6" si="3">I4/I9</f>
        <v>0.99973876548066787</v>
      </c>
      <c r="L6" t="s">
        <v>39</v>
      </c>
      <c r="T6" s="2" t="s">
        <v>98</v>
      </c>
    </row>
    <row r="7" spans="1:21" x14ac:dyDescent="0.25">
      <c r="A7" t="s">
        <v>10</v>
      </c>
      <c r="B7" t="s">
        <v>11</v>
      </c>
      <c r="C7" t="s">
        <v>171</v>
      </c>
      <c r="D7" t="s">
        <v>13</v>
      </c>
      <c r="E7" s="10">
        <f>T11</f>
        <v>272.13869999999997</v>
      </c>
      <c r="F7" s="10">
        <f>T21</f>
        <v>166.4632</v>
      </c>
      <c r="G7" s="10">
        <f>T31</f>
        <v>151.5324</v>
      </c>
      <c r="H7" s="10">
        <f>T41</f>
        <v>187.55240000000001</v>
      </c>
      <c r="I7" s="10">
        <f>T51</f>
        <v>400.517</v>
      </c>
      <c r="J7" t="s">
        <v>27</v>
      </c>
      <c r="T7" t="s">
        <v>30</v>
      </c>
      <c r="U7" t="s">
        <v>31</v>
      </c>
    </row>
    <row r="8" spans="1:21" x14ac:dyDescent="0.25">
      <c r="A8" t="s">
        <v>12</v>
      </c>
      <c r="B8" t="s">
        <v>24</v>
      </c>
      <c r="C8" t="s">
        <v>111</v>
      </c>
      <c r="D8" t="s">
        <v>14</v>
      </c>
      <c r="E8" s="10">
        <f>T12</f>
        <v>2</v>
      </c>
      <c r="F8" s="10">
        <f>T22</f>
        <v>5</v>
      </c>
      <c r="G8" s="10">
        <f>T32</f>
        <v>7</v>
      </c>
      <c r="H8" s="10">
        <f>T42</f>
        <v>2</v>
      </c>
      <c r="I8" s="10">
        <f>T52</f>
        <v>1</v>
      </c>
      <c r="J8" t="s">
        <v>19</v>
      </c>
      <c r="T8">
        <v>64.5</v>
      </c>
      <c r="U8">
        <v>-20.5</v>
      </c>
    </row>
    <row r="9" spans="1:21" ht="18" x14ac:dyDescent="0.35">
      <c r="A9" t="s">
        <v>20</v>
      </c>
      <c r="B9" t="s">
        <v>23</v>
      </c>
      <c r="C9" t="s">
        <v>184</v>
      </c>
      <c r="D9" t="s">
        <v>5</v>
      </c>
      <c r="E9" s="5">
        <f>E7/E8</f>
        <v>136.06934999999999</v>
      </c>
      <c r="F9" s="5">
        <f t="shared" ref="F9:I9" si="4">F7/F8</f>
        <v>33.292639999999999</v>
      </c>
      <c r="G9" s="5">
        <f t="shared" si="4"/>
        <v>21.647485714285715</v>
      </c>
      <c r="H9" s="5">
        <f t="shared" si="4"/>
        <v>93.776200000000003</v>
      </c>
      <c r="I9" s="5">
        <f t="shared" si="4"/>
        <v>400.517</v>
      </c>
      <c r="J9" t="s">
        <v>17</v>
      </c>
      <c r="L9" t="s">
        <v>59</v>
      </c>
      <c r="S9" t="s">
        <v>22</v>
      </c>
      <c r="T9" s="9">
        <v>0.2412</v>
      </c>
    </row>
    <row r="10" spans="1:21" ht="18" x14ac:dyDescent="0.35">
      <c r="A10" t="s">
        <v>77</v>
      </c>
      <c r="B10" t="s">
        <v>28</v>
      </c>
      <c r="C10" t="s">
        <v>111</v>
      </c>
      <c r="D10" t="s">
        <v>67</v>
      </c>
      <c r="E10" s="5">
        <f>1.72*10^(-7)*(E8*$T$2)^2+2.3*10^(-3)*(E8*$T$2)-0.62</f>
        <v>4.6679999999999993</v>
      </c>
      <c r="F10" s="5">
        <f>1.72*10^(-7)*(F8*$T$2)^2+2.3*10^(-3)*(F8*$T$2)-0.62</f>
        <v>15.180000000000001</v>
      </c>
      <c r="G10" s="5">
        <f>1.72*10^(-7)*(G8*$T$2)^2+2.3*10^(-3)*(G8*$T$2)-0.62</f>
        <v>23.907999999999998</v>
      </c>
      <c r="H10" s="5">
        <f>1.72*10^(-7)*(H8*$T$2)^2+2.3*10^(-3)*(H8*$T$2)-0.62</f>
        <v>4.6679999999999993</v>
      </c>
      <c r="I10" s="5">
        <f>1.72*10^(-7)*(I8*$T$2)^2+2.3*10^(-3)*(I8*$T$2)-0.62</f>
        <v>1.8519999999999999</v>
      </c>
      <c r="L10" t="s">
        <v>38</v>
      </c>
      <c r="S10" t="s">
        <v>0</v>
      </c>
      <c r="T10" s="9">
        <v>1.7749999999999999</v>
      </c>
    </row>
    <row r="11" spans="1:21" ht="18" x14ac:dyDescent="0.35">
      <c r="A11" t="s">
        <v>76</v>
      </c>
      <c r="B11" t="s">
        <v>29</v>
      </c>
      <c r="C11" t="s">
        <v>185</v>
      </c>
      <c r="D11" t="s">
        <v>67</v>
      </c>
      <c r="E11" s="5">
        <f>(1.72*10^(-7)*(E8*$T$2)^2+2.3*10^(-3)*(E8*$T$2)-0.62)*E6</f>
        <v>4.6617554075845451</v>
      </c>
      <c r="F11" s="5">
        <f>(1.72*10^(-7)*(F8*$T$2)^2+2.3*10^(-3)*(F8*$T$2)-0.62)*F6</f>
        <v>14.198481872134717</v>
      </c>
      <c r="G11" s="5">
        <f>(1.72*10^(-7)*(G8*$T$2)^2+2.3*10^(-3)*(G8*$T$2)-0.62)*G6</f>
        <v>22.486617118791671</v>
      </c>
      <c r="H11" s="5">
        <f>(1.72*10^(-7)*(H8*$T$2)^2+2.3*10^(-3)*(H8*$T$2)-0.62)*H6</f>
        <v>4.0702169927830365</v>
      </c>
      <c r="I11" s="5">
        <f>(1.72*10^(-7)*(I8*$T$2)^2+2.3*10^(-3)*(I8*$T$2)-0.62)*I6</f>
        <v>1.8515161936701967</v>
      </c>
      <c r="L11" t="s">
        <v>37</v>
      </c>
      <c r="S11" t="s">
        <v>10</v>
      </c>
      <c r="T11" s="10">
        <v>272.13869999999997</v>
      </c>
    </row>
    <row r="12" spans="1:21" x14ac:dyDescent="0.25">
      <c r="S12" t="s">
        <v>12</v>
      </c>
      <c r="T12" s="4">
        <v>2</v>
      </c>
    </row>
    <row r="13" spans="1:21" x14ac:dyDescent="0.25">
      <c r="S13" t="s">
        <v>47</v>
      </c>
      <c r="T13" s="10">
        <v>80.814800000000005</v>
      </c>
    </row>
    <row r="14" spans="1:21" ht="18" x14ac:dyDescent="0.35">
      <c r="S14" s="13" t="s">
        <v>48</v>
      </c>
      <c r="T14" s="8">
        <v>0.12379999999999999</v>
      </c>
    </row>
    <row r="15" spans="1:21" ht="18" x14ac:dyDescent="0.35">
      <c r="A15" t="s">
        <v>114</v>
      </c>
      <c r="B15" t="s">
        <v>36</v>
      </c>
      <c r="C15" t="s">
        <v>186</v>
      </c>
      <c r="D15" t="s">
        <v>64</v>
      </c>
      <c r="E15" s="5">
        <f>(E16*E17*E18*(E7-E19)*E20*10^-3*E21*E22)/$T$4</f>
        <v>25.659774982638975</v>
      </c>
      <c r="F15" s="5">
        <f>(F16*F17*F18*(F7-F19)*F20*10^-3*F21*F22)/$T$4</f>
        <v>7.4836201639930744</v>
      </c>
      <c r="G15" s="5">
        <f>(G16*G17*G18*(G7-G19)*G20*10^-3*G21*G22)/$T$4</f>
        <v>4.7545671020811096</v>
      </c>
      <c r="H15" s="5">
        <f>(H16*H17*H18*(H7-H19)*H20*10^-3*H21*H22)/$T$4</f>
        <v>9.6731694565430981</v>
      </c>
      <c r="I15" s="5">
        <f>(I16*I17*I18*(I7-I19)*I20*10^-3*I21*I22)/$T$4</f>
        <v>54.442475260652728</v>
      </c>
      <c r="L15" t="s">
        <v>116</v>
      </c>
    </row>
    <row r="16" spans="1:21" x14ac:dyDescent="0.25">
      <c r="A16" t="s">
        <v>41</v>
      </c>
      <c r="B16" t="s">
        <v>44</v>
      </c>
      <c r="C16" t="s">
        <v>111</v>
      </c>
      <c r="D16" t="s">
        <v>56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T16" s="2" t="s">
        <v>99</v>
      </c>
    </row>
    <row r="17" spans="1:21" ht="18" x14ac:dyDescent="0.35">
      <c r="A17" t="s">
        <v>43</v>
      </c>
      <c r="B17" t="s">
        <v>45</v>
      </c>
      <c r="C17" t="s">
        <v>111</v>
      </c>
      <c r="D17" t="s">
        <v>53</v>
      </c>
      <c r="E17" s="4">
        <v>1078</v>
      </c>
      <c r="F17" s="4">
        <v>1078</v>
      </c>
      <c r="G17" s="4">
        <v>1078</v>
      </c>
      <c r="H17" s="4">
        <v>1078</v>
      </c>
      <c r="I17" s="4">
        <v>1078</v>
      </c>
      <c r="T17" t="s">
        <v>30</v>
      </c>
      <c r="U17" t="s">
        <v>31</v>
      </c>
    </row>
    <row r="18" spans="1:21" ht="18" x14ac:dyDescent="0.35">
      <c r="A18" t="s">
        <v>42</v>
      </c>
      <c r="B18" t="s">
        <v>46</v>
      </c>
      <c r="C18" t="s">
        <v>111</v>
      </c>
      <c r="D18" t="s">
        <v>54</v>
      </c>
      <c r="E18" s="4">
        <v>4250</v>
      </c>
      <c r="F18" s="4">
        <v>4250</v>
      </c>
      <c r="G18" s="4">
        <v>4250</v>
      </c>
      <c r="H18" s="4">
        <v>4250</v>
      </c>
      <c r="I18" s="4">
        <v>4250</v>
      </c>
      <c r="T18">
        <v>21.5</v>
      </c>
      <c r="U18">
        <v>-102.5</v>
      </c>
    </row>
    <row r="19" spans="1:21" ht="18" x14ac:dyDescent="0.35">
      <c r="A19" t="s">
        <v>47</v>
      </c>
      <c r="B19" t="s">
        <v>49</v>
      </c>
      <c r="C19" t="s">
        <v>111</v>
      </c>
      <c r="D19" t="s">
        <v>27</v>
      </c>
      <c r="E19" s="10">
        <f>T13</f>
        <v>80.814800000000005</v>
      </c>
      <c r="F19" s="10">
        <f>T23</f>
        <v>97.906300000000002</v>
      </c>
      <c r="G19" s="10">
        <f>T33</f>
        <v>107.3505</v>
      </c>
      <c r="H19" s="10">
        <f>T43</f>
        <v>104.93259999999999</v>
      </c>
      <c r="I19" s="10">
        <f>T53</f>
        <v>80.795100000000005</v>
      </c>
      <c r="S19" t="s">
        <v>22</v>
      </c>
      <c r="T19" s="9">
        <v>7.4300000000000005E-2</v>
      </c>
    </row>
    <row r="20" spans="1:21" ht="18" x14ac:dyDescent="0.35">
      <c r="A20" s="13" t="s">
        <v>48</v>
      </c>
      <c r="B20" t="s">
        <v>50</v>
      </c>
      <c r="C20" t="s">
        <v>172</v>
      </c>
      <c r="D20" t="s">
        <v>55</v>
      </c>
      <c r="E20" s="6">
        <f>0.00052*((E7+E19)/2)+0.032</f>
        <v>0.12376790999999998</v>
      </c>
      <c r="F20" s="6">
        <f>0.00052*((F7+F19)/2)+0.032</f>
        <v>0.10073607</v>
      </c>
      <c r="G20" s="6">
        <f>0.00052*((G7+G19)/2)+0.032</f>
        <v>9.9309553999999994E-2</v>
      </c>
      <c r="H20" s="6">
        <f>0.00052*((H7+H19)/2)+0.032</f>
        <v>0.10804609999999999</v>
      </c>
      <c r="I20" s="6">
        <f>0.00052*((I7+I19)/2)+0.032</f>
        <v>0.15714114599999998</v>
      </c>
      <c r="L20" t="s">
        <v>60</v>
      </c>
      <c r="S20" t="s">
        <v>0</v>
      </c>
      <c r="T20" s="9">
        <v>2.3860000000000001</v>
      </c>
    </row>
    <row r="21" spans="1:21" ht="18" x14ac:dyDescent="0.35">
      <c r="A21" s="13" t="s">
        <v>52</v>
      </c>
      <c r="B21" t="s">
        <v>51</v>
      </c>
      <c r="C21" t="s">
        <v>187</v>
      </c>
      <c r="D21" t="s">
        <v>58</v>
      </c>
      <c r="E21" s="14">
        <f>8760*3600</f>
        <v>31536000</v>
      </c>
      <c r="F21" s="14">
        <f t="shared" ref="F21:I21" si="5">8760*3600</f>
        <v>31536000</v>
      </c>
      <c r="G21" s="14">
        <f t="shared" si="5"/>
        <v>31536000</v>
      </c>
      <c r="H21" s="14">
        <f t="shared" si="5"/>
        <v>31536000</v>
      </c>
      <c r="I21" s="14">
        <f t="shared" si="5"/>
        <v>31536000</v>
      </c>
      <c r="S21" t="s">
        <v>10</v>
      </c>
      <c r="T21" s="10">
        <v>166.4632</v>
      </c>
    </row>
    <row r="22" spans="1:21" x14ac:dyDescent="0.25">
      <c r="A22" s="13" t="s">
        <v>63</v>
      </c>
      <c r="B22" s="13" t="s">
        <v>63</v>
      </c>
      <c r="C22" t="s">
        <v>111</v>
      </c>
      <c r="D22" t="s">
        <v>55</v>
      </c>
      <c r="E22" s="4">
        <v>0.9</v>
      </c>
      <c r="F22" s="4">
        <v>0.9</v>
      </c>
      <c r="G22" s="4">
        <v>0.9</v>
      </c>
      <c r="H22" s="4">
        <v>0.9</v>
      </c>
      <c r="I22" s="4">
        <v>0.9</v>
      </c>
      <c r="S22" t="s">
        <v>12</v>
      </c>
      <c r="T22" s="4">
        <v>5</v>
      </c>
    </row>
    <row r="23" spans="1:21" x14ac:dyDescent="0.25">
      <c r="A23" t="s">
        <v>115</v>
      </c>
      <c r="B23" t="s">
        <v>61</v>
      </c>
      <c r="C23" t="s">
        <v>188</v>
      </c>
      <c r="D23" t="s">
        <v>62</v>
      </c>
      <c r="E23" s="5">
        <f>(E15*10^3)/(8760*E22)</f>
        <v>3.2546645081987537</v>
      </c>
      <c r="F23" s="5">
        <f t="shared" ref="F23:G23" si="6">(F15*10^3)/(8760*F22)</f>
        <v>0.94921615474290644</v>
      </c>
      <c r="G23" s="5">
        <f t="shared" si="6"/>
        <v>0.60306533511936955</v>
      </c>
      <c r="H23" s="5">
        <f t="shared" ref="H23:I23" si="7">(H15*10^3)/(8760*H22)</f>
        <v>1.2269367651627472</v>
      </c>
      <c r="I23" s="5">
        <f t="shared" si="7"/>
        <v>6.9054382623861903</v>
      </c>
      <c r="S23" t="s">
        <v>47</v>
      </c>
      <c r="T23" s="10">
        <v>97.906300000000002</v>
      </c>
    </row>
    <row r="24" spans="1:21" ht="18" x14ac:dyDescent="0.35">
      <c r="A24" t="s">
        <v>75</v>
      </c>
      <c r="B24" t="s">
        <v>65</v>
      </c>
      <c r="C24" t="s">
        <v>189</v>
      </c>
      <c r="D24" t="s">
        <v>69</v>
      </c>
      <c r="E24" s="5">
        <f>750+1125*(EXP(-0.006115*(E23-5)))</f>
        <v>1887.0711186410574</v>
      </c>
      <c r="F24" s="5">
        <f t="shared" ref="F24:G24" si="8">750+1125*(EXP(-0.006115*(F23-5)))</f>
        <v>1903.2148672517401</v>
      </c>
      <c r="G24" s="5">
        <f t="shared" si="8"/>
        <v>1905.6584765985274</v>
      </c>
      <c r="H24" s="5">
        <f t="shared" ref="H24:I24" si="9">750+1125*(EXP(-0.006115*(H23-5)))</f>
        <v>1901.2580688517526</v>
      </c>
      <c r="I24" s="5">
        <f t="shared" si="9"/>
        <v>1861.9678468219527</v>
      </c>
      <c r="L24" t="s">
        <v>68</v>
      </c>
      <c r="S24" s="13" t="s">
        <v>48</v>
      </c>
      <c r="T24" s="8">
        <v>0.1007</v>
      </c>
    </row>
    <row r="25" spans="1:21" x14ac:dyDescent="0.25">
      <c r="B25" t="s">
        <v>65</v>
      </c>
      <c r="C25" t="s">
        <v>190</v>
      </c>
      <c r="D25" t="s">
        <v>66</v>
      </c>
      <c r="E25" s="5">
        <f>(E24*(E23*1000))/10^6</f>
        <v>6.1417833942879687</v>
      </c>
      <c r="F25" s="5">
        <f t="shared" ref="F25:G25" si="10">(F24*(F23*1000))/10^6</f>
        <v>1.8065622979422278</v>
      </c>
      <c r="G25" s="5">
        <f t="shared" si="10"/>
        <v>1.1492365678129584</v>
      </c>
      <c r="H25" s="5">
        <f t="shared" ref="H25:I25" si="11">(H24*(H23*1000))/10^6</f>
        <v>2.3327234247365407</v>
      </c>
      <c r="I25" s="5">
        <f t="shared" si="11"/>
        <v>12.857704012777141</v>
      </c>
    </row>
    <row r="26" spans="1:21" x14ac:dyDescent="0.25">
      <c r="T26" s="2" t="s">
        <v>100</v>
      </c>
    </row>
    <row r="27" spans="1:21" ht="18" x14ac:dyDescent="0.35">
      <c r="A27" t="s">
        <v>71</v>
      </c>
      <c r="B27" t="s">
        <v>70</v>
      </c>
      <c r="C27" t="s">
        <v>191</v>
      </c>
      <c r="D27" t="s">
        <v>66</v>
      </c>
      <c r="E27" s="4">
        <v>2.5</v>
      </c>
      <c r="F27" s="4">
        <v>2.5</v>
      </c>
      <c r="G27" s="4">
        <v>2.5</v>
      </c>
      <c r="H27" s="4">
        <v>2.5</v>
      </c>
      <c r="I27" s="4">
        <v>2.5</v>
      </c>
      <c r="T27" t="s">
        <v>30</v>
      </c>
      <c r="U27" t="s">
        <v>31</v>
      </c>
    </row>
    <row r="28" spans="1:21" ht="18" x14ac:dyDescent="0.35">
      <c r="A28" t="s">
        <v>74</v>
      </c>
      <c r="B28" t="s">
        <v>72</v>
      </c>
      <c r="C28" t="s">
        <v>192</v>
      </c>
      <c r="D28" t="s">
        <v>66</v>
      </c>
      <c r="E28" s="5">
        <f>1.12*(1+0.6*E11)</f>
        <v>4.2526996338968148</v>
      </c>
      <c r="F28" s="5">
        <f t="shared" ref="F28:G28" si="12">1.12*(1+0.6*F11)</f>
        <v>10.661379818074531</v>
      </c>
      <c r="G28" s="5">
        <f t="shared" si="12"/>
        <v>16.231006703828005</v>
      </c>
      <c r="H28" s="5">
        <f t="shared" ref="H28:I28" si="13">1.12*(1+0.6*H11)</f>
        <v>3.8551858191502006</v>
      </c>
      <c r="I28" s="5">
        <f t="shared" si="13"/>
        <v>2.3642188821463725</v>
      </c>
      <c r="L28" t="s">
        <v>73</v>
      </c>
      <c r="T28">
        <v>9.5</v>
      </c>
      <c r="U28">
        <v>78.5</v>
      </c>
    </row>
    <row r="29" spans="1:21" ht="18" x14ac:dyDescent="0.35">
      <c r="A29" t="s">
        <v>80</v>
      </c>
      <c r="B29" t="s">
        <v>78</v>
      </c>
      <c r="C29" t="s">
        <v>193</v>
      </c>
      <c r="D29" t="s">
        <v>81</v>
      </c>
      <c r="E29" s="7">
        <f>(50*E23*1000)/10^6</f>
        <v>0.1627332254099377</v>
      </c>
      <c r="F29" s="7">
        <f t="shared" ref="F29:G29" si="14">(50*F23*1000)/10^6</f>
        <v>4.7460807737145325E-2</v>
      </c>
      <c r="G29" s="7">
        <f t="shared" si="14"/>
        <v>3.0153266755968477E-2</v>
      </c>
      <c r="H29" s="7">
        <f t="shared" ref="H29:I29" si="15">(50*H23*1000)/10^6</f>
        <v>6.1346838258137359E-2</v>
      </c>
      <c r="I29" s="7">
        <f t="shared" si="15"/>
        <v>0.34527191311930949</v>
      </c>
      <c r="L29" t="s">
        <v>79</v>
      </c>
      <c r="S29" t="s">
        <v>22</v>
      </c>
      <c r="T29" s="9">
        <v>4.6199999999999998E-2</v>
      </c>
    </row>
    <row r="30" spans="1:21" x14ac:dyDescent="0.25">
      <c r="S30" t="s">
        <v>0</v>
      </c>
      <c r="T30" s="9">
        <v>2.2690999999999999</v>
      </c>
    </row>
    <row r="31" spans="1:21" ht="18" x14ac:dyDescent="0.35">
      <c r="A31" t="s">
        <v>104</v>
      </c>
      <c r="B31" t="s">
        <v>88</v>
      </c>
      <c r="C31" t="s">
        <v>190</v>
      </c>
      <c r="D31" t="s">
        <v>66</v>
      </c>
      <c r="E31" s="5">
        <f>(E11*Q4)+E25+E27+E28+E29</f>
        <v>36.365993291517448</v>
      </c>
      <c r="F31" s="5">
        <f>(F11*Q4)+F25+F27+F28+F29</f>
        <v>86.007812284427487</v>
      </c>
      <c r="G31" s="5">
        <f>(G11*P4)+G25+G27+G28+G29</f>
        <v>87.37024789477195</v>
      </c>
      <c r="H31" s="5">
        <f>(H11*Q4)+H25+H27+H28+H29</f>
        <v>29.100341046060066</v>
      </c>
      <c r="I31" s="5">
        <f>(I11*Q4)+I25+I27+I28+I29</f>
        <v>27.324775776393807</v>
      </c>
      <c r="L31" t="s">
        <v>82</v>
      </c>
      <c r="S31" t="s">
        <v>10</v>
      </c>
      <c r="T31" s="10">
        <v>151.5324</v>
      </c>
    </row>
    <row r="32" spans="1:21" x14ac:dyDescent="0.25">
      <c r="B32" t="s">
        <v>96</v>
      </c>
      <c r="C32" t="s">
        <v>192</v>
      </c>
      <c r="D32" t="s">
        <v>69</v>
      </c>
      <c r="E32" s="16">
        <f>(E31/(E23*1000))*10^6</f>
        <v>11173.499818463217</v>
      </c>
      <c r="F32" s="16">
        <f t="shared" ref="F32:G32" si="16">(F31/(F23*1000))*10^6</f>
        <v>90609.301005546586</v>
      </c>
      <c r="G32" s="16">
        <f t="shared" si="16"/>
        <v>144876.91931004135</v>
      </c>
      <c r="H32" s="16">
        <f t="shared" ref="H32:I32" si="17">(H31/(H23*1000))*10^6</f>
        <v>23717.881697187589</v>
      </c>
      <c r="I32" s="16">
        <f t="shared" si="17"/>
        <v>3956.9937110626879</v>
      </c>
      <c r="S32" t="s">
        <v>12</v>
      </c>
      <c r="T32" s="4">
        <v>7</v>
      </c>
    </row>
    <row r="33" spans="1:21" ht="30" x14ac:dyDescent="0.25">
      <c r="B33" s="17" t="s">
        <v>97</v>
      </c>
      <c r="C33" s="3" t="s">
        <v>111</v>
      </c>
      <c r="D33" s="3" t="s">
        <v>69</v>
      </c>
      <c r="E33" s="18">
        <f>((E31-E28)/(E23*1000))*10^6</f>
        <v>9866.8521983524679</v>
      </c>
      <c r="F33" s="18">
        <f t="shared" ref="F33:G33" si="18">((F31-F28)/(F23*1000))*10^6</f>
        <v>79377.528595433992</v>
      </c>
      <c r="G33" s="18">
        <f t="shared" si="18"/>
        <v>117962.74308630719</v>
      </c>
      <c r="H33" s="18">
        <f t="shared" ref="H33:I33" si="19">((H31-H28)/(H23*1000))*10^6</f>
        <v>20575.759031526955</v>
      </c>
      <c r="I33" s="18">
        <f t="shared" si="19"/>
        <v>3614.6231340894296</v>
      </c>
      <c r="S33" t="s">
        <v>47</v>
      </c>
      <c r="T33" s="10">
        <v>107.3505</v>
      </c>
    </row>
    <row r="34" spans="1:21" ht="18" x14ac:dyDescent="0.35">
      <c r="S34" s="13" t="s">
        <v>48</v>
      </c>
      <c r="T34" s="8">
        <v>9.9299999999999999E-2</v>
      </c>
    </row>
    <row r="35" spans="1:21" ht="18" x14ac:dyDescent="0.35">
      <c r="A35" t="s">
        <v>105</v>
      </c>
      <c r="B35" t="s">
        <v>89</v>
      </c>
      <c r="C35" t="s">
        <v>111</v>
      </c>
      <c r="D35" t="s">
        <v>66</v>
      </c>
      <c r="E35" s="5">
        <f>E31*0.02</f>
        <v>0.72731986583034902</v>
      </c>
      <c r="F35" s="5">
        <f t="shared" ref="F35:G35" si="20">F31*0.02</f>
        <v>1.7201562456885497</v>
      </c>
      <c r="G35" s="5">
        <f t="shared" si="20"/>
        <v>1.7474049578954389</v>
      </c>
      <c r="H35" s="5">
        <f t="shared" ref="H35:I35" si="21">H31*0.02</f>
        <v>0.58200682092120137</v>
      </c>
      <c r="I35" s="5">
        <f t="shared" si="21"/>
        <v>0.54649551552787612</v>
      </c>
    </row>
    <row r="36" spans="1:21" x14ac:dyDescent="0.25">
      <c r="T36" s="2" t="s">
        <v>113</v>
      </c>
    </row>
    <row r="37" spans="1:21" x14ac:dyDescent="0.25">
      <c r="T37" t="s">
        <v>30</v>
      </c>
      <c r="U37" t="s">
        <v>31</v>
      </c>
    </row>
    <row r="38" spans="1:21" x14ac:dyDescent="0.25">
      <c r="A38" t="s">
        <v>91</v>
      </c>
      <c r="B38" t="s">
        <v>106</v>
      </c>
      <c r="C38" t="s">
        <v>195</v>
      </c>
      <c r="D38" t="s">
        <v>95</v>
      </c>
      <c r="E38" s="5">
        <f>((E31*E44)+E35)/E15*1000</f>
        <v>142.55481498874539</v>
      </c>
      <c r="F38" s="5">
        <f t="shared" ref="F38:G38" si="22">((F31*F44)+F35)/F15*1000</f>
        <v>1156.0202578391222</v>
      </c>
      <c r="G38" s="5">
        <f t="shared" si="22"/>
        <v>1848.3825805639924</v>
      </c>
      <c r="H38" s="5">
        <f t="shared" ref="H38:I38" si="23">((H31*H44)+H35)/H15*1000</f>
        <v>302.59974870904489</v>
      </c>
      <c r="I38" s="5">
        <f t="shared" si="23"/>
        <v>50.484495955337493</v>
      </c>
      <c r="L38" t="s">
        <v>90</v>
      </c>
      <c r="T38">
        <v>1.5</v>
      </c>
      <c r="U38">
        <v>99.5</v>
      </c>
    </row>
    <row r="39" spans="1:21" ht="18" x14ac:dyDescent="0.35">
      <c r="S39" t="s">
        <v>22</v>
      </c>
      <c r="T39" s="9">
        <v>0.18970000000000001</v>
      </c>
    </row>
    <row r="40" spans="1:21" x14ac:dyDescent="0.25">
      <c r="E40" s="5"/>
      <c r="S40" t="s">
        <v>0</v>
      </c>
      <c r="T40" s="9">
        <v>2.3199999999999998</v>
      </c>
    </row>
    <row r="41" spans="1:21" x14ac:dyDescent="0.25">
      <c r="E41" s="5"/>
      <c r="S41" t="s">
        <v>10</v>
      </c>
      <c r="T41" s="10">
        <v>187.55240000000001</v>
      </c>
    </row>
    <row r="42" spans="1:21" x14ac:dyDescent="0.25">
      <c r="S42" t="s">
        <v>12</v>
      </c>
      <c r="T42" s="4">
        <v>2</v>
      </c>
    </row>
    <row r="43" spans="1:21" x14ac:dyDescent="0.25">
      <c r="S43" t="s">
        <v>47</v>
      </c>
      <c r="T43" s="10">
        <v>104.93259999999999</v>
      </c>
    </row>
    <row r="44" spans="1:21" ht="18" x14ac:dyDescent="0.35">
      <c r="A44" t="s">
        <v>94</v>
      </c>
      <c r="B44" t="s">
        <v>110</v>
      </c>
      <c r="C44" t="s">
        <v>194</v>
      </c>
      <c r="E44" s="7">
        <f>(E45*(1+E45)^E46)/((1+E45)^E46-1)</f>
        <v>8.0586403511111196E-2</v>
      </c>
      <c r="F44" s="7">
        <f t="shared" ref="F44:G44" si="24">(F45*(1+F45)^F46)/((1+F45)^F46-1)</f>
        <v>8.0586403511111196E-2</v>
      </c>
      <c r="G44" s="7">
        <f t="shared" si="24"/>
        <v>8.0586403511111196E-2</v>
      </c>
      <c r="H44" s="7">
        <f t="shared" ref="H44:I44" si="25">(H45*(1+H45)^H46)/((1+H45)^H46-1)</f>
        <v>8.0586403511111196E-2</v>
      </c>
      <c r="I44" s="7">
        <f t="shared" si="25"/>
        <v>8.0586403511111196E-2</v>
      </c>
      <c r="S44" s="13" t="s">
        <v>48</v>
      </c>
      <c r="T44" s="8">
        <v>0.108</v>
      </c>
    </row>
    <row r="45" spans="1:21" x14ac:dyDescent="0.25">
      <c r="A45" s="1" t="s">
        <v>92</v>
      </c>
      <c r="B45" s="1" t="s">
        <v>109</v>
      </c>
      <c r="C45" t="s">
        <v>111</v>
      </c>
      <c r="D45" t="s">
        <v>55</v>
      </c>
      <c r="E45" s="4">
        <v>7.0000000000000007E-2</v>
      </c>
      <c r="F45" s="4">
        <v>7.0000000000000007E-2</v>
      </c>
      <c r="G45" s="4">
        <v>7.0000000000000007E-2</v>
      </c>
      <c r="H45" s="4">
        <v>7.0000000000000007E-2</v>
      </c>
      <c r="I45" s="4">
        <v>7.0000000000000007E-2</v>
      </c>
    </row>
    <row r="46" spans="1:21" x14ac:dyDescent="0.25">
      <c r="A46" t="s">
        <v>107</v>
      </c>
      <c r="B46" s="1" t="s">
        <v>108</v>
      </c>
      <c r="C46" t="s">
        <v>111</v>
      </c>
      <c r="D46" t="s">
        <v>93</v>
      </c>
      <c r="E46" s="4">
        <v>30</v>
      </c>
      <c r="F46" s="4">
        <v>30</v>
      </c>
      <c r="G46" s="4">
        <v>30</v>
      </c>
      <c r="H46" s="4">
        <v>30</v>
      </c>
      <c r="I46" s="4">
        <v>30</v>
      </c>
      <c r="T46" s="2" t="s">
        <v>118</v>
      </c>
    </row>
    <row r="47" spans="1:21" x14ac:dyDescent="0.25">
      <c r="T47" t="s">
        <v>30</v>
      </c>
      <c r="U47" t="s">
        <v>31</v>
      </c>
    </row>
    <row r="48" spans="1:21" x14ac:dyDescent="0.25">
      <c r="T48">
        <v>44.5</v>
      </c>
      <c r="U48">
        <v>-110.5</v>
      </c>
    </row>
    <row r="49" spans="19:20" ht="18" x14ac:dyDescent="0.35">
      <c r="S49" t="s">
        <v>22</v>
      </c>
      <c r="T49" s="9">
        <v>0.38840000000000002</v>
      </c>
    </row>
    <row r="50" spans="19:20" x14ac:dyDescent="0.25">
      <c r="S50" t="s">
        <v>0</v>
      </c>
      <c r="T50" s="9">
        <v>0.97</v>
      </c>
    </row>
    <row r="51" spans="19:20" x14ac:dyDescent="0.25">
      <c r="S51" t="s">
        <v>10</v>
      </c>
      <c r="T51" s="10">
        <v>400.517</v>
      </c>
    </row>
    <row r="52" spans="19:20" x14ac:dyDescent="0.25">
      <c r="S52" t="s">
        <v>12</v>
      </c>
      <c r="T52" s="4">
        <v>1</v>
      </c>
    </row>
    <row r="53" spans="19:20" x14ac:dyDescent="0.25">
      <c r="S53" t="s">
        <v>47</v>
      </c>
      <c r="T53" s="10">
        <v>80.795100000000005</v>
      </c>
    </row>
    <row r="54" spans="19:20" ht="18" x14ac:dyDescent="0.35">
      <c r="S54" s="13" t="s">
        <v>48</v>
      </c>
      <c r="T54" s="8">
        <v>0.15709999999999999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1"/>
  <sheetViews>
    <sheetView zoomScale="80" zoomScaleNormal="80" workbookViewId="0">
      <selection activeCell="S30" sqref="S30"/>
    </sheetView>
  </sheetViews>
  <sheetFormatPr defaultRowHeight="15" x14ac:dyDescent="0.25"/>
  <cols>
    <col min="1" max="1" width="42.42578125" bestFit="1" customWidth="1"/>
    <col min="2" max="2" width="11.42578125" bestFit="1" customWidth="1"/>
    <col min="3" max="13" width="9.140625" customWidth="1"/>
    <col min="14" max="14" width="10.28515625" bestFit="1" customWidth="1"/>
    <col min="15" max="15" width="9.5703125" customWidth="1"/>
    <col min="16" max="16" width="10.140625" customWidth="1"/>
    <col min="17" max="17" width="9.5703125" customWidth="1"/>
    <col min="18" max="18" width="10.85546875" customWidth="1"/>
    <col min="19" max="19" width="9.140625" customWidth="1"/>
    <col min="21" max="25" width="9.140625" customWidth="1"/>
    <col min="27" max="31" width="9.140625" customWidth="1"/>
  </cols>
  <sheetData>
    <row r="1" spans="1:31" x14ac:dyDescent="0.25">
      <c r="A1" s="2" t="s">
        <v>6</v>
      </c>
      <c r="B1" s="2" t="s">
        <v>8</v>
      </c>
      <c r="C1" s="48" t="s">
        <v>165</v>
      </c>
      <c r="D1" s="49"/>
      <c r="E1" s="49"/>
      <c r="F1" s="49"/>
      <c r="G1" s="50"/>
      <c r="I1" s="48" t="s">
        <v>166</v>
      </c>
      <c r="J1" s="49"/>
      <c r="K1" s="49"/>
      <c r="L1" s="49"/>
      <c r="M1" s="50"/>
      <c r="O1" s="48" t="s">
        <v>167</v>
      </c>
      <c r="P1" s="49"/>
      <c r="Q1" s="49"/>
      <c r="R1" s="49"/>
      <c r="S1" s="50"/>
      <c r="U1" s="48" t="s">
        <v>168</v>
      </c>
      <c r="V1" s="49"/>
      <c r="W1" s="49"/>
      <c r="X1" s="49"/>
      <c r="Y1" s="50"/>
      <c r="AA1" s="48" t="s">
        <v>169</v>
      </c>
      <c r="AB1" s="49"/>
      <c r="AC1" s="49"/>
      <c r="AD1" s="49"/>
      <c r="AE1" s="50"/>
    </row>
    <row r="2" spans="1:31" x14ac:dyDescent="0.25">
      <c r="C2" s="2">
        <v>2015</v>
      </c>
      <c r="D2" s="2">
        <v>2020</v>
      </c>
      <c r="E2" s="2">
        <v>2030</v>
      </c>
      <c r="F2" s="2">
        <v>2040</v>
      </c>
      <c r="G2" s="2">
        <v>2050</v>
      </c>
      <c r="I2" s="2">
        <v>2015</v>
      </c>
      <c r="J2" s="2">
        <v>2020</v>
      </c>
      <c r="K2" s="2">
        <v>2030</v>
      </c>
      <c r="L2" s="2">
        <v>2040</v>
      </c>
      <c r="M2" s="2">
        <v>2050</v>
      </c>
      <c r="O2" s="2">
        <v>2015</v>
      </c>
      <c r="P2" s="2">
        <v>2020</v>
      </c>
      <c r="Q2" s="2">
        <v>2030</v>
      </c>
      <c r="R2" s="2">
        <v>2040</v>
      </c>
      <c r="S2" s="2">
        <v>2050</v>
      </c>
      <c r="U2" s="2">
        <v>2015</v>
      </c>
      <c r="V2" s="2">
        <v>2020</v>
      </c>
      <c r="W2" s="2">
        <v>2030</v>
      </c>
      <c r="X2" s="2">
        <v>2040</v>
      </c>
      <c r="Y2" s="2">
        <v>2050</v>
      </c>
      <c r="AA2" s="2">
        <v>2015</v>
      </c>
      <c r="AB2" s="2">
        <v>2020</v>
      </c>
      <c r="AC2" s="2">
        <v>2030</v>
      </c>
      <c r="AD2" s="2">
        <v>2040</v>
      </c>
      <c r="AE2" s="2">
        <v>2050</v>
      </c>
    </row>
    <row r="3" spans="1:31" x14ac:dyDescent="0.25">
      <c r="A3" t="s">
        <v>101</v>
      </c>
      <c r="B3" t="s">
        <v>55</v>
      </c>
      <c r="C3" s="4">
        <v>1</v>
      </c>
      <c r="D3" s="4">
        <v>1</v>
      </c>
      <c r="E3" s="4">
        <v>0.9</v>
      </c>
      <c r="F3" s="4">
        <v>0.8</v>
      </c>
      <c r="G3" s="4">
        <v>0.7</v>
      </c>
      <c r="I3" s="4">
        <v>1</v>
      </c>
      <c r="J3" s="4">
        <v>1</v>
      </c>
      <c r="K3" s="4">
        <v>0.9</v>
      </c>
      <c r="L3" s="4">
        <v>0.8</v>
      </c>
      <c r="M3" s="4">
        <v>0.7</v>
      </c>
      <c r="O3" s="4">
        <v>1</v>
      </c>
      <c r="P3" s="4">
        <v>1</v>
      </c>
      <c r="Q3" s="4">
        <v>0.9</v>
      </c>
      <c r="R3" s="4">
        <v>0.8</v>
      </c>
      <c r="S3" s="4">
        <v>0.7</v>
      </c>
      <c r="U3" s="4">
        <v>1</v>
      </c>
      <c r="V3" s="4">
        <v>1</v>
      </c>
      <c r="W3" s="4">
        <v>0.9</v>
      </c>
      <c r="X3" s="4">
        <v>0.8</v>
      </c>
      <c r="Y3" s="4">
        <v>0.7</v>
      </c>
      <c r="AA3" s="4">
        <v>1</v>
      </c>
      <c r="AB3" s="4">
        <v>1</v>
      </c>
      <c r="AC3" s="4">
        <v>0.9</v>
      </c>
      <c r="AD3" s="4">
        <v>0.8</v>
      </c>
      <c r="AE3" s="4">
        <v>0.7</v>
      </c>
    </row>
    <row r="4" spans="1:31" ht="18" x14ac:dyDescent="0.35">
      <c r="A4" s="31" t="s">
        <v>164</v>
      </c>
      <c r="B4" t="s">
        <v>67</v>
      </c>
      <c r="C4" s="5">
        <f>'Geo cost_assumptions_input data'!$E$11*C3</f>
        <v>4.6617554075845451</v>
      </c>
      <c r="D4" s="5">
        <f>'Geo cost_assumptions_input data'!$E$11*D3</f>
        <v>4.6617554075845451</v>
      </c>
      <c r="E4" s="5">
        <f>'Geo cost_assumptions_input data'!$E$11*E3</f>
        <v>4.1955798668260904</v>
      </c>
      <c r="F4" s="5">
        <f>'Geo cost_assumptions_input data'!$E$11*F3</f>
        <v>3.7294043260676362</v>
      </c>
      <c r="G4" s="5">
        <f>'Geo cost_assumptions_input data'!$E$11*G3</f>
        <v>3.2632287853091815</v>
      </c>
      <c r="I4" s="5">
        <f>'Geo cost_assumptions_input data'!$F$11*I3</f>
        <v>14.198481872134717</v>
      </c>
      <c r="J4" s="5">
        <f>'Geo cost_assumptions_input data'!$F$11*J3</f>
        <v>14.198481872134717</v>
      </c>
      <c r="K4" s="5">
        <f>'Geo cost_assumptions_input data'!$F$11*K3</f>
        <v>12.778633684921246</v>
      </c>
      <c r="L4" s="5">
        <f>'Geo cost_assumptions_input data'!$F$11*L3</f>
        <v>11.358785497707775</v>
      </c>
      <c r="M4" s="5">
        <f>'Geo cost_assumptions_input data'!$F$11*M3</f>
        <v>9.9389373104943015</v>
      </c>
      <c r="O4" s="5">
        <f>'Geo cost_assumptions_input data'!$G$11*O3</f>
        <v>22.486617118791671</v>
      </c>
      <c r="P4" s="5">
        <f>'Geo cost_assumptions_input data'!$G$11*P3</f>
        <v>22.486617118791671</v>
      </c>
      <c r="Q4" s="5">
        <f>'Geo cost_assumptions_input data'!$G$11*Q3</f>
        <v>20.237955406912505</v>
      </c>
      <c r="R4" s="5">
        <f>'Geo cost_assumptions_input data'!$G$11*R3</f>
        <v>17.989293695033336</v>
      </c>
      <c r="S4" s="5">
        <f>'Geo cost_assumptions_input data'!$G$11*S3</f>
        <v>15.740631983154168</v>
      </c>
      <c r="U4" s="5">
        <f>'Geo cost_assumptions_input data'!$H$11*U3</f>
        <v>4.0702169927830365</v>
      </c>
      <c r="V4" s="5">
        <f>'Geo cost_assumptions_input data'!$H$11*V3</f>
        <v>4.0702169927830365</v>
      </c>
      <c r="W4" s="5">
        <f>'Geo cost_assumptions_input data'!$H$11*W3</f>
        <v>3.6631952935047329</v>
      </c>
      <c r="X4" s="5">
        <f>'Geo cost_assumptions_input data'!$H$11*X3</f>
        <v>3.2561735942264294</v>
      </c>
      <c r="Y4" s="5">
        <f>'Geo cost_assumptions_input data'!$H$11*Y3</f>
        <v>2.8491518949481254</v>
      </c>
      <c r="AA4" s="5">
        <f>'Geo cost_assumptions_input data'!$I$11*AA3</f>
        <v>1.8515161936701967</v>
      </c>
      <c r="AB4" s="5">
        <f>'Geo cost_assumptions_input data'!$I$11*AB3</f>
        <v>1.8515161936701967</v>
      </c>
      <c r="AC4" s="5">
        <f>'Geo cost_assumptions_input data'!$I$11*AC3</f>
        <v>1.666364574303177</v>
      </c>
      <c r="AD4" s="5">
        <f>'Geo cost_assumptions_input data'!$I$11*AD3</f>
        <v>1.4812129549361575</v>
      </c>
      <c r="AE4" s="5">
        <f>'Geo cost_assumptions_input data'!$I$11*AE3</f>
        <v>1.2960613355691377</v>
      </c>
    </row>
    <row r="5" spans="1:31" x14ac:dyDescent="0.25">
      <c r="A5" t="s">
        <v>102</v>
      </c>
      <c r="B5" t="s">
        <v>56</v>
      </c>
      <c r="C5" s="4">
        <v>30</v>
      </c>
      <c r="D5" s="4">
        <v>50</v>
      </c>
      <c r="E5" s="4">
        <v>70</v>
      </c>
      <c r="F5" s="4">
        <v>100</v>
      </c>
      <c r="G5" s="4">
        <v>100</v>
      </c>
      <c r="I5" s="4">
        <v>30</v>
      </c>
      <c r="J5" s="4">
        <v>50</v>
      </c>
      <c r="K5" s="4">
        <v>70</v>
      </c>
      <c r="L5" s="4">
        <v>100</v>
      </c>
      <c r="M5" s="4">
        <v>100</v>
      </c>
      <c r="O5" s="4">
        <v>30</v>
      </c>
      <c r="P5" s="4">
        <v>50</v>
      </c>
      <c r="Q5" s="4">
        <v>70</v>
      </c>
      <c r="R5" s="4">
        <v>100</v>
      </c>
      <c r="S5" s="4">
        <v>100</v>
      </c>
      <c r="U5" s="4">
        <v>30</v>
      </c>
      <c r="V5" s="4">
        <v>50</v>
      </c>
      <c r="W5" s="4">
        <v>70</v>
      </c>
      <c r="X5" s="4">
        <v>100</v>
      </c>
      <c r="Y5" s="4">
        <v>100</v>
      </c>
      <c r="AA5" s="4">
        <v>30</v>
      </c>
      <c r="AB5" s="4">
        <v>50</v>
      </c>
      <c r="AC5" s="4">
        <v>70</v>
      </c>
      <c r="AD5" s="4">
        <v>100</v>
      </c>
      <c r="AE5" s="4">
        <v>100</v>
      </c>
    </row>
    <row r="6" spans="1:31" x14ac:dyDescent="0.25">
      <c r="A6" t="s">
        <v>114</v>
      </c>
      <c r="B6" t="s">
        <v>64</v>
      </c>
      <c r="C6" s="5">
        <f>(C5*'Geo cost_assumptions_input data'!$E$17*'Geo cost_assumptions_input data'!$E$18*('Geo cost_assumptions_input data'!$E$7-'Geo cost_assumptions_input data'!$E$19)*'Geo cost_assumptions_input data'!$E$20*10^-3*'Geo cost_assumptions_input data'!$E$21*'Geo cost_assumptions_input data'!$E$22)/'Geo cost_assumptions_input data'!$T$4</f>
        <v>25.659774982638975</v>
      </c>
      <c r="D6" s="5">
        <f>(D5*'Geo cost_assumptions_input data'!$E$17*'Geo cost_assumptions_input data'!$E$18*('Geo cost_assumptions_input data'!$E$7-'Geo cost_assumptions_input data'!$E$19)*'Geo cost_assumptions_input data'!$E$20*10^-3*'Geo cost_assumptions_input data'!$E$21*'Geo cost_assumptions_input data'!$E$22)/'Geo cost_assumptions_input data'!$T$4</f>
        <v>42.766291637731626</v>
      </c>
      <c r="E6" s="5">
        <f>(E5*'Geo cost_assumptions_input data'!$E$17*'Geo cost_assumptions_input data'!$E$18*('Geo cost_assumptions_input data'!$E$7-'Geo cost_assumptions_input data'!$E$19)*'Geo cost_assumptions_input data'!$E$20*10^-3*'Geo cost_assumptions_input data'!$E$21*'Geo cost_assumptions_input data'!$E$22)/'Geo cost_assumptions_input data'!$T$4</f>
        <v>59.872808292824274</v>
      </c>
      <c r="F6" s="5">
        <f>(F5*'Geo cost_assumptions_input data'!$E$17*'Geo cost_assumptions_input data'!$E$18*('Geo cost_assumptions_input data'!$E$7-'Geo cost_assumptions_input data'!$E$19)*'Geo cost_assumptions_input data'!$E$20*10^-3*'Geo cost_assumptions_input data'!$E$21*'Geo cost_assumptions_input data'!$E$22)/'Geo cost_assumptions_input data'!$T$4</f>
        <v>85.532583275463253</v>
      </c>
      <c r="G6" s="5">
        <f>(G5*'Geo cost_assumptions_input data'!$E$17*'Geo cost_assumptions_input data'!$E$18*('Geo cost_assumptions_input data'!$E$7-'Geo cost_assumptions_input data'!$E$19)*'Geo cost_assumptions_input data'!$E$20*10^-3*'Geo cost_assumptions_input data'!$E$21*'Geo cost_assumptions_input data'!$E$22)/'Geo cost_assumptions_input data'!$T$4</f>
        <v>85.532583275463253</v>
      </c>
      <c r="I6" s="5">
        <f>(I5*'Geo cost_assumptions_input data'!$F$17*'Geo cost_assumptions_input data'!$F$18*('Geo cost_assumptions_input data'!$F$7-'Geo cost_assumptions_input data'!$F$19)*'Geo cost_assumptions_input data'!$F$20*10^-3*'Geo cost_assumptions_input data'!$F$21*'Geo cost_assumptions_input data'!$F$22)/'Geo cost_assumptions_input data'!$T$4</f>
        <v>7.4836201639930744</v>
      </c>
      <c r="J6" s="5">
        <f>(J5*'Geo cost_assumptions_input data'!$F$17*'Geo cost_assumptions_input data'!$F$18*('Geo cost_assumptions_input data'!$F$7-'Geo cost_assumptions_input data'!$F$19)*'Geo cost_assumptions_input data'!$F$20*10^-3*'Geo cost_assumptions_input data'!$F$21*'Geo cost_assumptions_input data'!$F$22)/'Geo cost_assumptions_input data'!$T$4</f>
        <v>12.47270027332179</v>
      </c>
      <c r="K6" s="5">
        <f>(K5*'Geo cost_assumptions_input data'!$F$17*'Geo cost_assumptions_input data'!$F$18*('Geo cost_assumptions_input data'!$F$7-'Geo cost_assumptions_input data'!$F$19)*'Geo cost_assumptions_input data'!$F$20*10^-3*'Geo cost_assumptions_input data'!$F$21*'Geo cost_assumptions_input data'!$F$22)/'Geo cost_assumptions_input data'!$T$4</f>
        <v>17.461780382650506</v>
      </c>
      <c r="L6" s="5">
        <f>(L5*'Geo cost_assumptions_input data'!$F$17*'Geo cost_assumptions_input data'!$F$18*('Geo cost_assumptions_input data'!$F$7-'Geo cost_assumptions_input data'!$F$19)*'Geo cost_assumptions_input data'!$F$20*10^-3*'Geo cost_assumptions_input data'!$F$21*'Geo cost_assumptions_input data'!$F$22)/'Geo cost_assumptions_input data'!$T$4</f>
        <v>24.94540054664358</v>
      </c>
      <c r="M6" s="5">
        <f>(M5*'Geo cost_assumptions_input data'!$F$17*'Geo cost_assumptions_input data'!$F$18*('Geo cost_assumptions_input data'!$F$7-'Geo cost_assumptions_input data'!$F$19)*'Geo cost_assumptions_input data'!$F$20*10^-3*'Geo cost_assumptions_input data'!$F$21*'Geo cost_assumptions_input data'!$F$22)/'Geo cost_assumptions_input data'!$T$4</f>
        <v>24.94540054664358</v>
      </c>
      <c r="O6" s="5">
        <f>(O5*'Geo cost_assumptions_input data'!$G$17*'Geo cost_assumptions_input data'!$G$18*('Geo cost_assumptions_input data'!$G$7-'Geo cost_assumptions_input data'!$G$19)*'Geo cost_assumptions_input data'!$G$20*10^-3*'Geo cost_assumptions_input data'!$G$21*'Geo cost_assumptions_input data'!$G$22)/'Geo cost_assumptions_input data'!$T$4</f>
        <v>4.7545671020811096</v>
      </c>
      <c r="P6" s="5">
        <f>(P5*'Geo cost_assumptions_input data'!$G$17*'Geo cost_assumptions_input data'!$G$18*('Geo cost_assumptions_input data'!$G$7-'Geo cost_assumptions_input data'!$G$19)*'Geo cost_assumptions_input data'!$G$20*10^-3*'Geo cost_assumptions_input data'!$G$21*'Geo cost_assumptions_input data'!$G$22)/'Geo cost_assumptions_input data'!$T$4</f>
        <v>7.9242785034685159</v>
      </c>
      <c r="Q6" s="5">
        <f>(Q5*'Geo cost_assumptions_input data'!$G$17*'Geo cost_assumptions_input data'!$G$18*('Geo cost_assumptions_input data'!$G$7-'Geo cost_assumptions_input data'!$G$19)*'Geo cost_assumptions_input data'!$G$20*10^-3*'Geo cost_assumptions_input data'!$G$21*'Geo cost_assumptions_input data'!$G$22)/'Geo cost_assumptions_input data'!$T$4</f>
        <v>11.093989904855922</v>
      </c>
      <c r="R6" s="5">
        <f>(R5*'Geo cost_assumptions_input data'!$G$17*'Geo cost_assumptions_input data'!$G$18*('Geo cost_assumptions_input data'!$G$7-'Geo cost_assumptions_input data'!$G$19)*'Geo cost_assumptions_input data'!$G$20*10^-3*'Geo cost_assumptions_input data'!$G$21*'Geo cost_assumptions_input data'!$G$22)/'Geo cost_assumptions_input data'!$T$4</f>
        <v>15.848557006937032</v>
      </c>
      <c r="S6" s="5">
        <f>(S5*'Geo cost_assumptions_input data'!$G$17*'Geo cost_assumptions_input data'!$G$18*('Geo cost_assumptions_input data'!$G$7-'Geo cost_assumptions_input data'!$G$19)*'Geo cost_assumptions_input data'!$G$20*10^-3*'Geo cost_assumptions_input data'!$G$21*'Geo cost_assumptions_input data'!$G$22)/'Geo cost_assumptions_input data'!$T$4</f>
        <v>15.848557006937032</v>
      </c>
      <c r="U6" s="5">
        <f>(U5*'Geo cost_assumptions_input data'!$H$17*'Geo cost_assumptions_input data'!$H$18*('Geo cost_assumptions_input data'!$H$7-'Geo cost_assumptions_input data'!$H$19)*'Geo cost_assumptions_input data'!$H$20*10^-3*'Geo cost_assumptions_input data'!$H$21*'Geo cost_assumptions_input data'!$H$22)/'Geo cost_assumptions_input data'!$T$4</f>
        <v>9.6731694565430981</v>
      </c>
      <c r="V6" s="5">
        <f>(V5*'Geo cost_assumptions_input data'!$H$17*'Geo cost_assumptions_input data'!$H$18*('Geo cost_assumptions_input data'!$H$7-'Geo cost_assumptions_input data'!$H$19)*'Geo cost_assumptions_input data'!$H$20*10^-3*'Geo cost_assumptions_input data'!$H$21*'Geo cost_assumptions_input data'!$H$22)/'Geo cost_assumptions_input data'!$T$4</f>
        <v>16.121949094238499</v>
      </c>
      <c r="W6" s="5">
        <f>(W5*'Geo cost_assumptions_input data'!$H$17*'Geo cost_assumptions_input data'!$H$18*('Geo cost_assumptions_input data'!$H$7-'Geo cost_assumptions_input data'!$H$19)*'Geo cost_assumptions_input data'!$H$20*10^-3*'Geo cost_assumptions_input data'!$H$21*'Geo cost_assumptions_input data'!$H$22)/'Geo cost_assumptions_input data'!$T$4</f>
        <v>22.570728731933897</v>
      </c>
      <c r="X6" s="5">
        <f>(X5*'Geo cost_assumptions_input data'!$H$17*'Geo cost_assumptions_input data'!$H$18*('Geo cost_assumptions_input data'!$H$7-'Geo cost_assumptions_input data'!$H$19)*'Geo cost_assumptions_input data'!$H$20*10^-3*'Geo cost_assumptions_input data'!$H$21*'Geo cost_assumptions_input data'!$H$22)/'Geo cost_assumptions_input data'!$T$4</f>
        <v>32.243898188476997</v>
      </c>
      <c r="Y6" s="5">
        <f>(Y5*'Geo cost_assumptions_input data'!$H$17*'Geo cost_assumptions_input data'!$H$18*('Geo cost_assumptions_input data'!$H$7-'Geo cost_assumptions_input data'!$H$19)*'Geo cost_assumptions_input data'!$H$20*10^-3*'Geo cost_assumptions_input data'!$H$21*'Geo cost_assumptions_input data'!$H$22)/'Geo cost_assumptions_input data'!$T$4</f>
        <v>32.243898188476997</v>
      </c>
      <c r="AA6" s="5">
        <f>(AA5*'Geo cost_assumptions_input data'!$I$17*'Geo cost_assumptions_input data'!$I$18*('Geo cost_assumptions_input data'!$I$7-'Geo cost_assumptions_input data'!$I$19)*'Geo cost_assumptions_input data'!$I$20*10^-3*'Geo cost_assumptions_input data'!$I$21*'Geo cost_assumptions_input data'!$I$22)/'Geo cost_assumptions_input data'!$T$4</f>
        <v>54.442475260652728</v>
      </c>
      <c r="AB6" s="5">
        <f>(AB5*'Geo cost_assumptions_input data'!$I$17*'Geo cost_assumptions_input data'!$I$18*('Geo cost_assumptions_input data'!$I$7-'Geo cost_assumptions_input data'!$I$19)*'Geo cost_assumptions_input data'!$I$20*10^-3*'Geo cost_assumptions_input data'!$I$21*'Geo cost_assumptions_input data'!$I$22)/'Geo cost_assumptions_input data'!$T$4</f>
        <v>90.737458767754532</v>
      </c>
      <c r="AC6" s="5">
        <f>(AC5*'Geo cost_assumptions_input data'!$I$17*'Geo cost_assumptions_input data'!$I$18*('Geo cost_assumptions_input data'!$I$7-'Geo cost_assumptions_input data'!$I$19)*'Geo cost_assumptions_input data'!$I$20*10^-3*'Geo cost_assumptions_input data'!$I$21*'Geo cost_assumptions_input data'!$I$22)/'Geo cost_assumptions_input data'!$T$4</f>
        <v>127.03244227485635</v>
      </c>
      <c r="AD6" s="5">
        <f>(AD5*'Geo cost_assumptions_input data'!$I$17*'Geo cost_assumptions_input data'!$I$18*('Geo cost_assumptions_input data'!$I$7-'Geo cost_assumptions_input data'!$I$19)*'Geo cost_assumptions_input data'!$I$20*10^-3*'Geo cost_assumptions_input data'!$I$21*'Geo cost_assumptions_input data'!$I$22)/'Geo cost_assumptions_input data'!$T$4</f>
        <v>181.47491753550906</v>
      </c>
      <c r="AE6" s="5">
        <f>(AE5*'Geo cost_assumptions_input data'!$I$17*'Geo cost_assumptions_input data'!$I$18*('Geo cost_assumptions_input data'!$I$7-'Geo cost_assumptions_input data'!$I$19)*'Geo cost_assumptions_input data'!$I$20*10^-3*'Geo cost_assumptions_input data'!$I$21*'Geo cost_assumptions_input data'!$I$22)/'Geo cost_assumptions_input data'!$T$4</f>
        <v>181.47491753550906</v>
      </c>
    </row>
    <row r="7" spans="1:31" x14ac:dyDescent="0.25">
      <c r="A7" t="s">
        <v>115</v>
      </c>
      <c r="B7" t="s">
        <v>103</v>
      </c>
      <c r="C7" s="5">
        <f>(C6*10^3)/(8760*'Geo cost_assumptions_input data'!$E$22)</f>
        <v>3.2546645081987537</v>
      </c>
      <c r="D7" s="5">
        <f>(D6*10^3)/(8760*'Geo cost_assumptions_input data'!$E$22)</f>
        <v>5.4244408469979231</v>
      </c>
      <c r="E7" s="5">
        <f>(E6*10^3)/(8760*'Geo cost_assumptions_input data'!$E$22)</f>
        <v>7.5942171857970919</v>
      </c>
      <c r="F7" s="5">
        <f>(F6*10^3)/(8760*'Geo cost_assumptions_input data'!$E$22)</f>
        <v>10.848881693995846</v>
      </c>
      <c r="G7" s="5">
        <f>(G6*10^3)/(8760*'Geo cost_assumptions_input data'!$E$22)</f>
        <v>10.848881693995846</v>
      </c>
      <c r="I7" s="5">
        <f>(I6*10^3)/(8760*'Geo cost_assumptions_input data'!$F$22)</f>
        <v>0.94921615474290644</v>
      </c>
      <c r="J7" s="5">
        <f>(J6*10^3)/(8760*'Geo cost_assumptions_input data'!$F$22)</f>
        <v>1.5820269245715106</v>
      </c>
      <c r="K7" s="5">
        <f>(K6*10^3)/(8760*'Geo cost_assumptions_input data'!$F$22)</f>
        <v>2.2148376944001154</v>
      </c>
      <c r="L7" s="5">
        <f>(L6*10^3)/(8760*'Geo cost_assumptions_input data'!$F$22)</f>
        <v>3.1640538491430212</v>
      </c>
      <c r="M7" s="5">
        <f>(M6*10^3)/(8760*'Geo cost_assumptions_input data'!$F$22)</f>
        <v>3.1640538491430212</v>
      </c>
      <c r="O7" s="5">
        <f>(O6*10^3)/(8760*'Geo cost_assumptions_input data'!$G$22)</f>
        <v>0.60306533511936955</v>
      </c>
      <c r="P7" s="5">
        <f>(P6*10^3)/(8760*'Geo cost_assumptions_input data'!$G$22)</f>
        <v>1.0051088918656159</v>
      </c>
      <c r="Q7" s="5">
        <f>(Q6*10^3)/(8760*'Geo cost_assumptions_input data'!$G$22)</f>
        <v>1.4071524486118623</v>
      </c>
      <c r="R7" s="5">
        <f>(R6*10^3)/(8760*'Geo cost_assumptions_input data'!$G$22)</f>
        <v>2.0102177837312318</v>
      </c>
      <c r="S7" s="5">
        <f>(S6*10^3)/(8760*'Geo cost_assumptions_input data'!$G$22)</f>
        <v>2.0102177837312318</v>
      </c>
      <c r="U7" s="5">
        <f>(U6*10^3)/(8760*'Geo cost_assumptions_input data'!$H$22)</f>
        <v>1.2269367651627472</v>
      </c>
      <c r="V7" s="5">
        <f>(V6*10^3)/(8760*'Geo cost_assumptions_input data'!$H$22)</f>
        <v>2.0448946086045785</v>
      </c>
      <c r="W7" s="5">
        <f>(W6*10^3)/(8760*'Geo cost_assumptions_input data'!$H$22)</f>
        <v>2.8628524520464103</v>
      </c>
      <c r="X7" s="5">
        <f>(X6*10^3)/(8760*'Geo cost_assumptions_input data'!$H$22)</f>
        <v>4.089789217209157</v>
      </c>
      <c r="Y7" s="5">
        <f>(Y6*10^3)/(8760*'Geo cost_assumptions_input data'!$H$22)</f>
        <v>4.089789217209157</v>
      </c>
      <c r="AA7" s="5">
        <f>(AA6*10^3)/(8760*'Geo cost_assumptions_input data'!$I$22)</f>
        <v>6.9054382623861903</v>
      </c>
      <c r="AB7" s="5">
        <f>(AB6*10^3)/(8760*'Geo cost_assumptions_input data'!$I$22)</f>
        <v>11.50906377064365</v>
      </c>
      <c r="AC7" s="5">
        <f>(AC6*10^3)/(8760*'Geo cost_assumptions_input data'!$I$22)</f>
        <v>16.112689278901112</v>
      </c>
      <c r="AD7" s="5">
        <f>(AD6*10^3)/(8760*'Geo cost_assumptions_input data'!$I$22)</f>
        <v>23.018127541287299</v>
      </c>
      <c r="AE7" s="5">
        <f>(AE6*10^3)/(8760*'Geo cost_assumptions_input data'!$I$22)</f>
        <v>23.018127541287299</v>
      </c>
    </row>
    <row r="8" spans="1:31" ht="18" x14ac:dyDescent="0.35">
      <c r="A8" s="31" t="s">
        <v>75</v>
      </c>
      <c r="B8" t="s">
        <v>69</v>
      </c>
      <c r="C8" s="5">
        <f>750+1125*(EXP(-0.006115*(C7-5)))</f>
        <v>1887.0711186410574</v>
      </c>
      <c r="D8" s="5">
        <f t="shared" ref="D8:G8" si="0">750+1125*(EXP(-0.006115*(D7-5)))</f>
        <v>1872.0838981918291</v>
      </c>
      <c r="E8" s="5">
        <f t="shared" si="0"/>
        <v>1857.2942175209942</v>
      </c>
      <c r="F8" s="5">
        <f t="shared" si="0"/>
        <v>1835.4743974399235</v>
      </c>
      <c r="G8" s="5">
        <f t="shared" si="0"/>
        <v>1835.4743974399235</v>
      </c>
      <c r="I8" s="5">
        <f>750+1125*(EXP(-0.006115*(I7-5)))</f>
        <v>1903.2148672517401</v>
      </c>
      <c r="J8" s="5">
        <f t="shared" ref="J8" si="1">750+1125*(EXP(-0.006115*(J7-5)))</f>
        <v>1898.7609663930373</v>
      </c>
      <c r="K8" s="5">
        <f t="shared" ref="K8" si="2">750+1125*(EXP(-0.006115*(K7-5)))</f>
        <v>1894.3242672141107</v>
      </c>
      <c r="L8" s="5">
        <f t="shared" ref="L8" si="3">750+1125*(EXP(-0.006115*(L7-5)))</f>
        <v>1887.7013263375086</v>
      </c>
      <c r="M8" s="5">
        <f t="shared" ref="M8" si="4">750+1125*(EXP(-0.006115*(M7-5)))</f>
        <v>1887.7013263375086</v>
      </c>
      <c r="O8" s="5">
        <f>750+1125*(EXP(-0.006115*(O7-5)))</f>
        <v>1905.6584765985274</v>
      </c>
      <c r="P8" s="5">
        <f t="shared" ref="P8" si="5">750+1125*(EXP(-0.006115*(P7-5)))</f>
        <v>1902.8207841101485</v>
      </c>
      <c r="Q8" s="5">
        <f t="shared" ref="Q8" si="6">750+1125*(EXP(-0.006115*(Q7-5)))</f>
        <v>1899.9900595096203</v>
      </c>
      <c r="R8" s="5">
        <f t="shared" ref="R8" si="7">750+1125*(EXP(-0.006115*(R7-5)))</f>
        <v>1895.7569999830368</v>
      </c>
      <c r="S8" s="5">
        <f t="shared" ref="S8" si="8">750+1125*(EXP(-0.006115*(S7-5)))</f>
        <v>1895.7569999830368</v>
      </c>
      <c r="U8" s="5">
        <f>750+1125*(EXP(-0.006115*(U7-5)))</f>
        <v>1901.2580688517526</v>
      </c>
      <c r="V8" s="5">
        <f t="shared" ref="V8:Y8" si="9">750+1125*(EXP(-0.006115*(V7-5)))</f>
        <v>1895.5140693617975</v>
      </c>
      <c r="W8" s="5">
        <f t="shared" si="9"/>
        <v>1889.798728546238</v>
      </c>
      <c r="X8" s="5">
        <f t="shared" si="9"/>
        <v>1881.2791397475992</v>
      </c>
      <c r="Y8" s="5">
        <f t="shared" si="9"/>
        <v>1881.2791397475992</v>
      </c>
      <c r="AA8" s="5">
        <f>750+1125*(EXP(-0.006115*(AA7-5)))</f>
        <v>1861.9678468219527</v>
      </c>
      <c r="AB8" s="5">
        <f t="shared" ref="AB8:AE8" si="10">750+1125*(EXP(-0.006115*(AB7-5)))</f>
        <v>1831.1011561098323</v>
      </c>
      <c r="AC8" s="5">
        <f t="shared" si="10"/>
        <v>1801.0912820747776</v>
      </c>
      <c r="AD8" s="5">
        <f t="shared" si="10"/>
        <v>1757.631155720625</v>
      </c>
      <c r="AE8" s="5">
        <f t="shared" si="10"/>
        <v>1757.631155720625</v>
      </c>
    </row>
    <row r="9" spans="1:31" ht="18" x14ac:dyDescent="0.35">
      <c r="A9" t="s">
        <v>75</v>
      </c>
      <c r="B9" t="s">
        <v>66</v>
      </c>
      <c r="C9" s="5">
        <f>(C8*(C7*1000))/10^6</f>
        <v>6.1417833942879687</v>
      </c>
      <c r="D9" s="5">
        <f t="shared" ref="D9:G9" si="11">(D8*(D7*1000))/10^6</f>
        <v>10.15500836635886</v>
      </c>
      <c r="E9" s="5">
        <f t="shared" si="11"/>
        <v>14.104695665779495</v>
      </c>
      <c r="F9" s="5">
        <f t="shared" si="11"/>
        <v>19.912844590184044</v>
      </c>
      <c r="G9" s="5">
        <f t="shared" si="11"/>
        <v>19.912844590184044</v>
      </c>
      <c r="I9" s="5">
        <f>(I8*(I7*1000))/10^6</f>
        <v>1.8065622979422278</v>
      </c>
      <c r="J9" s="5">
        <f t="shared" ref="J9" si="12">(J8*(J7*1000))/10^6</f>
        <v>3.0038909721592058</v>
      </c>
      <c r="K9" s="5">
        <f t="shared" ref="K9" si="13">(K8*(K7*1000))/10^6</f>
        <v>4.1956207924426892</v>
      </c>
      <c r="L9" s="5">
        <f t="shared" ref="L9" si="14">(L8*(L7*1000))/10^6</f>
        <v>5.9727886476305807</v>
      </c>
      <c r="M9" s="5">
        <f t="shared" ref="M9" si="15">(M8*(M7*1000))/10^6</f>
        <v>5.9727886476305807</v>
      </c>
      <c r="O9" s="5">
        <f>(O8*(O7*1000))/10^6</f>
        <v>1.1492365678129584</v>
      </c>
      <c r="P9" s="5">
        <f t="shared" ref="P9" si="16">(P8*(P7*1000))/10^6</f>
        <v>1.9125420897358136</v>
      </c>
      <c r="Q9" s="5">
        <f t="shared" ref="Q9" si="17">(Q8*(Q7*1000))/10^6</f>
        <v>2.6735756645771604</v>
      </c>
      <c r="R9" s="5">
        <f t="shared" ref="R9" si="18">(R8*(R7*1000))/10^6</f>
        <v>3.8108844349988691</v>
      </c>
      <c r="S9" s="5">
        <f t="shared" ref="S9" si="19">(S8*(S7*1000))/10^6</f>
        <v>3.8108844349988691</v>
      </c>
      <c r="U9" s="5">
        <f>(U8*(U7*1000))/10^6</f>
        <v>2.3327234247365407</v>
      </c>
      <c r="V9" s="5">
        <f t="shared" ref="V9:Y9" si="20">(V8*(V7*1000))/10^6</f>
        <v>3.8761265009720645</v>
      </c>
      <c r="W9" s="5">
        <f t="shared" si="20"/>
        <v>5.4102149238927861</v>
      </c>
      <c r="X9" s="5">
        <f t="shared" si="20"/>
        <v>7.69403514030025</v>
      </c>
      <c r="Y9" s="5">
        <f t="shared" si="20"/>
        <v>7.69403514030025</v>
      </c>
      <c r="AA9" s="5">
        <f>(AA8*(AA7*1000))/10^6</f>
        <v>12.857704012777141</v>
      </c>
      <c r="AB9" s="5">
        <f t="shared" ref="AB9:AE9" si="21">(AB8*(AB7*1000))/10^6</f>
        <v>21.074259976167372</v>
      </c>
      <c r="AC9" s="5">
        <f t="shared" si="21"/>
        <v>29.020424191008527</v>
      </c>
      <c r="AD9" s="5">
        <f t="shared" si="21"/>
        <v>40.457378112917546</v>
      </c>
      <c r="AE9" s="5">
        <f t="shared" si="21"/>
        <v>40.457378112917546</v>
      </c>
    </row>
    <row r="10" spans="1:31" ht="18" x14ac:dyDescent="0.35">
      <c r="A10" s="31" t="s">
        <v>71</v>
      </c>
      <c r="B10" t="s">
        <v>66</v>
      </c>
      <c r="C10" s="4">
        <f>'Geo cost_assumptions_input data'!$E$27</f>
        <v>2.5</v>
      </c>
      <c r="D10" s="4">
        <f>'Geo cost_assumptions_input data'!$E$27</f>
        <v>2.5</v>
      </c>
      <c r="E10" s="4">
        <f>'Geo cost_assumptions_input data'!$E$27</f>
        <v>2.5</v>
      </c>
      <c r="F10" s="4">
        <f>'Geo cost_assumptions_input data'!$E$27</f>
        <v>2.5</v>
      </c>
      <c r="G10" s="4">
        <f>'Geo cost_assumptions_input data'!$E$27</f>
        <v>2.5</v>
      </c>
      <c r="I10" s="4">
        <f>'Geo cost_assumptions_input data'!$F$27</f>
        <v>2.5</v>
      </c>
      <c r="J10" s="4">
        <f>'Geo cost_assumptions_input data'!$F$27</f>
        <v>2.5</v>
      </c>
      <c r="K10" s="4">
        <f>'Geo cost_assumptions_input data'!$F$27</f>
        <v>2.5</v>
      </c>
      <c r="L10" s="4">
        <f>'Geo cost_assumptions_input data'!$F$27</f>
        <v>2.5</v>
      </c>
      <c r="M10" s="4">
        <f>'Geo cost_assumptions_input data'!$F$27</f>
        <v>2.5</v>
      </c>
      <c r="O10" s="4">
        <f>'Geo cost_assumptions_input data'!$G$27</f>
        <v>2.5</v>
      </c>
      <c r="P10" s="4">
        <f>'Geo cost_assumptions_input data'!$G$27</f>
        <v>2.5</v>
      </c>
      <c r="Q10" s="4">
        <f>'Geo cost_assumptions_input data'!$G$27</f>
        <v>2.5</v>
      </c>
      <c r="R10" s="4">
        <f>'Geo cost_assumptions_input data'!$G$27</f>
        <v>2.5</v>
      </c>
      <c r="S10" s="4">
        <f>'Geo cost_assumptions_input data'!$G$27</f>
        <v>2.5</v>
      </c>
      <c r="U10" s="4">
        <f>'Geo cost_assumptions_input data'!$H$27</f>
        <v>2.5</v>
      </c>
      <c r="V10" s="4">
        <f>'Geo cost_assumptions_input data'!$H$27</f>
        <v>2.5</v>
      </c>
      <c r="W10" s="4">
        <f>'Geo cost_assumptions_input data'!$H$27</f>
        <v>2.5</v>
      </c>
      <c r="X10" s="4">
        <f>'Geo cost_assumptions_input data'!$H$27</f>
        <v>2.5</v>
      </c>
      <c r="Y10" s="4">
        <f>'Geo cost_assumptions_input data'!$H$27</f>
        <v>2.5</v>
      </c>
      <c r="AA10" s="4">
        <f>'Geo cost_assumptions_input data'!$I$27</f>
        <v>2.5</v>
      </c>
      <c r="AB10" s="4">
        <f>'Geo cost_assumptions_input data'!$I$27</f>
        <v>2.5</v>
      </c>
      <c r="AC10" s="4">
        <f>'Geo cost_assumptions_input data'!$I$27</f>
        <v>2.5</v>
      </c>
      <c r="AD10" s="4">
        <f>'Geo cost_assumptions_input data'!$I$27</f>
        <v>2.5</v>
      </c>
      <c r="AE10" s="4">
        <f>'Geo cost_assumptions_input data'!$I$27</f>
        <v>2.5</v>
      </c>
    </row>
    <row r="11" spans="1:31" ht="18" x14ac:dyDescent="0.35">
      <c r="A11" s="31" t="s">
        <v>74</v>
      </c>
      <c r="B11" t="s">
        <v>66</v>
      </c>
      <c r="C11" s="5">
        <f>1.12*(1+0.6*C4)</f>
        <v>4.2526996338968148</v>
      </c>
      <c r="D11" s="5">
        <f>1.12*(1+0.6*D4)</f>
        <v>4.2526996338968148</v>
      </c>
      <c r="E11" s="5">
        <f>1.12*(1+0.6*E4)</f>
        <v>3.9394296705071334</v>
      </c>
      <c r="F11" s="5">
        <f>1.12*(1+0.6*F4)</f>
        <v>3.6261597071174516</v>
      </c>
      <c r="G11" s="5">
        <f>1.12*(1+0.6*G4)</f>
        <v>3.3128897437277702</v>
      </c>
      <c r="I11" s="5">
        <f>1.12*(1+0.6*I4)</f>
        <v>10.661379818074531</v>
      </c>
      <c r="J11" s="5">
        <f>1.12*(1+0.6*J4)</f>
        <v>10.661379818074531</v>
      </c>
      <c r="K11" s="5">
        <f>1.12*(1+0.6*K4)</f>
        <v>9.7072418362670767</v>
      </c>
      <c r="L11" s="5">
        <f>1.12*(1+0.6*L4)</f>
        <v>8.753103854459626</v>
      </c>
      <c r="M11" s="5">
        <f>1.12*(1+0.6*M4)</f>
        <v>7.7989658726521709</v>
      </c>
      <c r="O11" s="5">
        <f>1.12*(1+0.6*O4)</f>
        <v>16.231006703828005</v>
      </c>
      <c r="P11" s="5">
        <f>1.12*(1+0.6*P4)</f>
        <v>16.231006703828005</v>
      </c>
      <c r="Q11" s="5">
        <f>1.12*(1+0.6*Q4)</f>
        <v>14.719906033445204</v>
      </c>
      <c r="R11" s="5">
        <f>1.12*(1+0.6*R4)</f>
        <v>13.208805363062403</v>
      </c>
      <c r="S11" s="5">
        <f>1.12*(1+0.6*S4)</f>
        <v>11.697704692679602</v>
      </c>
      <c r="U11" s="5">
        <f>1.12*(1+0.6*U4)</f>
        <v>3.8551858191502006</v>
      </c>
      <c r="V11" s="5">
        <f>1.12*(1+0.6*V4)</f>
        <v>3.8551858191502006</v>
      </c>
      <c r="W11" s="5">
        <f>1.12*(1+0.6*W4)</f>
        <v>3.5816672372351808</v>
      </c>
      <c r="X11" s="5">
        <f>1.12*(1+0.6*X4)</f>
        <v>3.3081486553201604</v>
      </c>
      <c r="Y11" s="5">
        <f>1.12*(1+0.6*Y4)</f>
        <v>3.0346300734051406</v>
      </c>
      <c r="AA11" s="5">
        <f>1.12*(1+0.6*AA4)</f>
        <v>2.3642188821463725</v>
      </c>
      <c r="AB11" s="5">
        <f>1.12*(1+0.6*AB4)</f>
        <v>2.3642188821463725</v>
      </c>
      <c r="AC11" s="5">
        <f>1.12*(1+0.6*AC4)</f>
        <v>2.2397969939317353</v>
      </c>
      <c r="AD11" s="5">
        <f>1.12*(1+0.6*AD4)</f>
        <v>2.115375105717098</v>
      </c>
      <c r="AE11" s="5">
        <f>1.12*(1+0.6*AE4)</f>
        <v>1.9909532175024609</v>
      </c>
    </row>
    <row r="12" spans="1:31" ht="18" x14ac:dyDescent="0.35">
      <c r="A12" s="31" t="s">
        <v>80</v>
      </c>
      <c r="B12" t="s">
        <v>81</v>
      </c>
      <c r="C12" s="5">
        <f>(50*C7*1000)/10^6</f>
        <v>0.1627332254099377</v>
      </c>
      <c r="D12" s="5">
        <f t="shared" ref="D12:G12" si="22">(50*D7*1000)/10^6</f>
        <v>0.27122204234989611</v>
      </c>
      <c r="E12" s="5">
        <f t="shared" si="22"/>
        <v>0.37971085928985465</v>
      </c>
      <c r="F12" s="5">
        <f t="shared" si="22"/>
        <v>0.54244408469979222</v>
      </c>
      <c r="G12" s="5">
        <f t="shared" si="22"/>
        <v>0.54244408469979222</v>
      </c>
      <c r="I12" s="5">
        <f>(50*I7*1000)/10^6</f>
        <v>4.7460807737145325E-2</v>
      </c>
      <c r="J12" s="5">
        <f t="shared" ref="J12:M12" si="23">(50*J7*1000)/10^6</f>
        <v>7.9101346228575536E-2</v>
      </c>
      <c r="K12" s="5">
        <f t="shared" si="23"/>
        <v>0.11074188472000576</v>
      </c>
      <c r="L12" s="5">
        <f t="shared" si="23"/>
        <v>0.15820269245715107</v>
      </c>
      <c r="M12" s="5">
        <f t="shared" si="23"/>
        <v>0.15820269245715107</v>
      </c>
      <c r="O12" s="5">
        <f>(50*O7*1000)/10^6</f>
        <v>3.0153266755968477E-2</v>
      </c>
      <c r="P12" s="5">
        <f t="shared" ref="P12:S12" si="24">(50*P7*1000)/10^6</f>
        <v>5.0255444593280803E-2</v>
      </c>
      <c r="Q12" s="5">
        <f t="shared" si="24"/>
        <v>7.0357622430593111E-2</v>
      </c>
      <c r="R12" s="5">
        <f t="shared" si="24"/>
        <v>0.10051088918656161</v>
      </c>
      <c r="S12" s="5">
        <f t="shared" si="24"/>
        <v>0.10051088918656161</v>
      </c>
      <c r="U12" s="5">
        <f>(50*U7*1000)/10^6</f>
        <v>6.1346838258137359E-2</v>
      </c>
      <c r="V12" s="5">
        <f t="shared" ref="V12:Y12" si="25">(50*V7*1000)/10^6</f>
        <v>0.10224473043022893</v>
      </c>
      <c r="W12" s="5">
        <f t="shared" si="25"/>
        <v>0.1431426226023205</v>
      </c>
      <c r="X12" s="5">
        <f t="shared" si="25"/>
        <v>0.20448946086045786</v>
      </c>
      <c r="Y12" s="5">
        <f t="shared" si="25"/>
        <v>0.20448946086045786</v>
      </c>
      <c r="AA12" s="5">
        <f>(50*AA7*1000)/10^6</f>
        <v>0.34527191311930949</v>
      </c>
      <c r="AB12" s="5">
        <f t="shared" ref="AB12:AE12" si="26">(50*AB7*1000)/10^6</f>
        <v>0.57545318853218252</v>
      </c>
      <c r="AC12" s="5">
        <f t="shared" si="26"/>
        <v>0.80563446394505567</v>
      </c>
      <c r="AD12" s="5">
        <f t="shared" si="26"/>
        <v>1.150906377064365</v>
      </c>
      <c r="AE12" s="5">
        <f t="shared" si="26"/>
        <v>1.150906377064365</v>
      </c>
    </row>
    <row r="13" spans="1:31" x14ac:dyDescent="0.25">
      <c r="A13" t="s">
        <v>104</v>
      </c>
      <c r="B13" t="s">
        <v>81</v>
      </c>
      <c r="C13" s="5">
        <f>(C4*'Geo cost_assumptions_input data'!$Q$4)+C9+C10+C11+C12</f>
        <v>36.365993291517448</v>
      </c>
      <c r="D13" s="5">
        <f>((D4*'Geo cost_assumptions_input data'!$Q$4)+D9+D10+D11+D12)*C48</f>
        <v>39.594389465368906</v>
      </c>
      <c r="E13" s="5">
        <f>((E4*'Geo cost_assumptions_input data'!$Q$4)+E9+E10+E11+E12)*D48</f>
        <v>31.57511673886447</v>
      </c>
      <c r="F13" s="5">
        <f>((F4*'Geo cost_assumptions_input data'!$Q$4)+F9+F10+F11+F12)*E48</f>
        <v>26.273277662409949</v>
      </c>
      <c r="G13" s="5">
        <f>((G4*'Geo cost_assumptions_input data'!$Q$4)+G9+G10+G11+G12)*F48</f>
        <v>19.068695729619627</v>
      </c>
      <c r="I13" s="5">
        <f>(I4*'Geo cost_assumptions_input data'!$Q$4)+I9+I10+I11+I12</f>
        <v>86.007812284427487</v>
      </c>
      <c r="J13" s="5">
        <f>((J4*'Geo cost_assumptions_input data'!$Q$4)+J9+J10+J11+J12)*C48</f>
        <v>85.311995945654743</v>
      </c>
      <c r="K13" s="5">
        <f>((K4*'Geo cost_assumptions_input data'!$Q$4)+K9+K10+K11+K12)*D48</f>
        <v>60.590646425943206</v>
      </c>
      <c r="L13" s="5">
        <f>((L4*'Geo cost_assumptions_input data'!$Q$4)+L9+L10+L11+L12)*E48</f>
        <v>43.090110849859805</v>
      </c>
      <c r="M13" s="5">
        <f>((M4*'Geo cost_assumptions_input data'!$Q$4)+M9+M10+M11+M12)*F48</f>
        <v>29.609739987601106</v>
      </c>
      <c r="O13" s="5">
        <f>(O4*'Geo cost_assumptions_input data'!$P$4)+O9+O10+O11+O12</f>
        <v>87.37024789477195</v>
      </c>
      <c r="P13" s="5">
        <f>((P4*'Geo cost_assumptions_input data'!$P$4)+P9+P10+P11+P12)*C48</f>
        <v>86.208640204387606</v>
      </c>
      <c r="Q13" s="5">
        <f>((Q4*'Geo cost_assumptions_input data'!$P$4)+Q9+Q10+Q11+Q12)*D48</f>
        <v>60.794808102418443</v>
      </c>
      <c r="R13" s="5">
        <f>((R4*'Geo cost_assumptions_input data'!$P$4)+R9+R10+R11+R12)*E48</f>
        <v>42.747413399603012</v>
      </c>
      <c r="S13" s="5">
        <f>((S4*'Geo cost_assumptions_input data'!$P$4)+S9+S10+S11+S12)*F48</f>
        <v>29.254355011159891</v>
      </c>
      <c r="U13" s="5">
        <f>(U4*'Geo cost_assumptions_input data'!$Q$4)+U9+U10+U11+U12</f>
        <v>29.100341046060066</v>
      </c>
      <c r="V13" s="5">
        <f>((V4*'Geo cost_assumptions_input data'!$Q$4)+V9+V10+V11+V12)*C48</f>
        <v>30.007618463297828</v>
      </c>
      <c r="W13" s="5">
        <f>((W4*'Geo cost_assumptions_input data'!$Q$4)+W9+W10+W11+W12)*D48</f>
        <v>22.569622689822598</v>
      </c>
      <c r="X13" s="5">
        <f>((X4*'Geo cost_assumptions_input data'!$Q$4)+X9+X10+X11+X12)*E48</f>
        <v>17.419802104097073</v>
      </c>
      <c r="Y13" s="5">
        <f>((Y4*'Geo cost_assumptions_input data'!$Q$4)+Y9+Y10+Y11+Y12)*F48</f>
        <v>12.394251287161964</v>
      </c>
      <c r="AA13" s="5">
        <f>(AA4*'Geo cost_assumptions_input data'!$Q$4)+AA9+AA10+AA11+AA12</f>
        <v>27.324775776393807</v>
      </c>
      <c r="AB13" s="5">
        <f>((AB4*'Geo cost_assumptions_input data'!$Q$4)+AB9+AB10+AB11+AB12)*C48</f>
        <v>34.982253138518267</v>
      </c>
      <c r="AC13" s="5">
        <f>((AC4*'Geo cost_assumptions_input data'!$Q$4)+AC9+AC10+AC11+AC12)*D48</f>
        <v>32.325611099035555</v>
      </c>
      <c r="AD13" s="5">
        <f>((AD4*'Geo cost_assumptions_input data'!$Q$4)+AD9+AD10+AD11+AD12)*E48</f>
        <v>31.153577358621312</v>
      </c>
      <c r="AE13" s="5">
        <f>((AE4*'Geo cost_assumptions_input data'!$Q$4)+AE9+AE10+AE11+AE12)*F48</f>
        <v>23.544423822442305</v>
      </c>
    </row>
    <row r="14" spans="1:31" ht="18" x14ac:dyDescent="0.35">
      <c r="A14" t="s">
        <v>105</v>
      </c>
      <c r="B14" t="s">
        <v>81</v>
      </c>
      <c r="C14" s="5">
        <f>C13*0.02</f>
        <v>0.72731986583034902</v>
      </c>
      <c r="D14" s="5">
        <f>D13*0.02</f>
        <v>0.79188778930737813</v>
      </c>
      <c r="E14" s="5">
        <f t="shared" ref="E14:G14" si="27">E13*0.02</f>
        <v>0.63150233477728945</v>
      </c>
      <c r="F14" s="5">
        <f t="shared" si="27"/>
        <v>0.52546555324819899</v>
      </c>
      <c r="G14" s="5">
        <f t="shared" si="27"/>
        <v>0.38137391459239256</v>
      </c>
      <c r="I14" s="5">
        <f>I13*0.02</f>
        <v>1.7201562456885497</v>
      </c>
      <c r="J14" s="5">
        <f>J13*0.02</f>
        <v>1.706239918913095</v>
      </c>
      <c r="K14" s="5">
        <f t="shared" ref="K14:M14" si="28">K13*0.02</f>
        <v>1.2118129285188641</v>
      </c>
      <c r="L14" s="5">
        <f t="shared" si="28"/>
        <v>0.86180221699719617</v>
      </c>
      <c r="M14" s="5">
        <f t="shared" si="28"/>
        <v>0.59219479975202216</v>
      </c>
      <c r="O14" s="5">
        <f>O13*0.02</f>
        <v>1.7474049578954389</v>
      </c>
      <c r="P14" s="5">
        <f t="shared" ref="P14:S14" si="29">P13*0.02</f>
        <v>1.7241728040877522</v>
      </c>
      <c r="Q14" s="5">
        <f t="shared" si="29"/>
        <v>1.2158961620483688</v>
      </c>
      <c r="R14" s="5">
        <f t="shared" si="29"/>
        <v>0.85494826799206025</v>
      </c>
      <c r="S14" s="5">
        <f t="shared" si="29"/>
        <v>0.58508710022319788</v>
      </c>
      <c r="U14" s="5">
        <f>U13*0.02</f>
        <v>0.58200682092120137</v>
      </c>
      <c r="V14" s="5">
        <f t="shared" ref="V14:Y14" si="30">V13*0.02</f>
        <v>0.60015236926595661</v>
      </c>
      <c r="W14" s="5">
        <f t="shared" si="30"/>
        <v>0.45139245379645199</v>
      </c>
      <c r="X14" s="5">
        <f t="shared" si="30"/>
        <v>0.34839604208194147</v>
      </c>
      <c r="Y14" s="5">
        <f t="shared" si="30"/>
        <v>0.24788502574323928</v>
      </c>
      <c r="AA14" s="5">
        <f>AA13*0.02</f>
        <v>0.54649551552787612</v>
      </c>
      <c r="AB14" s="5">
        <f t="shared" ref="AB14:AE14" si="31">AB13*0.02</f>
        <v>0.69964506277036531</v>
      </c>
      <c r="AC14" s="5">
        <f t="shared" si="31"/>
        <v>0.64651222198071112</v>
      </c>
      <c r="AD14" s="5">
        <f t="shared" si="31"/>
        <v>0.6230715471724263</v>
      </c>
      <c r="AE14" s="5">
        <f t="shared" si="31"/>
        <v>0.47088847644884613</v>
      </c>
    </row>
    <row r="15" spans="1:31" s="22" customFormat="1" x14ac:dyDescent="0.25">
      <c r="A15" s="22" t="s">
        <v>123</v>
      </c>
      <c r="B15" s="22" t="s">
        <v>121</v>
      </c>
      <c r="C15" s="24">
        <f>(C13/(C7*1000))*10^6</f>
        <v>11173.499818463217</v>
      </c>
      <c r="D15" s="24">
        <f>(D13/(D7*1000))*10^6</f>
        <v>7299.2573026732953</v>
      </c>
      <c r="E15" s="24">
        <f>(E13/(E7*1000))*10^6</f>
        <v>4157.7842674709254</v>
      </c>
      <c r="F15" s="24">
        <f>(F13/(F7*1000))*10^6</f>
        <v>2421.7498543606116</v>
      </c>
      <c r="G15" s="24">
        <f>(G13/(G7*1000))*10^6</f>
        <v>1757.6646393123556</v>
      </c>
      <c r="H15" s="24"/>
      <c r="I15" s="24">
        <f>(I13/(I7*1000))*10^6</f>
        <v>90609.301005546586</v>
      </c>
      <c r="J15" s="24">
        <f>(J13/(J7*1000))*10^6</f>
        <v>53925.754752095236</v>
      </c>
      <c r="K15" s="24">
        <f>(K13/(K7*1000))*10^6</f>
        <v>27356.698226302342</v>
      </c>
      <c r="L15" s="24">
        <f>(L13/(L7*1000))*10^6</f>
        <v>13618.640169961296</v>
      </c>
      <c r="M15" s="24">
        <f>(M13/(M7*1000))*10^6</f>
        <v>9358.1656316060653</v>
      </c>
      <c r="N15" s="24"/>
      <c r="O15" s="24">
        <f>(O13/(O7*1000))*10^6</f>
        <v>144876.91931004135</v>
      </c>
      <c r="P15" s="24">
        <f>(P13/(P7*1000))*10^6</f>
        <v>85770.448258967139</v>
      </c>
      <c r="Q15" s="24">
        <f>(Q13/(Q7*1000))*10^6</f>
        <v>43204.137662832291</v>
      </c>
      <c r="R15" s="24">
        <f>(R13/(R7*1000))*10^6</f>
        <v>21265.065778225344</v>
      </c>
      <c r="S15" s="24">
        <f>(S13/(S7*1000))*10^6</f>
        <v>14552.828677527623</v>
      </c>
      <c r="T15" s="24"/>
      <c r="U15" s="24">
        <f>(U13/(U7*1000))*10^6</f>
        <v>23717.881697187589</v>
      </c>
      <c r="V15" s="24">
        <f>(V13/(V7*1000))*10^6</f>
        <v>14674.408322576004</v>
      </c>
      <c r="W15" s="24">
        <f>(W13/(W7*1000))*10^6</f>
        <v>7883.6136573121294</v>
      </c>
      <c r="X15" s="24">
        <f>(X13/(X7*1000))*10^6</f>
        <v>4259.3398287612044</v>
      </c>
      <c r="Y15" s="24">
        <f>(Y13/(Y7*1000))*10^6</f>
        <v>3030.5354698987917</v>
      </c>
      <c r="Z15" s="24"/>
      <c r="AA15" s="24">
        <f>(AA13/(AA7*1000))*10^6</f>
        <v>3956.9937110626879</v>
      </c>
      <c r="AB15" s="24">
        <f>(AB13/(AB7*1000))*10^6</f>
        <v>3039.539430457241</v>
      </c>
      <c r="AC15" s="24">
        <f>(AC13/(AC7*1000))*10^6</f>
        <v>2006.2207207933056</v>
      </c>
      <c r="AD15" s="24">
        <f>(AD13/(AD7*1000))*10^6</f>
        <v>1353.436646953214</v>
      </c>
      <c r="AE15" s="24">
        <f>(AE13/(AE7*1000))*10^6</f>
        <v>1022.8644263183874</v>
      </c>
    </row>
    <row r="16" spans="1:31" s="22" customFormat="1" ht="18" x14ac:dyDescent="0.35">
      <c r="A16" s="22" t="s">
        <v>105</v>
      </c>
      <c r="B16" s="22" t="s">
        <v>122</v>
      </c>
      <c r="C16" s="23">
        <f>C15*0.02</f>
        <v>223.46999636926435</v>
      </c>
      <c r="D16" s="23">
        <f t="shared" ref="D16:AE16" si="32">D15*0.02</f>
        <v>145.98514605346591</v>
      </c>
      <c r="E16" s="23">
        <f t="shared" si="32"/>
        <v>83.155685349418505</v>
      </c>
      <c r="F16" s="23">
        <f t="shared" si="32"/>
        <v>48.434997087212231</v>
      </c>
      <c r="G16" s="23">
        <f t="shared" si="32"/>
        <v>35.153292786247114</v>
      </c>
      <c r="H16" s="23"/>
      <c r="I16" s="23">
        <f t="shared" si="32"/>
        <v>1812.1860201109318</v>
      </c>
      <c r="J16" s="23">
        <f t="shared" si="32"/>
        <v>1078.5150950419047</v>
      </c>
      <c r="K16" s="23">
        <f t="shared" si="32"/>
        <v>547.13396452604684</v>
      </c>
      <c r="L16" s="23">
        <f t="shared" si="32"/>
        <v>272.37280339922592</v>
      </c>
      <c r="M16" s="23">
        <f t="shared" si="32"/>
        <v>187.16331263212132</v>
      </c>
      <c r="N16" s="23"/>
      <c r="O16" s="23">
        <f t="shared" si="32"/>
        <v>2897.5383862008271</v>
      </c>
      <c r="P16" s="23">
        <f t="shared" si="32"/>
        <v>1715.4089651793429</v>
      </c>
      <c r="Q16" s="23">
        <f t="shared" si="32"/>
        <v>864.08275325664579</v>
      </c>
      <c r="R16" s="23">
        <f t="shared" si="32"/>
        <v>425.30131556450687</v>
      </c>
      <c r="S16" s="23">
        <f t="shared" si="32"/>
        <v>291.05657355055246</v>
      </c>
      <c r="T16" s="23"/>
      <c r="U16" s="23">
        <f t="shared" si="32"/>
        <v>474.35763394375181</v>
      </c>
      <c r="V16" s="23">
        <f t="shared" si="32"/>
        <v>293.4881664515201</v>
      </c>
      <c r="W16" s="23">
        <f t="shared" si="32"/>
        <v>157.67227314624259</v>
      </c>
      <c r="X16" s="23">
        <f t="shared" si="32"/>
        <v>85.186796575224093</v>
      </c>
      <c r="Y16" s="23">
        <f t="shared" si="32"/>
        <v>60.610709397975832</v>
      </c>
      <c r="Z16" s="23"/>
      <c r="AA16" s="23">
        <f t="shared" si="32"/>
        <v>79.139874221253763</v>
      </c>
      <c r="AB16" s="23">
        <f t="shared" si="32"/>
        <v>60.790788609144819</v>
      </c>
      <c r="AC16" s="23">
        <f t="shared" si="32"/>
        <v>40.124414415866113</v>
      </c>
      <c r="AD16" s="23">
        <f t="shared" si="32"/>
        <v>27.068732939064279</v>
      </c>
      <c r="AE16" s="23">
        <f t="shared" si="32"/>
        <v>20.457288526367748</v>
      </c>
    </row>
    <row r="17" spans="1:31" x14ac:dyDescent="0.25">
      <c r="A17" t="s">
        <v>107</v>
      </c>
      <c r="B17" t="s">
        <v>93</v>
      </c>
      <c r="C17" s="19">
        <v>30</v>
      </c>
      <c r="D17" s="19">
        <v>30</v>
      </c>
      <c r="E17" s="19">
        <v>30</v>
      </c>
      <c r="F17" s="19">
        <v>30</v>
      </c>
      <c r="G17" s="19">
        <v>30</v>
      </c>
      <c r="I17" s="19">
        <v>30</v>
      </c>
      <c r="J17" s="19">
        <v>30</v>
      </c>
      <c r="K17" s="19">
        <v>30</v>
      </c>
      <c r="L17" s="19">
        <v>30</v>
      </c>
      <c r="M17" s="19">
        <v>30</v>
      </c>
      <c r="O17" s="19">
        <v>30</v>
      </c>
      <c r="P17" s="19">
        <v>30</v>
      </c>
      <c r="Q17" s="19">
        <v>30</v>
      </c>
      <c r="R17" s="19">
        <v>30</v>
      </c>
      <c r="S17" s="19">
        <v>30</v>
      </c>
      <c r="U17" s="19">
        <v>30</v>
      </c>
      <c r="V17" s="19">
        <v>30</v>
      </c>
      <c r="W17" s="19">
        <v>30</v>
      </c>
      <c r="X17" s="19">
        <v>30</v>
      </c>
      <c r="Y17" s="19">
        <v>30</v>
      </c>
      <c r="AA17" s="19">
        <v>30</v>
      </c>
      <c r="AB17" s="19">
        <v>30</v>
      </c>
      <c r="AC17" s="19">
        <v>30</v>
      </c>
      <c r="AD17" s="19">
        <v>30</v>
      </c>
      <c r="AE17" s="19">
        <v>30</v>
      </c>
    </row>
    <row r="18" spans="1:31" x14ac:dyDescent="0.25">
      <c r="A18" s="1" t="s">
        <v>92</v>
      </c>
      <c r="B18" t="s">
        <v>55</v>
      </c>
      <c r="C18" s="9">
        <v>7.0000000000000007E-2</v>
      </c>
      <c r="D18" s="9">
        <v>7.0000000000000007E-2</v>
      </c>
      <c r="E18" s="9">
        <v>7.0000000000000007E-2</v>
      </c>
      <c r="F18" s="9">
        <v>7.0000000000000007E-2</v>
      </c>
      <c r="G18" s="9">
        <v>7.0000000000000007E-2</v>
      </c>
      <c r="I18" s="9">
        <v>7.0000000000000007E-2</v>
      </c>
      <c r="J18" s="9">
        <v>7.0000000000000007E-2</v>
      </c>
      <c r="K18" s="9">
        <v>7.0000000000000007E-2</v>
      </c>
      <c r="L18" s="9">
        <v>7.0000000000000007E-2</v>
      </c>
      <c r="M18" s="9">
        <v>7.0000000000000007E-2</v>
      </c>
      <c r="O18" s="9">
        <v>7.0000000000000007E-2</v>
      </c>
      <c r="P18" s="9">
        <v>7.0000000000000007E-2</v>
      </c>
      <c r="Q18" s="9">
        <v>7.0000000000000007E-2</v>
      </c>
      <c r="R18" s="9">
        <v>7.0000000000000007E-2</v>
      </c>
      <c r="S18" s="9">
        <v>7.0000000000000007E-2</v>
      </c>
      <c r="U18" s="9">
        <v>7.0000000000000007E-2</v>
      </c>
      <c r="V18" s="9">
        <v>7.0000000000000007E-2</v>
      </c>
      <c r="W18" s="9">
        <v>7.0000000000000007E-2</v>
      </c>
      <c r="X18" s="9">
        <v>7.0000000000000007E-2</v>
      </c>
      <c r="Y18" s="9">
        <v>7.0000000000000007E-2</v>
      </c>
      <c r="AA18" s="9">
        <v>7.0000000000000007E-2</v>
      </c>
      <c r="AB18" s="9">
        <v>7.0000000000000007E-2</v>
      </c>
      <c r="AC18" s="9">
        <v>7.0000000000000007E-2</v>
      </c>
      <c r="AD18" s="9">
        <v>7.0000000000000007E-2</v>
      </c>
      <c r="AE18" s="9">
        <v>7.0000000000000007E-2</v>
      </c>
    </row>
    <row r="19" spans="1:31" x14ac:dyDescent="0.25">
      <c r="A19" t="s">
        <v>94</v>
      </c>
      <c r="B19" t="s">
        <v>111</v>
      </c>
      <c r="C19" s="7">
        <f>(C18*(1+C18)^C17)/((1+C18)^C17-1)</f>
        <v>8.0586403511111196E-2</v>
      </c>
      <c r="D19" s="7">
        <f t="shared" ref="D19:G19" si="33">(D18*(1+D18)^D17)/((1+D18)^D17-1)</f>
        <v>8.0586403511111196E-2</v>
      </c>
      <c r="E19" s="7">
        <f t="shared" si="33"/>
        <v>8.0586403511111196E-2</v>
      </c>
      <c r="F19" s="7">
        <f t="shared" si="33"/>
        <v>8.0586403511111196E-2</v>
      </c>
      <c r="G19" s="7">
        <f t="shared" si="33"/>
        <v>8.0586403511111196E-2</v>
      </c>
      <c r="I19" s="7">
        <f>(I18*(1+I18)^I17)/((1+I18)^I17-1)</f>
        <v>8.0586403511111196E-2</v>
      </c>
      <c r="J19" s="7">
        <f t="shared" ref="J19" si="34">(J18*(1+J18)^J17)/((1+J18)^J17-1)</f>
        <v>8.0586403511111196E-2</v>
      </c>
      <c r="K19" s="7">
        <f t="shared" ref="K19" si="35">(K18*(1+K18)^K17)/((1+K18)^K17-1)</f>
        <v>8.0586403511111196E-2</v>
      </c>
      <c r="L19" s="7">
        <f t="shared" ref="L19" si="36">(L18*(1+L18)^L17)/((1+L18)^L17-1)</f>
        <v>8.0586403511111196E-2</v>
      </c>
      <c r="M19" s="7">
        <f t="shared" ref="M19" si="37">(M18*(1+M18)^M17)/((1+M18)^M17-1)</f>
        <v>8.0586403511111196E-2</v>
      </c>
      <c r="O19" s="7">
        <f>(O18*(1+O18)^O17)/((1+O18)^O17-1)</f>
        <v>8.0586403511111196E-2</v>
      </c>
      <c r="P19" s="7">
        <f t="shared" ref="P19" si="38">(P18*(1+P18)^P17)/((1+P18)^P17-1)</f>
        <v>8.0586403511111196E-2</v>
      </c>
      <c r="Q19" s="7">
        <f t="shared" ref="Q19" si="39">(Q18*(1+Q18)^Q17)/((1+Q18)^Q17-1)</f>
        <v>8.0586403511111196E-2</v>
      </c>
      <c r="R19" s="7">
        <f t="shared" ref="R19" si="40">(R18*(1+R18)^R17)/((1+R18)^R17-1)</f>
        <v>8.0586403511111196E-2</v>
      </c>
      <c r="S19" s="7">
        <f t="shared" ref="S19" si="41">(S18*(1+S18)^S17)/((1+S18)^S17-1)</f>
        <v>8.0586403511111196E-2</v>
      </c>
      <c r="U19" s="7">
        <f>(U18*(1+U18)^U17)/((1+U18)^U17-1)</f>
        <v>8.0586403511111196E-2</v>
      </c>
      <c r="V19" s="7">
        <f t="shared" ref="V19:Y19" si="42">(V18*(1+V18)^V17)/((1+V18)^V17-1)</f>
        <v>8.0586403511111196E-2</v>
      </c>
      <c r="W19" s="7">
        <f t="shared" si="42"/>
        <v>8.0586403511111196E-2</v>
      </c>
      <c r="X19" s="7">
        <f t="shared" si="42"/>
        <v>8.0586403511111196E-2</v>
      </c>
      <c r="Y19" s="7">
        <f t="shared" si="42"/>
        <v>8.0586403511111196E-2</v>
      </c>
      <c r="AA19" s="7">
        <f>(AA18*(1+AA18)^AA17)/((1+AA18)^AA17-1)</f>
        <v>8.0586403511111196E-2</v>
      </c>
      <c r="AB19" s="7">
        <f t="shared" ref="AB19:AE19" si="43">(AB18*(1+AB18)^AB17)/((1+AB18)^AB17-1)</f>
        <v>8.0586403511111196E-2</v>
      </c>
      <c r="AC19" s="7">
        <f t="shared" si="43"/>
        <v>8.0586403511111196E-2</v>
      </c>
      <c r="AD19" s="7">
        <f t="shared" si="43"/>
        <v>8.0586403511111196E-2</v>
      </c>
      <c r="AE19" s="7">
        <f t="shared" si="43"/>
        <v>8.0586403511111196E-2</v>
      </c>
    </row>
    <row r="20" spans="1:31" s="20" customFormat="1" x14ac:dyDescent="0.25">
      <c r="A20" s="20" t="s">
        <v>91</v>
      </c>
      <c r="B20" s="20" t="s">
        <v>95</v>
      </c>
      <c r="C20" s="21">
        <f>((C13*C19)+C14)/C6*1000</f>
        <v>142.55481498874539</v>
      </c>
      <c r="D20" s="21">
        <f>((D13*D19)+D14)/D6*1000</f>
        <v>93.126083254454727</v>
      </c>
      <c r="E20" s="21">
        <f>((E13*E19)+E14)/E6*1000</f>
        <v>53.046241253168475</v>
      </c>
      <c r="F20" s="21">
        <f>((F13*F19)+F14)/F6*1000</f>
        <v>30.897400818580831</v>
      </c>
      <c r="G20" s="21">
        <f>((G13*G19)+G14)/G6*1000</f>
        <v>22.42480525711369</v>
      </c>
      <c r="I20" s="21">
        <f>((I13*I19)+I14)/I6*1000</f>
        <v>1156.0202578391222</v>
      </c>
      <c r="J20" s="21">
        <f>((J13*J19)+J14)/J6*1000</f>
        <v>688.00072642509804</v>
      </c>
      <c r="K20" s="21">
        <f>((K13*K19)+K14)/K6*1000</f>
        <v>349.02484608352967</v>
      </c>
      <c r="L20" s="21">
        <f>((L13*L19)+L14)/L6*1000</f>
        <v>173.7506386870059</v>
      </c>
      <c r="M20" s="21">
        <f>((M13*M19)+M14)/M6*1000</f>
        <v>119.39424458961702</v>
      </c>
      <c r="O20" s="21">
        <f>((O13*O19)+O14)/O6*1000</f>
        <v>1848.3825805639924</v>
      </c>
      <c r="P20" s="21">
        <f>((P13*P19)+P14)/P6*1000</f>
        <v>1094.2847435191973</v>
      </c>
      <c r="Q20" s="21">
        <f>((Q13*Q19)+Q14)/Q6*1000</f>
        <v>551.21116492938177</v>
      </c>
      <c r="R20" s="21">
        <f>((R13*R19)+R14)/R6*1000</f>
        <v>271.30599785120449</v>
      </c>
      <c r="S20" s="21">
        <f>((S13*S19)+S14)/S6*1000</f>
        <v>185.66929193123593</v>
      </c>
      <c r="U20" s="21">
        <f>((U13*U19)+U14)/U6*1000</f>
        <v>302.59974870904489</v>
      </c>
      <c r="V20" s="21">
        <f>((V13*V19)+V14)/V6*1000</f>
        <v>187.22044099713827</v>
      </c>
      <c r="W20" s="21">
        <f>((W13*W19)+W14)/W6*1000</f>
        <v>100.58147443684742</v>
      </c>
      <c r="X20" s="21">
        <f>((X13*X19)+X14)/X6*1000</f>
        <v>54.341917136824165</v>
      </c>
      <c r="Y20" s="21">
        <f>((Y13*Y19)+Y14)/Y6*1000</f>
        <v>38.664467735917661</v>
      </c>
      <c r="AA20" s="21">
        <f>((AA13*AA19)+AA14)/AA6*1000</f>
        <v>50.484495955337493</v>
      </c>
      <c r="AB20" s="21">
        <f>((AB13*AB19)+AB14)/AB6*1000</f>
        <v>38.779342927435962</v>
      </c>
      <c r="AC20" s="21">
        <f>((AC13*AC19)+AC14)/AC6*1000</f>
        <v>25.595957249374401</v>
      </c>
      <c r="AD20" s="21">
        <f>((AD13*AD19)+AD14)/AD6*1000</f>
        <v>17.267544989492812</v>
      </c>
      <c r="AE20" s="21">
        <f>((AE13*AE19)+AE14)/AE6*1000</f>
        <v>13.050006839525949</v>
      </c>
    </row>
    <row r="21" spans="1:31" s="20" customFormat="1" x14ac:dyDescent="0.25">
      <c r="A21" s="20" t="s">
        <v>91</v>
      </c>
      <c r="B21" s="20" t="s">
        <v>119</v>
      </c>
      <c r="C21" s="21">
        <f>C20/$C$24</f>
        <v>118.79567915728784</v>
      </c>
      <c r="D21" s="21">
        <f>D20/$C$24</f>
        <v>77.605069378712273</v>
      </c>
      <c r="E21" s="21">
        <f>E20/$C$24</f>
        <v>44.205201044307067</v>
      </c>
      <c r="F21" s="21">
        <f>F20/$C$24</f>
        <v>25.747834015484028</v>
      </c>
      <c r="G21" s="21">
        <f>G20/$C$24</f>
        <v>18.68733771426141</v>
      </c>
      <c r="I21" s="21">
        <f>I20/$C$24</f>
        <v>963.35021486593519</v>
      </c>
      <c r="J21" s="21">
        <f>J20/$C$24</f>
        <v>573.33393868758174</v>
      </c>
      <c r="K21" s="21">
        <f>K20/$C$24</f>
        <v>290.8540384029414</v>
      </c>
      <c r="L21" s="21">
        <f>L20/$C$24</f>
        <v>144.79219890583826</v>
      </c>
      <c r="M21" s="21">
        <f>M20/$C$24</f>
        <v>99.495203824680857</v>
      </c>
      <c r="O21" s="21">
        <f>O20/$C$24</f>
        <v>1540.3188171366603</v>
      </c>
      <c r="P21" s="21">
        <f>P20/$C$24</f>
        <v>911.90395293266442</v>
      </c>
      <c r="Q21" s="21">
        <f>Q20/$C$24</f>
        <v>459.34263744115151</v>
      </c>
      <c r="R21" s="21">
        <f>R20/$C$24</f>
        <v>226.08833154267043</v>
      </c>
      <c r="S21" s="21">
        <f>S20/$C$24</f>
        <v>154.72440994269661</v>
      </c>
      <c r="U21" s="21">
        <f>U20/$C$24</f>
        <v>252.16645725753742</v>
      </c>
      <c r="V21" s="21">
        <f>V20/$C$24</f>
        <v>156.01703416428191</v>
      </c>
      <c r="W21" s="21">
        <f>W20/$C$24</f>
        <v>83.817895364039515</v>
      </c>
      <c r="X21" s="21">
        <f>X20/$C$24</f>
        <v>45.284930947353473</v>
      </c>
      <c r="Y21" s="21">
        <f>Y20/$C$24</f>
        <v>32.220389779931388</v>
      </c>
      <c r="AA21" s="21">
        <f>AA20/$C$24</f>
        <v>42.07041329611458</v>
      </c>
      <c r="AB21" s="21">
        <f>AB20/$C$24</f>
        <v>32.316119106196638</v>
      </c>
      <c r="AC21" s="21">
        <f>AC20/$C$24</f>
        <v>21.329964374478667</v>
      </c>
      <c r="AD21" s="21">
        <f>AD20/$C$24</f>
        <v>14.389620824577344</v>
      </c>
      <c r="AE21" s="21">
        <f>AE20/$C$24</f>
        <v>10.875005699604959</v>
      </c>
    </row>
    <row r="23" spans="1:31" x14ac:dyDescent="0.25">
      <c r="C23" s="5"/>
      <c r="D23" s="5"/>
      <c r="E23" s="5"/>
      <c r="F23" s="5"/>
      <c r="G23" s="5"/>
      <c r="I23" s="5"/>
      <c r="J23" s="5"/>
      <c r="K23" s="5"/>
      <c r="L23" s="5"/>
      <c r="M23" s="5"/>
      <c r="O23" s="5"/>
      <c r="P23" s="5"/>
      <c r="Q23" s="5"/>
      <c r="R23" s="5"/>
      <c r="S23" s="5"/>
      <c r="U23" s="5"/>
      <c r="V23" s="5"/>
      <c r="W23" s="5"/>
      <c r="X23" s="5"/>
      <c r="Y23" s="5"/>
      <c r="AA23" s="5"/>
      <c r="AB23" s="5"/>
      <c r="AC23" s="5"/>
      <c r="AD23" s="5"/>
      <c r="AE23" s="5"/>
    </row>
    <row r="24" spans="1:31" x14ac:dyDescent="0.25">
      <c r="B24" t="s">
        <v>120</v>
      </c>
      <c r="C24" s="4">
        <v>1.2</v>
      </c>
    </row>
    <row r="26" spans="1:31" x14ac:dyDescent="0.25">
      <c r="C26" s="5"/>
      <c r="D26" s="5"/>
      <c r="E26" s="5"/>
      <c r="F26" s="5"/>
      <c r="G26" s="5"/>
      <c r="I26" s="5"/>
      <c r="J26" s="5"/>
      <c r="K26" s="5"/>
      <c r="L26" s="5"/>
      <c r="M26" s="5"/>
      <c r="O26" s="5"/>
      <c r="P26" s="5"/>
      <c r="Q26" s="5"/>
      <c r="R26" s="5"/>
      <c r="S26" s="5"/>
      <c r="U26" s="5"/>
      <c r="V26" s="5"/>
      <c r="W26" s="5"/>
      <c r="X26" s="5"/>
      <c r="Y26" s="5"/>
      <c r="AA26" s="5"/>
      <c r="AB26" s="5"/>
      <c r="AC26" s="5"/>
      <c r="AD26" s="5"/>
      <c r="AE26" s="5"/>
    </row>
    <row r="30" spans="1:31" x14ac:dyDescent="0.25">
      <c r="C30" s="2">
        <v>2015</v>
      </c>
      <c r="D30" s="2">
        <v>2020</v>
      </c>
      <c r="E30" s="2">
        <v>2025</v>
      </c>
      <c r="F30" s="2">
        <v>2030</v>
      </c>
      <c r="G30" s="2">
        <v>2035</v>
      </c>
      <c r="H30" s="2">
        <v>2040</v>
      </c>
      <c r="I30" s="2">
        <v>2045</v>
      </c>
      <c r="J30" s="2">
        <v>2050</v>
      </c>
      <c r="K30" s="2"/>
      <c r="L30" s="2"/>
      <c r="M30" s="2"/>
      <c r="N30" s="2"/>
      <c r="O30" s="2"/>
    </row>
    <row r="31" spans="1:31" x14ac:dyDescent="0.25">
      <c r="A31" s="51" t="s">
        <v>124</v>
      </c>
      <c r="B31" t="s">
        <v>125</v>
      </c>
      <c r="C31" s="25">
        <v>0.05</v>
      </c>
      <c r="D31" s="25">
        <v>0.05</v>
      </c>
      <c r="E31" s="25">
        <v>0.05</v>
      </c>
      <c r="F31" s="25">
        <v>0.05</v>
      </c>
      <c r="G31" s="25">
        <v>0.05</v>
      </c>
      <c r="H31" s="25">
        <v>0.05</v>
      </c>
      <c r="I31" s="25">
        <v>0.05</v>
      </c>
      <c r="J31" s="25">
        <v>0.05</v>
      </c>
      <c r="N31" s="27"/>
    </row>
    <row r="32" spans="1:31" x14ac:dyDescent="0.25">
      <c r="A32" s="51"/>
      <c r="B32" t="s">
        <v>126</v>
      </c>
      <c r="C32" s="25">
        <v>0.1</v>
      </c>
      <c r="D32" s="25">
        <v>0.1</v>
      </c>
      <c r="E32" s="25">
        <v>0.1</v>
      </c>
      <c r="F32" s="25">
        <v>0.1</v>
      </c>
      <c r="G32" s="25">
        <v>0.1</v>
      </c>
      <c r="H32" s="25">
        <v>0.1</v>
      </c>
      <c r="I32" s="25">
        <v>0.1</v>
      </c>
      <c r="J32" s="25">
        <v>0.1</v>
      </c>
    </row>
    <row r="33" spans="1:30" x14ac:dyDescent="0.25">
      <c r="A33" s="51"/>
      <c r="B33" t="s">
        <v>127</v>
      </c>
      <c r="C33" s="25">
        <v>0.02</v>
      </c>
      <c r="D33" s="25">
        <v>0.02</v>
      </c>
      <c r="E33" s="25">
        <v>0.02</v>
      </c>
      <c r="F33" s="25">
        <v>0.02</v>
      </c>
      <c r="G33" s="25">
        <v>0.02</v>
      </c>
      <c r="H33" s="25">
        <v>0.02</v>
      </c>
      <c r="I33" s="25">
        <v>0.02</v>
      </c>
      <c r="J33" s="25">
        <v>0.02</v>
      </c>
      <c r="AD33" s="26"/>
    </row>
    <row r="34" spans="1:30" x14ac:dyDescent="0.25">
      <c r="A34" s="29"/>
      <c r="B34" s="40" t="s">
        <v>156</v>
      </c>
      <c r="C34" s="41">
        <v>7.4999999999999997E-2</v>
      </c>
      <c r="D34" s="41">
        <v>7.4999999999999997E-2</v>
      </c>
      <c r="E34" s="41">
        <v>7.4999999999999997E-2</v>
      </c>
      <c r="F34" s="41">
        <v>7.4999999999999997E-2</v>
      </c>
      <c r="G34" s="41">
        <v>7.4999999999999997E-2</v>
      </c>
      <c r="H34" s="41">
        <v>7.4999999999999997E-2</v>
      </c>
      <c r="I34" s="41">
        <v>7.4999999999999997E-2</v>
      </c>
      <c r="J34" s="41">
        <v>7.4999999999999997E-2</v>
      </c>
      <c r="AD34" s="26"/>
    </row>
    <row r="35" spans="1:30" x14ac:dyDescent="0.25">
      <c r="A35" t="s">
        <v>129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8" spans="1:30" x14ac:dyDescent="0.25">
      <c r="A38" s="52" t="s">
        <v>128</v>
      </c>
      <c r="B38" t="s">
        <v>125</v>
      </c>
      <c r="C38">
        <f>LOG10(1-C31)/LOG10(2)</f>
        <v>-7.4000581443776914E-2</v>
      </c>
      <c r="D38">
        <f t="shared" ref="D38:J38" si="44">LOG10(1-D31)/LOG10(2)</f>
        <v>-7.4000581443776914E-2</v>
      </c>
      <c r="E38">
        <f t="shared" si="44"/>
        <v>-7.4000581443776914E-2</v>
      </c>
      <c r="F38">
        <f t="shared" si="44"/>
        <v>-7.4000581443776914E-2</v>
      </c>
      <c r="G38">
        <f t="shared" si="44"/>
        <v>-7.4000581443776914E-2</v>
      </c>
      <c r="H38">
        <f t="shared" si="44"/>
        <v>-7.4000581443776914E-2</v>
      </c>
      <c r="I38">
        <f t="shared" si="44"/>
        <v>-7.4000581443776914E-2</v>
      </c>
      <c r="J38">
        <f t="shared" si="44"/>
        <v>-7.4000581443776914E-2</v>
      </c>
      <c r="N38" s="27"/>
    </row>
    <row r="39" spans="1:30" x14ac:dyDescent="0.25">
      <c r="A39" s="52"/>
      <c r="B39" t="s">
        <v>126</v>
      </c>
      <c r="C39">
        <f t="shared" ref="C39:J39" si="45">LOG10(1-C32)/LOG10(2)</f>
        <v>-0.15200309344504995</v>
      </c>
      <c r="D39">
        <f t="shared" si="45"/>
        <v>-0.15200309344504995</v>
      </c>
      <c r="E39">
        <f t="shared" si="45"/>
        <v>-0.15200309344504995</v>
      </c>
      <c r="F39">
        <f t="shared" si="45"/>
        <v>-0.15200309344504995</v>
      </c>
      <c r="G39">
        <f t="shared" si="45"/>
        <v>-0.15200309344504995</v>
      </c>
      <c r="H39">
        <f t="shared" si="45"/>
        <v>-0.15200309344504995</v>
      </c>
      <c r="I39">
        <f t="shared" si="45"/>
        <v>-0.15200309344504995</v>
      </c>
      <c r="J39">
        <f t="shared" si="45"/>
        <v>-0.15200309344504995</v>
      </c>
      <c r="P39" s="28"/>
    </row>
    <row r="40" spans="1:30" x14ac:dyDescent="0.25">
      <c r="A40" s="52"/>
      <c r="B40" t="s">
        <v>127</v>
      </c>
      <c r="C40" s="6">
        <f t="shared" ref="C40:J41" si="46">LOG10(1-C33)/LOG10(2)</f>
        <v>-2.9146345659516504E-2</v>
      </c>
      <c r="D40" s="6">
        <f t="shared" si="46"/>
        <v>-2.9146345659516504E-2</v>
      </c>
      <c r="E40" s="6">
        <f t="shared" si="46"/>
        <v>-2.9146345659516504E-2</v>
      </c>
      <c r="F40" s="6">
        <f t="shared" si="46"/>
        <v>-2.9146345659516504E-2</v>
      </c>
      <c r="G40" s="6">
        <f t="shared" si="46"/>
        <v>-2.9146345659516504E-2</v>
      </c>
      <c r="H40" s="6">
        <f t="shared" si="46"/>
        <v>-2.9146345659516504E-2</v>
      </c>
      <c r="I40" s="6">
        <f t="shared" si="46"/>
        <v>-2.9146345659516504E-2</v>
      </c>
      <c r="J40" s="6">
        <f t="shared" si="46"/>
        <v>-2.9146345659516504E-2</v>
      </c>
    </row>
    <row r="41" spans="1:30" x14ac:dyDescent="0.25">
      <c r="A41" s="30"/>
      <c r="B41" s="40" t="s">
        <v>156</v>
      </c>
      <c r="C41" s="42">
        <f t="shared" si="46"/>
        <v>-0.11247472925841248</v>
      </c>
      <c r="D41" s="42">
        <f t="shared" si="46"/>
        <v>-0.11247472925841248</v>
      </c>
      <c r="E41" s="42">
        <f t="shared" si="46"/>
        <v>-0.11247472925841248</v>
      </c>
      <c r="F41" s="42">
        <f t="shared" si="46"/>
        <v>-0.11247472925841248</v>
      </c>
      <c r="G41" s="42">
        <f t="shared" si="46"/>
        <v>-0.11247472925841248</v>
      </c>
      <c r="H41" s="42">
        <f t="shared" si="46"/>
        <v>-0.11247472925841248</v>
      </c>
      <c r="I41" s="42">
        <f t="shared" si="46"/>
        <v>-0.11247472925841248</v>
      </c>
      <c r="J41" s="42">
        <f t="shared" si="46"/>
        <v>-0.11247472925841248</v>
      </c>
    </row>
    <row r="42" spans="1:30" x14ac:dyDescent="0.25">
      <c r="A42" s="30"/>
    </row>
    <row r="43" spans="1:30" x14ac:dyDescent="0.25">
      <c r="C43" s="47" t="s">
        <v>157</v>
      </c>
      <c r="D43" s="47"/>
      <c r="E43" s="47"/>
      <c r="F43" s="47"/>
      <c r="I43" s="45"/>
      <c r="J43" s="45"/>
      <c r="K43" s="45"/>
      <c r="L43" s="45"/>
    </row>
    <row r="44" spans="1:30" x14ac:dyDescent="0.25">
      <c r="C44" s="2">
        <v>2020</v>
      </c>
      <c r="D44" s="2">
        <v>2030</v>
      </c>
      <c r="E44" s="2">
        <v>2040</v>
      </c>
      <c r="F44" s="2">
        <v>2050</v>
      </c>
      <c r="I44" s="2"/>
      <c r="J44" s="2"/>
      <c r="K44" s="2"/>
      <c r="L44" s="2"/>
      <c r="O44" s="2"/>
      <c r="P44" s="2"/>
      <c r="Q44" s="2"/>
      <c r="R44" s="2"/>
      <c r="U44" s="2"/>
      <c r="V44" s="2"/>
      <c r="W44" s="2"/>
      <c r="X44" s="2"/>
      <c r="AA44" s="2"/>
      <c r="AB44" s="2"/>
      <c r="AC44" s="2"/>
      <c r="AD44" s="2"/>
    </row>
    <row r="45" spans="1:30" x14ac:dyDescent="0.25">
      <c r="A45" s="52" t="s">
        <v>158</v>
      </c>
      <c r="B45" t="s">
        <v>125</v>
      </c>
      <c r="C45" s="7">
        <f>(J$61/$D$61)^$C38</f>
        <v>0.98542813871823698</v>
      </c>
      <c r="D45" s="7">
        <f>(L$61/$D$61)^$C38</f>
        <v>0.83013521047388195</v>
      </c>
      <c r="E45" s="7">
        <f>(N$61/$D$61)^$C38</f>
        <v>0.69951284100481781</v>
      </c>
      <c r="F45" s="7">
        <f>(P$61/$D$61)^$C38</f>
        <v>0.58942567497978415</v>
      </c>
      <c r="I45" s="7"/>
      <c r="J45" s="7"/>
      <c r="K45" s="7"/>
      <c r="L45" s="7"/>
      <c r="O45" s="7"/>
      <c r="P45" s="7"/>
      <c r="Q45" s="7"/>
      <c r="R45" s="7"/>
      <c r="U45" s="27"/>
      <c r="V45" s="27"/>
      <c r="W45" s="27"/>
      <c r="X45" s="27"/>
      <c r="AA45" s="27"/>
      <c r="AB45" s="27"/>
      <c r="AC45" s="27"/>
      <c r="AD45" s="27"/>
    </row>
    <row r="46" spans="1:30" x14ac:dyDescent="0.25">
      <c r="A46" s="52"/>
      <c r="B46" t="s">
        <v>126</v>
      </c>
      <c r="C46" s="7">
        <f>(J$61/$D$61)^$C39</f>
        <v>0.97029804920612028</v>
      </c>
      <c r="D46" s="7">
        <f>(L$61/$D$61)^$C39</f>
        <v>0.68222127988888837</v>
      </c>
      <c r="E46" s="7">
        <f>(N$61/$D$61)^$C39</f>
        <v>0.47995218962291336</v>
      </c>
      <c r="F46" s="7">
        <f>(P$61/$D$61)^$C39</f>
        <v>0.33763150667005282</v>
      </c>
      <c r="I46" s="7"/>
      <c r="J46" s="7"/>
      <c r="K46" s="7"/>
      <c r="L46" s="7"/>
      <c r="O46" s="7"/>
      <c r="P46" s="7"/>
      <c r="Q46" s="7"/>
      <c r="R46" s="7"/>
      <c r="U46" s="27"/>
      <c r="V46" s="27"/>
      <c r="W46" s="27"/>
      <c r="X46" s="27"/>
      <c r="AA46" s="27"/>
      <c r="AB46" s="27"/>
      <c r="AC46" s="27"/>
      <c r="AD46" s="27"/>
    </row>
    <row r="47" spans="1:30" x14ac:dyDescent="0.25">
      <c r="A47" s="52"/>
      <c r="B47" t="s">
        <v>127</v>
      </c>
      <c r="C47" s="7">
        <f>(J$61/$D$61)^$C40</f>
        <v>0.99423508675554517</v>
      </c>
      <c r="D47" s="7">
        <f>(L$61/$D$61)^$C40</f>
        <v>0.92929893486818904</v>
      </c>
      <c r="E47" s="7">
        <f>(N$61/$D$61)^$C40</f>
        <v>0.86870081960783052</v>
      </c>
      <c r="F47" s="7">
        <f>(P$61/$D$61)^$C40</f>
        <v>0.81204427097487708</v>
      </c>
      <c r="I47" s="7"/>
      <c r="J47" s="7"/>
      <c r="K47" s="7"/>
      <c r="L47" s="7"/>
      <c r="O47" s="7"/>
      <c r="P47" s="7"/>
      <c r="Q47" s="7"/>
      <c r="R47" s="7"/>
      <c r="U47" s="27"/>
      <c r="V47" s="27"/>
      <c r="W47" s="27"/>
      <c r="X47" s="27"/>
      <c r="AA47" s="27"/>
      <c r="AB47" s="27"/>
      <c r="AC47" s="27"/>
      <c r="AD47" s="27"/>
    </row>
    <row r="48" spans="1:30" x14ac:dyDescent="0.25">
      <c r="A48" s="30"/>
      <c r="B48" s="40" t="s">
        <v>156</v>
      </c>
      <c r="C48" s="57">
        <f>(J$61/$D$61)^$C41</f>
        <v>0.97793607789686332</v>
      </c>
      <c r="D48" s="57">
        <f>(L$61/$D$61)^$C41</f>
        <v>0.75355152572329054</v>
      </c>
      <c r="E48" s="57">
        <f>(N$61/$D$61)^$C41</f>
        <v>0.58090131404493528</v>
      </c>
      <c r="F48" s="57">
        <f>(P$61/$D$61)^$C41</f>
        <v>0.44778675999732148</v>
      </c>
      <c r="I48" s="7"/>
      <c r="J48" s="7"/>
      <c r="K48" s="7"/>
      <c r="L48" s="7"/>
      <c r="O48" s="7"/>
      <c r="P48" s="7"/>
      <c r="Q48" s="7"/>
      <c r="R48" s="7"/>
      <c r="U48" s="27"/>
      <c r="V48" s="27"/>
      <c r="W48" s="27"/>
      <c r="X48" s="27"/>
      <c r="AA48" s="27"/>
      <c r="AB48" s="27"/>
      <c r="AC48" s="27"/>
      <c r="AD48" s="27"/>
    </row>
    <row r="53" spans="1:42" x14ac:dyDescent="0.25">
      <c r="B53" s="2">
        <v>2010</v>
      </c>
      <c r="C53" s="2">
        <v>2015</v>
      </c>
      <c r="D53" s="2">
        <v>2020</v>
      </c>
      <c r="E53" s="2">
        <v>2025</v>
      </c>
      <c r="F53" s="2">
        <v>2030</v>
      </c>
      <c r="G53" s="2">
        <v>2035</v>
      </c>
      <c r="H53" s="2">
        <v>2040</v>
      </c>
      <c r="I53" s="2">
        <v>2045</v>
      </c>
      <c r="J53" s="2">
        <v>2050</v>
      </c>
      <c r="L53" t="s">
        <v>154</v>
      </c>
    </row>
    <row r="54" spans="1:42" x14ac:dyDescent="0.25">
      <c r="A54" t="s">
        <v>161</v>
      </c>
      <c r="B54" s="4">
        <v>0.23</v>
      </c>
      <c r="C54" s="6">
        <f>$B$54*(($L$54)+1)^(C53-$B$53)</f>
        <v>0.23229334878626626</v>
      </c>
      <c r="D54" s="4">
        <v>0.23499999999999999</v>
      </c>
      <c r="E54" s="6">
        <f>$B$54*(($L$54)+1)^(E53-$B$53)</f>
        <v>0.23694887587340119</v>
      </c>
      <c r="F54" s="4">
        <v>0.23899999999999999</v>
      </c>
      <c r="G54" s="6">
        <f>$B$54*(($L$54)+1)^(G53-$B$53)</f>
        <v>0.24169770710623067</v>
      </c>
      <c r="H54" s="4">
        <v>0.24399999999999999</v>
      </c>
      <c r="I54" s="6">
        <f>$B$54*(($L$54)+1)^(I53-$B$53)</f>
        <v>0.24654171244779896</v>
      </c>
      <c r="J54" s="4">
        <v>0.249</v>
      </c>
      <c r="L54" s="44">
        <f>(J54/B54)^(1/(J53-B53)) - 1</f>
        <v>1.9863097934411655E-3</v>
      </c>
    </row>
    <row r="55" spans="1:42" x14ac:dyDescent="0.25">
      <c r="A55" t="s">
        <v>162</v>
      </c>
    </row>
    <row r="58" spans="1:42" x14ac:dyDescent="0.25">
      <c r="C58" s="2" t="s">
        <v>148</v>
      </c>
      <c r="D58" s="2" t="s">
        <v>149</v>
      </c>
      <c r="E58" s="2" t="s">
        <v>151</v>
      </c>
      <c r="G58" s="2"/>
    </row>
    <row r="59" spans="1:42" x14ac:dyDescent="0.25">
      <c r="A59" t="s">
        <v>130</v>
      </c>
      <c r="B59" t="s">
        <v>134</v>
      </c>
      <c r="C59" s="5">
        <f>SUM(C64:C65)</f>
        <v>4.4000000000000004</v>
      </c>
      <c r="D59" s="5">
        <f>SUM(D66:D69)</f>
        <v>47.2</v>
      </c>
      <c r="E59" s="38">
        <f>E60-D60</f>
        <v>12.054529226143401</v>
      </c>
      <c r="J59" s="2">
        <v>2020</v>
      </c>
      <c r="K59" s="2">
        <v>2025</v>
      </c>
      <c r="L59" s="2">
        <v>2030</v>
      </c>
      <c r="M59" s="2">
        <v>2035</v>
      </c>
      <c r="N59" s="2">
        <v>2040</v>
      </c>
      <c r="O59" s="2">
        <v>2045</v>
      </c>
      <c r="P59" s="2">
        <v>2050</v>
      </c>
      <c r="R59" t="s">
        <v>154</v>
      </c>
    </row>
    <row r="60" spans="1:42" x14ac:dyDescent="0.25">
      <c r="A60" t="s">
        <v>131</v>
      </c>
      <c r="B60" t="s">
        <v>134</v>
      </c>
      <c r="C60">
        <f>C59</f>
        <v>4.4000000000000004</v>
      </c>
      <c r="D60" s="5">
        <f>C59+D59</f>
        <v>51.6</v>
      </c>
      <c r="E60" s="37">
        <f>N89</f>
        <v>63.654529226143403</v>
      </c>
      <c r="I60" t="s">
        <v>159</v>
      </c>
      <c r="J60" s="37">
        <f>E60</f>
        <v>63.654529226143403</v>
      </c>
      <c r="K60" s="27">
        <f>$J$60*(($R$60)+1)^(K59-$J$59)</f>
        <v>204.50664881278612</v>
      </c>
      <c r="L60" s="27">
        <f>$J$60*(($R$60)+1)^(L59-$J$59)</f>
        <v>657.03053525151552</v>
      </c>
      <c r="M60" s="16">
        <f>$J$60*(($R$60)+1)^(M59-$J$59)</f>
        <v>2110.8806327762923</v>
      </c>
      <c r="N60" s="16">
        <f>$J$60*(($R$60)+1)^(N59-$J$59)</f>
        <v>6781.7503247764962</v>
      </c>
      <c r="O60" s="16">
        <f>$J$60*(($R$60)+1)^(O59-$J$59)</f>
        <v>21788.128022718131</v>
      </c>
      <c r="P60" s="39">
        <v>70000</v>
      </c>
      <c r="R60" s="25">
        <f>(P60/J60)^(1/(P59-J59)) - 1</f>
        <v>0.26291937009428801</v>
      </c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x14ac:dyDescent="0.25">
      <c r="A61" t="s">
        <v>131</v>
      </c>
      <c r="B61" t="s">
        <v>160</v>
      </c>
      <c r="C61" s="5">
        <f>C60/B54</f>
        <v>19.130434782608695</v>
      </c>
      <c r="D61" s="5">
        <f>D60/C54</f>
        <v>222.13292059204545</v>
      </c>
      <c r="E61" s="5">
        <f>E60/$D$54</f>
        <v>270.87033713252515</v>
      </c>
      <c r="I61" t="s">
        <v>160</v>
      </c>
      <c r="J61" s="27">
        <f>J60/D$54</f>
        <v>270.87033713252515</v>
      </c>
      <c r="K61" s="16">
        <f>K60/E$54</f>
        <v>863.08343122105146</v>
      </c>
      <c r="L61" s="16">
        <f>L60/F$54</f>
        <v>2749.0817374540397</v>
      </c>
      <c r="M61" s="16">
        <f>M60/G$54</f>
        <v>8733.5567144975885</v>
      </c>
      <c r="N61" s="16">
        <f>N60/H$54</f>
        <v>27794.058708100394</v>
      </c>
      <c r="O61" s="16">
        <f>O60/I$54</f>
        <v>88375.01697539883</v>
      </c>
      <c r="P61" s="16">
        <f>P60/J$54</f>
        <v>281124.49799196789</v>
      </c>
    </row>
    <row r="63" spans="1:42" x14ac:dyDescent="0.25">
      <c r="A63" s="2" t="s">
        <v>135</v>
      </c>
      <c r="C63" s="2" t="s">
        <v>148</v>
      </c>
      <c r="D63" s="2" t="s">
        <v>149</v>
      </c>
      <c r="I63" s="2"/>
    </row>
    <row r="64" spans="1:42" x14ac:dyDescent="0.25">
      <c r="A64" t="s">
        <v>138</v>
      </c>
      <c r="B64" t="s">
        <v>134</v>
      </c>
      <c r="C64" s="4">
        <v>2.9</v>
      </c>
      <c r="D64" s="4"/>
    </row>
    <row r="65" spans="1:20" x14ac:dyDescent="0.25">
      <c r="A65" t="s">
        <v>139</v>
      </c>
      <c r="B65" t="s">
        <v>134</v>
      </c>
      <c r="C65" s="4">
        <v>1.5</v>
      </c>
      <c r="D65" s="4"/>
    </row>
    <row r="66" spans="1:20" x14ac:dyDescent="0.25">
      <c r="A66" t="s">
        <v>140</v>
      </c>
      <c r="B66" t="s">
        <v>134</v>
      </c>
      <c r="C66" s="4"/>
      <c r="D66" s="4">
        <v>40</v>
      </c>
    </row>
    <row r="67" spans="1:20" x14ac:dyDescent="0.25">
      <c r="A67" t="s">
        <v>141</v>
      </c>
      <c r="B67" t="s">
        <v>134</v>
      </c>
      <c r="C67" s="4"/>
      <c r="D67" s="4">
        <v>4</v>
      </c>
    </row>
    <row r="68" spans="1:20" x14ac:dyDescent="0.25">
      <c r="A68" t="s">
        <v>137</v>
      </c>
      <c r="B68" t="s">
        <v>134</v>
      </c>
      <c r="C68" s="4"/>
      <c r="D68" s="4">
        <v>1.5</v>
      </c>
    </row>
    <row r="69" spans="1:20" x14ac:dyDescent="0.25">
      <c r="A69" t="s">
        <v>142</v>
      </c>
      <c r="B69" t="s">
        <v>134</v>
      </c>
      <c r="C69" s="4"/>
      <c r="D69" s="4">
        <v>1.7</v>
      </c>
    </row>
    <row r="71" spans="1:20" x14ac:dyDescent="0.25">
      <c r="A71" s="2" t="s">
        <v>136</v>
      </c>
    </row>
    <row r="72" spans="1:20" x14ac:dyDescent="0.25">
      <c r="A72" t="s">
        <v>144</v>
      </c>
      <c r="B72" t="s">
        <v>134</v>
      </c>
      <c r="D72" s="4">
        <v>1</v>
      </c>
    </row>
    <row r="73" spans="1:20" x14ac:dyDescent="0.25">
      <c r="A73" t="s">
        <v>143</v>
      </c>
      <c r="B73" t="s">
        <v>134</v>
      </c>
      <c r="D73" s="4">
        <v>3.75</v>
      </c>
    </row>
    <row r="74" spans="1:20" x14ac:dyDescent="0.25">
      <c r="A74" t="s">
        <v>145</v>
      </c>
      <c r="B74" t="s">
        <v>134</v>
      </c>
      <c r="D74" s="4">
        <v>5</v>
      </c>
    </row>
    <row r="75" spans="1:20" x14ac:dyDescent="0.25">
      <c r="A75" t="s">
        <v>146</v>
      </c>
      <c r="B75" t="s">
        <v>134</v>
      </c>
      <c r="D75" s="4">
        <v>5</v>
      </c>
    </row>
    <row r="76" spans="1:20" x14ac:dyDescent="0.25">
      <c r="A76" t="s">
        <v>147</v>
      </c>
      <c r="B76" t="s">
        <v>134</v>
      </c>
      <c r="D76" s="32">
        <v>3</v>
      </c>
    </row>
    <row r="78" spans="1:20" x14ac:dyDescent="0.25">
      <c r="A78" t="s">
        <v>150</v>
      </c>
    </row>
    <row r="80" spans="1:20" x14ac:dyDescent="0.25">
      <c r="N80" s="46"/>
      <c r="O80" s="46"/>
      <c r="P80" s="46"/>
      <c r="Q80" s="46"/>
      <c r="R80" s="46"/>
      <c r="S80" s="46"/>
      <c r="T80" s="46"/>
    </row>
    <row r="81" spans="1:23" x14ac:dyDescent="0.25">
      <c r="C81" s="2">
        <v>2009</v>
      </c>
      <c r="D81" s="2">
        <v>2010</v>
      </c>
      <c r="E81" s="2">
        <v>2011</v>
      </c>
      <c r="F81" s="2">
        <v>2012</v>
      </c>
      <c r="G81" s="2">
        <v>2013</v>
      </c>
      <c r="H81" s="2">
        <v>2014</v>
      </c>
      <c r="I81" s="2">
        <v>2015</v>
      </c>
      <c r="J81" s="2">
        <v>2016</v>
      </c>
      <c r="K81" s="2">
        <v>2017</v>
      </c>
      <c r="L81" s="2">
        <v>2018</v>
      </c>
      <c r="M81" s="2">
        <v>2019</v>
      </c>
      <c r="O81" t="s">
        <v>155</v>
      </c>
    </row>
    <row r="82" spans="1:23" x14ac:dyDescent="0.25">
      <c r="A82" t="s">
        <v>132</v>
      </c>
      <c r="B82" t="s">
        <v>159</v>
      </c>
      <c r="C82" s="43">
        <v>9791</v>
      </c>
      <c r="D82" s="43">
        <v>9998</v>
      </c>
      <c r="E82" s="43">
        <v>10088</v>
      </c>
      <c r="F82" s="43">
        <v>10482</v>
      </c>
      <c r="G82" s="43">
        <v>10731</v>
      </c>
      <c r="H82" s="43">
        <v>11209</v>
      </c>
      <c r="I82" s="43">
        <v>11856</v>
      </c>
      <c r="J82" s="43">
        <v>12281</v>
      </c>
      <c r="K82" s="43">
        <v>12789</v>
      </c>
      <c r="L82" s="43">
        <v>13329</v>
      </c>
      <c r="M82" s="43">
        <v>14900</v>
      </c>
      <c r="O82" s="25">
        <f>(M82/C82)^(1/(M81-C81)) - 1</f>
        <v>4.2883801295025448E-2</v>
      </c>
      <c r="W82" s="25"/>
    </row>
    <row r="83" spans="1:23" x14ac:dyDescent="0.25">
      <c r="A83" t="s">
        <v>133</v>
      </c>
    </row>
    <row r="84" spans="1:23" x14ac:dyDescent="0.25">
      <c r="A84" s="36" t="s">
        <v>152</v>
      </c>
      <c r="W84" s="25"/>
    </row>
    <row r="86" spans="1:23" x14ac:dyDescent="0.25"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P86" t="s">
        <v>163</v>
      </c>
    </row>
    <row r="87" spans="1:23" x14ac:dyDescent="0.25">
      <c r="A87" t="s">
        <v>153</v>
      </c>
      <c r="D87" s="33">
        <f>C60/D82</f>
        <v>4.4008801760352074E-4</v>
      </c>
      <c r="E87" s="34">
        <f>D$87+(D$87*$P$87)</f>
        <v>6.959434270907281E-4</v>
      </c>
      <c r="F87" s="34">
        <f>E$87+(E$87*$P$87)</f>
        <v>1.1005463324091939E-3</v>
      </c>
      <c r="G87" s="34">
        <f>F$87+(F$87*$P$87)</f>
        <v>1.7403745514812186E-3</v>
      </c>
      <c r="H87" s="34">
        <f>G$87+(G$87*$P$87)</f>
        <v>2.7521817939394821E-3</v>
      </c>
      <c r="I87" s="33">
        <f>D60/I82</f>
        <v>4.3522267206477731E-3</v>
      </c>
      <c r="J87" s="34">
        <f>I$87+(I$87*$P$87)</f>
        <v>6.8824949971080978E-3</v>
      </c>
      <c r="K87" s="34">
        <f>J$87+(J$87*$P$87)</f>
        <v>1.0883793613161715E-2</v>
      </c>
      <c r="L87" s="34">
        <f>K$87+(K$87*$P$87)</f>
        <v>1.7211340286287641E-2</v>
      </c>
      <c r="M87" s="34">
        <f>L$87+(L$87*$P$87)</f>
        <v>2.7217553454170457E-2</v>
      </c>
      <c r="N87" s="34">
        <f>M$87+(M$87*$P$87)</f>
        <v>4.3041111482806559E-2</v>
      </c>
      <c r="P87" s="25">
        <f>(I87/D87)^(1/(2015-2010)) - 1</f>
        <v>0.58137326910297693</v>
      </c>
    </row>
    <row r="88" spans="1:23" x14ac:dyDescent="0.25">
      <c r="U88" s="25"/>
    </row>
    <row r="89" spans="1:23" x14ac:dyDescent="0.25">
      <c r="J89" s="7">
        <f>D60*(($O$82)+1)^1</f>
        <v>53.812804146823318</v>
      </c>
      <c r="K89" s="7">
        <f>J89*(($O$82)+1)^1</f>
        <v>56.120501746983813</v>
      </c>
      <c r="L89" s="7">
        <f>K89*(($O$82)+1)^1</f>
        <v>58.527162192478592</v>
      </c>
      <c r="M89" s="7">
        <f>L89*(($O$82)+1)^1</f>
        <v>61.037029386302571</v>
      </c>
      <c r="N89" s="7">
        <f>M89*(($O$82)+1)^1</f>
        <v>63.654529226143403</v>
      </c>
      <c r="O89" s="7"/>
    </row>
    <row r="90" spans="1:23" x14ac:dyDescent="0.25">
      <c r="I90" s="35"/>
    </row>
    <row r="91" spans="1:23" x14ac:dyDescent="0.25">
      <c r="J91" s="7"/>
    </row>
  </sheetData>
  <mergeCells count="9">
    <mergeCell ref="C43:F43"/>
    <mergeCell ref="AA1:AE1"/>
    <mergeCell ref="A31:A33"/>
    <mergeCell ref="A38:A40"/>
    <mergeCell ref="A45:A47"/>
    <mergeCell ref="I1:M1"/>
    <mergeCell ref="C1:G1"/>
    <mergeCell ref="O1:S1"/>
    <mergeCell ref="U1:Y1"/>
  </mergeCells>
  <hyperlinks>
    <hyperlink ref="A84" r:id="rId1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Geo cost_assumptions_input data</vt:lpstr>
      <vt:lpstr>Future projections of Geo cost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</dc:creator>
  <cp:lastModifiedBy>Arman Aghahosseini</cp:lastModifiedBy>
  <dcterms:created xsi:type="dcterms:W3CDTF">2019-10-24T15:11:44Z</dcterms:created>
  <dcterms:modified xsi:type="dcterms:W3CDTF">2020-04-07T08:58:48Z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