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git\bte5511_kropl2\KiCad\BOM\"/>
    </mc:Choice>
  </mc:AlternateContent>
  <bookViews>
    <workbookView xWindow="240" yWindow="15" windowWidth="16095" windowHeight="9660"/>
  </bookViews>
  <sheets>
    <sheet name="KiCad. " sheetId="1" r:id="rId1"/>
  </sheets>
  <definedNames>
    <definedName name="BoardQty">'KiCad. '!$I$1</definedName>
    <definedName name="digikey_part_data">'KiCad. '!$J$5:$N$47</definedName>
    <definedName name="global_part_data">'KiCad. '!$A$5:$I$47</definedName>
    <definedName name="TotalCost">'KiCad. '!$I$2</definedName>
  </definedNames>
  <calcPr calcId="162913"/>
</workbook>
</file>

<file path=xl/calcChain.xml><?xml version="1.0" encoding="utf-8"?>
<calcChain xmlns="http://schemas.openxmlformats.org/spreadsheetml/2006/main">
  <c r="M90" i="1" l="1" a="1"/>
  <c r="M90" i="1" s="1"/>
  <c r="L90" i="1" a="1"/>
  <c r="L90" i="1" s="1"/>
  <c r="K90" i="1" a="1"/>
  <c r="K90" i="1" s="1"/>
  <c r="M89" i="1" a="1"/>
  <c r="M89" i="1" s="1"/>
  <c r="L89" i="1" a="1"/>
  <c r="L89" i="1" s="1"/>
  <c r="K89" i="1" a="1"/>
  <c r="K89" i="1" s="1"/>
  <c r="M88" i="1" a="1"/>
  <c r="M88" i="1" s="1"/>
  <c r="L88" i="1" a="1"/>
  <c r="L88" i="1" s="1"/>
  <c r="K88" i="1" a="1"/>
  <c r="K88" i="1" s="1"/>
  <c r="M87" i="1" a="1"/>
  <c r="M87" i="1" s="1"/>
  <c r="L87" i="1" a="1"/>
  <c r="L87" i="1" s="1"/>
  <c r="K87" i="1" a="1"/>
  <c r="K87" i="1" s="1"/>
  <c r="M86" i="1" a="1"/>
  <c r="M86" i="1" s="1"/>
  <c r="L86" i="1" a="1"/>
  <c r="L86" i="1" s="1"/>
  <c r="K86" i="1" a="1"/>
  <c r="K86" i="1" s="1"/>
  <c r="M85" i="1" a="1"/>
  <c r="M85" i="1" s="1"/>
  <c r="L85" i="1" a="1"/>
  <c r="L85" i="1" s="1"/>
  <c r="K85" i="1" a="1"/>
  <c r="K85" i="1" s="1"/>
  <c r="M84" i="1" a="1"/>
  <c r="M84" i="1" s="1"/>
  <c r="L84" i="1" a="1"/>
  <c r="L84" i="1" s="1"/>
  <c r="K84" i="1" a="1"/>
  <c r="K84" i="1" s="1"/>
  <c r="M83" i="1" a="1"/>
  <c r="M83" i="1" s="1"/>
  <c r="L83" i="1" a="1"/>
  <c r="L83" i="1" s="1"/>
  <c r="K83" i="1" a="1"/>
  <c r="K83" i="1" s="1"/>
  <c r="M82" i="1" a="1"/>
  <c r="M82" i="1" s="1"/>
  <c r="L82" i="1" a="1"/>
  <c r="L82" i="1" s="1"/>
  <c r="K82" i="1" a="1"/>
  <c r="K82" i="1" s="1"/>
  <c r="M81" i="1" a="1"/>
  <c r="M81" i="1" s="1"/>
  <c r="L81" i="1" a="1"/>
  <c r="L81" i="1" s="1"/>
  <c r="K81" i="1" a="1"/>
  <c r="K81" i="1" s="1"/>
  <c r="M80" i="1" a="1"/>
  <c r="M80" i="1" s="1"/>
  <c r="L80" i="1" a="1"/>
  <c r="L80" i="1" s="1"/>
  <c r="K80" i="1" a="1"/>
  <c r="K80" i="1" s="1"/>
  <c r="M79" i="1" a="1"/>
  <c r="M79" i="1" s="1"/>
  <c r="L79" i="1" a="1"/>
  <c r="L79" i="1" s="1"/>
  <c r="K79" i="1" a="1"/>
  <c r="K79" i="1" s="1"/>
  <c r="M78" i="1" a="1"/>
  <c r="M78" i="1" s="1"/>
  <c r="L78" i="1" a="1"/>
  <c r="L78" i="1" s="1"/>
  <c r="K78" i="1" a="1"/>
  <c r="K78" i="1" s="1"/>
  <c r="M77" i="1" a="1"/>
  <c r="M77" i="1" s="1"/>
  <c r="L77" i="1" a="1"/>
  <c r="L77" i="1" s="1"/>
  <c r="K77" i="1" a="1"/>
  <c r="K77" i="1" s="1"/>
  <c r="M76" i="1" a="1"/>
  <c r="M76" i="1" s="1"/>
  <c r="L76" i="1" a="1"/>
  <c r="L76" i="1" s="1"/>
  <c r="K76" i="1" a="1"/>
  <c r="K76" i="1" s="1"/>
  <c r="M75" i="1" a="1"/>
  <c r="M75" i="1" s="1"/>
  <c r="L75" i="1" a="1"/>
  <c r="L75" i="1" s="1"/>
  <c r="K75" i="1" a="1"/>
  <c r="K75" i="1" s="1"/>
  <c r="M74" i="1" a="1"/>
  <c r="M74" i="1" s="1"/>
  <c r="L74" i="1" a="1"/>
  <c r="L74" i="1" s="1"/>
  <c r="K74" i="1" a="1"/>
  <c r="K74" i="1" s="1"/>
  <c r="M73" i="1" a="1"/>
  <c r="M73" i="1" s="1"/>
  <c r="L73" i="1" a="1"/>
  <c r="L73" i="1" s="1"/>
  <c r="K73" i="1" a="1"/>
  <c r="K73" i="1" s="1"/>
  <c r="M72" i="1" a="1"/>
  <c r="M72" i="1" s="1"/>
  <c r="L72" i="1" a="1"/>
  <c r="L72" i="1" s="1"/>
  <c r="K72" i="1" a="1"/>
  <c r="K72" i="1" s="1"/>
  <c r="M71" i="1" a="1"/>
  <c r="M71" i="1" s="1"/>
  <c r="L71" i="1" a="1"/>
  <c r="L71" i="1" s="1"/>
  <c r="K71" i="1" a="1"/>
  <c r="K71" i="1" s="1"/>
  <c r="M70" i="1" a="1"/>
  <c r="M70" i="1" s="1"/>
  <c r="L70" i="1" a="1"/>
  <c r="L70" i="1" s="1"/>
  <c r="K70" i="1" a="1"/>
  <c r="K70" i="1" s="1"/>
  <c r="M69" i="1" a="1"/>
  <c r="M69" i="1" s="1"/>
  <c r="L69" i="1" a="1"/>
  <c r="L69" i="1" s="1"/>
  <c r="K69" i="1" a="1"/>
  <c r="K69" i="1" s="1"/>
  <c r="M68" i="1" a="1"/>
  <c r="M68" i="1" s="1"/>
  <c r="L68" i="1" a="1"/>
  <c r="L68" i="1" s="1"/>
  <c r="K68" i="1" a="1"/>
  <c r="K68" i="1" s="1"/>
  <c r="M67" i="1" a="1"/>
  <c r="M67" i="1" s="1"/>
  <c r="L67" i="1" a="1"/>
  <c r="L67" i="1" s="1"/>
  <c r="K67" i="1" a="1"/>
  <c r="K67" i="1" s="1"/>
  <c r="M66" i="1" a="1"/>
  <c r="M66" i="1" s="1"/>
  <c r="L66" i="1" a="1"/>
  <c r="L66" i="1" s="1"/>
  <c r="K66" i="1" a="1"/>
  <c r="K66" i="1" s="1"/>
  <c r="M65" i="1" a="1"/>
  <c r="M65" i="1" s="1"/>
  <c r="L65" i="1" a="1"/>
  <c r="L65" i="1" s="1"/>
  <c r="K65" i="1" a="1"/>
  <c r="K65" i="1" s="1"/>
  <c r="M64" i="1" a="1"/>
  <c r="M64" i="1" s="1"/>
  <c r="L64" i="1" a="1"/>
  <c r="L64" i="1" s="1"/>
  <c r="K64" i="1" a="1"/>
  <c r="K64" i="1" s="1"/>
  <c r="M63" i="1" a="1"/>
  <c r="M63" i="1" s="1"/>
  <c r="L63" i="1" a="1"/>
  <c r="L63" i="1" s="1"/>
  <c r="K63" i="1" a="1"/>
  <c r="K63" i="1" s="1"/>
  <c r="M62" i="1" a="1"/>
  <c r="M62" i="1" s="1"/>
  <c r="L62" i="1" a="1"/>
  <c r="L62" i="1" s="1"/>
  <c r="K62" i="1" a="1"/>
  <c r="K62" i="1" s="1"/>
  <c r="M61" i="1" a="1"/>
  <c r="M61" i="1" s="1"/>
  <c r="L61" i="1" a="1"/>
  <c r="L61" i="1" s="1"/>
  <c r="K61" i="1" a="1"/>
  <c r="K61" i="1" s="1"/>
  <c r="M60" i="1" a="1"/>
  <c r="M60" i="1" s="1"/>
  <c r="L60" i="1" a="1"/>
  <c r="L60" i="1" s="1"/>
  <c r="K60" i="1" a="1"/>
  <c r="K60" i="1" s="1"/>
  <c r="M59" i="1" a="1"/>
  <c r="M59" i="1" s="1"/>
  <c r="L59" i="1" a="1"/>
  <c r="L59" i="1" s="1"/>
  <c r="K59" i="1" a="1"/>
  <c r="K59" i="1" s="1"/>
  <c r="M58" i="1" a="1"/>
  <c r="M58" i="1" s="1"/>
  <c r="L58" i="1" a="1"/>
  <c r="L58" i="1" s="1"/>
  <c r="K58" i="1" a="1"/>
  <c r="K58" i="1" s="1"/>
  <c r="M57" i="1" a="1"/>
  <c r="M57" i="1" s="1"/>
  <c r="L57" i="1" a="1"/>
  <c r="L57" i="1" s="1"/>
  <c r="K57" i="1" a="1"/>
  <c r="K57" i="1" s="1"/>
  <c r="M56" i="1" a="1"/>
  <c r="M56" i="1" s="1"/>
  <c r="L56" i="1" a="1"/>
  <c r="L56" i="1" s="1"/>
  <c r="K56" i="1" a="1"/>
  <c r="K56" i="1" s="1"/>
  <c r="M55" i="1" a="1"/>
  <c r="M55" i="1" s="1"/>
  <c r="L55" i="1" a="1"/>
  <c r="L55" i="1" s="1"/>
  <c r="K55" i="1" a="1"/>
  <c r="K55" i="1" s="1"/>
  <c r="M54" i="1" a="1"/>
  <c r="M54" i="1" s="1"/>
  <c r="L54" i="1" a="1"/>
  <c r="L54" i="1" s="1"/>
  <c r="K54" i="1" a="1"/>
  <c r="K54" i="1" s="1"/>
  <c r="M53" i="1" a="1"/>
  <c r="M53" i="1" s="1"/>
  <c r="L53" i="1" a="1"/>
  <c r="L53" i="1" s="1"/>
  <c r="K53" i="1" a="1"/>
  <c r="K53" i="1" s="1"/>
  <c r="M52" i="1" a="1"/>
  <c r="M52" i="1" s="1"/>
  <c r="L52" i="1" a="1"/>
  <c r="L52" i="1" s="1"/>
  <c r="K52" i="1" a="1"/>
  <c r="K52" i="1" s="1"/>
  <c r="M51" i="1" a="1"/>
  <c r="M51" i="1" s="1"/>
  <c r="L51" i="1" a="1"/>
  <c r="L51" i="1" s="1"/>
  <c r="K51" i="1" a="1"/>
  <c r="K51" i="1" s="1"/>
  <c r="M50" i="1" a="1"/>
  <c r="M50" i="1" s="1"/>
  <c r="L50" i="1" a="1"/>
  <c r="L50" i="1" s="1"/>
  <c r="K50" i="1" a="1"/>
  <c r="K50" i="1" s="1"/>
  <c r="K49" i="1"/>
  <c r="L47" i="1"/>
  <c r="M47" i="1" s="1"/>
  <c r="G47" i="1"/>
  <c r="G46" i="1"/>
  <c r="L46" i="1" s="1"/>
  <c r="M46" i="1" s="1"/>
  <c r="L45" i="1"/>
  <c r="M45" i="1" s="1"/>
  <c r="G45" i="1"/>
  <c r="G44" i="1"/>
  <c r="L43" i="1"/>
  <c r="M43" i="1" s="1"/>
  <c r="G43" i="1"/>
  <c r="G42" i="1"/>
  <c r="L42" i="1" s="1"/>
  <c r="M42" i="1" s="1"/>
  <c r="L41" i="1"/>
  <c r="M41" i="1" s="1"/>
  <c r="G41" i="1"/>
  <c r="G40" i="1"/>
  <c r="L40" i="1" s="1"/>
  <c r="M40" i="1" s="1"/>
  <c r="L39" i="1"/>
  <c r="M39" i="1" s="1"/>
  <c r="G39" i="1"/>
  <c r="G38" i="1"/>
  <c r="L38" i="1" s="1"/>
  <c r="M38" i="1" s="1"/>
  <c r="L37" i="1"/>
  <c r="M37" i="1" s="1"/>
  <c r="G37" i="1"/>
  <c r="G36" i="1"/>
  <c r="L35" i="1"/>
  <c r="M35" i="1" s="1"/>
  <c r="G35" i="1"/>
  <c r="G34" i="1"/>
  <c r="L34" i="1" s="1"/>
  <c r="M34" i="1" s="1"/>
  <c r="L33" i="1"/>
  <c r="M33" i="1" s="1"/>
  <c r="G33" i="1"/>
  <c r="G32" i="1"/>
  <c r="L32" i="1" s="1"/>
  <c r="M32" i="1" s="1"/>
  <c r="L31" i="1"/>
  <c r="M31" i="1" s="1"/>
  <c r="G31" i="1"/>
  <c r="G30" i="1"/>
  <c r="L30" i="1" s="1"/>
  <c r="M30" i="1" s="1"/>
  <c r="L29" i="1"/>
  <c r="M29" i="1" s="1"/>
  <c r="G29" i="1"/>
  <c r="G28" i="1"/>
  <c r="L27" i="1"/>
  <c r="M27" i="1" s="1"/>
  <c r="G27" i="1"/>
  <c r="G26" i="1"/>
  <c r="L26" i="1" s="1"/>
  <c r="M26" i="1" s="1"/>
  <c r="L25" i="1"/>
  <c r="M25" i="1" s="1"/>
  <c r="G25" i="1"/>
  <c r="G24" i="1"/>
  <c r="L24" i="1" s="1"/>
  <c r="M24" i="1" s="1"/>
  <c r="L23" i="1"/>
  <c r="M23" i="1" s="1"/>
  <c r="G23" i="1"/>
  <c r="G22" i="1"/>
  <c r="L22" i="1" s="1"/>
  <c r="M22" i="1" s="1"/>
  <c r="L21" i="1"/>
  <c r="M21" i="1" s="1"/>
  <c r="G21" i="1"/>
  <c r="G20" i="1"/>
  <c r="L19" i="1"/>
  <c r="M19" i="1" s="1"/>
  <c r="G19" i="1"/>
  <c r="G18" i="1"/>
  <c r="L18" i="1" s="1"/>
  <c r="M18" i="1" s="1"/>
  <c r="L17" i="1"/>
  <c r="M17" i="1" s="1"/>
  <c r="G17" i="1"/>
  <c r="G16" i="1"/>
  <c r="L16" i="1" s="1"/>
  <c r="M16" i="1" s="1"/>
  <c r="L15" i="1"/>
  <c r="M15" i="1" s="1"/>
  <c r="G15" i="1"/>
  <c r="G14" i="1"/>
  <c r="L14" i="1" s="1"/>
  <c r="M14" i="1" s="1"/>
  <c r="L13" i="1"/>
  <c r="M13" i="1" s="1"/>
  <c r="G13" i="1"/>
  <c r="G12" i="1"/>
  <c r="L12" i="1" s="1"/>
  <c r="M12" i="1" s="1"/>
  <c r="L11" i="1"/>
  <c r="M11" i="1" s="1"/>
  <c r="G11" i="1"/>
  <c r="G10" i="1"/>
  <c r="L10" i="1" s="1"/>
  <c r="M10" i="1" s="1"/>
  <c r="L9" i="1"/>
  <c r="M9" i="1" s="1"/>
  <c r="G9" i="1"/>
  <c r="G8" i="1"/>
  <c r="L8" i="1" s="1"/>
  <c r="M8" i="1" s="1"/>
  <c r="L7" i="1"/>
  <c r="M7" i="1" s="1"/>
  <c r="G7" i="1"/>
  <c r="H41" i="1"/>
  <c r="H33" i="1"/>
  <c r="H25" i="1"/>
  <c r="H17" i="1"/>
  <c r="H37" i="1"/>
  <c r="H29" i="1"/>
  <c r="H12" i="1"/>
  <c r="H39" i="1"/>
  <c r="H31" i="1"/>
  <c r="H23" i="1"/>
  <c r="H7" i="1"/>
  <c r="H47" i="1"/>
  <c r="H42" i="1"/>
  <c r="H34" i="1"/>
  <c r="H26" i="1"/>
  <c r="H18" i="1"/>
  <c r="H10" i="1"/>
  <c r="H40" i="1"/>
  <c r="H32" i="1"/>
  <c r="H24" i="1"/>
  <c r="H16" i="1"/>
  <c r="H8" i="1"/>
  <c r="H35" i="1"/>
  <c r="H19" i="1"/>
  <c r="H11" i="1"/>
  <c r="H43" i="1"/>
  <c r="H27" i="1"/>
  <c r="H15" i="1"/>
  <c r="H45" i="1"/>
  <c r="H21" i="1"/>
  <c r="H13" i="1"/>
  <c r="H46" i="1"/>
  <c r="H38" i="1"/>
  <c r="H30" i="1"/>
  <c r="H22" i="1"/>
  <c r="H14" i="1"/>
  <c r="H9" i="1"/>
  <c r="I46" i="1" l="1"/>
  <c r="I15" i="1"/>
  <c r="I8" i="1"/>
  <c r="I16" i="1"/>
  <c r="I24" i="1"/>
  <c r="I32" i="1"/>
  <c r="I40" i="1"/>
  <c r="I47" i="1"/>
  <c r="I7" i="1"/>
  <c r="I23" i="1"/>
  <c r="I31" i="1"/>
  <c r="I39" i="1"/>
  <c r="I25" i="1"/>
  <c r="I41" i="1"/>
  <c r="I37" i="1"/>
  <c r="I19" i="1"/>
  <c r="I35" i="1"/>
  <c r="I27" i="1"/>
  <c r="I43" i="1"/>
  <c r="I21" i="1"/>
  <c r="I33" i="1"/>
  <c r="I11" i="1"/>
  <c r="I17" i="1"/>
  <c r="I9" i="1"/>
  <c r="I13" i="1"/>
  <c r="I29" i="1"/>
  <c r="I45" i="1"/>
  <c r="I12" i="1"/>
  <c r="L20" i="1"/>
  <c r="L28" i="1"/>
  <c r="L36" i="1"/>
  <c r="L44" i="1"/>
  <c r="I22" i="1"/>
  <c r="I30" i="1"/>
  <c r="I18" i="1"/>
  <c r="I14" i="1"/>
  <c r="I38" i="1"/>
  <c r="I10" i="1"/>
  <c r="I26" i="1"/>
  <c r="I34" i="1"/>
  <c r="I42" i="1"/>
  <c r="H44" i="1"/>
  <c r="H36" i="1"/>
  <c r="H20" i="1"/>
  <c r="H28" i="1"/>
  <c r="I28" i="1" l="1"/>
  <c r="I20" i="1"/>
  <c r="I36" i="1"/>
  <c r="I44" i="1"/>
  <c r="M28" i="1"/>
  <c r="M20" i="1"/>
  <c r="M36" i="1"/>
  <c r="M44" i="1"/>
  <c r="I2" i="1" l="1"/>
  <c r="I3" i="1" s="1"/>
  <c r="M2" i="1"/>
  <c r="M3" i="1"/>
</calcChain>
</file>

<file path=xl/comments1.xml><?xml version="1.0" encoding="utf-8"?>
<comments xmlns="http://schemas.openxmlformats.org/spreadsheetml/2006/main">
  <authors>
    <author/>
  </authors>
  <commentList>
    <comment ref="M3" authorId="0" shape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 shape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 shape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 shape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 shapeId="0">
      <text>
        <r>
          <rPr>
            <sz val="8"/>
            <color indexed="81"/>
            <rFont val="Tahoma"/>
            <family val="2"/>
          </rPr>
          <t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 shape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 shape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 shape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 shape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 shape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 shape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 shape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L7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$0.37      $0.37
    10   $0.25      $2.52
   100   $0.14     $14.31
   500   $0.10     $50.49
  1000   $0.09     $88.37
  4000   $0.07    $270.76
  8000   $0.06    $512.24
 12000   $0.06    $728.88</t>
        </r>
      </text>
    </comment>
    <comment ref="L8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$1.79      $1.79
    10   $1.45     $14.50
   100   $1.11    $110.76
   500   $0.78    $389.83
  1000   $0.69    $687.94
  2500   $0.64   $1605.20
  5000   $0.62   $3095.75
 12500   $0.59   $7425.37</t>
        </r>
      </text>
    </comment>
    <comment ref="L9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$0.17      $0.17
    10   $0.12      $1.23
   100   $0.06      $5.77
   500   $0.04     $20.25
  1000   $0.03     $33.52
  4000   $0.02     $99.28
  8000   $0.02    $184.72
 12000   $0.02    $263.16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$0.66      $0.66
    10   $0.49      $4.90
   100   $0.34     $33.60
   500   $0.27    $132.99
  1000   $0.21    $206.93
  2000   $0.19    $389.54
  5000   $0.18    $912.95
 10000   $0.17   $1704.20
 25000   $0.16   $4108.25
 50000   $0.16   $7912.00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$0.44      $0.44
    50   $0.34     $16.93
   100   $0.30     $30.49
   250   $0.28     $69.30
   500   $0.25    $124.74
  1000   $0.22    $221.76
  3000   $0.16    $466.29</t>
        </r>
      </text>
    </comment>
    <comment ref="L12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$0.17      $0.17
    50   $0.13      $6.44
   100   $0.12     $11.58
   250   $0.10     $26.24
   500   $0.10     $47.52
  1000   $0.08     $84.15
  3000   $0.06    $178.20</t>
        </r>
      </text>
    </comment>
    <comment ref="L13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$0.16      $0.16
    50   $0.12      $6.09
   100   $0.11     $10.99
   250   $0.10     $25.00
   500   $0.09     $45.05
  1000   $0.08     $80.19
  3000   $0.06    $166.32</t>
        </r>
      </text>
    </comment>
    <comment ref="L14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50   $0.06      $3.02
   100   $0.05      $5.45
   250   $0.05     $12.38
   500   $0.04     $22.28
  1000   $0.04     $39.60
  4000   $0.03    $110.88</t>
        </r>
      </text>
    </comment>
    <comment ref="L15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$0.19      $0.19
    10   $0.13      $1.31
   100   $0.06      $6.16
   500   $0.04     $21.57
  1000   $0.04     $35.72
  4000   $0.03    $105.84
  8000   $0.02    $196.88
 10000   $0.02    $246.10
 12000   $0.02    $280.56</t>
        </r>
      </text>
    </comment>
    <comment ref="L16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$0.07      $0.74
   100   $0.03      $3.32
   500   $0.02     $11.83
  1000   $0.02     $18.60
  2500   $0.02     $42.25
  4000   $0.01     $54.12
  5000   $0.02     $77.75
  8000   $0.01     $98.80
 10000   $0.01    $123.50
 12000   $0.01    $141.12
 20000   $0.01    $235.20
 30000   $0.01    $335.10</t>
        </r>
      </text>
    </comment>
    <comment ref="L17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$0.44      $0.44
    10   $0.33      $3.26
    25   $0.28      $7.12
   100   $0.18     $18.43
   250   $0.15     $38.14
   500   $0.12     $61.03
  1000   $0.09     $93.57
  3000   $0.08    $237.00
  6000   $0.07    $426.60
 15000   $0.06    $948.00
 30000   $0.06   $1777.50
 75000   $0.05   $3950.25</t>
        </r>
      </text>
    </comment>
    <comment ref="L18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$0.21      $0.21
    10   $0.17      $1.72
   100   $0.09      $9.16
   500   $0.06     $30.12
  1000   $0.04     $40.96
  3000   $0.04    $107.58
  6000   $0.03    $187.14
 15000   $0.03    $397.65
 30000   $0.02    $748.50
 75000   $0.02   $1754.25
150000   $0.02   $3118.50</t>
        </r>
      </text>
    </comment>
    <comment ref="L19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$0.40      $0.40
    10   $0.33      $3.26
   100   $0.17     $17.28
   500   $0.11     $56.82
  1000   $0.08     $77.27
  3000   $0.07    $202.98
  6000   $0.06    $353.04
 15000   $0.05    $750.15
 20000   $0.05   $1000.20
 30000   $0.05   $1412.10
 75000   $0.04   $3309.75</t>
        </r>
      </text>
    </comment>
    <comment ref="L20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$0.45      $0.45
    10   $0.34      $3.39
   100   $0.21     $21.08
   500   $0.14     $72.09
  1000   $0.11    $110.92
  3000   $0.10    $290.76
  6000   $0.09    $549.24
 15000   $0.08   $1251.90
 30000   $0.08   $2342.40</t>
        </r>
      </text>
    </comment>
    <comment ref="L21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$0.16      $0.16
    10   $0.14      $1.44
   100   $0.12     $11.86
   500   $0.09     $46.86
  1000   $0.08     $80.46
  5000   $0.07    $367.00
 10000   $0.07    $705.80</t>
        </r>
      </text>
    </comment>
    <comment ref="L22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$0.06      $0.58
    25   $0.04      $1.09
    50   $0.04      $1.87
   100   $0.04      $3.61
   250   $0.03      $7.80
   500   $0.03     $14.97
  1000   $0.03     $26.20
  2500   $0.02     $59.25</t>
        </r>
      </text>
    </comment>
    <comment ref="L23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$0.74      $0.74</t>
        </r>
      </text>
    </comment>
    <comment ref="L24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$0.74      $0.74</t>
        </r>
      </text>
    </comment>
    <comment ref="L25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$0.37      $0.37
    10   $0.31      $3.13
    50   $0.23     $11.38
   100   $0.22     $21.87
   250   $0.20     $49.08
  1000   $0.16    $159.98
  2500   $0.14    $357.00
  5000   $0.13    $669.35</t>
        </r>
      </text>
    </comment>
    <comment ref="L26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$12.69     $12.69
    10  $11.86    $118.60
    50  $10.91    $545.57
   100  $10.08   $1008.13
   250   $9.61   $2401.70
   500   $9.01   $4506.90</t>
        </r>
      </text>
    </comment>
    <comment ref="L27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$0.37      $0.37
    10   $0.35      $3.47
   100   $0.27     $26.64
   500   $0.23    $115.83
  1000   $0.19    $191.12
  5000   $0.17    $839.75
 10000   $0.17   $1673.10</t>
        </r>
      </text>
    </comment>
    <comment ref="L28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$0.58      $0.58
    10   $0.51      $5.10
   100   $0.36     $36.43
   500   $0.31    $153.01
  1000   $0.22    $215.42
  3000   $0.20    $608.25
  5000   $0.20    $982.10
 10000   $0.19   $1900.80
 25000   $0.18   $4593.50
 50000   $0.18   $8870.50</t>
        </r>
      </text>
    </comment>
    <comment ref="L29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$0.41      $4.07
   100   $0.29     $29.04
   500   $0.24    $121.94
  1000   $0.17    $171.67</t>
        </r>
      </text>
    </comment>
    <comment ref="L30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$0.15      $0.15
    10   $0.13      $1.33
   100   $0.09      $8.84
   500   $0.07     $36.86
  1000   $0.06     $61.91
  4000   $0.05    $184.64
  8000   $0.04    $348.72
 12000   $0.04    $492.36
 28000   $0.04   $1112.72
100000   $0.04   $3718.00</t>
        </r>
      </text>
    </comment>
    <comment ref="L31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$0.26      $0.26
    10   $0.23      $2.33
   100   $0.19     $19.16
   500   $0.15     $75.71
  1000   $0.13    $129.98
  5000   $0.12    $592.85
 10000   $0.11   $1140.10</t>
        </r>
      </text>
    </comment>
    <comment ref="L32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$0.61      $0.61
    10   $0.58      $5.80
   100   $0.44     $44.47
   500   $0.39    $193.35
  1000   $0.32    $319.03
  5000   $0.28   $1401.75
 10000   $0.28   $2792.80</t>
        </r>
      </text>
    </comment>
    <comment ref="J33" authorId="0" shape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33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$0.97      $0.97
    10   $0.86      $8.65
   100   $0.71     $71.25
   500   $0.56    $281.61
  1000   $0.48    $483.48
  5000   $0.44   $2205.35
 10000   $0.42   $4241.00</t>
        </r>
      </text>
    </comment>
    <comment ref="L34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$0.30      $0.30
    10   $0.26      $2.62
   100   $0.22     $21.58
   500   $0.17     $85.32
  1000   $0.15    $146.48
  5000   $0.13    $668.15
 10000   $0.13   $1284.90</t>
        </r>
      </text>
    </comment>
    <comment ref="L35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$0.58      $0.58
    10   $0.41      $4.14
   100   $0.27     $27.15
   500   $0.16     $80.20
  1000   $0.12    $123.38
  3000   $0.11    $323.43</t>
        </r>
      </text>
    </comment>
    <comment ref="J36" authorId="0" shape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36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$0.25      $2.46
   100   $0.14     $13.75
   500   $0.07     $36.84
  1000   $0.05     $50.09
  3000   $0.04    $131.58</t>
        </r>
      </text>
    </comment>
    <comment ref="L37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$0.50      $0.50
    10   $0.35      $3.55
   100   $0.14     $14.23
  1000   $0.07     $70.12
  2500   $0.06    $162.40
  5000   $0.05    $267.45
 10000   $0.05    $510.50
 25000   $0.05   $1222.75
 50000   $0.05   $2393.00
125000   $0.05   $5916.25</t>
        </r>
      </text>
    </comment>
    <comment ref="L38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$0.87
  1000   $0.00      $3.92
  2500   $0.00      $8.50
  5000   $0.00     $14.05
 10000   $0.00     $24.40
 25000   $0.00     $53.75
 50000   $0.00     $98.50
125000   $0.00    $241.25</t>
        </r>
      </text>
    </comment>
    <comment ref="L39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$0.87
  1000   $0.00      $3.92
  2500   $0.00      $8.50
  5000   $0.00     $14.05
 10000   $0.00     $24.40
 25000   $0.00     $53.75
 50000   $0.00     $98.50
125000   $0.00    $241.25</t>
        </r>
      </text>
    </comment>
    <comment ref="L40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$0.87
  1000   $0.00      $3.92
  2500   $0.00      $8.50
  5000   $0.00     $14.05
 10000   $0.00     $24.40
 25000   $0.00     $53.75
 50000   $0.00     $98.50
125000   $0.00    $241.25</t>
        </r>
      </text>
    </comment>
    <comment ref="L41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$0.42      $0.42
    10   $0.32      $3.16
   100   $0.13     $13.29
  1000   $0.07     $73.30
  2500   $0.07    $171.80
  5000   $0.06    $296.95
 10000   $0.06    $566.90
 25000   $0.05   $1357.75
 50000   $0.05   $2657.00
125000   $0.05   $6568.75</t>
        </r>
      </text>
    </comment>
    <comment ref="L42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$0.87
  1000   $0.00      $3.92
  2500   $0.00      $8.50
  5000   $0.00     $14.05
 10000   $0.00     $24.40
 25000   $0.00     $53.75
 50000   $0.00     $98.50
125000   $0.00    $241.25</t>
        </r>
      </text>
    </comment>
    <comment ref="L43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$0.87
  1000   $0.00      $3.92
  2500   $0.00      $8.50
  5000   $0.00     $14.05
 10000   $0.00     $24.40
 25000   $0.00     $53.75
 50000   $0.00     $98.50
125000   $0.00    $241.25</t>
        </r>
      </text>
    </comment>
    <comment ref="L44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$0.87
  1000   $0.00      $3.92
  2500   $0.00      $8.50
  5000   $0.00     $14.05
 10000   $0.00     $24.40
 25000   $0.00     $53.75
 50000   $0.00     $98.50
125000   $0.00    $241.25</t>
        </r>
      </text>
    </comment>
    <comment ref="L45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$0.87
  1000   $0.00      $3.92
  2500   $0.00      $8.50
  5000   $0.00     $14.05
 10000   $0.00     $24.40
 25000   $0.00     $53.75
 50000   $0.00     $98.50
125000   $0.00    $241.25</t>
        </r>
      </text>
    </comment>
    <comment ref="L46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$0.62      $0.62
    10   $0.54      $5.36
   100   $0.40     $39.98
   500   $0.31    $157.03
  1000   $0.24    $242.69
  2500   $0.21    $537.07
  5000   $0.20   $1004.85
 12500   $0.19   $2338.88
 25000   $0.18   $4435.25</t>
        </r>
      </text>
    </comment>
    <comment ref="L47" authorId="0" shapeId="0">
      <text>
        <r>
          <rPr>
            <sz val="8"/>
            <color indexed="81"/>
            <rFont val="Tahoma"/>
            <family val="2"/>
          </rPr>
          <t>Qty/Price Breaks:
  Qty  -  Unit$  -  Ext$
================
     1   $5.16      $5.16
    10   $4.90     $49.01
    25   $4.58    $114.46
    50   $4.51    $225.31</t>
        </r>
      </text>
    </comment>
    <comment ref="K49" authorId="0" shape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<sst xmlns="http://schemas.openxmlformats.org/spreadsheetml/2006/main" count="273" uniqueCount="216">
  <si>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</si>
  <si>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</si>
  <si>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</si>
  <si>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</si>
  <si>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</si>
  <si>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</si>
  <si>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</si>
  <si>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</si>
  <si>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</si>
  <si>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</si>
  <si>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C10</t>
  </si>
  <si>
    <t>C0805C431J5GAC7800</t>
  </si>
  <si>
    <t>KEMET</t>
  </si>
  <si>
    <t>Capacitors_SMD:C_0805</t>
  </si>
  <si>
    <t>430pF</t>
  </si>
  <si>
    <t>C11,C12</t>
  </si>
  <si>
    <t>35PEV150M8X10.5</t>
  </si>
  <si>
    <t>Rubycon</t>
  </si>
  <si>
    <t>Capacitors_SMD:CP_Elec_8x10.5</t>
  </si>
  <si>
    <t>150ÂµF</t>
  </si>
  <si>
    <t>C20</t>
  </si>
  <si>
    <t>GRM2165C1H121JA01D</t>
  </si>
  <si>
    <t>MuRata</t>
  </si>
  <si>
    <t>120pF</t>
  </si>
  <si>
    <t>C21,C22</t>
  </si>
  <si>
    <t>RSA1A121MCN1GS</t>
  </si>
  <si>
    <t>Nichicon</t>
  </si>
  <si>
    <t>Capacitors_SMD:CP_Elec_6.3x5.7</t>
  </si>
  <si>
    <t>120ÂµF</t>
  </si>
  <si>
    <t>C301,C311,C321,C331</t>
  </si>
  <si>
    <t>885012207103</t>
  </si>
  <si>
    <t>Wurth Electronics Inc.</t>
  </si>
  <si>
    <t>1ÂµF</t>
  </si>
  <si>
    <t>C302,C312,C322,C332</t>
  </si>
  <si>
    <t>885012207018</t>
  </si>
  <si>
    <t>220nF</t>
  </si>
  <si>
    <t>C303,C313,C323,C333</t>
  </si>
  <si>
    <t>885012207022</t>
  </si>
  <si>
    <t>C304,C314,C324,C334</t>
  </si>
  <si>
    <t>885012207016</t>
  </si>
  <si>
    <t>100nF</t>
  </si>
  <si>
    <t>C305,C306,C315,C316,C325,C326,C335,C336</t>
  </si>
  <si>
    <t>GRM2165C1H271JA01D</t>
  </si>
  <si>
    <t>Murata Electronics North America</t>
  </si>
  <si>
    <t>270pF</t>
  </si>
  <si>
    <t>C307,C317,C327,C337</t>
  </si>
  <si>
    <t>GRM216R71H102KA01D</t>
  </si>
  <si>
    <t>1nF</t>
  </si>
  <si>
    <t>D1,D11,D21</t>
  </si>
  <si>
    <t>SL04-HE3-08</t>
  </si>
  <si>
    <t>Vishay Semiconductor Diodes Division</t>
  </si>
  <si>
    <t>EigeneFootprints:D_SMF_DO-219</t>
  </si>
  <si>
    <t>D_Schottky</t>
  </si>
  <si>
    <t>D28</t>
  </si>
  <si>
    <t>NZH10C115</t>
  </si>
  <si>
    <t>Nexperia USA Inc.</t>
  </si>
  <si>
    <t>Diodes_SMD:D_SOD-123F</t>
  </si>
  <si>
    <t>D_10V</t>
  </si>
  <si>
    <t>D301,D302,D311,D312,D321,D322,D331,D332</t>
  </si>
  <si>
    <t>NTS245SFT1GOSCT-ND</t>
  </si>
  <si>
    <t>ON Semiconductor</t>
  </si>
  <si>
    <t>D303,D304,D313,D314,D323,D324,D333,D334</t>
  </si>
  <si>
    <t>SM36T1G</t>
  </si>
  <si>
    <t>TO_SOT_Packages_SMD:SOT-23</t>
  </si>
  <si>
    <t>J10#1,J20#1</t>
  </si>
  <si>
    <t>S1011EC-02-ND</t>
  </si>
  <si>
    <t>Sullins Connector Solutions</t>
  </si>
  <si>
    <t>Pin_Headers:Pin_Header_Straight_1x02_Pitch2.54mm</t>
  </si>
  <si>
    <t>Conn_01x02 - p1/2</t>
  </si>
  <si>
    <t>J10#2,J20#2</t>
  </si>
  <si>
    <t>SPC02SYAN</t>
  </si>
  <si>
    <t>Conn_01x02 - p2/2</t>
  </si>
  <si>
    <t>J120</t>
  </si>
  <si>
    <t>CT2230-2</t>
  </si>
  <si>
    <t>Cal Test Electronics</t>
  </si>
  <si>
    <t>EigeneFootprints:Banana_4mm_CT2230</t>
  </si>
  <si>
    <t>MDm Banana</t>
  </si>
  <si>
    <t>J121</t>
  </si>
  <si>
    <t>CT2230-0</t>
  </si>
  <si>
    <t>J122</t>
  </si>
  <si>
    <t>36-5006-ND</t>
  </si>
  <si>
    <t>Keystone Electronics</t>
  </si>
  <si>
    <t>EigeneFootprints:TestPoint_Keystone_5006_Black</t>
  </si>
  <si>
    <t>TEST_1P</t>
  </si>
  <si>
    <t>J301,J311,J321,J331</t>
  </si>
  <si>
    <t>1694237</t>
  </si>
  <si>
    <t>Phoenix Contact</t>
  </si>
  <si>
    <t>EigeneFootprints:Phoenix_SACC-DSIV-M12FS-5CON-L180</t>
  </si>
  <si>
    <t>M12-5</t>
  </si>
  <si>
    <t>J302,J312,J322,J332</t>
  </si>
  <si>
    <t>PPPC031LFBN-RC</t>
  </si>
  <si>
    <t>Socket_Strips:Socket_Strip_Straight_1x03_Pitch2.54mm</t>
  </si>
  <si>
    <t>Conn_01x03</t>
  </si>
  <si>
    <t>L1</t>
  </si>
  <si>
    <t>1267AY-101M=P3</t>
  </si>
  <si>
    <t>Murata</t>
  </si>
  <si>
    <t>EigeneFootprints:Murata_DG8040C</t>
  </si>
  <si>
    <t>100ÂµH</t>
  </si>
  <si>
    <t>L11,L21</t>
  </si>
  <si>
    <t>SRN6045-470M</t>
  </si>
  <si>
    <t>Bourns inc</t>
  </si>
  <si>
    <t>EigeneFootprints:SRN6045</t>
  </si>
  <si>
    <t>47ÂµH</t>
  </si>
  <si>
    <t>L12,L22</t>
  </si>
  <si>
    <t>LQM21FN1R0N00D</t>
  </si>
  <si>
    <t>Inductors_SMD:L_0805</t>
  </si>
  <si>
    <t>1ÂµH</t>
  </si>
  <si>
    <t>P101-P103,P107,P108</t>
  </si>
  <si>
    <t>S1011EC-08-ND</t>
  </si>
  <si>
    <t>Socket_Arduino_Mega:Socket_Strip_Arduino_1x08</t>
  </si>
  <si>
    <t>Conn_01x08</t>
  </si>
  <si>
    <t>P104</t>
  </si>
  <si>
    <t>S7106-ND</t>
  </si>
  <si>
    <t>Socket_Strips:Socket_Strip_Straight_2x03_Pitch2.54mm</t>
  </si>
  <si>
    <t>SPI</t>
  </si>
  <si>
    <t>P105</t>
  </si>
  <si>
    <t>S2211EC-18-ND</t>
  </si>
  <si>
    <t>Socket_Arduino_Mega:Socket_Strip_Arduino_2x18</t>
  </si>
  <si>
    <t>Digital</t>
  </si>
  <si>
    <t>P106</t>
  </si>
  <si>
    <t>S1011EC-10-ND</t>
  </si>
  <si>
    <t>Socket_Arduino_Mega:Socket_Strip_Arduino_1x10</t>
  </si>
  <si>
    <t>PWM</t>
  </si>
  <si>
    <t>Q18</t>
  </si>
  <si>
    <t>BSS138TA</t>
  </si>
  <si>
    <t>Diodes Incorporated</t>
  </si>
  <si>
    <t>BSS138</t>
  </si>
  <si>
    <t>Q28</t>
  </si>
  <si>
    <t>BSS84-7-F</t>
  </si>
  <si>
    <t>BSS84</t>
  </si>
  <si>
    <t>R10</t>
  </si>
  <si>
    <t>RL0805FR-7W0R33L</t>
  </si>
  <si>
    <t>Yageo</t>
  </si>
  <si>
    <t>Resistors_SMD:R_0805</t>
  </si>
  <si>
    <t>0R330</t>
  </si>
  <si>
    <t>R11</t>
  </si>
  <si>
    <t>RC0805FR-07180RL</t>
  </si>
  <si>
    <t>180</t>
  </si>
  <si>
    <t>R15,R25</t>
  </si>
  <si>
    <t>RC0805FR-07200KL</t>
  </si>
  <si>
    <t>200k</t>
  </si>
  <si>
    <t>R16</t>
  </si>
  <si>
    <t>RC0805FR-0711K5L</t>
  </si>
  <si>
    <t>11k5</t>
  </si>
  <si>
    <t>R20</t>
  </si>
  <si>
    <t>RL0805FR-070R25L</t>
  </si>
  <si>
    <t>0R25</t>
  </si>
  <si>
    <t>R26</t>
  </si>
  <si>
    <t>RC0805FR-0768KL</t>
  </si>
  <si>
    <t>68k</t>
  </si>
  <si>
    <t>R27,R301,R303,R305,R307,R309,R311,R313,R315</t>
  </si>
  <si>
    <t>RC0805FR-07100KL</t>
  </si>
  <si>
    <t>100k</t>
  </si>
  <si>
    <t>R28</t>
  </si>
  <si>
    <t>RC0805FR-0726K1L</t>
  </si>
  <si>
    <t>26k1</t>
  </si>
  <si>
    <t>R302,R304,R306,R308,R310,R312,R314,R316</t>
  </si>
  <si>
    <t>RC0805FR-0716K2L</t>
  </si>
  <si>
    <t>16k2</t>
  </si>
  <si>
    <t>U10,U20</t>
  </si>
  <si>
    <t>MC34063ACD-TR</t>
  </si>
  <si>
    <t>STMMicroelectronics</t>
  </si>
  <si>
    <t>SMD_Packages:SOIC-8-N</t>
  </si>
  <si>
    <t>MC34063</t>
  </si>
  <si>
    <t>U300,U310,U320,U330</t>
  </si>
  <si>
    <t>MAX14824GTG+</t>
  </si>
  <si>
    <t>Maxim Integrated</t>
  </si>
  <si>
    <t>EigeneFootprints:QFN-24-1EP_4x4mm_Pitch0.5mm_Maxim</t>
  </si>
  <si>
    <t>Proj:</t>
  </si>
  <si>
    <t>Arduino IO-Link Master Shield</t>
  </si>
  <si>
    <t>Co.:</t>
  </si>
  <si>
    <t>BFH-Ti Burgdorf, Kropl2</t>
  </si>
  <si>
    <t>Date:</t>
  </si>
  <si>
    <t>2018-01-18 23:07:43</t>
  </si>
  <si>
    <t>Board Qty:</t>
  </si>
  <si>
    <t>Total Cost:</t>
  </si>
  <si>
    <t>Unit Cost:</t>
  </si>
  <si>
    <t>Digi-Key</t>
  </si>
  <si>
    <t>Avail</t>
  </si>
  <si>
    <t>Purch</t>
  </si>
  <si>
    <t>Cat#</t>
  </si>
  <si>
    <t>399-14600-1-ND</t>
  </si>
  <si>
    <t>35PEV150M8X10.5CT-ND</t>
  </si>
  <si>
    <t>490-9737-1-ND</t>
  </si>
  <si>
    <t>493-7371-1-ND</t>
  </si>
  <si>
    <t>732-7678-1-ND</t>
  </si>
  <si>
    <t>732-7650-1-ND</t>
  </si>
  <si>
    <t>732-7654-1-ND</t>
  </si>
  <si>
    <t>732-8026-1-ND</t>
  </si>
  <si>
    <t>490-9738-1-ND</t>
  </si>
  <si>
    <t>490-12750-1-ND</t>
  </si>
  <si>
    <t>SL04-HE3-08CT-ND</t>
  </si>
  <si>
    <t>1727-5057-1-ND</t>
  </si>
  <si>
    <t>SM36T1GOSCT-ND</t>
  </si>
  <si>
    <t>S9001-ND</t>
  </si>
  <si>
    <t>BKCT2230-2-ND</t>
  </si>
  <si>
    <t>BKCT2230-0-ND</t>
  </si>
  <si>
    <t>277-8552-ND</t>
  </si>
  <si>
    <t>S7036-ND</t>
  </si>
  <si>
    <t>490-10826-1-ND</t>
  </si>
  <si>
    <t>SRN6045-470MCT-ND</t>
  </si>
  <si>
    <t>490-4026-1-ND</t>
  </si>
  <si>
    <t>NonStk</t>
  </si>
  <si>
    <t>BSS138ZXCT-ND</t>
  </si>
  <si>
    <t>BSS84-FDICT-ND</t>
  </si>
  <si>
    <t>311-.33LUCT-ND</t>
  </si>
  <si>
    <t>311-180CRCT-ND</t>
  </si>
  <si>
    <t>311-200KCRCT-ND</t>
  </si>
  <si>
    <t>311-11.5KCRCT-ND</t>
  </si>
  <si>
    <t>311-.25SCT-ND</t>
  </si>
  <si>
    <t>311-68.0KCRCT-ND</t>
  </si>
  <si>
    <t>311-100KCRCT-ND</t>
  </si>
  <si>
    <t>311-26.1KCRCT-ND</t>
  </si>
  <si>
    <t>311-16.2KCRCT-ND</t>
  </si>
  <si>
    <t>497-7850-1-ND</t>
  </si>
  <si>
    <t>MAX14824GTG+-ND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</si>
</sst>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"/>
  </numFmts>
  <fonts count="11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top" wrapText="1"/>
    </xf>
    <xf numFmtId="164" fontId="0" fillId="0" borderId="0" xfId="0" applyNumberFormat="1"/>
    <xf numFmtId="0" fontId="9" fillId="0" borderId="0" xfId="1" applyAlignment="1" applyProtection="1"/>
    <xf numFmtId="0" fontId="10" fillId="0" borderId="0" xfId="0" applyFont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328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h/product-detail/en/wurth-electronics-inc/885012207016/732-8026-1-ND/5454653" TargetMode="External"/><Relationship Id="rId13" Type="http://schemas.openxmlformats.org/officeDocument/2006/relationships/hyperlink" Target="https://www.digikey.ch/products/en?WT.z_header=search_go&amp;lang=en&amp;keywords=NTS245SFT1GOSCT-ND%20" TargetMode="External"/><Relationship Id="rId18" Type="http://schemas.openxmlformats.org/officeDocument/2006/relationships/hyperlink" Target="https://www.digikey.ch/products/en?WT.z_header=search_go&amp;lang=en&amp;keywords=CT2230-0%20" TargetMode="External"/><Relationship Id="rId26" Type="http://schemas.openxmlformats.org/officeDocument/2006/relationships/hyperlink" Target="https://www.digikey.ch/products/en?WT.z_header=search_go&amp;lang=en&amp;keywords=S7106-ND%20" TargetMode="External"/><Relationship Id="rId39" Type="http://schemas.openxmlformats.org/officeDocument/2006/relationships/hyperlink" Target="https://www.digikey.ch/product-detail/en/yageo/RC0805FR-0716K2L/311-16.2KCRCT-ND/730569" TargetMode="External"/><Relationship Id="rId3" Type="http://schemas.openxmlformats.org/officeDocument/2006/relationships/hyperlink" Target="https://www.digikey.ch/product-detail/en/murata-electronics-north-america/GRM2165C1H121JA01D/490-9737-1-ND/4934913" TargetMode="External"/><Relationship Id="rId21" Type="http://schemas.openxmlformats.org/officeDocument/2006/relationships/hyperlink" Target="https://www.digikey.ch/products/en?WT.z_header=search_go&amp;lang=en&amp;keywords=PPPC031LFBN-RC%20" TargetMode="External"/><Relationship Id="rId34" Type="http://schemas.openxmlformats.org/officeDocument/2006/relationships/hyperlink" Target="https://www.digikey.ch/product-detail/en/yageo/RC0805FR-0711K5L/311-11.5KCRCT-ND/730503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h/product-detail/en/wurth-electronics-inc/885012207022/732-7654-1-ND/5454281" TargetMode="External"/><Relationship Id="rId12" Type="http://schemas.openxmlformats.org/officeDocument/2006/relationships/hyperlink" Target="https://www.digikey.ch/product-detail/en/nexperia-usa-inc/NZH10C115/1727-5057-1-ND/2531639" TargetMode="External"/><Relationship Id="rId17" Type="http://schemas.openxmlformats.org/officeDocument/2006/relationships/hyperlink" Target="https://www.digikey.ch/products/en?WT.z_header=search_go&amp;lang=en&amp;keywords=CT2230-2%20" TargetMode="External"/><Relationship Id="rId25" Type="http://schemas.openxmlformats.org/officeDocument/2006/relationships/hyperlink" Target="https://www.digikey.ch/products/en?WT.z_header=search_go&amp;lang=en&amp;keywords=S1011EC-08-ND%20" TargetMode="External"/><Relationship Id="rId33" Type="http://schemas.openxmlformats.org/officeDocument/2006/relationships/hyperlink" Target="https://www.digikey.ch/product-detail/en/yageo/RC0805FR-07200KL/311-200KCRCT-ND/730671" TargetMode="External"/><Relationship Id="rId38" Type="http://schemas.openxmlformats.org/officeDocument/2006/relationships/hyperlink" Target="https://www.digikey.ch/product-detail/en/yageo/RC0805FR-0726K1L/311-26.1KCRCT-ND/730719" TargetMode="External"/><Relationship Id="rId2" Type="http://schemas.openxmlformats.org/officeDocument/2006/relationships/hyperlink" Target="https://www.digikey.ch/product-detail/en/rubycon/35PEV150M8X10.5/35PEV150M8X10.5CT-ND/5777270" TargetMode="External"/><Relationship Id="rId16" Type="http://schemas.openxmlformats.org/officeDocument/2006/relationships/hyperlink" Target="https://www.digikey.ch/products/en?WT.z_header=search_go&amp;lang=en&amp;keywords=SPC02SYAN%20" TargetMode="External"/><Relationship Id="rId20" Type="http://schemas.openxmlformats.org/officeDocument/2006/relationships/hyperlink" Target="https://www.digikey.ch/products/en?WT.z_header=search_go&amp;lang=en&amp;keywords=1694237%20" TargetMode="External"/><Relationship Id="rId29" Type="http://schemas.openxmlformats.org/officeDocument/2006/relationships/hyperlink" Target="https://www.digikey.ch/product-detail/en/diodes-incorporated/BSS138TA/BSS138ZXCT-ND/92633" TargetMode="External"/><Relationship Id="rId41" Type="http://schemas.openxmlformats.org/officeDocument/2006/relationships/hyperlink" Target="https://www.digikey.ch/product-detail/en/maxim-integrated/MAX14824GTG/MAX14824GTG-ND/3517193" TargetMode="External"/><Relationship Id="rId1" Type="http://schemas.openxmlformats.org/officeDocument/2006/relationships/hyperlink" Target="https://www.digikey.ch/product-detail/en/kemet/C0805C431J5GAC7800/399-14600-1-ND/7103892" TargetMode="External"/><Relationship Id="rId6" Type="http://schemas.openxmlformats.org/officeDocument/2006/relationships/hyperlink" Target="https://www.digikey.ch/product-detail/en/wurth-electronics-inc/885012207018/732-7650-1-ND/5454277" TargetMode="External"/><Relationship Id="rId11" Type="http://schemas.openxmlformats.org/officeDocument/2006/relationships/hyperlink" Target="https://www.digikey.ch/product-detail/en/vishay-semiconductor-diodes-division/SL04-HE3-08/SL04-HE3-08CT-ND/3104495" TargetMode="External"/><Relationship Id="rId24" Type="http://schemas.openxmlformats.org/officeDocument/2006/relationships/hyperlink" Target="https://www.digikey.ch/product-detail/en/murata-electronics-north-america/LQM21FN1R0N00D/490-4026-1-ND/1016286" TargetMode="External"/><Relationship Id="rId32" Type="http://schemas.openxmlformats.org/officeDocument/2006/relationships/hyperlink" Target="https://www.digikey.ch/product-detail/en/yageo/RC0805FR-07180RL/311-180CRCT-ND/730596" TargetMode="External"/><Relationship Id="rId37" Type="http://schemas.openxmlformats.org/officeDocument/2006/relationships/hyperlink" Target="https://www.digikey.ch/product-detail/en/yageo/RC0805FR-07100KL/311-100KCRCT-ND/730491" TargetMode="External"/><Relationship Id="rId40" Type="http://schemas.openxmlformats.org/officeDocument/2006/relationships/hyperlink" Target="https://www.digikey.ch/product-detail/en/stmicroelectronics/MC34063ACD-TR/497-7850-1-ND/1883654" TargetMode="External"/><Relationship Id="rId5" Type="http://schemas.openxmlformats.org/officeDocument/2006/relationships/hyperlink" Target="https://www.digikey.ch/product-detail/en/wurth-electronics-inc/885012207103/732-7678-1-ND/5454305" TargetMode="External"/><Relationship Id="rId15" Type="http://schemas.openxmlformats.org/officeDocument/2006/relationships/hyperlink" Target="https://www.digikey.ch/products/en?WT.z_header=search_go&amp;lang=en&amp;keywords=S1011EC-02-ND%20" TargetMode="External"/><Relationship Id="rId23" Type="http://schemas.openxmlformats.org/officeDocument/2006/relationships/hyperlink" Target="https://www.digikey.ch/product-detail/en/bourns-inc/SRN6045-470M/SRN6045-470MCT-ND/2756168" TargetMode="External"/><Relationship Id="rId28" Type="http://schemas.openxmlformats.org/officeDocument/2006/relationships/hyperlink" Target="https://www.digikey.ch/products/en?WT.z_header=search_go&amp;lang=en&amp;keywords=S1011EC-10-ND%20" TargetMode="External"/><Relationship Id="rId36" Type="http://schemas.openxmlformats.org/officeDocument/2006/relationships/hyperlink" Target="https://www.digikey.ch/product-detail/en/yageo/RC0805FR-0768KL/311-68.0KCRCT-ND/731045" TargetMode="External"/><Relationship Id="rId10" Type="http://schemas.openxmlformats.org/officeDocument/2006/relationships/hyperlink" Target="https://www.digikey.ch/product-detail/en/murata-electronics-north-america/GRM216R71H102KA01J/490-12750-1-ND/5797719" TargetMode="External"/><Relationship Id="rId19" Type="http://schemas.openxmlformats.org/officeDocument/2006/relationships/hyperlink" Target="https://www.digikey.ch/products/en?WT.z_header=search_go&amp;lang=en&amp;keywords=36-5006-ND%20" TargetMode="External"/><Relationship Id="rId31" Type="http://schemas.openxmlformats.org/officeDocument/2006/relationships/hyperlink" Target="https://www.digikey.ch/product-detail/en/yageo/RL0805FR-7W0R33L/311-.33LUCT-ND/3885476" TargetMode="External"/><Relationship Id="rId44" Type="http://schemas.openxmlformats.org/officeDocument/2006/relationships/comments" Target="../comments1.xml"/><Relationship Id="rId4" Type="http://schemas.openxmlformats.org/officeDocument/2006/relationships/hyperlink" Target="https://www.digikey.ch/product-detail/en/nichicon/RSA1A121MCN1GS/493-7371-1-ND/3768638" TargetMode="External"/><Relationship Id="rId9" Type="http://schemas.openxmlformats.org/officeDocument/2006/relationships/hyperlink" Target="https://www.digikey.ch/product-detail/en/murata-electronics-north-america/GRM2165C1H271JA01D/490-9738-1-ND/4934915" TargetMode="External"/><Relationship Id="rId14" Type="http://schemas.openxmlformats.org/officeDocument/2006/relationships/hyperlink" Target="https://www.digikey.ch/product-detail/en/on-semiconductor/SM36T1G/SM36T1GOSCT-ND/4331832" TargetMode="External"/><Relationship Id="rId22" Type="http://schemas.openxmlformats.org/officeDocument/2006/relationships/hyperlink" Target="https://www.digikey.ch/product-detail/en/murata-electronics-north-america/1267AY-101M=P3/490-10826-1-ND/5271568" TargetMode="External"/><Relationship Id="rId27" Type="http://schemas.openxmlformats.org/officeDocument/2006/relationships/hyperlink" Target="https://www.digikey.ch/products/en?WT.z_header=search_go&amp;lang=en&amp;keywords=S2211EC-18-ND%20" TargetMode="External"/><Relationship Id="rId30" Type="http://schemas.openxmlformats.org/officeDocument/2006/relationships/hyperlink" Target="https://www.digikey.ch/product-detail/en/diodes-incorporated/BSS84-7-F/BSS84-FDICT-ND/717844" TargetMode="External"/><Relationship Id="rId35" Type="http://schemas.openxmlformats.org/officeDocument/2006/relationships/hyperlink" Target="https://www.digikey.ch/product-detail/en/yageo/RL0805FR-070R25L/311-.25SCT-ND/3885452" TargetMode="External"/><Relationship Id="rId4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0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S5" sqref="S5"/>
    </sheetView>
  </sheetViews>
  <sheetFormatPr baseColWidth="10" defaultColWidth="9.140625" defaultRowHeight="15" outlineLevelCol="2" x14ac:dyDescent="0.25"/>
  <cols>
    <col min="9" max="9" width="15.7109375" customWidth="1"/>
    <col min="10" max="10" width="9.140625" outlineLevel="1"/>
    <col min="11" max="12" width="9.140625" outlineLevel="2"/>
    <col min="13" max="13" width="15.7109375" customWidth="1"/>
    <col min="14" max="14" width="15.7109375" customWidth="1" outlineLevel="2"/>
  </cols>
  <sheetData>
    <row r="1" spans="1:14" ht="17.25" x14ac:dyDescent="0.3">
      <c r="A1" s="1" t="s">
        <v>168</v>
      </c>
      <c r="B1" s="2" t="s">
        <v>169</v>
      </c>
      <c r="H1" s="3" t="s">
        <v>174</v>
      </c>
      <c r="I1" s="3">
        <v>100</v>
      </c>
    </row>
    <row r="2" spans="1:14" ht="17.25" x14ac:dyDescent="0.25">
      <c r="A2" s="1" t="s">
        <v>170</v>
      </c>
      <c r="B2" s="2" t="s">
        <v>171</v>
      </c>
      <c r="H2" s="1" t="s">
        <v>175</v>
      </c>
      <c r="I2" s="4">
        <f ca="1">SUM(I7:I47)</f>
        <v>7276.6080000000002</v>
      </c>
      <c r="M2" s="4">
        <f>SUM(M7:M47)</f>
        <v>7276.6080000000002</v>
      </c>
    </row>
    <row r="3" spans="1:14" ht="17.25" x14ac:dyDescent="0.25">
      <c r="A3" s="1" t="s">
        <v>172</v>
      </c>
      <c r="B3" s="2" t="s">
        <v>173</v>
      </c>
      <c r="H3" s="1" t="s">
        <v>176</v>
      </c>
      <c r="I3" s="5">
        <f ca="1">TotalCost/BoardQty</f>
        <v>72.766080000000002</v>
      </c>
      <c r="M3" s="6" t="str">
        <f>(ROWS(M7:M47)-COUNTBLANK(M7:M47))&amp;" of "&amp;ROWS(M7:M47)&amp;" parts found"</f>
        <v>41 of 41 parts found</v>
      </c>
    </row>
    <row r="5" spans="1:14" ht="18.75" x14ac:dyDescent="0.25">
      <c r="A5" s="11" t="s">
        <v>0</v>
      </c>
      <c r="B5" s="11"/>
      <c r="C5" s="11"/>
      <c r="D5" s="11"/>
      <c r="E5" s="11"/>
      <c r="F5" s="11"/>
      <c r="G5" s="11"/>
      <c r="H5" s="11"/>
      <c r="I5" s="11"/>
      <c r="J5" s="12" t="s">
        <v>177</v>
      </c>
      <c r="K5" s="12"/>
      <c r="L5" s="12"/>
      <c r="M5" s="12"/>
      <c r="N5" s="12"/>
    </row>
    <row r="6" spans="1:14" ht="31.5" x14ac:dyDescent="0.25">
      <c r="A6" s="7" t="s">
        <v>6</v>
      </c>
      <c r="B6" s="7" t="s">
        <v>8</v>
      </c>
      <c r="C6" s="7" t="s">
        <v>9</v>
      </c>
      <c r="D6" s="7" t="s">
        <v>5</v>
      </c>
      <c r="E6" s="7" t="s">
        <v>4</v>
      </c>
      <c r="F6" s="7" t="s">
        <v>1</v>
      </c>
      <c r="G6" s="7" t="s">
        <v>7</v>
      </c>
      <c r="H6" s="7" t="s">
        <v>3</v>
      </c>
      <c r="I6" s="7" t="s">
        <v>2</v>
      </c>
      <c r="J6" s="7" t="s">
        <v>178</v>
      </c>
      <c r="K6" s="7" t="s">
        <v>179</v>
      </c>
      <c r="L6" s="7" t="s">
        <v>3</v>
      </c>
      <c r="M6" s="7" t="s">
        <v>2</v>
      </c>
      <c r="N6" s="7" t="s">
        <v>180</v>
      </c>
    </row>
    <row r="7" spans="1:14" x14ac:dyDescent="0.25">
      <c r="A7" t="s">
        <v>10</v>
      </c>
      <c r="B7" t="s">
        <v>14</v>
      </c>
      <c r="D7" t="s">
        <v>13</v>
      </c>
      <c r="E7" t="s">
        <v>12</v>
      </c>
      <c r="F7" t="s">
        <v>11</v>
      </c>
      <c r="G7">
        <f>BoardQty*1</f>
        <v>100</v>
      </c>
      <c r="H7" s="8">
        <f t="shared" ref="H7:H47" ca="1" si="0">MINA(INDIRECT(ADDRESS(ROW(),COLUMN(digikey_part_data)+2)))</f>
        <v>0.1431</v>
      </c>
      <c r="I7" s="8">
        <f t="shared" ref="I7:I47" ca="1" si="1">IFERROR(G7*H7,"")</f>
        <v>14.31</v>
      </c>
      <c r="J7">
        <v>3</v>
      </c>
      <c r="L7" s="8">
        <f>IFERROR(LOOKUP(IF(K7="",G7,K7),{0,1,10,100,500,1000,4000,8000,12000},{0,0.37,0.252,0.1431,0.10098,0.08837,0.06769,0.06403,0.06074}),"")</f>
        <v>0.1431</v>
      </c>
      <c r="M7" s="8">
        <f t="shared" ref="M7:M47" si="2">IFERROR(IF(K7="",G7,K7)*L7,"")</f>
        <v>14.31</v>
      </c>
      <c r="N7" s="9" t="s">
        <v>181</v>
      </c>
    </row>
    <row r="8" spans="1:14" x14ac:dyDescent="0.25">
      <c r="A8" t="s">
        <v>15</v>
      </c>
      <c r="B8" t="s">
        <v>19</v>
      </c>
      <c r="D8" t="s">
        <v>18</v>
      </c>
      <c r="E8" t="s">
        <v>17</v>
      </c>
      <c r="F8" t="s">
        <v>16</v>
      </c>
      <c r="G8">
        <f>BoardQty*2</f>
        <v>200</v>
      </c>
      <c r="H8" s="8">
        <f t="shared" ca="1" si="0"/>
        <v>1.1075999999999999</v>
      </c>
      <c r="I8" s="8">
        <f t="shared" ca="1" si="1"/>
        <v>221.51999999999998</v>
      </c>
      <c r="J8">
        <v>2</v>
      </c>
      <c r="L8" s="8">
        <f>IFERROR(LOOKUP(IF(K8="",G8,K8),{0,1,10,100,500,1000,2500,5000,12500},{0,1.79,1.45,1.1076,0.77966,0.68794,0.64208,0.61915,0.59403}),"")</f>
        <v>1.1075999999999999</v>
      </c>
      <c r="M8" s="8">
        <f t="shared" si="2"/>
        <v>221.51999999999998</v>
      </c>
      <c r="N8" s="9" t="s">
        <v>182</v>
      </c>
    </row>
    <row r="9" spans="1:14" x14ac:dyDescent="0.25">
      <c r="A9" t="s">
        <v>20</v>
      </c>
      <c r="B9" t="s">
        <v>23</v>
      </c>
      <c r="D9" t="s">
        <v>13</v>
      </c>
      <c r="E9" t="s">
        <v>22</v>
      </c>
      <c r="F9" t="s">
        <v>21</v>
      </c>
      <c r="G9">
        <f>BoardQty*1</f>
        <v>100</v>
      </c>
      <c r="H9" s="8">
        <f t="shared" ca="1" si="0"/>
        <v>5.7700000000000001E-2</v>
      </c>
      <c r="I9" s="8">
        <f t="shared" ca="1" si="1"/>
        <v>5.7700000000000005</v>
      </c>
      <c r="J9">
        <v>8</v>
      </c>
      <c r="L9" s="8">
        <f>IFERROR(LOOKUP(IF(K9="",G9,K9),{0,1,10,100,500,1000,4000,8000,12000},{0,0.17,0.123,0.0577,0.0405,0.03352,0.02482,0.02309,0.02193}),"")</f>
        <v>5.7700000000000001E-2</v>
      </c>
      <c r="M9" s="8">
        <f t="shared" si="2"/>
        <v>5.7700000000000005</v>
      </c>
      <c r="N9" s="9" t="s">
        <v>183</v>
      </c>
    </row>
    <row r="10" spans="1:14" x14ac:dyDescent="0.25">
      <c r="A10" t="s">
        <v>24</v>
      </c>
      <c r="B10" t="s">
        <v>28</v>
      </c>
      <c r="D10" t="s">
        <v>27</v>
      </c>
      <c r="E10" t="s">
        <v>26</v>
      </c>
      <c r="F10" t="s">
        <v>25</v>
      </c>
      <c r="G10">
        <f>BoardQty*2</f>
        <v>200</v>
      </c>
      <c r="H10" s="8">
        <f t="shared" ca="1" si="0"/>
        <v>0.33600000000000002</v>
      </c>
      <c r="I10" s="8">
        <f t="shared" ca="1" si="1"/>
        <v>67.2</v>
      </c>
      <c r="J10">
        <v>1</v>
      </c>
      <c r="L10" s="8">
        <f>IFERROR(LOOKUP(IF(K10="",G10,K10),{0,1,10,100,500,1000,2000,5000,10000,25000,50000},{0,0.66,0.49,0.336,0.26598,0.20693,0.19477,0.18259,0.17042,0.16433,0.15824}),"")</f>
        <v>0.33600000000000002</v>
      </c>
      <c r="M10" s="8">
        <f t="shared" si="2"/>
        <v>67.2</v>
      </c>
      <c r="N10" s="9" t="s">
        <v>184</v>
      </c>
    </row>
    <row r="11" spans="1:14" x14ac:dyDescent="0.25">
      <c r="A11" t="s">
        <v>29</v>
      </c>
      <c r="B11" t="s">
        <v>32</v>
      </c>
      <c r="D11" t="s">
        <v>13</v>
      </c>
      <c r="E11" t="s">
        <v>31</v>
      </c>
      <c r="F11" t="s">
        <v>30</v>
      </c>
      <c r="G11">
        <f>BoardQty*4</f>
        <v>400</v>
      </c>
      <c r="H11" s="8">
        <f t="shared" ca="1" si="0"/>
        <v>0.2772</v>
      </c>
      <c r="I11" s="8">
        <f t="shared" ca="1" si="1"/>
        <v>110.88</v>
      </c>
      <c r="J11">
        <v>2</v>
      </c>
      <c r="L11" s="8">
        <f>IFERROR(LOOKUP(IF(K11="",G11,K11),{0,1,50,100,250,500,1000,3000},{0,0.44,0.3386,0.3049,0.2772,0.24948,0.22176,0.15543}),"")</f>
        <v>0.2772</v>
      </c>
      <c r="M11" s="8">
        <f t="shared" si="2"/>
        <v>110.88</v>
      </c>
      <c r="N11" s="9" t="s">
        <v>185</v>
      </c>
    </row>
    <row r="12" spans="1:14" x14ac:dyDescent="0.25">
      <c r="A12" t="s">
        <v>33</v>
      </c>
      <c r="B12" t="s">
        <v>35</v>
      </c>
      <c r="D12" t="s">
        <v>13</v>
      </c>
      <c r="E12" t="s">
        <v>31</v>
      </c>
      <c r="F12" t="s">
        <v>34</v>
      </c>
      <c r="G12">
        <f>BoardQty*4</f>
        <v>400</v>
      </c>
      <c r="H12" s="8">
        <f t="shared" ca="1" si="0"/>
        <v>0.10496</v>
      </c>
      <c r="I12" s="8">
        <f t="shared" ca="1" si="1"/>
        <v>41.984000000000002</v>
      </c>
      <c r="J12">
        <v>1</v>
      </c>
      <c r="L12" s="8">
        <f>IFERROR(LOOKUP(IF(K12="",G12,K12),{0,1,50,100,250,500,1000,3000},{0,0.17,0.1288,0.1158,0.10496,0.09504,0.08415,0.0594}),"")</f>
        <v>0.10496</v>
      </c>
      <c r="M12" s="8">
        <f t="shared" si="2"/>
        <v>41.984000000000002</v>
      </c>
      <c r="N12" s="9" t="s">
        <v>186</v>
      </c>
    </row>
    <row r="13" spans="1:14" x14ac:dyDescent="0.25">
      <c r="A13" t="s">
        <v>36</v>
      </c>
      <c r="B13" t="s">
        <v>32</v>
      </c>
      <c r="D13" t="s">
        <v>13</v>
      </c>
      <c r="E13" t="s">
        <v>31</v>
      </c>
      <c r="F13" t="s">
        <v>37</v>
      </c>
      <c r="G13">
        <f>BoardQty*4</f>
        <v>400</v>
      </c>
      <c r="H13" s="8">
        <f t="shared" ca="1" si="0"/>
        <v>0.1</v>
      </c>
      <c r="I13" s="8">
        <f t="shared" ca="1" si="1"/>
        <v>40</v>
      </c>
      <c r="J13">
        <v>2</v>
      </c>
      <c r="L13" s="8">
        <f>IFERROR(LOOKUP(IF(K13="",G13,K13),{0,1,50,100,250,500,1000,3000},{0,0.16,0.1218,0.1099,0.1,0.0901,0.08019,0.05544}),"")</f>
        <v>0.1</v>
      </c>
      <c r="M13" s="8">
        <f t="shared" si="2"/>
        <v>40</v>
      </c>
      <c r="N13" s="9" t="s">
        <v>187</v>
      </c>
    </row>
    <row r="14" spans="1:14" x14ac:dyDescent="0.25">
      <c r="A14" t="s">
        <v>38</v>
      </c>
      <c r="B14" t="s">
        <v>40</v>
      </c>
      <c r="D14" t="s">
        <v>13</v>
      </c>
      <c r="E14" t="s">
        <v>31</v>
      </c>
      <c r="F14" t="s">
        <v>39</v>
      </c>
      <c r="G14">
        <f>BoardQty*4</f>
        <v>400</v>
      </c>
      <c r="H14" s="8">
        <f t="shared" ca="1" si="0"/>
        <v>4.9520000000000002E-2</v>
      </c>
      <c r="I14" s="8">
        <f t="shared" ca="1" si="1"/>
        <v>19.808</v>
      </c>
      <c r="J14">
        <v>5</v>
      </c>
      <c r="L14" s="8">
        <f>IFERROR(LOOKUP(IF(K14="",G14,K14),{0,1,50,100,250,500,1000,4000},{0,0.1,0.0604,0.0545,0.04952,0.04456,0.0396,0.02772}),"")</f>
        <v>4.9520000000000002E-2</v>
      </c>
      <c r="M14" s="8">
        <f t="shared" si="2"/>
        <v>19.808</v>
      </c>
      <c r="N14" s="9" t="s">
        <v>188</v>
      </c>
    </row>
    <row r="15" spans="1:14" x14ac:dyDescent="0.25">
      <c r="A15" t="s">
        <v>41</v>
      </c>
      <c r="B15" t="s">
        <v>44</v>
      </c>
      <c r="D15" t="s">
        <v>13</v>
      </c>
      <c r="E15" t="s">
        <v>43</v>
      </c>
      <c r="F15" t="s">
        <v>42</v>
      </c>
      <c r="G15">
        <f>BoardQty*8</f>
        <v>800</v>
      </c>
      <c r="H15" s="8">
        <f t="shared" ca="1" si="0"/>
        <v>4.3139999999999998E-2</v>
      </c>
      <c r="I15" s="8">
        <f t="shared" ca="1" si="1"/>
        <v>34.512</v>
      </c>
      <c r="J15">
        <v>6</v>
      </c>
      <c r="L15" s="8">
        <f>IFERROR(LOOKUP(IF(K15="",G15,K15),{0,1,10,100,500,1000,4000,8000,10000,12000},{0,0.19,0.131,0.0616,0.04314,0.03572,0.02646,0.02461,0.02461,0.02338}),"")</f>
        <v>4.3139999999999998E-2</v>
      </c>
      <c r="M15" s="8">
        <f t="shared" si="2"/>
        <v>34.512</v>
      </c>
      <c r="N15" s="9" t="s">
        <v>189</v>
      </c>
    </row>
    <row r="16" spans="1:14" x14ac:dyDescent="0.25">
      <c r="A16" t="s">
        <v>45</v>
      </c>
      <c r="B16" t="s">
        <v>47</v>
      </c>
      <c r="D16" t="s">
        <v>13</v>
      </c>
      <c r="E16" t="s">
        <v>43</v>
      </c>
      <c r="F16" t="s">
        <v>46</v>
      </c>
      <c r="G16">
        <f>BoardQty*4</f>
        <v>400</v>
      </c>
      <c r="H16" s="8">
        <f t="shared" ca="1" si="0"/>
        <v>3.32E-2</v>
      </c>
      <c r="I16" s="8">
        <f t="shared" ca="1" si="1"/>
        <v>13.28</v>
      </c>
      <c r="J16">
        <v>6</v>
      </c>
      <c r="L16" s="8">
        <f>IFERROR(LOOKUP(IF(K16="",G16,K16),{0,1,10,100,500,1000,2500,4000,5000,8000,10000,12000,20000,30000},{0,0.1,0.074,0.0332,0.02366,0.0186,0.0169,0.01353,0.01555,0.01235,0.01235,0.01176,0.01176,0.01117}),"")</f>
        <v>3.32E-2</v>
      </c>
      <c r="M16" s="8">
        <f t="shared" si="2"/>
        <v>13.28</v>
      </c>
      <c r="N16" s="9" t="s">
        <v>190</v>
      </c>
    </row>
    <row r="17" spans="1:14" x14ac:dyDescent="0.25">
      <c r="A17" t="s">
        <v>48</v>
      </c>
      <c r="B17" t="s">
        <v>52</v>
      </c>
      <c r="D17" t="s">
        <v>51</v>
      </c>
      <c r="E17" t="s">
        <v>50</v>
      </c>
      <c r="F17" t="s">
        <v>49</v>
      </c>
      <c r="G17">
        <f>BoardQty*3</f>
        <v>300</v>
      </c>
      <c r="H17" s="8">
        <f t="shared" ca="1" si="0"/>
        <v>0.15256</v>
      </c>
      <c r="I17" s="8">
        <f t="shared" ca="1" si="1"/>
        <v>45.768000000000001</v>
      </c>
      <c r="J17">
        <v>54</v>
      </c>
      <c r="L17" s="8">
        <f>IFERROR(LOOKUP(IF(K17="",G17,K17),{0,1,10,25,100,250,500,1000,3000,6000,15000,30000,75000},{0,0.44,0.326,0.2848,0.1843,0.15256,0.12206,0.09357,0.079,0.0711,0.0632,0.05925,0.05267}),"")</f>
        <v>0.15256</v>
      </c>
      <c r="M17" s="8">
        <f t="shared" si="2"/>
        <v>45.768000000000001</v>
      </c>
      <c r="N17" s="9" t="s">
        <v>191</v>
      </c>
    </row>
    <row r="18" spans="1:14" x14ac:dyDescent="0.25">
      <c r="A18" t="s">
        <v>53</v>
      </c>
      <c r="B18" t="s">
        <v>57</v>
      </c>
      <c r="D18" t="s">
        <v>56</v>
      </c>
      <c r="E18" t="s">
        <v>55</v>
      </c>
      <c r="F18" t="s">
        <v>54</v>
      </c>
      <c r="G18">
        <f>BoardQty*1</f>
        <v>100</v>
      </c>
      <c r="H18" s="8">
        <f t="shared" ca="1" si="0"/>
        <v>9.1600000000000001E-2</v>
      </c>
      <c r="I18" s="8">
        <f t="shared" ca="1" si="1"/>
        <v>9.16</v>
      </c>
      <c r="J18">
        <v>1</v>
      </c>
      <c r="L18" s="8">
        <f>IFERROR(LOOKUP(IF(K18="",G18,K18),{0,1,10,100,500,1000,3000,6000,15000,30000,75000,150000},{0,0.21,0.172,0.0916,0.06024,0.04096,0.03586,0.03119,0.02651,0.02495,0.02339,0.02079}),"")</f>
        <v>9.1600000000000001E-2</v>
      </c>
      <c r="M18" s="8">
        <f t="shared" si="2"/>
        <v>9.16</v>
      </c>
      <c r="N18" s="9" t="s">
        <v>192</v>
      </c>
    </row>
    <row r="19" spans="1:14" x14ac:dyDescent="0.25">
      <c r="A19" t="s">
        <v>58</v>
      </c>
      <c r="B19" t="s">
        <v>59</v>
      </c>
      <c r="D19" t="s">
        <v>56</v>
      </c>
      <c r="E19" t="s">
        <v>60</v>
      </c>
      <c r="F19" t="s">
        <v>59</v>
      </c>
      <c r="G19">
        <f>BoardQty*8</f>
        <v>800</v>
      </c>
      <c r="H19" s="8">
        <f t="shared" ca="1" si="0"/>
        <v>0.11364</v>
      </c>
      <c r="I19" s="8">
        <f t="shared" ca="1" si="1"/>
        <v>90.912000000000006</v>
      </c>
      <c r="J19">
        <v>6</v>
      </c>
      <c r="L19" s="8">
        <f>IFERROR(LOOKUP(IF(K19="",G19,K19),{0,1,10,100,500,1000,3000,6000,15000,20000,30000,75000},{0,0.4,0.326,0.1728,0.11364,0.07727,0.06766,0.05884,0.05001,0.05001,0.04707,0.04413}),"")</f>
        <v>0.11364</v>
      </c>
      <c r="M19" s="8">
        <f t="shared" si="2"/>
        <v>90.912000000000006</v>
      </c>
      <c r="N19" s="9" t="s">
        <v>59</v>
      </c>
    </row>
    <row r="20" spans="1:14" x14ac:dyDescent="0.25">
      <c r="A20" t="s">
        <v>61</v>
      </c>
      <c r="B20" t="s">
        <v>62</v>
      </c>
      <c r="D20" t="s">
        <v>63</v>
      </c>
      <c r="E20" t="s">
        <v>60</v>
      </c>
      <c r="F20" t="s">
        <v>62</v>
      </c>
      <c r="G20">
        <f>BoardQty*8</f>
        <v>800</v>
      </c>
      <c r="H20" s="8">
        <f t="shared" ca="1" si="0"/>
        <v>0.14418</v>
      </c>
      <c r="I20" s="8">
        <f t="shared" ca="1" si="1"/>
        <v>115.34400000000001</v>
      </c>
      <c r="J20">
        <v>13</v>
      </c>
      <c r="L20" s="8">
        <f>IFERROR(LOOKUP(IF(K20="",G20,K20),{0,1,10,100,500,1000,3000,6000,15000,30000},{0,0.45,0.339,0.2108,0.14418,0.11092,0.09692,0.09154,0.08346,0.07808}),"")</f>
        <v>0.14418</v>
      </c>
      <c r="M20" s="8">
        <f t="shared" si="2"/>
        <v>115.34400000000001</v>
      </c>
      <c r="N20" s="9" t="s">
        <v>193</v>
      </c>
    </row>
    <row r="21" spans="1:14" x14ac:dyDescent="0.25">
      <c r="A21" t="s">
        <v>64</v>
      </c>
      <c r="B21" t="s">
        <v>68</v>
      </c>
      <c r="D21" t="s">
        <v>67</v>
      </c>
      <c r="E21" t="s">
        <v>66</v>
      </c>
      <c r="F21" t="s">
        <v>65</v>
      </c>
      <c r="G21">
        <f>BoardQty*2</f>
        <v>200</v>
      </c>
      <c r="H21" s="8">
        <f t="shared" ca="1" si="0"/>
        <v>0.1186</v>
      </c>
      <c r="I21" s="8">
        <f t="shared" ca="1" si="1"/>
        <v>23.72</v>
      </c>
      <c r="J21">
        <v>12</v>
      </c>
      <c r="L21" s="8">
        <f>IFERROR(LOOKUP(IF(K21="",G21,K21),{0,1,10,100,500,1000,5000,10000},{0,0.16,0.144,0.1186,0.09372,0.08046,0.0734,0.07058}),"")</f>
        <v>0.1186</v>
      </c>
      <c r="M21" s="8">
        <f t="shared" si="2"/>
        <v>23.72</v>
      </c>
      <c r="N21" s="9" t="s">
        <v>65</v>
      </c>
    </row>
    <row r="22" spans="1:14" x14ac:dyDescent="0.25">
      <c r="A22" t="s">
        <v>69</v>
      </c>
      <c r="B22" t="s">
        <v>71</v>
      </c>
      <c r="D22" t="s">
        <v>67</v>
      </c>
      <c r="E22" t="s">
        <v>66</v>
      </c>
      <c r="F22" t="s">
        <v>70</v>
      </c>
      <c r="G22">
        <f>BoardQty*2</f>
        <v>200</v>
      </c>
      <c r="H22" s="8">
        <f t="shared" ca="1" si="0"/>
        <v>3.61E-2</v>
      </c>
      <c r="I22" s="8">
        <f t="shared" ca="1" si="1"/>
        <v>7.22</v>
      </c>
      <c r="J22">
        <v>353</v>
      </c>
      <c r="L22" s="8">
        <f>IFERROR(LOOKUP(IF(K22="",G22,K22),{0,1,10,25,50,100,250,500,1000,2500},{0,0.1,0.058,0.0436,0.0374,0.0361,0.0312,0.02994,0.0262,0.0237}),"")</f>
        <v>3.61E-2</v>
      </c>
      <c r="M22" s="8">
        <f t="shared" si="2"/>
        <v>7.22</v>
      </c>
      <c r="N22" s="9" t="s">
        <v>194</v>
      </c>
    </row>
    <row r="23" spans="1:14" x14ac:dyDescent="0.25">
      <c r="A23" t="s">
        <v>72</v>
      </c>
      <c r="B23" t="s">
        <v>76</v>
      </c>
      <c r="D23" t="s">
        <v>75</v>
      </c>
      <c r="E23" t="s">
        <v>74</v>
      </c>
      <c r="F23" t="s">
        <v>73</v>
      </c>
      <c r="G23">
        <f>BoardQty*1</f>
        <v>100</v>
      </c>
      <c r="H23" s="8">
        <f t="shared" ca="1" si="0"/>
        <v>0.74</v>
      </c>
      <c r="I23" s="8">
        <f t="shared" ca="1" si="1"/>
        <v>74</v>
      </c>
      <c r="J23">
        <v>638</v>
      </c>
      <c r="L23" s="8">
        <f>IFERROR(LOOKUP(IF(K23="",G23,K23),{0,1},{0,0.74}),"")</f>
        <v>0.74</v>
      </c>
      <c r="M23" s="8">
        <f t="shared" si="2"/>
        <v>74</v>
      </c>
      <c r="N23" s="9" t="s">
        <v>195</v>
      </c>
    </row>
    <row r="24" spans="1:14" x14ac:dyDescent="0.25">
      <c r="A24" t="s">
        <v>77</v>
      </c>
      <c r="B24" t="s">
        <v>76</v>
      </c>
      <c r="D24" t="s">
        <v>75</v>
      </c>
      <c r="E24" t="s">
        <v>74</v>
      </c>
      <c r="F24" t="s">
        <v>78</v>
      </c>
      <c r="G24">
        <f>BoardQty*1</f>
        <v>100</v>
      </c>
      <c r="H24" s="8">
        <f t="shared" ca="1" si="0"/>
        <v>0.74</v>
      </c>
      <c r="I24" s="8">
        <f t="shared" ca="1" si="1"/>
        <v>74</v>
      </c>
      <c r="J24">
        <v>894</v>
      </c>
      <c r="L24" s="8">
        <f>IFERROR(LOOKUP(IF(K24="",G24,K24),{0,1},{0,0.74}),"")</f>
        <v>0.74</v>
      </c>
      <c r="M24" s="8">
        <f t="shared" si="2"/>
        <v>74</v>
      </c>
      <c r="N24" s="9" t="s">
        <v>196</v>
      </c>
    </row>
    <row r="25" spans="1:14" x14ac:dyDescent="0.25">
      <c r="A25" t="s">
        <v>79</v>
      </c>
      <c r="B25" t="s">
        <v>83</v>
      </c>
      <c r="D25" t="s">
        <v>82</v>
      </c>
      <c r="E25" t="s">
        <v>81</v>
      </c>
      <c r="F25" t="s">
        <v>80</v>
      </c>
      <c r="G25">
        <f>BoardQty*1</f>
        <v>100</v>
      </c>
      <c r="H25" s="8">
        <f t="shared" ca="1" si="0"/>
        <v>0.21870000000000001</v>
      </c>
      <c r="I25" s="8">
        <f t="shared" ca="1" si="1"/>
        <v>21.87</v>
      </c>
      <c r="J25">
        <v>357</v>
      </c>
      <c r="L25" s="8">
        <f>IFERROR(LOOKUP(IF(K25="",G25,K25),{0,1,10,50,100,250,1000,2500,5000},{0,0.37,0.313,0.2276,0.2187,0.19632,0.15998,0.1428,0.13387}),"")</f>
        <v>0.21870000000000001</v>
      </c>
      <c r="M25" s="8">
        <f t="shared" si="2"/>
        <v>21.87</v>
      </c>
      <c r="N25" s="9" t="s">
        <v>80</v>
      </c>
    </row>
    <row r="26" spans="1:14" x14ac:dyDescent="0.25">
      <c r="A26" t="s">
        <v>84</v>
      </c>
      <c r="B26" t="s">
        <v>88</v>
      </c>
      <c r="D26" t="s">
        <v>87</v>
      </c>
      <c r="E26" t="s">
        <v>86</v>
      </c>
      <c r="F26" t="s">
        <v>85</v>
      </c>
      <c r="G26">
        <f>BoardQty*4</f>
        <v>400</v>
      </c>
      <c r="H26" s="8">
        <f t="shared" ca="1" si="0"/>
        <v>9.6067999999999998</v>
      </c>
      <c r="I26" s="8">
        <f t="shared" ca="1" si="1"/>
        <v>3842.72</v>
      </c>
      <c r="J26">
        <v>38</v>
      </c>
      <c r="L26" s="8">
        <f>IFERROR(LOOKUP(IF(K26="",G26,K26),{0,1,10,50,100,250,500},{0,12.69,11.86,10.9114,10.0813,9.6068,9.0138}),"")</f>
        <v>9.6067999999999998</v>
      </c>
      <c r="M26" s="8">
        <f t="shared" si="2"/>
        <v>3842.72</v>
      </c>
      <c r="N26" s="9" t="s">
        <v>197</v>
      </c>
    </row>
    <row r="27" spans="1:14" x14ac:dyDescent="0.25">
      <c r="A27" t="s">
        <v>89</v>
      </c>
      <c r="B27" t="s">
        <v>92</v>
      </c>
      <c r="D27" t="s">
        <v>91</v>
      </c>
      <c r="E27" t="s">
        <v>66</v>
      </c>
      <c r="F27" t="s">
        <v>90</v>
      </c>
      <c r="G27">
        <f>BoardQty*4</f>
        <v>400</v>
      </c>
      <c r="H27" s="8">
        <f t="shared" ca="1" si="0"/>
        <v>0.26640000000000003</v>
      </c>
      <c r="I27" s="8">
        <f t="shared" ca="1" si="1"/>
        <v>106.56000000000002</v>
      </c>
      <c r="J27">
        <v>9</v>
      </c>
      <c r="L27" s="8">
        <f>IFERROR(LOOKUP(IF(K27="",G27,K27),{0,1,10,100,500,1000,5000,10000},{0,0.37,0.347,0.2664,0.23166,0.19112,0.16795,0.16731}),"")</f>
        <v>0.26640000000000003</v>
      </c>
      <c r="M27" s="8">
        <f t="shared" si="2"/>
        <v>106.56000000000002</v>
      </c>
      <c r="N27" s="9" t="s">
        <v>198</v>
      </c>
    </row>
    <row r="28" spans="1:14" x14ac:dyDescent="0.25">
      <c r="A28" t="s">
        <v>93</v>
      </c>
      <c r="B28" t="s">
        <v>97</v>
      </c>
      <c r="D28" t="s">
        <v>96</v>
      </c>
      <c r="E28" t="s">
        <v>95</v>
      </c>
      <c r="F28" t="s">
        <v>94</v>
      </c>
      <c r="G28">
        <f>BoardQty*1</f>
        <v>100</v>
      </c>
      <c r="H28" s="8">
        <f t="shared" ca="1" si="0"/>
        <v>0.36430000000000001</v>
      </c>
      <c r="I28" s="8">
        <f t="shared" ca="1" si="1"/>
        <v>36.43</v>
      </c>
      <c r="J28">
        <v>986</v>
      </c>
      <c r="L28" s="8">
        <f>IFERROR(LOOKUP(IF(K28="",G28,K28),{0,1,10,100,500,1000,3000,5000,10000,25000,50000},{0,0.58,0.51,0.3643,0.30602,0.21542,0.20275,0.19642,0.19008,0.18374,0.17741}),"")</f>
        <v>0.36430000000000001</v>
      </c>
      <c r="M28" s="8">
        <f t="shared" si="2"/>
        <v>36.43</v>
      </c>
      <c r="N28" s="9" t="s">
        <v>199</v>
      </c>
    </row>
    <row r="29" spans="1:14" x14ac:dyDescent="0.25">
      <c r="A29" t="s">
        <v>98</v>
      </c>
      <c r="B29" t="s">
        <v>102</v>
      </c>
      <c r="D29" t="s">
        <v>101</v>
      </c>
      <c r="E29" t="s">
        <v>100</v>
      </c>
      <c r="F29" t="s">
        <v>99</v>
      </c>
      <c r="G29">
        <f>BoardQty*2</f>
        <v>200</v>
      </c>
      <c r="H29" s="8">
        <f t="shared" ca="1" si="0"/>
        <v>0.29039999999999999</v>
      </c>
      <c r="I29" s="8">
        <f t="shared" ca="1" si="1"/>
        <v>58.08</v>
      </c>
      <c r="J29">
        <v>53</v>
      </c>
      <c r="L29" s="8">
        <f>IFERROR(LOOKUP(IF(K29="",G29,K29),{0,1,10,100,500,1000},{0,0.47,0.407,0.2904,0.24388,0.17167}),"")</f>
        <v>0.29039999999999999</v>
      </c>
      <c r="M29" s="8">
        <f t="shared" si="2"/>
        <v>58.08</v>
      </c>
      <c r="N29" s="9" t="s">
        <v>200</v>
      </c>
    </row>
    <row r="30" spans="1:14" x14ac:dyDescent="0.25">
      <c r="A30" t="s">
        <v>103</v>
      </c>
      <c r="B30" t="s">
        <v>106</v>
      </c>
      <c r="D30" t="s">
        <v>105</v>
      </c>
      <c r="E30" t="s">
        <v>95</v>
      </c>
      <c r="F30" t="s">
        <v>104</v>
      </c>
      <c r="G30">
        <f>BoardQty*2</f>
        <v>200</v>
      </c>
      <c r="H30" s="8">
        <f t="shared" ca="1" si="0"/>
        <v>8.8400000000000006E-2</v>
      </c>
      <c r="I30" s="8">
        <f t="shared" ca="1" si="1"/>
        <v>17.68</v>
      </c>
      <c r="J30">
        <v>11</v>
      </c>
      <c r="L30" s="8">
        <f>IFERROR(LOOKUP(IF(K30="",G30,K30),{0,1,10,100,500,1000,4000,8000,12000,28000,100000},{0,0.15,0.133,0.0884,0.07372,0.06191,0.04616,0.04359,0.04103,0.03974,0.03718}),"")</f>
        <v>8.8400000000000006E-2</v>
      </c>
      <c r="M30" s="8">
        <f t="shared" si="2"/>
        <v>17.68</v>
      </c>
      <c r="N30" s="9" t="s">
        <v>201</v>
      </c>
    </row>
    <row r="31" spans="1:14" x14ac:dyDescent="0.25">
      <c r="A31" t="s">
        <v>107</v>
      </c>
      <c r="B31" t="s">
        <v>110</v>
      </c>
      <c r="D31" t="s">
        <v>109</v>
      </c>
      <c r="E31" t="s">
        <v>66</v>
      </c>
      <c r="F31" t="s">
        <v>108</v>
      </c>
      <c r="G31">
        <f>BoardQty*5</f>
        <v>500</v>
      </c>
      <c r="H31" s="8">
        <f t="shared" ca="1" si="0"/>
        <v>0.15142</v>
      </c>
      <c r="I31" s="8">
        <f t="shared" ca="1" si="1"/>
        <v>75.709999999999994</v>
      </c>
      <c r="J31">
        <v>2</v>
      </c>
      <c r="L31" s="8">
        <f>IFERROR(LOOKUP(IF(K31="",G31,K31),{0,1,10,100,500,1000,5000,10000},{0,0.26,0.233,0.1916,0.15142,0.12998,0.11857,0.11401}),"")</f>
        <v>0.15142</v>
      </c>
      <c r="M31" s="8">
        <f t="shared" si="2"/>
        <v>75.709999999999994</v>
      </c>
      <c r="N31" s="9" t="s">
        <v>108</v>
      </c>
    </row>
    <row r="32" spans="1:14" x14ac:dyDescent="0.25">
      <c r="A32" t="s">
        <v>111</v>
      </c>
      <c r="B32" t="s">
        <v>114</v>
      </c>
      <c r="D32" t="s">
        <v>113</v>
      </c>
      <c r="E32" t="s">
        <v>66</v>
      </c>
      <c r="F32" t="s">
        <v>112</v>
      </c>
      <c r="G32">
        <f t="shared" ref="G32:G38" si="3">BoardQty*1</f>
        <v>100</v>
      </c>
      <c r="H32" s="8">
        <f t="shared" ca="1" si="0"/>
        <v>0.44469999999999998</v>
      </c>
      <c r="I32" s="8">
        <f t="shared" ca="1" si="1"/>
        <v>44.47</v>
      </c>
      <c r="J32">
        <v>955</v>
      </c>
      <c r="L32" s="8">
        <f>IFERROR(LOOKUP(IF(K32="",G32,K32),{0,1,10,100,500,1000,5000,10000},{0,0.61,0.58,0.4447,0.3867,0.31903,0.28035,0.27928}),"")</f>
        <v>0.44469999999999998</v>
      </c>
      <c r="M32" s="8">
        <f t="shared" si="2"/>
        <v>44.47</v>
      </c>
      <c r="N32" s="9" t="s">
        <v>112</v>
      </c>
    </row>
    <row r="33" spans="1:14" x14ac:dyDescent="0.25">
      <c r="A33" t="s">
        <v>115</v>
      </c>
      <c r="B33" t="s">
        <v>118</v>
      </c>
      <c r="D33" t="s">
        <v>117</v>
      </c>
      <c r="E33" t="s">
        <v>66</v>
      </c>
      <c r="F33" t="s">
        <v>116</v>
      </c>
      <c r="G33">
        <f t="shared" si="3"/>
        <v>100</v>
      </c>
      <c r="H33" s="8">
        <f t="shared" ca="1" si="0"/>
        <v>0.71250000000000002</v>
      </c>
      <c r="I33" s="8">
        <f t="shared" ca="1" si="1"/>
        <v>71.25</v>
      </c>
      <c r="J33" s="10" t="s">
        <v>202</v>
      </c>
      <c r="L33" s="8">
        <f>IFERROR(LOOKUP(IF(K33="",G33,K33),{0,1,10,100,500,1000,5000,10000},{0,0.97,0.865,0.7125,0.56322,0.48348,0.44107,0.4241}),"")</f>
        <v>0.71250000000000002</v>
      </c>
      <c r="M33" s="8">
        <f t="shared" si="2"/>
        <v>71.25</v>
      </c>
      <c r="N33" s="9" t="s">
        <v>116</v>
      </c>
    </row>
    <row r="34" spans="1:14" x14ac:dyDescent="0.25">
      <c r="A34" t="s">
        <v>119</v>
      </c>
      <c r="B34" t="s">
        <v>122</v>
      </c>
      <c r="D34" t="s">
        <v>121</v>
      </c>
      <c r="E34" t="s">
        <v>66</v>
      </c>
      <c r="F34" t="s">
        <v>120</v>
      </c>
      <c r="G34">
        <f t="shared" si="3"/>
        <v>100</v>
      </c>
      <c r="H34" s="8">
        <f t="shared" ca="1" si="0"/>
        <v>0.21579999999999999</v>
      </c>
      <c r="I34" s="8">
        <f t="shared" ca="1" si="1"/>
        <v>21.58</v>
      </c>
      <c r="J34">
        <v>1</v>
      </c>
      <c r="L34" s="8">
        <f>IFERROR(LOOKUP(IF(K34="",G34,K34),{0,1,10,100,500,1000,5000,10000},{0,0.3,0.262,0.2158,0.17064,0.14648,0.13363,0.12849}),"")</f>
        <v>0.21579999999999999</v>
      </c>
      <c r="M34" s="8">
        <f t="shared" si="2"/>
        <v>21.58</v>
      </c>
      <c r="N34" s="9" t="s">
        <v>120</v>
      </c>
    </row>
    <row r="35" spans="1:14" x14ac:dyDescent="0.25">
      <c r="A35" t="s">
        <v>123</v>
      </c>
      <c r="B35" t="s">
        <v>126</v>
      </c>
      <c r="D35" t="s">
        <v>63</v>
      </c>
      <c r="E35" t="s">
        <v>125</v>
      </c>
      <c r="F35" t="s">
        <v>124</v>
      </c>
      <c r="G35">
        <f t="shared" si="3"/>
        <v>100</v>
      </c>
      <c r="H35" s="8">
        <f t="shared" ca="1" si="0"/>
        <v>0.27150000000000002</v>
      </c>
      <c r="I35" s="8">
        <f t="shared" ca="1" si="1"/>
        <v>27.150000000000002</v>
      </c>
      <c r="J35">
        <v>51</v>
      </c>
      <c r="L35" s="8">
        <f>IFERROR(LOOKUP(IF(K35="",G35,K35),{0,1,10,100,500,1000,3000},{0,0.58,0.414,0.2715,0.1604,0.12338,0.10781}),"")</f>
        <v>0.27150000000000002</v>
      </c>
      <c r="M35" s="8">
        <f t="shared" si="2"/>
        <v>27.150000000000002</v>
      </c>
      <c r="N35" s="9" t="s">
        <v>203</v>
      </c>
    </row>
    <row r="36" spans="1:14" x14ac:dyDescent="0.25">
      <c r="A36" t="s">
        <v>127</v>
      </c>
      <c r="B36" t="s">
        <v>129</v>
      </c>
      <c r="D36" t="s">
        <v>63</v>
      </c>
      <c r="E36" t="s">
        <v>125</v>
      </c>
      <c r="F36" t="s">
        <v>128</v>
      </c>
      <c r="G36">
        <f t="shared" si="3"/>
        <v>100</v>
      </c>
      <c r="H36" s="8">
        <f t="shared" ca="1" si="0"/>
        <v>0.13750000000000001</v>
      </c>
      <c r="I36" s="8">
        <f t="shared" ca="1" si="1"/>
        <v>13.750000000000002</v>
      </c>
      <c r="J36" s="10" t="s">
        <v>202</v>
      </c>
      <c r="L36" s="8">
        <f>IFERROR(LOOKUP(IF(K36="",G36,K36),{0,1,10,100,500,1000,3000},{0,0.27,0.246,0.1375,0.07368,0.05009,0.04386}),"")</f>
        <v>0.13750000000000001</v>
      </c>
      <c r="M36" s="8">
        <f t="shared" si="2"/>
        <v>13.750000000000002</v>
      </c>
      <c r="N36" s="9" t="s">
        <v>204</v>
      </c>
    </row>
    <row r="37" spans="1:14" x14ac:dyDescent="0.25">
      <c r="A37" t="s">
        <v>130</v>
      </c>
      <c r="B37" t="s">
        <v>134</v>
      </c>
      <c r="D37" t="s">
        <v>133</v>
      </c>
      <c r="E37" t="s">
        <v>132</v>
      </c>
      <c r="F37" t="s">
        <v>131</v>
      </c>
      <c r="G37">
        <f t="shared" si="3"/>
        <v>100</v>
      </c>
      <c r="H37" s="8">
        <f t="shared" ca="1" si="0"/>
        <v>0.14230000000000001</v>
      </c>
      <c r="I37" s="8">
        <f t="shared" ca="1" si="1"/>
        <v>14.23</v>
      </c>
      <c r="J37">
        <v>9</v>
      </c>
      <c r="L37" s="8">
        <f>IFERROR(LOOKUP(IF(K37="",G37,K37),{0,1,10,100,1000,2500,5000,10000,25000,50000,125000},{0,0.5,0.355,0.1423,0.07012,0.06496,0.05349,0.05105,0.04891,0.04786,0.04733}),"")</f>
        <v>0.14230000000000001</v>
      </c>
      <c r="M37" s="8">
        <f t="shared" si="2"/>
        <v>14.23</v>
      </c>
      <c r="N37" s="9" t="s">
        <v>205</v>
      </c>
    </row>
    <row r="38" spans="1:14" x14ac:dyDescent="0.25">
      <c r="A38" t="s">
        <v>135</v>
      </c>
      <c r="B38" t="s">
        <v>137</v>
      </c>
      <c r="D38" t="s">
        <v>133</v>
      </c>
      <c r="E38" t="s">
        <v>132</v>
      </c>
      <c r="F38" t="s">
        <v>136</v>
      </c>
      <c r="G38">
        <f t="shared" si="3"/>
        <v>100</v>
      </c>
      <c r="H38" s="8">
        <f t="shared" ca="1" si="0"/>
        <v>8.6999999999999994E-3</v>
      </c>
      <c r="I38" s="8">
        <f t="shared" ca="1" si="1"/>
        <v>0.86999999999999988</v>
      </c>
      <c r="J38">
        <v>476</v>
      </c>
      <c r="L38" s="8">
        <f>IFERROR(LOOKUP(IF(K38="",G38,K38),{0,1,10,100,1000,2500,5000,10000,25000,50000,125000},{0,0.1,0.022,0.0087,0.00392,0.0034,0.00281,0.00244,0.00215,0.00197,0.00193}),"")</f>
        <v>8.6999999999999994E-3</v>
      </c>
      <c r="M38" s="8">
        <f t="shared" si="2"/>
        <v>0.86999999999999988</v>
      </c>
      <c r="N38" s="9" t="s">
        <v>206</v>
      </c>
    </row>
    <row r="39" spans="1:14" x14ac:dyDescent="0.25">
      <c r="A39" t="s">
        <v>138</v>
      </c>
      <c r="B39" t="s">
        <v>140</v>
      </c>
      <c r="D39" t="s">
        <v>133</v>
      </c>
      <c r="E39" t="s">
        <v>132</v>
      </c>
      <c r="F39" t="s">
        <v>139</v>
      </c>
      <c r="G39">
        <f>BoardQty*2</f>
        <v>200</v>
      </c>
      <c r="H39" s="8">
        <f t="shared" ca="1" si="0"/>
        <v>8.6999999999999994E-3</v>
      </c>
      <c r="I39" s="8">
        <f t="shared" ca="1" si="1"/>
        <v>1.7399999999999998</v>
      </c>
      <c r="J39">
        <v>952</v>
      </c>
      <c r="L39" s="8">
        <f>IFERROR(LOOKUP(IF(K39="",G39,K39),{0,1,10,100,1000,2500,5000,10000,25000,50000,125000},{0,0.1,0.022,0.0087,0.00392,0.0034,0.00281,0.00244,0.00215,0.00197,0.00193}),"")</f>
        <v>8.6999999999999994E-3</v>
      </c>
      <c r="M39" s="8">
        <f t="shared" si="2"/>
        <v>1.7399999999999998</v>
      </c>
      <c r="N39" s="9" t="s">
        <v>207</v>
      </c>
    </row>
    <row r="40" spans="1:14" x14ac:dyDescent="0.25">
      <c r="A40" t="s">
        <v>141</v>
      </c>
      <c r="B40" t="s">
        <v>143</v>
      </c>
      <c r="D40" t="s">
        <v>133</v>
      </c>
      <c r="E40" t="s">
        <v>132</v>
      </c>
      <c r="F40" t="s">
        <v>142</v>
      </c>
      <c r="G40">
        <f>BoardQty*1</f>
        <v>100</v>
      </c>
      <c r="H40" s="8">
        <f t="shared" ca="1" si="0"/>
        <v>8.6999999999999994E-3</v>
      </c>
      <c r="I40" s="8">
        <f t="shared" ca="1" si="1"/>
        <v>0.86999999999999988</v>
      </c>
      <c r="J40">
        <v>191</v>
      </c>
      <c r="L40" s="8">
        <f>IFERROR(LOOKUP(IF(K40="",G40,K40),{0,1,10,100,1000,2500,5000,10000,25000,50000,125000},{0,0.1,0.022,0.0087,0.00392,0.0034,0.00281,0.00244,0.00215,0.00197,0.00193}),"")</f>
        <v>8.6999999999999994E-3</v>
      </c>
      <c r="M40" s="8">
        <f t="shared" si="2"/>
        <v>0.86999999999999988</v>
      </c>
      <c r="N40" s="9" t="s">
        <v>208</v>
      </c>
    </row>
    <row r="41" spans="1:14" x14ac:dyDescent="0.25">
      <c r="A41" t="s">
        <v>144</v>
      </c>
      <c r="B41" t="s">
        <v>146</v>
      </c>
      <c r="D41" t="s">
        <v>133</v>
      </c>
      <c r="E41" t="s">
        <v>132</v>
      </c>
      <c r="F41" t="s">
        <v>145</v>
      </c>
      <c r="G41">
        <f>BoardQty*1</f>
        <v>100</v>
      </c>
      <c r="H41" s="8">
        <f t="shared" ca="1" si="0"/>
        <v>0.13289999999999999</v>
      </c>
      <c r="I41" s="8">
        <f t="shared" ca="1" si="1"/>
        <v>13.29</v>
      </c>
      <c r="J41">
        <v>27</v>
      </c>
      <c r="L41" s="8">
        <f>IFERROR(LOOKUP(IF(K41="",G41,K41),{0,1,10,100,1000,2500,5000,10000,25000,50000,125000},{0,0.42,0.316,0.1329,0.0733,0.06872,0.05939,0.05669,0.05431,0.05314,0.05255}),"")</f>
        <v>0.13289999999999999</v>
      </c>
      <c r="M41" s="8">
        <f t="shared" si="2"/>
        <v>13.29</v>
      </c>
      <c r="N41" s="9" t="s">
        <v>209</v>
      </c>
    </row>
    <row r="42" spans="1:14" x14ac:dyDescent="0.25">
      <c r="A42" t="s">
        <v>147</v>
      </c>
      <c r="B42" t="s">
        <v>149</v>
      </c>
      <c r="D42" t="s">
        <v>133</v>
      </c>
      <c r="E42" t="s">
        <v>132</v>
      </c>
      <c r="F42" t="s">
        <v>148</v>
      </c>
      <c r="G42">
        <f>BoardQty*1</f>
        <v>100</v>
      </c>
      <c r="H42" s="8">
        <f t="shared" ca="1" si="0"/>
        <v>8.6999999999999994E-3</v>
      </c>
      <c r="I42" s="8">
        <f t="shared" ca="1" si="1"/>
        <v>0.86999999999999988</v>
      </c>
      <c r="J42">
        <v>325</v>
      </c>
      <c r="L42" s="8">
        <f>IFERROR(LOOKUP(IF(K42="",G42,K42),{0,1,10,100,1000,2500,5000,10000,25000,50000,125000},{0,0.1,0.022,0.0087,0.00392,0.0034,0.00281,0.00244,0.00215,0.00197,0.00193}),"")</f>
        <v>8.6999999999999994E-3</v>
      </c>
      <c r="M42" s="8">
        <f t="shared" si="2"/>
        <v>0.86999999999999988</v>
      </c>
      <c r="N42" s="9" t="s">
        <v>210</v>
      </c>
    </row>
    <row r="43" spans="1:14" x14ac:dyDescent="0.25">
      <c r="A43" t="s">
        <v>150</v>
      </c>
      <c r="B43" t="s">
        <v>152</v>
      </c>
      <c r="D43" t="s">
        <v>133</v>
      </c>
      <c r="E43" t="s">
        <v>132</v>
      </c>
      <c r="F43" t="s">
        <v>151</v>
      </c>
      <c r="G43">
        <f>BoardQty*9</f>
        <v>900</v>
      </c>
      <c r="H43" s="8">
        <f t="shared" ca="1" si="0"/>
        <v>8.6999999999999994E-3</v>
      </c>
      <c r="I43" s="8">
        <f t="shared" ca="1" si="1"/>
        <v>7.8299999999999992</v>
      </c>
      <c r="J43">
        <v>4</v>
      </c>
      <c r="L43" s="8">
        <f>IFERROR(LOOKUP(IF(K43="",G43,K43),{0,1,10,100,1000,2500,5000,10000,25000,50000,125000},{0,0.1,0.022,0.0087,0.00392,0.0034,0.00281,0.00244,0.00215,0.00197,0.00193}),"")</f>
        <v>8.6999999999999994E-3</v>
      </c>
      <c r="M43" s="8">
        <f t="shared" si="2"/>
        <v>7.8299999999999992</v>
      </c>
      <c r="N43" s="9" t="s">
        <v>211</v>
      </c>
    </row>
    <row r="44" spans="1:14" x14ac:dyDescent="0.25">
      <c r="A44" t="s">
        <v>153</v>
      </c>
      <c r="B44" t="s">
        <v>155</v>
      </c>
      <c r="D44" t="s">
        <v>133</v>
      </c>
      <c r="E44" t="s">
        <v>132</v>
      </c>
      <c r="F44" t="s">
        <v>154</v>
      </c>
      <c r="G44">
        <f>BoardQty*1</f>
        <v>100</v>
      </c>
      <c r="H44" s="8">
        <f t="shared" ca="1" si="0"/>
        <v>8.6999999999999994E-3</v>
      </c>
      <c r="I44" s="8">
        <f t="shared" ca="1" si="1"/>
        <v>0.86999999999999988</v>
      </c>
      <c r="J44">
        <v>57</v>
      </c>
      <c r="L44" s="8">
        <f>IFERROR(LOOKUP(IF(K44="",G44,K44),{0,1,10,100,1000,2500,5000,10000,25000,50000,125000},{0,0.1,0.022,0.0087,0.00392,0.0034,0.00281,0.00244,0.00215,0.00197,0.00193}),"")</f>
        <v>8.6999999999999994E-3</v>
      </c>
      <c r="M44" s="8">
        <f t="shared" si="2"/>
        <v>0.86999999999999988</v>
      </c>
      <c r="N44" s="9" t="s">
        <v>212</v>
      </c>
    </row>
    <row r="45" spans="1:14" x14ac:dyDescent="0.25">
      <c r="A45" t="s">
        <v>156</v>
      </c>
      <c r="B45" t="s">
        <v>158</v>
      </c>
      <c r="D45" t="s">
        <v>133</v>
      </c>
      <c r="E45" t="s">
        <v>132</v>
      </c>
      <c r="F45" t="s">
        <v>157</v>
      </c>
      <c r="G45">
        <f>BoardQty*8</f>
        <v>800</v>
      </c>
      <c r="H45" s="8">
        <f t="shared" ca="1" si="0"/>
        <v>8.6999999999999994E-3</v>
      </c>
      <c r="I45" s="8">
        <f t="shared" ca="1" si="1"/>
        <v>6.9599999999999991</v>
      </c>
      <c r="J45">
        <v>209</v>
      </c>
      <c r="L45" s="8">
        <f>IFERROR(LOOKUP(IF(K45="",G45,K45),{0,1,10,100,1000,2500,5000,10000,25000,50000,125000},{0,0.1,0.022,0.0087,0.00392,0.0034,0.00281,0.00244,0.00215,0.00197,0.00193}),"")</f>
        <v>8.6999999999999994E-3</v>
      </c>
      <c r="M45" s="8">
        <f t="shared" si="2"/>
        <v>6.9599999999999991</v>
      </c>
      <c r="N45" s="9" t="s">
        <v>213</v>
      </c>
    </row>
    <row r="46" spans="1:14" x14ac:dyDescent="0.25">
      <c r="A46" t="s">
        <v>159</v>
      </c>
      <c r="B46" t="s">
        <v>163</v>
      </c>
      <c r="D46" t="s">
        <v>162</v>
      </c>
      <c r="E46" t="s">
        <v>161</v>
      </c>
      <c r="F46" t="s">
        <v>160</v>
      </c>
      <c r="G46">
        <f>BoardQty*2</f>
        <v>200</v>
      </c>
      <c r="H46" s="8">
        <f t="shared" ca="1" si="0"/>
        <v>0.39979999999999999</v>
      </c>
      <c r="I46" s="8">
        <f t="shared" ca="1" si="1"/>
        <v>79.959999999999994</v>
      </c>
      <c r="J46">
        <v>19</v>
      </c>
      <c r="L46" s="8">
        <f>IFERROR(LOOKUP(IF(K46="",G46,K46),{0,1,10,100,500,1000,2500,5000,12500,25000},{0,0.62,0.536,0.3998,0.31406,0.24269,0.21483,0.20097,0.18711,0.17741}),"")</f>
        <v>0.39979999999999999</v>
      </c>
      <c r="M46" s="8">
        <f t="shared" si="2"/>
        <v>79.959999999999994</v>
      </c>
      <c r="N46" s="9" t="s">
        <v>214</v>
      </c>
    </row>
    <row r="47" spans="1:14" x14ac:dyDescent="0.25">
      <c r="A47" t="s">
        <v>164</v>
      </c>
      <c r="B47" t="s">
        <v>165</v>
      </c>
      <c r="D47" t="s">
        <v>167</v>
      </c>
      <c r="E47" t="s">
        <v>166</v>
      </c>
      <c r="F47" t="s">
        <v>165</v>
      </c>
      <c r="G47">
        <f>BoardQty*4</f>
        <v>400</v>
      </c>
      <c r="H47" s="8">
        <f t="shared" ca="1" si="0"/>
        <v>4.5061999999999998</v>
      </c>
      <c r="I47" s="8">
        <f t="shared" ca="1" si="1"/>
        <v>1802.48</v>
      </c>
      <c r="J47">
        <v>216</v>
      </c>
      <c r="L47" s="8">
        <f>IFERROR(LOOKUP(IF(K47="",G47,K47),{0,1,10,25,50},{0,5.16,4.901,4.5784,4.5062}),"")</f>
        <v>4.5061999999999998</v>
      </c>
      <c r="M47" s="8">
        <f t="shared" si="2"/>
        <v>1802.48</v>
      </c>
      <c r="N47" s="9" t="s">
        <v>215</v>
      </c>
    </row>
    <row r="49" spans="11:13" ht="15.75" x14ac:dyDescent="0.25">
      <c r="K49" s="6" t="str">
        <f>IFERROR(IF(OR(K7:K47),COUNTIF(K7:K47,"&gt;0")&amp;" of "&amp;ROWS(K7:K47)&amp;" parts purchased",""),"")</f>
        <v/>
      </c>
    </row>
    <row r="50" spans="11:13" x14ac:dyDescent="0.25">
      <c r="K50" t="str">
        <f t="array" ref="K50">IFERROR(CONCATENATE(TEXT(INDEX($K$7:$K$47,SMALL(IF($N$7:$N$47&lt;&gt;"",IF($K$7:$K$47&lt;&gt;"",ROW($K$7:$K$47)-MIN(ROW($K$7:$K$47))+1,""),""),ROW()-ROW(A$50)+1)),"##0"),","),"")</f>
        <v/>
      </c>
      <c r="L50" t="str">
        <f t="array" ref="L50">IFERROR(CONCATENATE((INDEX($N$7:$N$47,SMALL(IF($N$7:$N$47&lt;&gt;"",IF($K$7:$K$47&lt;&gt;"",ROW($K$7:$K$47)-MIN(ROW($K$7:$K$47))+1,""),""),ROW()-ROW(A$50)+1))),","),"")</f>
        <v/>
      </c>
      <c r="M50" t="str">
        <f t="array" ref="M50">IFERROR(CONCATENATE((INDEX($A$7:$A$47,SMALL(IF($N$7:$N$47&lt;&gt;"",IF($K$7:$K$47&lt;&gt;"",ROW($K$7:$K$47)-MIN(ROW($K$7:$K$47))+1,""),""),ROW()-ROW(A$50)+1))),),"")</f>
        <v/>
      </c>
    </row>
    <row r="51" spans="11:13" x14ac:dyDescent="0.25">
      <c r="K51" t="str">
        <f t="array" ref="K51">IFERROR(CONCATENATE(TEXT(INDEX($K$7:$K$47,SMALL(IF($N$7:$N$47&lt;&gt;"",IF($K$7:$K$47&lt;&gt;"",ROW($K$7:$K$47)-MIN(ROW($K$7:$K$47))+1,""),""),ROW()-ROW(A$50)+1)),"##0"),","),"")</f>
        <v/>
      </c>
      <c r="L51" t="str">
        <f t="array" ref="L51">IFERROR(CONCATENATE((INDEX($N$7:$N$47,SMALL(IF($N$7:$N$47&lt;&gt;"",IF($K$7:$K$47&lt;&gt;"",ROW($K$7:$K$47)-MIN(ROW($K$7:$K$47))+1,""),""),ROW()-ROW(A$50)+1))),","),"")</f>
        <v/>
      </c>
      <c r="M51" t="str">
        <f t="array" ref="M51">IFERROR(CONCATENATE((INDEX($A$7:$A$47,SMALL(IF($N$7:$N$47&lt;&gt;"",IF($K$7:$K$47&lt;&gt;"",ROW($K$7:$K$47)-MIN(ROW($K$7:$K$47))+1,""),""),ROW()-ROW(A$50)+1))),),"")</f>
        <v/>
      </c>
    </row>
    <row r="52" spans="11:13" x14ac:dyDescent="0.25">
      <c r="K52" t="str">
        <f t="array" ref="K52">IFERROR(CONCATENATE(TEXT(INDEX($K$7:$K$47,SMALL(IF($N$7:$N$47&lt;&gt;"",IF($K$7:$K$47&lt;&gt;"",ROW($K$7:$K$47)-MIN(ROW($K$7:$K$47))+1,""),""),ROW()-ROW(A$50)+1)),"##0"),","),"")</f>
        <v/>
      </c>
      <c r="L52" t="str">
        <f t="array" ref="L52">IFERROR(CONCATENATE((INDEX($N$7:$N$47,SMALL(IF($N$7:$N$47&lt;&gt;"",IF($K$7:$K$47&lt;&gt;"",ROW($K$7:$K$47)-MIN(ROW($K$7:$K$47))+1,""),""),ROW()-ROW(A$50)+1))),","),"")</f>
        <v/>
      </c>
      <c r="M52" t="str">
        <f t="array" ref="M52">IFERROR(CONCATENATE((INDEX($A$7:$A$47,SMALL(IF($N$7:$N$47&lt;&gt;"",IF($K$7:$K$47&lt;&gt;"",ROW($K$7:$K$47)-MIN(ROW($K$7:$K$47))+1,""),""),ROW()-ROW(A$50)+1))),),"")</f>
        <v/>
      </c>
    </row>
    <row r="53" spans="11:13" x14ac:dyDescent="0.25">
      <c r="K53" t="str">
        <f t="array" ref="K53">IFERROR(CONCATENATE(TEXT(INDEX($K$7:$K$47,SMALL(IF($N$7:$N$47&lt;&gt;"",IF($K$7:$K$47&lt;&gt;"",ROW($K$7:$K$47)-MIN(ROW($K$7:$K$47))+1,""),""),ROW()-ROW(A$50)+1)),"##0"),","),"")</f>
        <v/>
      </c>
      <c r="L53" t="str">
        <f t="array" ref="L53">IFERROR(CONCATENATE((INDEX($N$7:$N$47,SMALL(IF($N$7:$N$47&lt;&gt;"",IF($K$7:$K$47&lt;&gt;"",ROW($K$7:$K$47)-MIN(ROW($K$7:$K$47))+1,""),""),ROW()-ROW(A$50)+1))),","),"")</f>
        <v/>
      </c>
      <c r="M53" t="str">
        <f t="array" ref="M53">IFERROR(CONCATENATE((INDEX($A$7:$A$47,SMALL(IF($N$7:$N$47&lt;&gt;"",IF($K$7:$K$47&lt;&gt;"",ROW($K$7:$K$47)-MIN(ROW($K$7:$K$47))+1,""),""),ROW()-ROW(A$50)+1))),),"")</f>
        <v/>
      </c>
    </row>
    <row r="54" spans="11:13" x14ac:dyDescent="0.25">
      <c r="K54" t="str">
        <f t="array" ref="K54">IFERROR(CONCATENATE(TEXT(INDEX($K$7:$K$47,SMALL(IF($N$7:$N$47&lt;&gt;"",IF($K$7:$K$47&lt;&gt;"",ROW($K$7:$K$47)-MIN(ROW($K$7:$K$47))+1,""),""),ROW()-ROW(A$50)+1)),"##0"),","),"")</f>
        <v/>
      </c>
      <c r="L54" t="str">
        <f t="array" ref="L54">IFERROR(CONCATENATE((INDEX($N$7:$N$47,SMALL(IF($N$7:$N$47&lt;&gt;"",IF($K$7:$K$47&lt;&gt;"",ROW($K$7:$K$47)-MIN(ROW($K$7:$K$47))+1,""),""),ROW()-ROW(A$50)+1))),","),"")</f>
        <v/>
      </c>
      <c r="M54" t="str">
        <f t="array" ref="M54">IFERROR(CONCATENATE((INDEX($A$7:$A$47,SMALL(IF($N$7:$N$47&lt;&gt;"",IF($K$7:$K$47&lt;&gt;"",ROW($K$7:$K$47)-MIN(ROW($K$7:$K$47))+1,""),""),ROW()-ROW(A$50)+1))),),"")</f>
        <v/>
      </c>
    </row>
    <row r="55" spans="11:13" x14ac:dyDescent="0.25">
      <c r="K55" t="str">
        <f t="array" ref="K55">IFERROR(CONCATENATE(TEXT(INDEX($K$7:$K$47,SMALL(IF($N$7:$N$47&lt;&gt;"",IF($K$7:$K$47&lt;&gt;"",ROW($K$7:$K$47)-MIN(ROW($K$7:$K$47))+1,""),""),ROW()-ROW(A$50)+1)),"##0"),","),"")</f>
        <v/>
      </c>
      <c r="L55" t="str">
        <f t="array" ref="L55">IFERROR(CONCATENATE((INDEX($N$7:$N$47,SMALL(IF($N$7:$N$47&lt;&gt;"",IF($K$7:$K$47&lt;&gt;"",ROW($K$7:$K$47)-MIN(ROW($K$7:$K$47))+1,""),""),ROW()-ROW(A$50)+1))),","),"")</f>
        <v/>
      </c>
      <c r="M55" t="str">
        <f t="array" ref="M55">IFERROR(CONCATENATE((INDEX($A$7:$A$47,SMALL(IF($N$7:$N$47&lt;&gt;"",IF($K$7:$K$47&lt;&gt;"",ROW($K$7:$K$47)-MIN(ROW($K$7:$K$47))+1,""),""),ROW()-ROW(A$50)+1))),),"")</f>
        <v/>
      </c>
    </row>
    <row r="56" spans="11:13" x14ac:dyDescent="0.25">
      <c r="K56" t="str">
        <f t="array" ref="K56">IFERROR(CONCATENATE(TEXT(INDEX($K$7:$K$47,SMALL(IF($N$7:$N$47&lt;&gt;"",IF($K$7:$K$47&lt;&gt;"",ROW($K$7:$K$47)-MIN(ROW($K$7:$K$47))+1,""),""),ROW()-ROW(A$50)+1)),"##0"),","),"")</f>
        <v/>
      </c>
      <c r="L56" t="str">
        <f t="array" ref="L56">IFERROR(CONCATENATE((INDEX($N$7:$N$47,SMALL(IF($N$7:$N$47&lt;&gt;"",IF($K$7:$K$47&lt;&gt;"",ROW($K$7:$K$47)-MIN(ROW($K$7:$K$47))+1,""),""),ROW()-ROW(A$50)+1))),","),"")</f>
        <v/>
      </c>
      <c r="M56" t="str">
        <f t="array" ref="M56">IFERROR(CONCATENATE((INDEX($A$7:$A$47,SMALL(IF($N$7:$N$47&lt;&gt;"",IF($K$7:$K$47&lt;&gt;"",ROW($K$7:$K$47)-MIN(ROW($K$7:$K$47))+1,""),""),ROW()-ROW(A$50)+1))),),"")</f>
        <v/>
      </c>
    </row>
    <row r="57" spans="11:13" x14ac:dyDescent="0.25">
      <c r="K57" t="str">
        <f t="array" ref="K57">IFERROR(CONCATENATE(TEXT(INDEX($K$7:$K$47,SMALL(IF($N$7:$N$47&lt;&gt;"",IF($K$7:$K$47&lt;&gt;"",ROW($K$7:$K$47)-MIN(ROW($K$7:$K$47))+1,""),""),ROW()-ROW(A$50)+1)),"##0"),","),"")</f>
        <v/>
      </c>
      <c r="L57" t="str">
        <f t="array" ref="L57">IFERROR(CONCATENATE((INDEX($N$7:$N$47,SMALL(IF($N$7:$N$47&lt;&gt;"",IF($K$7:$K$47&lt;&gt;"",ROW($K$7:$K$47)-MIN(ROW($K$7:$K$47))+1,""),""),ROW()-ROW(A$50)+1))),","),"")</f>
        <v/>
      </c>
      <c r="M57" t="str">
        <f t="array" ref="M57">IFERROR(CONCATENATE((INDEX($A$7:$A$47,SMALL(IF($N$7:$N$47&lt;&gt;"",IF($K$7:$K$47&lt;&gt;"",ROW($K$7:$K$47)-MIN(ROW($K$7:$K$47))+1,""),""),ROW()-ROW(A$50)+1))),),"")</f>
        <v/>
      </c>
    </row>
    <row r="58" spans="11:13" x14ac:dyDescent="0.25">
      <c r="K58" t="str">
        <f t="array" ref="K58">IFERROR(CONCATENATE(TEXT(INDEX($K$7:$K$47,SMALL(IF($N$7:$N$47&lt;&gt;"",IF($K$7:$K$47&lt;&gt;"",ROW($K$7:$K$47)-MIN(ROW($K$7:$K$47))+1,""),""),ROW()-ROW(A$50)+1)),"##0"),","),"")</f>
        <v/>
      </c>
      <c r="L58" t="str">
        <f t="array" ref="L58">IFERROR(CONCATENATE((INDEX($N$7:$N$47,SMALL(IF($N$7:$N$47&lt;&gt;"",IF($K$7:$K$47&lt;&gt;"",ROW($K$7:$K$47)-MIN(ROW($K$7:$K$47))+1,""),""),ROW()-ROW(A$50)+1))),","),"")</f>
        <v/>
      </c>
      <c r="M58" t="str">
        <f t="array" ref="M58">IFERROR(CONCATENATE((INDEX($A$7:$A$47,SMALL(IF($N$7:$N$47&lt;&gt;"",IF($K$7:$K$47&lt;&gt;"",ROW($K$7:$K$47)-MIN(ROW($K$7:$K$47))+1,""),""),ROW()-ROW(A$50)+1))),),"")</f>
        <v/>
      </c>
    </row>
    <row r="59" spans="11:13" x14ac:dyDescent="0.25">
      <c r="K59" t="str">
        <f t="array" ref="K59">IFERROR(CONCATENATE(TEXT(INDEX($K$7:$K$47,SMALL(IF($N$7:$N$47&lt;&gt;"",IF($K$7:$K$47&lt;&gt;"",ROW($K$7:$K$47)-MIN(ROW($K$7:$K$47))+1,""),""),ROW()-ROW(A$50)+1)),"##0"),","),"")</f>
        <v/>
      </c>
      <c r="L59" t="str">
        <f t="array" ref="L59">IFERROR(CONCATENATE((INDEX($N$7:$N$47,SMALL(IF($N$7:$N$47&lt;&gt;"",IF($K$7:$K$47&lt;&gt;"",ROW($K$7:$K$47)-MIN(ROW($K$7:$K$47))+1,""),""),ROW()-ROW(A$50)+1))),","),"")</f>
        <v/>
      </c>
      <c r="M59" t="str">
        <f t="array" ref="M59">IFERROR(CONCATENATE((INDEX($A$7:$A$47,SMALL(IF($N$7:$N$47&lt;&gt;"",IF($K$7:$K$47&lt;&gt;"",ROW($K$7:$K$47)-MIN(ROW($K$7:$K$47))+1,""),""),ROW()-ROW(A$50)+1))),),"")</f>
        <v/>
      </c>
    </row>
    <row r="60" spans="11:13" x14ac:dyDescent="0.25">
      <c r="K60" t="str">
        <f t="array" ref="K60">IFERROR(CONCATENATE(TEXT(INDEX($K$7:$K$47,SMALL(IF($N$7:$N$47&lt;&gt;"",IF($K$7:$K$47&lt;&gt;"",ROW($K$7:$K$47)-MIN(ROW($K$7:$K$47))+1,""),""),ROW()-ROW(A$50)+1)),"##0"),","),"")</f>
        <v/>
      </c>
      <c r="L60" t="str">
        <f t="array" ref="L60">IFERROR(CONCATENATE((INDEX($N$7:$N$47,SMALL(IF($N$7:$N$47&lt;&gt;"",IF($K$7:$K$47&lt;&gt;"",ROW($K$7:$K$47)-MIN(ROW($K$7:$K$47))+1,""),""),ROW()-ROW(A$50)+1))),","),"")</f>
        <v/>
      </c>
      <c r="M60" t="str">
        <f t="array" ref="M60">IFERROR(CONCATENATE((INDEX($A$7:$A$47,SMALL(IF($N$7:$N$47&lt;&gt;"",IF($K$7:$K$47&lt;&gt;"",ROW($K$7:$K$47)-MIN(ROW($K$7:$K$47))+1,""),""),ROW()-ROW(A$50)+1))),),"")</f>
        <v/>
      </c>
    </row>
    <row r="61" spans="11:13" x14ac:dyDescent="0.25">
      <c r="K61" t="str">
        <f t="array" ref="K61">IFERROR(CONCATENATE(TEXT(INDEX($K$7:$K$47,SMALL(IF($N$7:$N$47&lt;&gt;"",IF($K$7:$K$47&lt;&gt;"",ROW($K$7:$K$47)-MIN(ROW($K$7:$K$47))+1,""),""),ROW()-ROW(A$50)+1)),"##0"),","),"")</f>
        <v/>
      </c>
      <c r="L61" t="str">
        <f t="array" ref="L61">IFERROR(CONCATENATE((INDEX($N$7:$N$47,SMALL(IF($N$7:$N$47&lt;&gt;"",IF($K$7:$K$47&lt;&gt;"",ROW($K$7:$K$47)-MIN(ROW($K$7:$K$47))+1,""),""),ROW()-ROW(A$50)+1))),","),"")</f>
        <v/>
      </c>
      <c r="M61" t="str">
        <f t="array" ref="M61">IFERROR(CONCATENATE((INDEX($A$7:$A$47,SMALL(IF($N$7:$N$47&lt;&gt;"",IF($K$7:$K$47&lt;&gt;"",ROW($K$7:$K$47)-MIN(ROW($K$7:$K$47))+1,""),""),ROW()-ROW(A$50)+1))),),"")</f>
        <v/>
      </c>
    </row>
    <row r="62" spans="11:13" x14ac:dyDescent="0.25">
      <c r="K62" t="str">
        <f t="array" ref="K62">IFERROR(CONCATENATE(TEXT(INDEX($K$7:$K$47,SMALL(IF($N$7:$N$47&lt;&gt;"",IF($K$7:$K$47&lt;&gt;"",ROW($K$7:$K$47)-MIN(ROW($K$7:$K$47))+1,""),""),ROW()-ROW(A$50)+1)),"##0"),","),"")</f>
        <v/>
      </c>
      <c r="L62" t="str">
        <f t="array" ref="L62">IFERROR(CONCATENATE((INDEX($N$7:$N$47,SMALL(IF($N$7:$N$47&lt;&gt;"",IF($K$7:$K$47&lt;&gt;"",ROW($K$7:$K$47)-MIN(ROW($K$7:$K$47))+1,""),""),ROW()-ROW(A$50)+1))),","),"")</f>
        <v/>
      </c>
      <c r="M62" t="str">
        <f t="array" ref="M62">IFERROR(CONCATENATE((INDEX($A$7:$A$47,SMALL(IF($N$7:$N$47&lt;&gt;"",IF($K$7:$K$47&lt;&gt;"",ROW($K$7:$K$47)-MIN(ROW($K$7:$K$47))+1,""),""),ROW()-ROW(A$50)+1))),),"")</f>
        <v/>
      </c>
    </row>
    <row r="63" spans="11:13" x14ac:dyDescent="0.25">
      <c r="K63" t="str">
        <f t="array" ref="K63">IFERROR(CONCATENATE(TEXT(INDEX($K$7:$K$47,SMALL(IF($N$7:$N$47&lt;&gt;"",IF($K$7:$K$47&lt;&gt;"",ROW($K$7:$K$47)-MIN(ROW($K$7:$K$47))+1,""),""),ROW()-ROW(A$50)+1)),"##0"),","),"")</f>
        <v/>
      </c>
      <c r="L63" t="str">
        <f t="array" ref="L63">IFERROR(CONCATENATE((INDEX($N$7:$N$47,SMALL(IF($N$7:$N$47&lt;&gt;"",IF($K$7:$K$47&lt;&gt;"",ROW($K$7:$K$47)-MIN(ROW($K$7:$K$47))+1,""),""),ROW()-ROW(A$50)+1))),","),"")</f>
        <v/>
      </c>
      <c r="M63" t="str">
        <f t="array" ref="M63">IFERROR(CONCATENATE((INDEX($A$7:$A$47,SMALL(IF($N$7:$N$47&lt;&gt;"",IF($K$7:$K$47&lt;&gt;"",ROW($K$7:$K$47)-MIN(ROW($K$7:$K$47))+1,""),""),ROW()-ROW(A$50)+1))),),"")</f>
        <v/>
      </c>
    </row>
    <row r="64" spans="11:13" x14ac:dyDescent="0.25">
      <c r="K64" t="str">
        <f t="array" ref="K64">IFERROR(CONCATENATE(TEXT(INDEX($K$7:$K$47,SMALL(IF($N$7:$N$47&lt;&gt;"",IF($K$7:$K$47&lt;&gt;"",ROW($K$7:$K$47)-MIN(ROW($K$7:$K$47))+1,""),""),ROW()-ROW(A$50)+1)),"##0"),","),"")</f>
        <v/>
      </c>
      <c r="L64" t="str">
        <f t="array" ref="L64">IFERROR(CONCATENATE((INDEX($N$7:$N$47,SMALL(IF($N$7:$N$47&lt;&gt;"",IF($K$7:$K$47&lt;&gt;"",ROW($K$7:$K$47)-MIN(ROW($K$7:$K$47))+1,""),""),ROW()-ROW(A$50)+1))),","),"")</f>
        <v/>
      </c>
      <c r="M64" t="str">
        <f t="array" ref="M64">IFERROR(CONCATENATE((INDEX($A$7:$A$47,SMALL(IF($N$7:$N$47&lt;&gt;"",IF($K$7:$K$47&lt;&gt;"",ROW($K$7:$K$47)-MIN(ROW($K$7:$K$47))+1,""),""),ROW()-ROW(A$50)+1))),),"")</f>
        <v/>
      </c>
    </row>
    <row r="65" spans="11:13" x14ac:dyDescent="0.25">
      <c r="K65" t="str">
        <f t="array" ref="K65">IFERROR(CONCATENATE(TEXT(INDEX($K$7:$K$47,SMALL(IF($N$7:$N$47&lt;&gt;"",IF($K$7:$K$47&lt;&gt;"",ROW($K$7:$K$47)-MIN(ROW($K$7:$K$47))+1,""),""),ROW()-ROW(A$50)+1)),"##0"),","),"")</f>
        <v/>
      </c>
      <c r="L65" t="str">
        <f t="array" ref="L65">IFERROR(CONCATENATE((INDEX($N$7:$N$47,SMALL(IF($N$7:$N$47&lt;&gt;"",IF($K$7:$K$47&lt;&gt;"",ROW($K$7:$K$47)-MIN(ROW($K$7:$K$47))+1,""),""),ROW()-ROW(A$50)+1))),","),"")</f>
        <v/>
      </c>
      <c r="M65" t="str">
        <f t="array" ref="M65">IFERROR(CONCATENATE((INDEX($A$7:$A$47,SMALL(IF($N$7:$N$47&lt;&gt;"",IF($K$7:$K$47&lt;&gt;"",ROW($K$7:$K$47)-MIN(ROW($K$7:$K$47))+1,""),""),ROW()-ROW(A$50)+1))),),"")</f>
        <v/>
      </c>
    </row>
    <row r="66" spans="11:13" x14ac:dyDescent="0.25">
      <c r="K66" t="str">
        <f t="array" ref="K66">IFERROR(CONCATENATE(TEXT(INDEX($K$7:$K$47,SMALL(IF($N$7:$N$47&lt;&gt;"",IF($K$7:$K$47&lt;&gt;"",ROW($K$7:$K$47)-MIN(ROW($K$7:$K$47))+1,""),""),ROW()-ROW(A$50)+1)),"##0"),","),"")</f>
        <v/>
      </c>
      <c r="L66" t="str">
        <f t="array" ref="L66">IFERROR(CONCATENATE((INDEX($N$7:$N$47,SMALL(IF($N$7:$N$47&lt;&gt;"",IF($K$7:$K$47&lt;&gt;"",ROW($K$7:$K$47)-MIN(ROW($K$7:$K$47))+1,""),""),ROW()-ROW(A$50)+1))),","),"")</f>
        <v/>
      </c>
      <c r="M66" t="str">
        <f t="array" ref="M66">IFERROR(CONCATENATE((INDEX($A$7:$A$47,SMALL(IF($N$7:$N$47&lt;&gt;"",IF($K$7:$K$47&lt;&gt;"",ROW($K$7:$K$47)-MIN(ROW($K$7:$K$47))+1,""),""),ROW()-ROW(A$50)+1))),),"")</f>
        <v/>
      </c>
    </row>
    <row r="67" spans="11:13" x14ac:dyDescent="0.25">
      <c r="K67" t="str">
        <f t="array" ref="K67">IFERROR(CONCATENATE(TEXT(INDEX($K$7:$K$47,SMALL(IF($N$7:$N$47&lt;&gt;"",IF($K$7:$K$47&lt;&gt;"",ROW($K$7:$K$47)-MIN(ROW($K$7:$K$47))+1,""),""),ROW()-ROW(A$50)+1)),"##0"),","),"")</f>
        <v/>
      </c>
      <c r="L67" t="str">
        <f t="array" ref="L67">IFERROR(CONCATENATE((INDEX($N$7:$N$47,SMALL(IF($N$7:$N$47&lt;&gt;"",IF($K$7:$K$47&lt;&gt;"",ROW($K$7:$K$47)-MIN(ROW($K$7:$K$47))+1,""),""),ROW()-ROW(A$50)+1))),","),"")</f>
        <v/>
      </c>
      <c r="M67" t="str">
        <f t="array" ref="M67">IFERROR(CONCATENATE((INDEX($A$7:$A$47,SMALL(IF($N$7:$N$47&lt;&gt;"",IF($K$7:$K$47&lt;&gt;"",ROW($K$7:$K$47)-MIN(ROW($K$7:$K$47))+1,""),""),ROW()-ROW(A$50)+1))),),"")</f>
        <v/>
      </c>
    </row>
    <row r="68" spans="11:13" x14ac:dyDescent="0.25">
      <c r="K68" t="str">
        <f t="array" ref="K68">IFERROR(CONCATENATE(TEXT(INDEX($K$7:$K$47,SMALL(IF($N$7:$N$47&lt;&gt;"",IF($K$7:$K$47&lt;&gt;"",ROW($K$7:$K$47)-MIN(ROW($K$7:$K$47))+1,""),""),ROW()-ROW(A$50)+1)),"##0"),","),"")</f>
        <v/>
      </c>
      <c r="L68" t="str">
        <f t="array" ref="L68">IFERROR(CONCATENATE((INDEX($N$7:$N$47,SMALL(IF($N$7:$N$47&lt;&gt;"",IF($K$7:$K$47&lt;&gt;"",ROW($K$7:$K$47)-MIN(ROW($K$7:$K$47))+1,""),""),ROW()-ROW(A$50)+1))),","),"")</f>
        <v/>
      </c>
      <c r="M68" t="str">
        <f t="array" ref="M68">IFERROR(CONCATENATE((INDEX($A$7:$A$47,SMALL(IF($N$7:$N$47&lt;&gt;"",IF($K$7:$K$47&lt;&gt;"",ROW($K$7:$K$47)-MIN(ROW($K$7:$K$47))+1,""),""),ROW()-ROW(A$50)+1))),),"")</f>
        <v/>
      </c>
    </row>
    <row r="69" spans="11:13" x14ac:dyDescent="0.25">
      <c r="K69" t="str">
        <f t="array" ref="K69">IFERROR(CONCATENATE(TEXT(INDEX($K$7:$K$47,SMALL(IF($N$7:$N$47&lt;&gt;"",IF($K$7:$K$47&lt;&gt;"",ROW($K$7:$K$47)-MIN(ROW($K$7:$K$47))+1,""),""),ROW()-ROW(A$50)+1)),"##0"),","),"")</f>
        <v/>
      </c>
      <c r="L69" t="str">
        <f t="array" ref="L69">IFERROR(CONCATENATE((INDEX($N$7:$N$47,SMALL(IF($N$7:$N$47&lt;&gt;"",IF($K$7:$K$47&lt;&gt;"",ROW($K$7:$K$47)-MIN(ROW($K$7:$K$47))+1,""),""),ROW()-ROW(A$50)+1))),","),"")</f>
        <v/>
      </c>
      <c r="M69" t="str">
        <f t="array" ref="M69">IFERROR(CONCATENATE((INDEX($A$7:$A$47,SMALL(IF($N$7:$N$47&lt;&gt;"",IF($K$7:$K$47&lt;&gt;"",ROW($K$7:$K$47)-MIN(ROW($K$7:$K$47))+1,""),""),ROW()-ROW(A$50)+1))),),"")</f>
        <v/>
      </c>
    </row>
    <row r="70" spans="11:13" x14ac:dyDescent="0.25">
      <c r="K70" t="str">
        <f t="array" ref="K70">IFERROR(CONCATENATE(TEXT(INDEX($K$7:$K$47,SMALL(IF($N$7:$N$47&lt;&gt;"",IF($K$7:$K$47&lt;&gt;"",ROW($K$7:$K$47)-MIN(ROW($K$7:$K$47))+1,""),""),ROW()-ROW(A$50)+1)),"##0"),","),"")</f>
        <v/>
      </c>
      <c r="L70" t="str">
        <f t="array" ref="L70">IFERROR(CONCATENATE((INDEX($N$7:$N$47,SMALL(IF($N$7:$N$47&lt;&gt;"",IF($K$7:$K$47&lt;&gt;"",ROW($K$7:$K$47)-MIN(ROW($K$7:$K$47))+1,""),""),ROW()-ROW(A$50)+1))),","),"")</f>
        <v/>
      </c>
      <c r="M70" t="str">
        <f t="array" ref="M70">IFERROR(CONCATENATE((INDEX($A$7:$A$47,SMALL(IF($N$7:$N$47&lt;&gt;"",IF($K$7:$K$47&lt;&gt;"",ROW($K$7:$K$47)-MIN(ROW($K$7:$K$47))+1,""),""),ROW()-ROW(A$50)+1))),),"")</f>
        <v/>
      </c>
    </row>
    <row r="71" spans="11:13" x14ac:dyDescent="0.25">
      <c r="K71" t="str">
        <f t="array" ref="K71">IFERROR(CONCATENATE(TEXT(INDEX($K$7:$K$47,SMALL(IF($N$7:$N$47&lt;&gt;"",IF($K$7:$K$47&lt;&gt;"",ROW($K$7:$K$47)-MIN(ROW($K$7:$K$47))+1,""),""),ROW()-ROW(A$50)+1)),"##0"),","),"")</f>
        <v/>
      </c>
      <c r="L71" t="str">
        <f t="array" ref="L71">IFERROR(CONCATENATE((INDEX($N$7:$N$47,SMALL(IF($N$7:$N$47&lt;&gt;"",IF($K$7:$K$47&lt;&gt;"",ROW($K$7:$K$47)-MIN(ROW($K$7:$K$47))+1,""),""),ROW()-ROW(A$50)+1))),","),"")</f>
        <v/>
      </c>
      <c r="M71" t="str">
        <f t="array" ref="M71">IFERROR(CONCATENATE((INDEX($A$7:$A$47,SMALL(IF($N$7:$N$47&lt;&gt;"",IF($K$7:$K$47&lt;&gt;"",ROW($K$7:$K$47)-MIN(ROW($K$7:$K$47))+1,""),""),ROW()-ROW(A$50)+1))),),"")</f>
        <v/>
      </c>
    </row>
    <row r="72" spans="11:13" x14ac:dyDescent="0.25">
      <c r="K72" t="str">
        <f t="array" ref="K72">IFERROR(CONCATENATE(TEXT(INDEX($K$7:$K$47,SMALL(IF($N$7:$N$47&lt;&gt;"",IF($K$7:$K$47&lt;&gt;"",ROW($K$7:$K$47)-MIN(ROW($K$7:$K$47))+1,""),""),ROW()-ROW(A$50)+1)),"##0"),","),"")</f>
        <v/>
      </c>
      <c r="L72" t="str">
        <f t="array" ref="L72">IFERROR(CONCATENATE((INDEX($N$7:$N$47,SMALL(IF($N$7:$N$47&lt;&gt;"",IF($K$7:$K$47&lt;&gt;"",ROW($K$7:$K$47)-MIN(ROW($K$7:$K$47))+1,""),""),ROW()-ROW(A$50)+1))),","),"")</f>
        <v/>
      </c>
      <c r="M72" t="str">
        <f t="array" ref="M72">IFERROR(CONCATENATE((INDEX($A$7:$A$47,SMALL(IF($N$7:$N$47&lt;&gt;"",IF($K$7:$K$47&lt;&gt;"",ROW($K$7:$K$47)-MIN(ROW($K$7:$K$47))+1,""),""),ROW()-ROW(A$50)+1))),),"")</f>
        <v/>
      </c>
    </row>
    <row r="73" spans="11:13" x14ac:dyDescent="0.25">
      <c r="K73" t="str">
        <f t="array" ref="K73">IFERROR(CONCATENATE(TEXT(INDEX($K$7:$K$47,SMALL(IF($N$7:$N$47&lt;&gt;"",IF($K$7:$K$47&lt;&gt;"",ROW($K$7:$K$47)-MIN(ROW($K$7:$K$47))+1,""),""),ROW()-ROW(A$50)+1)),"##0"),","),"")</f>
        <v/>
      </c>
      <c r="L73" t="str">
        <f t="array" ref="L73">IFERROR(CONCATENATE((INDEX($N$7:$N$47,SMALL(IF($N$7:$N$47&lt;&gt;"",IF($K$7:$K$47&lt;&gt;"",ROW($K$7:$K$47)-MIN(ROW($K$7:$K$47))+1,""),""),ROW()-ROW(A$50)+1))),","),"")</f>
        <v/>
      </c>
      <c r="M73" t="str">
        <f t="array" ref="M73">IFERROR(CONCATENATE((INDEX($A$7:$A$47,SMALL(IF($N$7:$N$47&lt;&gt;"",IF($K$7:$K$47&lt;&gt;"",ROW($K$7:$K$47)-MIN(ROW($K$7:$K$47))+1,""),""),ROW()-ROW(A$50)+1))),),"")</f>
        <v/>
      </c>
    </row>
    <row r="74" spans="11:13" x14ac:dyDescent="0.25">
      <c r="K74" t="str">
        <f t="array" ref="K74">IFERROR(CONCATENATE(TEXT(INDEX($K$7:$K$47,SMALL(IF($N$7:$N$47&lt;&gt;"",IF($K$7:$K$47&lt;&gt;"",ROW($K$7:$K$47)-MIN(ROW($K$7:$K$47))+1,""),""),ROW()-ROW(A$50)+1)),"##0"),","),"")</f>
        <v/>
      </c>
      <c r="L74" t="str">
        <f t="array" ref="L74">IFERROR(CONCATENATE((INDEX($N$7:$N$47,SMALL(IF($N$7:$N$47&lt;&gt;"",IF($K$7:$K$47&lt;&gt;"",ROW($K$7:$K$47)-MIN(ROW($K$7:$K$47))+1,""),""),ROW()-ROW(A$50)+1))),","),"")</f>
        <v/>
      </c>
      <c r="M74" t="str">
        <f t="array" ref="M74">IFERROR(CONCATENATE((INDEX($A$7:$A$47,SMALL(IF($N$7:$N$47&lt;&gt;"",IF($K$7:$K$47&lt;&gt;"",ROW($K$7:$K$47)-MIN(ROW($K$7:$K$47))+1,""),""),ROW()-ROW(A$50)+1))),),"")</f>
        <v/>
      </c>
    </row>
    <row r="75" spans="11:13" x14ac:dyDescent="0.25">
      <c r="K75" t="str">
        <f t="array" ref="K75">IFERROR(CONCATENATE(TEXT(INDEX($K$7:$K$47,SMALL(IF($N$7:$N$47&lt;&gt;"",IF($K$7:$K$47&lt;&gt;"",ROW($K$7:$K$47)-MIN(ROW($K$7:$K$47))+1,""),""),ROW()-ROW(A$50)+1)),"##0"),","),"")</f>
        <v/>
      </c>
      <c r="L75" t="str">
        <f t="array" ref="L75">IFERROR(CONCATENATE((INDEX($N$7:$N$47,SMALL(IF($N$7:$N$47&lt;&gt;"",IF($K$7:$K$47&lt;&gt;"",ROW($K$7:$K$47)-MIN(ROW($K$7:$K$47))+1,""),""),ROW()-ROW(A$50)+1))),","),"")</f>
        <v/>
      </c>
      <c r="M75" t="str">
        <f t="array" ref="M75">IFERROR(CONCATENATE((INDEX($A$7:$A$47,SMALL(IF($N$7:$N$47&lt;&gt;"",IF($K$7:$K$47&lt;&gt;"",ROW($K$7:$K$47)-MIN(ROW($K$7:$K$47))+1,""),""),ROW()-ROW(A$50)+1))),),"")</f>
        <v/>
      </c>
    </row>
    <row r="76" spans="11:13" x14ac:dyDescent="0.25">
      <c r="K76" t="str">
        <f t="array" ref="K76">IFERROR(CONCATENATE(TEXT(INDEX($K$7:$K$47,SMALL(IF($N$7:$N$47&lt;&gt;"",IF($K$7:$K$47&lt;&gt;"",ROW($K$7:$K$47)-MIN(ROW($K$7:$K$47))+1,""),""),ROW()-ROW(A$50)+1)),"##0"),","),"")</f>
        <v/>
      </c>
      <c r="L76" t="str">
        <f t="array" ref="L76">IFERROR(CONCATENATE((INDEX($N$7:$N$47,SMALL(IF($N$7:$N$47&lt;&gt;"",IF($K$7:$K$47&lt;&gt;"",ROW($K$7:$K$47)-MIN(ROW($K$7:$K$47))+1,""),""),ROW()-ROW(A$50)+1))),","),"")</f>
        <v/>
      </c>
      <c r="M76" t="str">
        <f t="array" ref="M76">IFERROR(CONCATENATE((INDEX($A$7:$A$47,SMALL(IF($N$7:$N$47&lt;&gt;"",IF($K$7:$K$47&lt;&gt;"",ROW($K$7:$K$47)-MIN(ROW($K$7:$K$47))+1,""),""),ROW()-ROW(A$50)+1))),),"")</f>
        <v/>
      </c>
    </row>
    <row r="77" spans="11:13" x14ac:dyDescent="0.25">
      <c r="K77" t="str">
        <f t="array" ref="K77">IFERROR(CONCATENATE(TEXT(INDEX($K$7:$K$47,SMALL(IF($N$7:$N$47&lt;&gt;"",IF($K$7:$K$47&lt;&gt;"",ROW($K$7:$K$47)-MIN(ROW($K$7:$K$47))+1,""),""),ROW()-ROW(A$50)+1)),"##0"),","),"")</f>
        <v/>
      </c>
      <c r="L77" t="str">
        <f t="array" ref="L77">IFERROR(CONCATENATE((INDEX($N$7:$N$47,SMALL(IF($N$7:$N$47&lt;&gt;"",IF($K$7:$K$47&lt;&gt;"",ROW($K$7:$K$47)-MIN(ROW($K$7:$K$47))+1,""),""),ROW()-ROW(A$50)+1))),","),"")</f>
        <v/>
      </c>
      <c r="M77" t="str">
        <f t="array" ref="M77">IFERROR(CONCATENATE((INDEX($A$7:$A$47,SMALL(IF($N$7:$N$47&lt;&gt;"",IF($K$7:$K$47&lt;&gt;"",ROW($K$7:$K$47)-MIN(ROW($K$7:$K$47))+1,""),""),ROW()-ROW(A$50)+1))),),"")</f>
        <v/>
      </c>
    </row>
    <row r="78" spans="11:13" x14ac:dyDescent="0.25">
      <c r="K78" t="str">
        <f t="array" ref="K78">IFERROR(CONCATENATE(TEXT(INDEX($K$7:$K$47,SMALL(IF($N$7:$N$47&lt;&gt;"",IF($K$7:$K$47&lt;&gt;"",ROW($K$7:$K$47)-MIN(ROW($K$7:$K$47))+1,""),""),ROW()-ROW(A$50)+1)),"##0"),","),"")</f>
        <v/>
      </c>
      <c r="L78" t="str">
        <f t="array" ref="L78">IFERROR(CONCATENATE((INDEX($N$7:$N$47,SMALL(IF($N$7:$N$47&lt;&gt;"",IF($K$7:$K$47&lt;&gt;"",ROW($K$7:$K$47)-MIN(ROW($K$7:$K$47))+1,""),""),ROW()-ROW(A$50)+1))),","),"")</f>
        <v/>
      </c>
      <c r="M78" t="str">
        <f t="array" ref="M78">IFERROR(CONCATENATE((INDEX($A$7:$A$47,SMALL(IF($N$7:$N$47&lt;&gt;"",IF($K$7:$K$47&lt;&gt;"",ROW($K$7:$K$47)-MIN(ROW($K$7:$K$47))+1,""),""),ROW()-ROW(A$50)+1))),),"")</f>
        <v/>
      </c>
    </row>
    <row r="79" spans="11:13" x14ac:dyDescent="0.25">
      <c r="K79" t="str">
        <f t="array" ref="K79">IFERROR(CONCATENATE(TEXT(INDEX($K$7:$K$47,SMALL(IF($N$7:$N$47&lt;&gt;"",IF($K$7:$K$47&lt;&gt;"",ROW($K$7:$K$47)-MIN(ROW($K$7:$K$47))+1,""),""),ROW()-ROW(A$50)+1)),"##0"),","),"")</f>
        <v/>
      </c>
      <c r="L79" t="str">
        <f t="array" ref="L79">IFERROR(CONCATENATE((INDEX($N$7:$N$47,SMALL(IF($N$7:$N$47&lt;&gt;"",IF($K$7:$K$47&lt;&gt;"",ROW($K$7:$K$47)-MIN(ROW($K$7:$K$47))+1,""),""),ROW()-ROW(A$50)+1))),","),"")</f>
        <v/>
      </c>
      <c r="M79" t="str">
        <f t="array" ref="M79">IFERROR(CONCATENATE((INDEX($A$7:$A$47,SMALL(IF($N$7:$N$47&lt;&gt;"",IF($K$7:$K$47&lt;&gt;"",ROW($K$7:$K$47)-MIN(ROW($K$7:$K$47))+1,""),""),ROW()-ROW(A$50)+1))),),"")</f>
        <v/>
      </c>
    </row>
    <row r="80" spans="11:13" x14ac:dyDescent="0.25">
      <c r="K80" t="str">
        <f t="array" ref="K80">IFERROR(CONCATENATE(TEXT(INDEX($K$7:$K$47,SMALL(IF($N$7:$N$47&lt;&gt;"",IF($K$7:$K$47&lt;&gt;"",ROW($K$7:$K$47)-MIN(ROW($K$7:$K$47))+1,""),""),ROW()-ROW(A$50)+1)),"##0"),","),"")</f>
        <v/>
      </c>
      <c r="L80" t="str">
        <f t="array" ref="L80">IFERROR(CONCATENATE((INDEX($N$7:$N$47,SMALL(IF($N$7:$N$47&lt;&gt;"",IF($K$7:$K$47&lt;&gt;"",ROW($K$7:$K$47)-MIN(ROW($K$7:$K$47))+1,""),""),ROW()-ROW(A$50)+1))),","),"")</f>
        <v/>
      </c>
      <c r="M80" t="str">
        <f t="array" ref="M80">IFERROR(CONCATENATE((INDEX($A$7:$A$47,SMALL(IF($N$7:$N$47&lt;&gt;"",IF($K$7:$K$47&lt;&gt;"",ROW($K$7:$K$47)-MIN(ROW($K$7:$K$47))+1,""),""),ROW()-ROW(A$50)+1))),),"")</f>
        <v/>
      </c>
    </row>
    <row r="81" spans="11:13" x14ac:dyDescent="0.25">
      <c r="K81" t="str">
        <f t="array" ref="K81">IFERROR(CONCATENATE(TEXT(INDEX($K$7:$K$47,SMALL(IF($N$7:$N$47&lt;&gt;"",IF($K$7:$K$47&lt;&gt;"",ROW($K$7:$K$47)-MIN(ROW($K$7:$K$47))+1,""),""),ROW()-ROW(A$50)+1)),"##0"),","),"")</f>
        <v/>
      </c>
      <c r="L81" t="str">
        <f t="array" ref="L81">IFERROR(CONCATENATE((INDEX($N$7:$N$47,SMALL(IF($N$7:$N$47&lt;&gt;"",IF($K$7:$K$47&lt;&gt;"",ROW($K$7:$K$47)-MIN(ROW($K$7:$K$47))+1,""),""),ROW()-ROW(A$50)+1))),","),"")</f>
        <v/>
      </c>
      <c r="M81" t="str">
        <f t="array" ref="M81">IFERROR(CONCATENATE((INDEX($A$7:$A$47,SMALL(IF($N$7:$N$47&lt;&gt;"",IF($K$7:$K$47&lt;&gt;"",ROW($K$7:$K$47)-MIN(ROW($K$7:$K$47))+1,""),""),ROW()-ROW(A$50)+1))),),"")</f>
        <v/>
      </c>
    </row>
    <row r="82" spans="11:13" x14ac:dyDescent="0.25">
      <c r="K82" t="str">
        <f t="array" ref="K82">IFERROR(CONCATENATE(TEXT(INDEX($K$7:$K$47,SMALL(IF($N$7:$N$47&lt;&gt;"",IF($K$7:$K$47&lt;&gt;"",ROW($K$7:$K$47)-MIN(ROW($K$7:$K$47))+1,""),""),ROW()-ROW(A$50)+1)),"##0"),","),"")</f>
        <v/>
      </c>
      <c r="L82" t="str">
        <f t="array" ref="L82">IFERROR(CONCATENATE((INDEX($N$7:$N$47,SMALL(IF($N$7:$N$47&lt;&gt;"",IF($K$7:$K$47&lt;&gt;"",ROW($K$7:$K$47)-MIN(ROW($K$7:$K$47))+1,""),""),ROW()-ROW(A$50)+1))),","),"")</f>
        <v/>
      </c>
      <c r="M82" t="str">
        <f t="array" ref="M82">IFERROR(CONCATENATE((INDEX($A$7:$A$47,SMALL(IF($N$7:$N$47&lt;&gt;"",IF($K$7:$K$47&lt;&gt;"",ROW($K$7:$K$47)-MIN(ROW($K$7:$K$47))+1,""),""),ROW()-ROW(A$50)+1))),),"")</f>
        <v/>
      </c>
    </row>
    <row r="83" spans="11:13" x14ac:dyDescent="0.25">
      <c r="K83" t="str">
        <f t="array" ref="K83">IFERROR(CONCATENATE(TEXT(INDEX($K$7:$K$47,SMALL(IF($N$7:$N$47&lt;&gt;"",IF($K$7:$K$47&lt;&gt;"",ROW($K$7:$K$47)-MIN(ROW($K$7:$K$47))+1,""),""),ROW()-ROW(A$50)+1)),"##0"),","),"")</f>
        <v/>
      </c>
      <c r="L83" t="str">
        <f t="array" ref="L83">IFERROR(CONCATENATE((INDEX($N$7:$N$47,SMALL(IF($N$7:$N$47&lt;&gt;"",IF($K$7:$K$47&lt;&gt;"",ROW($K$7:$K$47)-MIN(ROW($K$7:$K$47))+1,""),""),ROW()-ROW(A$50)+1))),","),"")</f>
        <v/>
      </c>
      <c r="M83" t="str">
        <f t="array" ref="M83">IFERROR(CONCATENATE((INDEX($A$7:$A$47,SMALL(IF($N$7:$N$47&lt;&gt;"",IF($K$7:$K$47&lt;&gt;"",ROW($K$7:$K$47)-MIN(ROW($K$7:$K$47))+1,""),""),ROW()-ROW(A$50)+1))),),"")</f>
        <v/>
      </c>
    </row>
    <row r="84" spans="11:13" x14ac:dyDescent="0.25">
      <c r="K84" t="str">
        <f t="array" ref="K84">IFERROR(CONCATENATE(TEXT(INDEX($K$7:$K$47,SMALL(IF($N$7:$N$47&lt;&gt;"",IF($K$7:$K$47&lt;&gt;"",ROW($K$7:$K$47)-MIN(ROW($K$7:$K$47))+1,""),""),ROW()-ROW(A$50)+1)),"##0"),","),"")</f>
        <v/>
      </c>
      <c r="L84" t="str">
        <f t="array" ref="L84">IFERROR(CONCATENATE((INDEX($N$7:$N$47,SMALL(IF($N$7:$N$47&lt;&gt;"",IF($K$7:$K$47&lt;&gt;"",ROW($K$7:$K$47)-MIN(ROW($K$7:$K$47))+1,""),""),ROW()-ROW(A$50)+1))),","),"")</f>
        <v/>
      </c>
      <c r="M84" t="str">
        <f t="array" ref="M84">IFERROR(CONCATENATE((INDEX($A$7:$A$47,SMALL(IF($N$7:$N$47&lt;&gt;"",IF($K$7:$K$47&lt;&gt;"",ROW($K$7:$K$47)-MIN(ROW($K$7:$K$47))+1,""),""),ROW()-ROW(A$50)+1))),),"")</f>
        <v/>
      </c>
    </row>
    <row r="85" spans="11:13" x14ac:dyDescent="0.25">
      <c r="K85" t="str">
        <f t="array" ref="K85">IFERROR(CONCATENATE(TEXT(INDEX($K$7:$K$47,SMALL(IF($N$7:$N$47&lt;&gt;"",IF($K$7:$K$47&lt;&gt;"",ROW($K$7:$K$47)-MIN(ROW($K$7:$K$47))+1,""),""),ROW()-ROW(A$50)+1)),"##0"),","),"")</f>
        <v/>
      </c>
      <c r="L85" t="str">
        <f t="array" ref="L85">IFERROR(CONCATENATE((INDEX($N$7:$N$47,SMALL(IF($N$7:$N$47&lt;&gt;"",IF($K$7:$K$47&lt;&gt;"",ROW($K$7:$K$47)-MIN(ROW($K$7:$K$47))+1,""),""),ROW()-ROW(A$50)+1))),","),"")</f>
        <v/>
      </c>
      <c r="M85" t="str">
        <f t="array" ref="M85">IFERROR(CONCATENATE((INDEX($A$7:$A$47,SMALL(IF($N$7:$N$47&lt;&gt;"",IF($K$7:$K$47&lt;&gt;"",ROW($K$7:$K$47)-MIN(ROW($K$7:$K$47))+1,""),""),ROW()-ROW(A$50)+1))),),"")</f>
        <v/>
      </c>
    </row>
    <row r="86" spans="11:13" x14ac:dyDescent="0.25">
      <c r="K86" t="str">
        <f t="array" ref="K86">IFERROR(CONCATENATE(TEXT(INDEX($K$7:$K$47,SMALL(IF($N$7:$N$47&lt;&gt;"",IF($K$7:$K$47&lt;&gt;"",ROW($K$7:$K$47)-MIN(ROW($K$7:$K$47))+1,""),""),ROW()-ROW(A$50)+1)),"##0"),","),"")</f>
        <v/>
      </c>
      <c r="L86" t="str">
        <f t="array" ref="L86">IFERROR(CONCATENATE((INDEX($N$7:$N$47,SMALL(IF($N$7:$N$47&lt;&gt;"",IF($K$7:$K$47&lt;&gt;"",ROW($K$7:$K$47)-MIN(ROW($K$7:$K$47))+1,""),""),ROW()-ROW(A$50)+1))),","),"")</f>
        <v/>
      </c>
      <c r="M86" t="str">
        <f t="array" ref="M86">IFERROR(CONCATENATE((INDEX($A$7:$A$47,SMALL(IF($N$7:$N$47&lt;&gt;"",IF($K$7:$K$47&lt;&gt;"",ROW($K$7:$K$47)-MIN(ROW($K$7:$K$47))+1,""),""),ROW()-ROW(A$50)+1))),),"")</f>
        <v/>
      </c>
    </row>
    <row r="87" spans="11:13" x14ac:dyDescent="0.25">
      <c r="K87" t="str">
        <f t="array" ref="K87">IFERROR(CONCATENATE(TEXT(INDEX($K$7:$K$47,SMALL(IF($N$7:$N$47&lt;&gt;"",IF($K$7:$K$47&lt;&gt;"",ROW($K$7:$K$47)-MIN(ROW($K$7:$K$47))+1,""),""),ROW()-ROW(A$50)+1)),"##0"),","),"")</f>
        <v/>
      </c>
      <c r="L87" t="str">
        <f t="array" ref="L87">IFERROR(CONCATENATE((INDEX($N$7:$N$47,SMALL(IF($N$7:$N$47&lt;&gt;"",IF($K$7:$K$47&lt;&gt;"",ROW($K$7:$K$47)-MIN(ROW($K$7:$K$47))+1,""),""),ROW()-ROW(A$50)+1))),","),"")</f>
        <v/>
      </c>
      <c r="M87" t="str">
        <f t="array" ref="M87">IFERROR(CONCATENATE((INDEX($A$7:$A$47,SMALL(IF($N$7:$N$47&lt;&gt;"",IF($K$7:$K$47&lt;&gt;"",ROW($K$7:$K$47)-MIN(ROW($K$7:$K$47))+1,""),""),ROW()-ROW(A$50)+1))),),"")</f>
        <v/>
      </c>
    </row>
    <row r="88" spans="11:13" x14ac:dyDescent="0.25">
      <c r="K88" t="str">
        <f t="array" ref="K88">IFERROR(CONCATENATE(TEXT(INDEX($K$7:$K$47,SMALL(IF($N$7:$N$47&lt;&gt;"",IF($K$7:$K$47&lt;&gt;"",ROW($K$7:$K$47)-MIN(ROW($K$7:$K$47))+1,""),""),ROW()-ROW(A$50)+1)),"##0"),","),"")</f>
        <v/>
      </c>
      <c r="L88" t="str">
        <f t="array" ref="L88">IFERROR(CONCATENATE((INDEX($N$7:$N$47,SMALL(IF($N$7:$N$47&lt;&gt;"",IF($K$7:$K$47&lt;&gt;"",ROW($K$7:$K$47)-MIN(ROW($K$7:$K$47))+1,""),""),ROW()-ROW(A$50)+1))),","),"")</f>
        <v/>
      </c>
      <c r="M88" t="str">
        <f t="array" ref="M88">IFERROR(CONCATENATE((INDEX($A$7:$A$47,SMALL(IF($N$7:$N$47&lt;&gt;"",IF($K$7:$K$47&lt;&gt;"",ROW($K$7:$K$47)-MIN(ROW($K$7:$K$47))+1,""),""),ROW()-ROW(A$50)+1))),),"")</f>
        <v/>
      </c>
    </row>
    <row r="89" spans="11:13" x14ac:dyDescent="0.25">
      <c r="K89" t="str">
        <f t="array" ref="K89">IFERROR(CONCATENATE(TEXT(INDEX($K$7:$K$47,SMALL(IF($N$7:$N$47&lt;&gt;"",IF($K$7:$K$47&lt;&gt;"",ROW($K$7:$K$47)-MIN(ROW($K$7:$K$47))+1,""),""),ROW()-ROW(A$50)+1)),"##0"),","),"")</f>
        <v/>
      </c>
      <c r="L89" t="str">
        <f t="array" ref="L89">IFERROR(CONCATENATE((INDEX($N$7:$N$47,SMALL(IF($N$7:$N$47&lt;&gt;"",IF($K$7:$K$47&lt;&gt;"",ROW($K$7:$K$47)-MIN(ROW($K$7:$K$47))+1,""),""),ROW()-ROW(A$50)+1))),","),"")</f>
        <v/>
      </c>
      <c r="M89" t="str">
        <f t="array" ref="M89">IFERROR(CONCATENATE((INDEX($A$7:$A$47,SMALL(IF($N$7:$N$47&lt;&gt;"",IF($K$7:$K$47&lt;&gt;"",ROW($K$7:$K$47)-MIN(ROW($K$7:$K$47))+1,""),""),ROW()-ROW(A$50)+1))),),"")</f>
        <v/>
      </c>
    </row>
    <row r="90" spans="11:13" x14ac:dyDescent="0.25">
      <c r="K90" t="str">
        <f t="array" ref="K90">IFERROR(CONCATENATE(TEXT(INDEX($K$7:$K$47,SMALL(IF($N$7:$N$47&lt;&gt;"",IF($K$7:$K$47&lt;&gt;"",ROW($K$7:$K$47)-MIN(ROW($K$7:$K$47))+1,""),""),ROW()-ROW(A$50)+1)),"##0"),","),"")</f>
        <v/>
      </c>
      <c r="L90" t="str">
        <f t="array" ref="L90">IFERROR(CONCATENATE((INDEX($N$7:$N$47,SMALL(IF($N$7:$N$47&lt;&gt;"",IF($K$7:$K$47&lt;&gt;"",ROW($K$7:$K$47)-MIN(ROW($K$7:$K$47))+1,""),""),ROW()-ROW(A$50)+1))),","),"")</f>
        <v/>
      </c>
      <c r="M90" t="str">
        <f t="array" ref="M90">IFERROR(CONCATENATE((INDEX($A$7:$A$47,SMALL(IF($N$7:$N$47&lt;&gt;"",IF($K$7:$K$47&lt;&gt;"",ROW($K$7:$K$47)-MIN(ROW($K$7:$K$47))+1,""),""),ROW()-ROW(A$50)+1))),),"")</f>
        <v/>
      </c>
    </row>
  </sheetData>
  <mergeCells count="2">
    <mergeCell ref="A5:I5"/>
    <mergeCell ref="J5:N5"/>
  </mergeCells>
  <conditionalFormatting sqref="G10">
    <cfRule type="expression" dxfId="327" priority="10">
      <formula>IF(SUM(INDIRECT(ADDRESS(ROW(),COLUMN(digikey_part_data)+0)))=0,1,0)</formula>
    </cfRule>
    <cfRule type="cellIs" dxfId="326" priority="11" operator="greaterThan">
      <formula>SUM(INDIRECT(ADDRESS(ROW(),COLUMN(digikey_part_data)+0)))</formula>
    </cfRule>
    <cfRule type="cellIs" dxfId="325" priority="12" operator="greaterThan">
      <formula>SUM(IF(ISNUMBER(INDIRECT(ADDRESS(ROW(),COLUMN(digikey_part_data)+2))),INDIRECT(ADDRESS(ROW(),COLUMN(digikey_part_data)+1)),0))</formula>
    </cfRule>
  </conditionalFormatting>
  <conditionalFormatting sqref="G11">
    <cfRule type="expression" dxfId="324" priority="13">
      <formula>IF(SUM(INDIRECT(ADDRESS(ROW(),COLUMN(digikey_part_data)+0)))=0,1,0)</formula>
    </cfRule>
    <cfRule type="cellIs" dxfId="323" priority="14" operator="greaterThan">
      <formula>SUM(INDIRECT(ADDRESS(ROW(),COLUMN(digikey_part_data)+0)))</formula>
    </cfRule>
    <cfRule type="cellIs" dxfId="322" priority="15" operator="greaterThan">
      <formula>SUM(IF(ISNUMBER(INDIRECT(ADDRESS(ROW(),COLUMN(digikey_part_data)+2))),INDIRECT(ADDRESS(ROW(),COLUMN(digikey_part_data)+1)),0))</formula>
    </cfRule>
  </conditionalFormatting>
  <conditionalFormatting sqref="G12">
    <cfRule type="expression" dxfId="321" priority="16">
      <formula>IF(SUM(INDIRECT(ADDRESS(ROW(),COLUMN(digikey_part_data)+0)))=0,1,0)</formula>
    </cfRule>
    <cfRule type="cellIs" dxfId="320" priority="17" operator="greaterThan">
      <formula>SUM(INDIRECT(ADDRESS(ROW(),COLUMN(digikey_part_data)+0)))</formula>
    </cfRule>
    <cfRule type="cellIs" dxfId="319" priority="18" operator="greaterThan">
      <formula>SUM(IF(ISNUMBER(INDIRECT(ADDRESS(ROW(),COLUMN(digikey_part_data)+2))),INDIRECT(ADDRESS(ROW(),COLUMN(digikey_part_data)+1)),0))</formula>
    </cfRule>
  </conditionalFormatting>
  <conditionalFormatting sqref="G13">
    <cfRule type="expression" dxfId="318" priority="19">
      <formula>IF(SUM(INDIRECT(ADDRESS(ROW(),COLUMN(digikey_part_data)+0)))=0,1,0)</formula>
    </cfRule>
    <cfRule type="cellIs" dxfId="317" priority="20" operator="greaterThan">
      <formula>SUM(INDIRECT(ADDRESS(ROW(),COLUMN(digikey_part_data)+0)))</formula>
    </cfRule>
    <cfRule type="cellIs" dxfId="316" priority="21" operator="greaterThan">
      <formula>SUM(IF(ISNUMBER(INDIRECT(ADDRESS(ROW(),COLUMN(digikey_part_data)+2))),INDIRECT(ADDRESS(ROW(),COLUMN(digikey_part_data)+1)),0))</formula>
    </cfRule>
  </conditionalFormatting>
  <conditionalFormatting sqref="G14">
    <cfRule type="expression" dxfId="315" priority="22">
      <formula>IF(SUM(INDIRECT(ADDRESS(ROW(),COLUMN(digikey_part_data)+0)))=0,1,0)</formula>
    </cfRule>
    <cfRule type="cellIs" dxfId="314" priority="23" operator="greaterThan">
      <formula>SUM(INDIRECT(ADDRESS(ROW(),COLUMN(digikey_part_data)+0)))</formula>
    </cfRule>
    <cfRule type="cellIs" dxfId="313" priority="24" operator="greaterThan">
      <formula>SUM(IF(ISNUMBER(INDIRECT(ADDRESS(ROW(),COLUMN(digikey_part_data)+2))),INDIRECT(ADDRESS(ROW(),COLUMN(digikey_part_data)+1)),0))</formula>
    </cfRule>
  </conditionalFormatting>
  <conditionalFormatting sqref="G15">
    <cfRule type="expression" dxfId="312" priority="25">
      <formula>IF(SUM(INDIRECT(ADDRESS(ROW(),COLUMN(digikey_part_data)+0)))=0,1,0)</formula>
    </cfRule>
    <cfRule type="cellIs" dxfId="311" priority="26" operator="greaterThan">
      <formula>SUM(INDIRECT(ADDRESS(ROW(),COLUMN(digikey_part_data)+0)))</formula>
    </cfRule>
    <cfRule type="cellIs" dxfId="310" priority="27" operator="greaterThan">
      <formula>SUM(IF(ISNUMBER(INDIRECT(ADDRESS(ROW(),COLUMN(digikey_part_data)+2))),INDIRECT(ADDRESS(ROW(),COLUMN(digikey_part_data)+1)),0))</formula>
    </cfRule>
  </conditionalFormatting>
  <conditionalFormatting sqref="G16">
    <cfRule type="expression" dxfId="309" priority="28">
      <formula>IF(SUM(INDIRECT(ADDRESS(ROW(),COLUMN(digikey_part_data)+0)))=0,1,0)</formula>
    </cfRule>
    <cfRule type="cellIs" dxfId="308" priority="29" operator="greaterThan">
      <formula>SUM(INDIRECT(ADDRESS(ROW(),COLUMN(digikey_part_data)+0)))</formula>
    </cfRule>
    <cfRule type="cellIs" dxfId="307" priority="30" operator="greaterThan">
      <formula>SUM(IF(ISNUMBER(INDIRECT(ADDRESS(ROW(),COLUMN(digikey_part_data)+2))),INDIRECT(ADDRESS(ROW(),COLUMN(digikey_part_data)+1)),0))</formula>
    </cfRule>
  </conditionalFormatting>
  <conditionalFormatting sqref="G17">
    <cfRule type="expression" dxfId="306" priority="31">
      <formula>IF(SUM(INDIRECT(ADDRESS(ROW(),COLUMN(digikey_part_data)+0)))=0,1,0)</formula>
    </cfRule>
    <cfRule type="cellIs" dxfId="305" priority="32" operator="greaterThan">
      <formula>SUM(INDIRECT(ADDRESS(ROW(),COLUMN(digikey_part_data)+0)))</formula>
    </cfRule>
    <cfRule type="cellIs" dxfId="304" priority="33" operator="greaterThan">
      <formula>SUM(IF(ISNUMBER(INDIRECT(ADDRESS(ROW(),COLUMN(digikey_part_data)+2))),INDIRECT(ADDRESS(ROW(),COLUMN(digikey_part_data)+1)),0))</formula>
    </cfRule>
  </conditionalFormatting>
  <conditionalFormatting sqref="G18">
    <cfRule type="expression" dxfId="303" priority="34">
      <formula>IF(SUM(INDIRECT(ADDRESS(ROW(),COLUMN(digikey_part_data)+0)))=0,1,0)</formula>
    </cfRule>
    <cfRule type="cellIs" dxfId="302" priority="35" operator="greaterThan">
      <formula>SUM(INDIRECT(ADDRESS(ROW(),COLUMN(digikey_part_data)+0)))</formula>
    </cfRule>
    <cfRule type="cellIs" dxfId="301" priority="36" operator="greaterThan">
      <formula>SUM(IF(ISNUMBER(INDIRECT(ADDRESS(ROW(),COLUMN(digikey_part_data)+2))),INDIRECT(ADDRESS(ROW(),COLUMN(digikey_part_data)+1)),0))</formula>
    </cfRule>
  </conditionalFormatting>
  <conditionalFormatting sqref="G19">
    <cfRule type="expression" dxfId="300" priority="37">
      <formula>IF(SUM(INDIRECT(ADDRESS(ROW(),COLUMN(digikey_part_data)+0)))=0,1,0)</formula>
    </cfRule>
    <cfRule type="cellIs" dxfId="299" priority="38" operator="greaterThan">
      <formula>SUM(INDIRECT(ADDRESS(ROW(),COLUMN(digikey_part_data)+0)))</formula>
    </cfRule>
    <cfRule type="cellIs" dxfId="298" priority="39" operator="greaterThan">
      <formula>SUM(IF(ISNUMBER(INDIRECT(ADDRESS(ROW(),COLUMN(digikey_part_data)+2))),INDIRECT(ADDRESS(ROW(),COLUMN(digikey_part_data)+1)),0))</formula>
    </cfRule>
  </conditionalFormatting>
  <conditionalFormatting sqref="G20">
    <cfRule type="expression" dxfId="297" priority="40">
      <formula>IF(SUM(INDIRECT(ADDRESS(ROW(),COLUMN(digikey_part_data)+0)))=0,1,0)</formula>
    </cfRule>
    <cfRule type="cellIs" dxfId="296" priority="41" operator="greaterThan">
      <formula>SUM(INDIRECT(ADDRESS(ROW(),COLUMN(digikey_part_data)+0)))</formula>
    </cfRule>
    <cfRule type="cellIs" dxfId="295" priority="42" operator="greaterThan">
      <formula>SUM(IF(ISNUMBER(INDIRECT(ADDRESS(ROW(),COLUMN(digikey_part_data)+2))),INDIRECT(ADDRESS(ROW(),COLUMN(digikey_part_data)+1)),0))</formula>
    </cfRule>
  </conditionalFormatting>
  <conditionalFormatting sqref="G21">
    <cfRule type="expression" dxfId="294" priority="43">
      <formula>IF(SUM(INDIRECT(ADDRESS(ROW(),COLUMN(digikey_part_data)+0)))=0,1,0)</formula>
    </cfRule>
    <cfRule type="cellIs" dxfId="293" priority="44" operator="greaterThan">
      <formula>SUM(INDIRECT(ADDRESS(ROW(),COLUMN(digikey_part_data)+0)))</formula>
    </cfRule>
    <cfRule type="cellIs" dxfId="292" priority="45" operator="greaterThan">
      <formula>SUM(IF(ISNUMBER(INDIRECT(ADDRESS(ROW(),COLUMN(digikey_part_data)+2))),INDIRECT(ADDRESS(ROW(),COLUMN(digikey_part_data)+1)),0))</formula>
    </cfRule>
  </conditionalFormatting>
  <conditionalFormatting sqref="G22">
    <cfRule type="expression" dxfId="291" priority="46">
      <formula>IF(SUM(INDIRECT(ADDRESS(ROW(),COLUMN(digikey_part_data)+0)))=0,1,0)</formula>
    </cfRule>
    <cfRule type="cellIs" dxfId="290" priority="47" operator="greaterThan">
      <formula>SUM(INDIRECT(ADDRESS(ROW(),COLUMN(digikey_part_data)+0)))</formula>
    </cfRule>
    <cfRule type="cellIs" dxfId="289" priority="48" operator="greaterThan">
      <formula>SUM(IF(ISNUMBER(INDIRECT(ADDRESS(ROW(),COLUMN(digikey_part_data)+2))),INDIRECT(ADDRESS(ROW(),COLUMN(digikey_part_data)+1)),0))</formula>
    </cfRule>
  </conditionalFormatting>
  <conditionalFormatting sqref="G23">
    <cfRule type="expression" dxfId="288" priority="49">
      <formula>IF(SUM(INDIRECT(ADDRESS(ROW(),COLUMN(digikey_part_data)+0)))=0,1,0)</formula>
    </cfRule>
    <cfRule type="cellIs" dxfId="287" priority="50" operator="greaterThan">
      <formula>SUM(INDIRECT(ADDRESS(ROW(),COLUMN(digikey_part_data)+0)))</formula>
    </cfRule>
    <cfRule type="cellIs" dxfId="286" priority="51" operator="greaterThan">
      <formula>SUM(IF(ISNUMBER(INDIRECT(ADDRESS(ROW(),COLUMN(digikey_part_data)+2))),INDIRECT(ADDRESS(ROW(),COLUMN(digikey_part_data)+1)),0))</formula>
    </cfRule>
  </conditionalFormatting>
  <conditionalFormatting sqref="G24">
    <cfRule type="expression" dxfId="285" priority="52">
      <formula>IF(SUM(INDIRECT(ADDRESS(ROW(),COLUMN(digikey_part_data)+0)))=0,1,0)</formula>
    </cfRule>
    <cfRule type="cellIs" dxfId="284" priority="53" operator="greaterThan">
      <formula>SUM(INDIRECT(ADDRESS(ROW(),COLUMN(digikey_part_data)+0)))</formula>
    </cfRule>
    <cfRule type="cellIs" dxfId="283" priority="54" operator="greaterThan">
      <formula>SUM(IF(ISNUMBER(INDIRECT(ADDRESS(ROW(),COLUMN(digikey_part_data)+2))),INDIRECT(ADDRESS(ROW(),COLUMN(digikey_part_data)+1)),0))</formula>
    </cfRule>
  </conditionalFormatting>
  <conditionalFormatting sqref="G25">
    <cfRule type="expression" dxfId="282" priority="55">
      <formula>IF(SUM(INDIRECT(ADDRESS(ROW(),COLUMN(digikey_part_data)+0)))=0,1,0)</formula>
    </cfRule>
    <cfRule type="cellIs" dxfId="281" priority="56" operator="greaterThan">
      <formula>SUM(INDIRECT(ADDRESS(ROW(),COLUMN(digikey_part_data)+0)))</formula>
    </cfRule>
    <cfRule type="cellIs" dxfId="280" priority="57" operator="greaterThan">
      <formula>SUM(IF(ISNUMBER(INDIRECT(ADDRESS(ROW(),COLUMN(digikey_part_data)+2))),INDIRECT(ADDRESS(ROW(),COLUMN(digikey_part_data)+1)),0))</formula>
    </cfRule>
  </conditionalFormatting>
  <conditionalFormatting sqref="G26">
    <cfRule type="expression" dxfId="279" priority="58">
      <formula>IF(SUM(INDIRECT(ADDRESS(ROW(),COLUMN(digikey_part_data)+0)))=0,1,0)</formula>
    </cfRule>
    <cfRule type="cellIs" dxfId="278" priority="59" operator="greaterThan">
      <formula>SUM(INDIRECT(ADDRESS(ROW(),COLUMN(digikey_part_data)+0)))</formula>
    </cfRule>
    <cfRule type="cellIs" dxfId="277" priority="60" operator="greaterThan">
      <formula>SUM(IF(ISNUMBER(INDIRECT(ADDRESS(ROW(),COLUMN(digikey_part_data)+2))),INDIRECT(ADDRESS(ROW(),COLUMN(digikey_part_data)+1)),0))</formula>
    </cfRule>
  </conditionalFormatting>
  <conditionalFormatting sqref="G27">
    <cfRule type="expression" dxfId="276" priority="61">
      <formula>IF(SUM(INDIRECT(ADDRESS(ROW(),COLUMN(digikey_part_data)+0)))=0,1,0)</formula>
    </cfRule>
    <cfRule type="cellIs" dxfId="275" priority="62" operator="greaterThan">
      <formula>SUM(INDIRECT(ADDRESS(ROW(),COLUMN(digikey_part_data)+0)))</formula>
    </cfRule>
    <cfRule type="cellIs" dxfId="274" priority="63" operator="greaterThan">
      <formula>SUM(IF(ISNUMBER(INDIRECT(ADDRESS(ROW(),COLUMN(digikey_part_data)+2))),INDIRECT(ADDRESS(ROW(),COLUMN(digikey_part_data)+1)),0))</formula>
    </cfRule>
  </conditionalFormatting>
  <conditionalFormatting sqref="G28">
    <cfRule type="expression" dxfId="273" priority="64">
      <formula>IF(SUM(INDIRECT(ADDRESS(ROW(),COLUMN(digikey_part_data)+0)))=0,1,0)</formula>
    </cfRule>
    <cfRule type="cellIs" dxfId="272" priority="65" operator="greaterThan">
      <formula>SUM(INDIRECT(ADDRESS(ROW(),COLUMN(digikey_part_data)+0)))</formula>
    </cfRule>
    <cfRule type="cellIs" dxfId="271" priority="66" operator="greaterThan">
      <formula>SUM(IF(ISNUMBER(INDIRECT(ADDRESS(ROW(),COLUMN(digikey_part_data)+2))),INDIRECT(ADDRESS(ROW(),COLUMN(digikey_part_data)+1)),0))</formula>
    </cfRule>
  </conditionalFormatting>
  <conditionalFormatting sqref="G29">
    <cfRule type="expression" dxfId="270" priority="67">
      <formula>IF(SUM(INDIRECT(ADDRESS(ROW(),COLUMN(digikey_part_data)+0)))=0,1,0)</formula>
    </cfRule>
    <cfRule type="cellIs" dxfId="269" priority="68" operator="greaterThan">
      <formula>SUM(INDIRECT(ADDRESS(ROW(),COLUMN(digikey_part_data)+0)))</formula>
    </cfRule>
    <cfRule type="cellIs" dxfId="268" priority="69" operator="greaterThan">
      <formula>SUM(IF(ISNUMBER(INDIRECT(ADDRESS(ROW(),COLUMN(digikey_part_data)+2))),INDIRECT(ADDRESS(ROW(),COLUMN(digikey_part_data)+1)),0))</formula>
    </cfRule>
  </conditionalFormatting>
  <conditionalFormatting sqref="G30">
    <cfRule type="expression" dxfId="267" priority="70">
      <formula>IF(SUM(INDIRECT(ADDRESS(ROW(),COLUMN(digikey_part_data)+0)))=0,1,0)</formula>
    </cfRule>
    <cfRule type="cellIs" dxfId="266" priority="71" operator="greaterThan">
      <formula>SUM(INDIRECT(ADDRESS(ROW(),COLUMN(digikey_part_data)+0)))</formula>
    </cfRule>
    <cfRule type="cellIs" dxfId="265" priority="72" operator="greaterThan">
      <formula>SUM(IF(ISNUMBER(INDIRECT(ADDRESS(ROW(),COLUMN(digikey_part_data)+2))),INDIRECT(ADDRESS(ROW(),COLUMN(digikey_part_data)+1)),0))</formula>
    </cfRule>
  </conditionalFormatting>
  <conditionalFormatting sqref="G31">
    <cfRule type="expression" dxfId="264" priority="73">
      <formula>IF(SUM(INDIRECT(ADDRESS(ROW(),COLUMN(digikey_part_data)+0)))=0,1,0)</formula>
    </cfRule>
    <cfRule type="cellIs" dxfId="263" priority="74" operator="greaterThan">
      <formula>SUM(INDIRECT(ADDRESS(ROW(),COLUMN(digikey_part_data)+0)))</formula>
    </cfRule>
    <cfRule type="cellIs" dxfId="262" priority="75" operator="greaterThan">
      <formula>SUM(IF(ISNUMBER(INDIRECT(ADDRESS(ROW(),COLUMN(digikey_part_data)+2))),INDIRECT(ADDRESS(ROW(),COLUMN(digikey_part_data)+1)),0))</formula>
    </cfRule>
  </conditionalFormatting>
  <conditionalFormatting sqref="G32">
    <cfRule type="expression" dxfId="261" priority="76">
      <formula>IF(SUM(INDIRECT(ADDRESS(ROW(),COLUMN(digikey_part_data)+0)))=0,1,0)</formula>
    </cfRule>
    <cfRule type="cellIs" dxfId="260" priority="77" operator="greaterThan">
      <formula>SUM(INDIRECT(ADDRESS(ROW(),COLUMN(digikey_part_data)+0)))</formula>
    </cfRule>
    <cfRule type="cellIs" dxfId="259" priority="78" operator="greaterThan">
      <formula>SUM(IF(ISNUMBER(INDIRECT(ADDRESS(ROW(),COLUMN(digikey_part_data)+2))),INDIRECT(ADDRESS(ROW(),COLUMN(digikey_part_data)+1)),0))</formula>
    </cfRule>
  </conditionalFormatting>
  <conditionalFormatting sqref="G33">
    <cfRule type="expression" dxfId="258" priority="79">
      <formula>IF(SUM(INDIRECT(ADDRESS(ROW(),COLUMN(digikey_part_data)+0)))=0,1,0)</formula>
    </cfRule>
    <cfRule type="cellIs" dxfId="257" priority="80" operator="greaterThan">
      <formula>SUM(INDIRECT(ADDRESS(ROW(),COLUMN(digikey_part_data)+0)))</formula>
    </cfRule>
    <cfRule type="cellIs" dxfId="256" priority="81" operator="greaterThan">
      <formula>SUM(IF(ISNUMBER(INDIRECT(ADDRESS(ROW(),COLUMN(digikey_part_data)+2))),INDIRECT(ADDRESS(ROW(),COLUMN(digikey_part_data)+1)),0))</formula>
    </cfRule>
  </conditionalFormatting>
  <conditionalFormatting sqref="G34">
    <cfRule type="expression" dxfId="255" priority="82">
      <formula>IF(SUM(INDIRECT(ADDRESS(ROW(),COLUMN(digikey_part_data)+0)))=0,1,0)</formula>
    </cfRule>
    <cfRule type="cellIs" dxfId="254" priority="83" operator="greaterThan">
      <formula>SUM(INDIRECT(ADDRESS(ROW(),COLUMN(digikey_part_data)+0)))</formula>
    </cfRule>
    <cfRule type="cellIs" dxfId="253" priority="84" operator="greaterThan">
      <formula>SUM(IF(ISNUMBER(INDIRECT(ADDRESS(ROW(),COLUMN(digikey_part_data)+2))),INDIRECT(ADDRESS(ROW(),COLUMN(digikey_part_data)+1)),0))</formula>
    </cfRule>
  </conditionalFormatting>
  <conditionalFormatting sqref="G35">
    <cfRule type="expression" dxfId="252" priority="85">
      <formula>IF(SUM(INDIRECT(ADDRESS(ROW(),COLUMN(digikey_part_data)+0)))=0,1,0)</formula>
    </cfRule>
    <cfRule type="cellIs" dxfId="251" priority="86" operator="greaterThan">
      <formula>SUM(INDIRECT(ADDRESS(ROW(),COLUMN(digikey_part_data)+0)))</formula>
    </cfRule>
    <cfRule type="cellIs" dxfId="250" priority="87" operator="greaterThan">
      <formula>SUM(IF(ISNUMBER(INDIRECT(ADDRESS(ROW(),COLUMN(digikey_part_data)+2))),INDIRECT(ADDRESS(ROW(),COLUMN(digikey_part_data)+1)),0))</formula>
    </cfRule>
  </conditionalFormatting>
  <conditionalFormatting sqref="G36">
    <cfRule type="expression" dxfId="249" priority="88">
      <formula>IF(SUM(INDIRECT(ADDRESS(ROW(),COLUMN(digikey_part_data)+0)))=0,1,0)</formula>
    </cfRule>
    <cfRule type="cellIs" dxfId="248" priority="89" operator="greaterThan">
      <formula>SUM(INDIRECT(ADDRESS(ROW(),COLUMN(digikey_part_data)+0)))</formula>
    </cfRule>
    <cfRule type="cellIs" dxfId="247" priority="90" operator="greaterThan">
      <formula>SUM(IF(ISNUMBER(INDIRECT(ADDRESS(ROW(),COLUMN(digikey_part_data)+2))),INDIRECT(ADDRESS(ROW(),COLUMN(digikey_part_data)+1)),0))</formula>
    </cfRule>
  </conditionalFormatting>
  <conditionalFormatting sqref="G37">
    <cfRule type="expression" dxfId="246" priority="91">
      <formula>IF(SUM(INDIRECT(ADDRESS(ROW(),COLUMN(digikey_part_data)+0)))=0,1,0)</formula>
    </cfRule>
    <cfRule type="cellIs" dxfId="245" priority="92" operator="greaterThan">
      <formula>SUM(INDIRECT(ADDRESS(ROW(),COLUMN(digikey_part_data)+0)))</formula>
    </cfRule>
    <cfRule type="cellIs" dxfId="244" priority="93" operator="greaterThan">
      <formula>SUM(IF(ISNUMBER(INDIRECT(ADDRESS(ROW(),COLUMN(digikey_part_data)+2))),INDIRECT(ADDRESS(ROW(),COLUMN(digikey_part_data)+1)),0))</formula>
    </cfRule>
  </conditionalFormatting>
  <conditionalFormatting sqref="G38">
    <cfRule type="expression" dxfId="243" priority="94">
      <formula>IF(SUM(INDIRECT(ADDRESS(ROW(),COLUMN(digikey_part_data)+0)))=0,1,0)</formula>
    </cfRule>
    <cfRule type="cellIs" dxfId="242" priority="95" operator="greaterThan">
      <formula>SUM(INDIRECT(ADDRESS(ROW(),COLUMN(digikey_part_data)+0)))</formula>
    </cfRule>
    <cfRule type="cellIs" dxfId="241" priority="96" operator="greaterThan">
      <formula>SUM(IF(ISNUMBER(INDIRECT(ADDRESS(ROW(),COLUMN(digikey_part_data)+2))),INDIRECT(ADDRESS(ROW(),COLUMN(digikey_part_data)+1)),0))</formula>
    </cfRule>
  </conditionalFormatting>
  <conditionalFormatting sqref="G39">
    <cfRule type="expression" dxfId="240" priority="97">
      <formula>IF(SUM(INDIRECT(ADDRESS(ROW(),COLUMN(digikey_part_data)+0)))=0,1,0)</formula>
    </cfRule>
    <cfRule type="cellIs" dxfId="239" priority="98" operator="greaterThan">
      <formula>SUM(INDIRECT(ADDRESS(ROW(),COLUMN(digikey_part_data)+0)))</formula>
    </cfRule>
    <cfRule type="cellIs" dxfId="238" priority="99" operator="greaterThan">
      <formula>SUM(IF(ISNUMBER(INDIRECT(ADDRESS(ROW(),COLUMN(digikey_part_data)+2))),INDIRECT(ADDRESS(ROW(),COLUMN(digikey_part_data)+1)),0))</formula>
    </cfRule>
  </conditionalFormatting>
  <conditionalFormatting sqref="G40">
    <cfRule type="expression" dxfId="237" priority="100">
      <formula>IF(SUM(INDIRECT(ADDRESS(ROW(),COLUMN(digikey_part_data)+0)))=0,1,0)</formula>
    </cfRule>
    <cfRule type="cellIs" dxfId="236" priority="101" operator="greaterThan">
      <formula>SUM(INDIRECT(ADDRESS(ROW(),COLUMN(digikey_part_data)+0)))</formula>
    </cfRule>
    <cfRule type="cellIs" dxfId="235" priority="102" operator="greaterThan">
      <formula>SUM(IF(ISNUMBER(INDIRECT(ADDRESS(ROW(),COLUMN(digikey_part_data)+2))),INDIRECT(ADDRESS(ROW(),COLUMN(digikey_part_data)+1)),0))</formula>
    </cfRule>
  </conditionalFormatting>
  <conditionalFormatting sqref="G41">
    <cfRule type="expression" dxfId="234" priority="103">
      <formula>IF(SUM(INDIRECT(ADDRESS(ROW(),COLUMN(digikey_part_data)+0)))=0,1,0)</formula>
    </cfRule>
    <cfRule type="cellIs" dxfId="233" priority="104" operator="greaterThan">
      <formula>SUM(INDIRECT(ADDRESS(ROW(),COLUMN(digikey_part_data)+0)))</formula>
    </cfRule>
    <cfRule type="cellIs" dxfId="232" priority="105" operator="greaterThan">
      <formula>SUM(IF(ISNUMBER(INDIRECT(ADDRESS(ROW(),COLUMN(digikey_part_data)+2))),INDIRECT(ADDRESS(ROW(),COLUMN(digikey_part_data)+1)),0))</formula>
    </cfRule>
  </conditionalFormatting>
  <conditionalFormatting sqref="G42">
    <cfRule type="expression" dxfId="231" priority="106">
      <formula>IF(SUM(INDIRECT(ADDRESS(ROW(),COLUMN(digikey_part_data)+0)))=0,1,0)</formula>
    </cfRule>
    <cfRule type="cellIs" dxfId="230" priority="107" operator="greaterThan">
      <formula>SUM(INDIRECT(ADDRESS(ROW(),COLUMN(digikey_part_data)+0)))</formula>
    </cfRule>
    <cfRule type="cellIs" dxfId="229" priority="108" operator="greaterThan">
      <formula>SUM(IF(ISNUMBER(INDIRECT(ADDRESS(ROW(),COLUMN(digikey_part_data)+2))),INDIRECT(ADDRESS(ROW(),COLUMN(digikey_part_data)+1)),0))</formula>
    </cfRule>
  </conditionalFormatting>
  <conditionalFormatting sqref="G43">
    <cfRule type="expression" dxfId="228" priority="109">
      <formula>IF(SUM(INDIRECT(ADDRESS(ROW(),COLUMN(digikey_part_data)+0)))=0,1,0)</formula>
    </cfRule>
    <cfRule type="cellIs" dxfId="227" priority="110" operator="greaterThan">
      <formula>SUM(INDIRECT(ADDRESS(ROW(),COLUMN(digikey_part_data)+0)))</formula>
    </cfRule>
    <cfRule type="cellIs" dxfId="226" priority="111" operator="greaterThan">
      <formula>SUM(IF(ISNUMBER(INDIRECT(ADDRESS(ROW(),COLUMN(digikey_part_data)+2))),INDIRECT(ADDRESS(ROW(),COLUMN(digikey_part_data)+1)),0))</formula>
    </cfRule>
  </conditionalFormatting>
  <conditionalFormatting sqref="G44">
    <cfRule type="expression" dxfId="225" priority="112">
      <formula>IF(SUM(INDIRECT(ADDRESS(ROW(),COLUMN(digikey_part_data)+0)))=0,1,0)</formula>
    </cfRule>
    <cfRule type="cellIs" dxfId="224" priority="113" operator="greaterThan">
      <formula>SUM(INDIRECT(ADDRESS(ROW(),COLUMN(digikey_part_data)+0)))</formula>
    </cfRule>
    <cfRule type="cellIs" dxfId="223" priority="114" operator="greaterThan">
      <formula>SUM(IF(ISNUMBER(INDIRECT(ADDRESS(ROW(),COLUMN(digikey_part_data)+2))),INDIRECT(ADDRESS(ROW(),COLUMN(digikey_part_data)+1)),0))</formula>
    </cfRule>
  </conditionalFormatting>
  <conditionalFormatting sqref="G45">
    <cfRule type="expression" dxfId="222" priority="115">
      <formula>IF(SUM(INDIRECT(ADDRESS(ROW(),COLUMN(digikey_part_data)+0)))=0,1,0)</formula>
    </cfRule>
    <cfRule type="cellIs" dxfId="221" priority="116" operator="greaterThan">
      <formula>SUM(INDIRECT(ADDRESS(ROW(),COLUMN(digikey_part_data)+0)))</formula>
    </cfRule>
    <cfRule type="cellIs" dxfId="220" priority="117" operator="greaterThan">
      <formula>SUM(IF(ISNUMBER(INDIRECT(ADDRESS(ROW(),COLUMN(digikey_part_data)+2))),INDIRECT(ADDRESS(ROW(),COLUMN(digikey_part_data)+1)),0))</formula>
    </cfRule>
  </conditionalFormatting>
  <conditionalFormatting sqref="G46">
    <cfRule type="expression" dxfId="219" priority="118">
      <formula>IF(SUM(INDIRECT(ADDRESS(ROW(),COLUMN(digikey_part_data)+0)))=0,1,0)</formula>
    </cfRule>
    <cfRule type="cellIs" dxfId="218" priority="119" operator="greaterThan">
      <formula>SUM(INDIRECT(ADDRESS(ROW(),COLUMN(digikey_part_data)+0)))</formula>
    </cfRule>
    <cfRule type="cellIs" dxfId="217" priority="120" operator="greaterThan">
      <formula>SUM(IF(ISNUMBER(INDIRECT(ADDRESS(ROW(),COLUMN(digikey_part_data)+2))),INDIRECT(ADDRESS(ROW(),COLUMN(digikey_part_data)+1)),0))</formula>
    </cfRule>
  </conditionalFormatting>
  <conditionalFormatting sqref="G47">
    <cfRule type="expression" dxfId="216" priority="121">
      <formula>IF(SUM(INDIRECT(ADDRESS(ROW(),COLUMN(digikey_part_data)+0)))=0,1,0)</formula>
    </cfRule>
    <cfRule type="cellIs" dxfId="215" priority="122" operator="greaterThan">
      <formula>SUM(INDIRECT(ADDRESS(ROW(),COLUMN(digikey_part_data)+0)))</formula>
    </cfRule>
    <cfRule type="cellIs" dxfId="214" priority="123" operator="greaterThan">
      <formula>SUM(IF(ISNUMBER(INDIRECT(ADDRESS(ROW(),COLUMN(digikey_part_data)+2))),INDIRECT(ADDRESS(ROW(),COLUMN(digikey_part_data)+1)),0))</formula>
    </cfRule>
  </conditionalFormatting>
  <conditionalFormatting sqref="G7">
    <cfRule type="expression" dxfId="213" priority="1">
      <formula>IF(SUM(INDIRECT(ADDRESS(ROW(),COLUMN(digikey_part_data)+0)))=0,1,0)</formula>
    </cfRule>
    <cfRule type="cellIs" dxfId="212" priority="2" operator="greaterThan">
      <formula>SUM(INDIRECT(ADDRESS(ROW(),COLUMN(digikey_part_data)+0)))</formula>
    </cfRule>
    <cfRule type="cellIs" dxfId="211" priority="3" operator="greaterThan">
      <formula>SUM(IF(ISNUMBER(INDIRECT(ADDRESS(ROW(),COLUMN(digikey_part_data)+2))),INDIRECT(ADDRESS(ROW(),COLUMN(digikey_part_data)+1)),0))</formula>
    </cfRule>
  </conditionalFormatting>
  <conditionalFormatting sqref="G8">
    <cfRule type="expression" dxfId="210" priority="4">
      <formula>IF(SUM(INDIRECT(ADDRESS(ROW(),COLUMN(digikey_part_data)+0)))=0,1,0)</formula>
    </cfRule>
    <cfRule type="cellIs" dxfId="209" priority="5" operator="greaterThan">
      <formula>SUM(INDIRECT(ADDRESS(ROW(),COLUMN(digikey_part_data)+0)))</formula>
    </cfRule>
    <cfRule type="cellIs" dxfId="208" priority="6" operator="greaterThan">
      <formula>SUM(IF(ISNUMBER(INDIRECT(ADDRESS(ROW(),COLUMN(digikey_part_data)+2))),INDIRECT(ADDRESS(ROW(),COLUMN(digikey_part_data)+1)),0))</formula>
    </cfRule>
  </conditionalFormatting>
  <conditionalFormatting sqref="G9">
    <cfRule type="expression" dxfId="207" priority="7">
      <formula>IF(SUM(INDIRECT(ADDRESS(ROW(),COLUMN(digikey_part_data)+0)))=0,1,0)</formula>
    </cfRule>
    <cfRule type="cellIs" dxfId="206" priority="8" operator="greaterThan">
      <formula>SUM(INDIRECT(ADDRESS(ROW(),COLUMN(digikey_part_data)+0)))</formula>
    </cfRule>
    <cfRule type="cellIs" dxfId="205" priority="9" operator="greaterThan">
      <formula>SUM(IF(ISNUMBER(INDIRECT(ADDRESS(ROW(),COLUMN(digikey_part_data)+2))),INDIRECT(ADDRESS(ROW(),COLUMN(digikey_part_data)+1)),0))</formula>
    </cfRule>
  </conditionalFormatting>
  <conditionalFormatting sqref="J10">
    <cfRule type="cellIs" dxfId="204" priority="139" operator="equal">
      <formula>0</formula>
    </cfRule>
    <cfRule type="cellIs" dxfId="203" priority="140" operator="lessThan">
      <formula>G10</formula>
    </cfRule>
  </conditionalFormatting>
  <conditionalFormatting sqref="J11">
    <cfRule type="cellIs" dxfId="202" priority="144" operator="equal">
      <formula>0</formula>
    </cfRule>
    <cfRule type="cellIs" dxfId="201" priority="145" operator="lessThan">
      <formula>G11</formula>
    </cfRule>
  </conditionalFormatting>
  <conditionalFormatting sqref="J12">
    <cfRule type="cellIs" dxfId="200" priority="149" operator="equal">
      <formula>0</formula>
    </cfRule>
    <cfRule type="cellIs" dxfId="199" priority="150" operator="lessThan">
      <formula>G12</formula>
    </cfRule>
  </conditionalFormatting>
  <conditionalFormatting sqref="J13">
    <cfRule type="cellIs" dxfId="198" priority="154" operator="equal">
      <formula>0</formula>
    </cfRule>
    <cfRule type="cellIs" dxfId="197" priority="155" operator="lessThan">
      <formula>G13</formula>
    </cfRule>
  </conditionalFormatting>
  <conditionalFormatting sqref="J14">
    <cfRule type="cellIs" dxfId="196" priority="159" operator="equal">
      <formula>0</formula>
    </cfRule>
    <cfRule type="cellIs" dxfId="195" priority="160" operator="lessThan">
      <formula>G14</formula>
    </cfRule>
  </conditionalFormatting>
  <conditionalFormatting sqref="J15">
    <cfRule type="cellIs" dxfId="194" priority="164" operator="equal">
      <formula>0</formula>
    </cfRule>
    <cfRule type="cellIs" dxfId="193" priority="165" operator="lessThan">
      <formula>G15</formula>
    </cfRule>
  </conditionalFormatting>
  <conditionalFormatting sqref="J16">
    <cfRule type="cellIs" dxfId="192" priority="169" operator="equal">
      <formula>0</formula>
    </cfRule>
    <cfRule type="cellIs" dxfId="191" priority="170" operator="lessThan">
      <formula>G16</formula>
    </cfRule>
  </conditionalFormatting>
  <conditionalFormatting sqref="J17">
    <cfRule type="cellIs" dxfId="190" priority="174" operator="equal">
      <formula>0</formula>
    </cfRule>
    <cfRule type="cellIs" dxfId="189" priority="175" operator="lessThan">
      <formula>G17</formula>
    </cfRule>
  </conditionalFormatting>
  <conditionalFormatting sqref="J18">
    <cfRule type="cellIs" dxfId="188" priority="179" operator="equal">
      <formula>0</formula>
    </cfRule>
    <cfRule type="cellIs" dxfId="187" priority="180" operator="lessThan">
      <formula>G18</formula>
    </cfRule>
  </conditionalFormatting>
  <conditionalFormatting sqref="J19">
    <cfRule type="cellIs" dxfId="186" priority="184" operator="equal">
      <formula>0</formula>
    </cfRule>
    <cfRule type="cellIs" dxfId="185" priority="185" operator="lessThan">
      <formula>G19</formula>
    </cfRule>
  </conditionalFormatting>
  <conditionalFormatting sqref="J20">
    <cfRule type="cellIs" dxfId="184" priority="189" operator="equal">
      <formula>0</formula>
    </cfRule>
    <cfRule type="cellIs" dxfId="183" priority="190" operator="lessThan">
      <formula>G20</formula>
    </cfRule>
  </conditionalFormatting>
  <conditionalFormatting sqref="J21">
    <cfRule type="cellIs" dxfId="182" priority="194" operator="equal">
      <formula>0</formula>
    </cfRule>
    <cfRule type="cellIs" dxfId="181" priority="195" operator="lessThan">
      <formula>G21</formula>
    </cfRule>
  </conditionalFormatting>
  <conditionalFormatting sqref="J22">
    <cfRule type="cellIs" dxfId="180" priority="199" operator="equal">
      <formula>0</formula>
    </cfRule>
    <cfRule type="cellIs" dxfId="179" priority="200" operator="lessThan">
      <formula>G22</formula>
    </cfRule>
  </conditionalFormatting>
  <conditionalFormatting sqref="J23">
    <cfRule type="cellIs" dxfId="178" priority="204" operator="equal">
      <formula>0</formula>
    </cfRule>
    <cfRule type="cellIs" dxfId="177" priority="205" operator="lessThan">
      <formula>G23</formula>
    </cfRule>
  </conditionalFormatting>
  <conditionalFormatting sqref="J24">
    <cfRule type="cellIs" dxfId="176" priority="209" operator="equal">
      <formula>0</formula>
    </cfRule>
    <cfRule type="cellIs" dxfId="175" priority="210" operator="lessThan">
      <formula>G24</formula>
    </cfRule>
  </conditionalFormatting>
  <conditionalFormatting sqref="J25">
    <cfRule type="cellIs" dxfId="174" priority="214" operator="equal">
      <formula>0</formula>
    </cfRule>
    <cfRule type="cellIs" dxfId="173" priority="215" operator="lessThan">
      <formula>G25</formula>
    </cfRule>
  </conditionalFormatting>
  <conditionalFormatting sqref="J26">
    <cfRule type="cellIs" dxfId="172" priority="219" operator="equal">
      <formula>0</formula>
    </cfRule>
    <cfRule type="cellIs" dxfId="171" priority="220" operator="lessThan">
      <formula>G26</formula>
    </cfRule>
  </conditionalFormatting>
  <conditionalFormatting sqref="J27">
    <cfRule type="cellIs" dxfId="170" priority="224" operator="equal">
      <formula>0</formula>
    </cfRule>
    <cfRule type="cellIs" dxfId="169" priority="225" operator="lessThan">
      <formula>G27</formula>
    </cfRule>
  </conditionalFormatting>
  <conditionalFormatting sqref="J28">
    <cfRule type="cellIs" dxfId="168" priority="229" operator="equal">
      <formula>0</formula>
    </cfRule>
    <cfRule type="cellIs" dxfId="167" priority="230" operator="lessThan">
      <formula>G28</formula>
    </cfRule>
  </conditionalFormatting>
  <conditionalFormatting sqref="J29">
    <cfRule type="cellIs" dxfId="166" priority="234" operator="equal">
      <formula>0</formula>
    </cfRule>
    <cfRule type="cellIs" dxfId="165" priority="235" operator="lessThan">
      <formula>G29</formula>
    </cfRule>
  </conditionalFormatting>
  <conditionalFormatting sqref="J30">
    <cfRule type="cellIs" dxfId="164" priority="239" operator="equal">
      <formula>0</formula>
    </cfRule>
    <cfRule type="cellIs" dxfId="163" priority="240" operator="lessThan">
      <formula>G30</formula>
    </cfRule>
  </conditionalFormatting>
  <conditionalFormatting sqref="J31">
    <cfRule type="cellIs" dxfId="162" priority="244" operator="equal">
      <formula>0</formula>
    </cfRule>
    <cfRule type="cellIs" dxfId="161" priority="245" operator="lessThan">
      <formula>G31</formula>
    </cfRule>
  </conditionalFormatting>
  <conditionalFormatting sqref="J32">
    <cfRule type="cellIs" dxfId="160" priority="249" operator="equal">
      <formula>0</formula>
    </cfRule>
    <cfRule type="cellIs" dxfId="159" priority="250" operator="lessThan">
      <formula>G32</formula>
    </cfRule>
  </conditionalFormatting>
  <conditionalFormatting sqref="J33">
    <cfRule type="cellIs" dxfId="158" priority="254" operator="equal">
      <formula>0</formula>
    </cfRule>
    <cfRule type="cellIs" dxfId="157" priority="255" operator="lessThan">
      <formula>G33</formula>
    </cfRule>
  </conditionalFormatting>
  <conditionalFormatting sqref="J34">
    <cfRule type="cellIs" dxfId="156" priority="259" operator="equal">
      <formula>0</formula>
    </cfRule>
    <cfRule type="cellIs" dxfId="155" priority="260" operator="lessThan">
      <formula>G34</formula>
    </cfRule>
  </conditionalFormatting>
  <conditionalFormatting sqref="J35">
    <cfRule type="cellIs" dxfId="154" priority="264" operator="equal">
      <formula>0</formula>
    </cfRule>
    <cfRule type="cellIs" dxfId="153" priority="265" operator="lessThan">
      <formula>G35</formula>
    </cfRule>
  </conditionalFormatting>
  <conditionalFormatting sqref="J36">
    <cfRule type="cellIs" dxfId="152" priority="269" operator="equal">
      <formula>0</formula>
    </cfRule>
    <cfRule type="cellIs" dxfId="151" priority="270" operator="lessThan">
      <formula>G36</formula>
    </cfRule>
  </conditionalFormatting>
  <conditionalFormatting sqref="J37">
    <cfRule type="cellIs" dxfId="150" priority="274" operator="equal">
      <formula>0</formula>
    </cfRule>
    <cfRule type="cellIs" dxfId="149" priority="275" operator="lessThan">
      <formula>G37</formula>
    </cfRule>
  </conditionalFormatting>
  <conditionalFormatting sqref="J38">
    <cfRule type="cellIs" dxfId="148" priority="279" operator="equal">
      <formula>0</formula>
    </cfRule>
    <cfRule type="cellIs" dxfId="147" priority="280" operator="lessThan">
      <formula>G38</formula>
    </cfRule>
  </conditionalFormatting>
  <conditionalFormatting sqref="J39">
    <cfRule type="cellIs" dxfId="146" priority="284" operator="equal">
      <formula>0</formula>
    </cfRule>
    <cfRule type="cellIs" dxfId="145" priority="285" operator="lessThan">
      <formula>G39</formula>
    </cfRule>
  </conditionalFormatting>
  <conditionalFormatting sqref="J40">
    <cfRule type="cellIs" dxfId="144" priority="289" operator="equal">
      <formula>0</formula>
    </cfRule>
    <cfRule type="cellIs" dxfId="143" priority="290" operator="lessThan">
      <formula>G40</formula>
    </cfRule>
  </conditionalFormatting>
  <conditionalFormatting sqref="J41">
    <cfRule type="cellIs" dxfId="142" priority="294" operator="equal">
      <formula>0</formula>
    </cfRule>
    <cfRule type="cellIs" dxfId="141" priority="295" operator="lessThan">
      <formula>G41</formula>
    </cfRule>
  </conditionalFormatting>
  <conditionalFormatting sqref="J42">
    <cfRule type="cellIs" dxfId="140" priority="299" operator="equal">
      <formula>0</formula>
    </cfRule>
    <cfRule type="cellIs" dxfId="139" priority="300" operator="lessThan">
      <formula>G42</formula>
    </cfRule>
  </conditionalFormatting>
  <conditionalFormatting sqref="J43">
    <cfRule type="cellIs" dxfId="138" priority="304" operator="equal">
      <formula>0</formula>
    </cfRule>
    <cfRule type="cellIs" dxfId="137" priority="305" operator="lessThan">
      <formula>G43</formula>
    </cfRule>
  </conditionalFormatting>
  <conditionalFormatting sqref="J44">
    <cfRule type="cellIs" dxfId="136" priority="309" operator="equal">
      <formula>0</formula>
    </cfRule>
    <cfRule type="cellIs" dxfId="135" priority="310" operator="lessThan">
      <formula>G44</formula>
    </cfRule>
  </conditionalFormatting>
  <conditionalFormatting sqref="J45">
    <cfRule type="cellIs" dxfId="134" priority="314" operator="equal">
      <formula>0</formula>
    </cfRule>
    <cfRule type="cellIs" dxfId="133" priority="315" operator="lessThan">
      <formula>G45</formula>
    </cfRule>
  </conditionalFormatting>
  <conditionalFormatting sqref="J46">
    <cfRule type="cellIs" dxfId="132" priority="319" operator="equal">
      <formula>0</formula>
    </cfRule>
    <cfRule type="cellIs" dxfId="131" priority="320" operator="lessThan">
      <formula>G46</formula>
    </cfRule>
  </conditionalFormatting>
  <conditionalFormatting sqref="J47">
    <cfRule type="cellIs" dxfId="130" priority="324" operator="equal">
      <formula>0</formula>
    </cfRule>
    <cfRule type="cellIs" dxfId="129" priority="325" operator="lessThan">
      <formula>G47</formula>
    </cfRule>
  </conditionalFormatting>
  <conditionalFormatting sqref="J7">
    <cfRule type="cellIs" dxfId="128" priority="124" operator="equal">
      <formula>0</formula>
    </cfRule>
    <cfRule type="cellIs" dxfId="127" priority="125" operator="lessThan">
      <formula>G7</formula>
    </cfRule>
  </conditionalFormatting>
  <conditionalFormatting sqref="J8">
    <cfRule type="cellIs" dxfId="126" priority="129" operator="equal">
      <formula>0</formula>
    </cfRule>
    <cfRule type="cellIs" dxfId="125" priority="130" operator="lessThan">
      <formula>G8</formula>
    </cfRule>
  </conditionalFormatting>
  <conditionalFormatting sqref="J9">
    <cfRule type="cellIs" dxfId="124" priority="134" operator="equal">
      <formula>0</formula>
    </cfRule>
    <cfRule type="cellIs" dxfId="123" priority="135" operator="lessThan">
      <formula>G9</formula>
    </cfRule>
  </conditionalFormatting>
  <conditionalFormatting sqref="K10">
    <cfRule type="cellIs" dxfId="122" priority="141" operator="greaterThan">
      <formula>J10</formula>
    </cfRule>
  </conditionalFormatting>
  <conditionalFormatting sqref="K11">
    <cfRule type="cellIs" dxfId="121" priority="146" operator="greaterThan">
      <formula>J11</formula>
    </cfRule>
  </conditionalFormatting>
  <conditionalFormatting sqref="K12">
    <cfRule type="cellIs" dxfId="120" priority="151" operator="greaterThan">
      <formula>J12</formula>
    </cfRule>
  </conditionalFormatting>
  <conditionalFormatting sqref="K13">
    <cfRule type="cellIs" dxfId="119" priority="156" operator="greaterThan">
      <formula>J13</formula>
    </cfRule>
  </conditionalFormatting>
  <conditionalFormatting sqref="K14">
    <cfRule type="cellIs" dxfId="118" priority="161" operator="greaterThan">
      <formula>J14</formula>
    </cfRule>
  </conditionalFormatting>
  <conditionalFormatting sqref="K15">
    <cfRule type="cellIs" dxfId="117" priority="166" operator="greaterThan">
      <formula>J15</formula>
    </cfRule>
  </conditionalFormatting>
  <conditionalFormatting sqref="K16">
    <cfRule type="cellIs" dxfId="116" priority="171" operator="greaterThan">
      <formula>J16</formula>
    </cfRule>
  </conditionalFormatting>
  <conditionalFormatting sqref="K17">
    <cfRule type="cellIs" dxfId="115" priority="176" operator="greaterThan">
      <formula>J17</formula>
    </cfRule>
  </conditionalFormatting>
  <conditionalFormatting sqref="K18">
    <cfRule type="cellIs" dxfId="114" priority="181" operator="greaterThan">
      <formula>J18</formula>
    </cfRule>
  </conditionalFormatting>
  <conditionalFormatting sqref="K19">
    <cfRule type="cellIs" dxfId="113" priority="186" operator="greaterThan">
      <formula>J19</formula>
    </cfRule>
  </conditionalFormatting>
  <conditionalFormatting sqref="K20">
    <cfRule type="cellIs" dxfId="112" priority="191" operator="greaterThan">
      <formula>J20</formula>
    </cfRule>
  </conditionalFormatting>
  <conditionalFormatting sqref="K21">
    <cfRule type="cellIs" dxfId="111" priority="196" operator="greaterThan">
      <formula>J21</formula>
    </cfRule>
  </conditionalFormatting>
  <conditionalFormatting sqref="K22">
    <cfRule type="cellIs" dxfId="110" priority="201" operator="greaterThan">
      <formula>J22</formula>
    </cfRule>
  </conditionalFormatting>
  <conditionalFormatting sqref="K23">
    <cfRule type="cellIs" dxfId="109" priority="206" operator="greaterThan">
      <formula>J23</formula>
    </cfRule>
  </conditionalFormatting>
  <conditionalFormatting sqref="K24">
    <cfRule type="cellIs" dxfId="108" priority="211" operator="greaterThan">
      <formula>J24</formula>
    </cfRule>
  </conditionalFormatting>
  <conditionalFormatting sqref="K25">
    <cfRule type="cellIs" dxfId="107" priority="216" operator="greaterThan">
      <formula>J25</formula>
    </cfRule>
  </conditionalFormatting>
  <conditionalFormatting sqref="K26">
    <cfRule type="cellIs" dxfId="106" priority="221" operator="greaterThan">
      <formula>J26</formula>
    </cfRule>
  </conditionalFormatting>
  <conditionalFormatting sqref="K27">
    <cfRule type="cellIs" dxfId="105" priority="226" operator="greaterThan">
      <formula>J27</formula>
    </cfRule>
  </conditionalFormatting>
  <conditionalFormatting sqref="K28">
    <cfRule type="cellIs" dxfId="104" priority="231" operator="greaterThan">
      <formula>J28</formula>
    </cfRule>
  </conditionalFormatting>
  <conditionalFormatting sqref="K29">
    <cfRule type="cellIs" dxfId="103" priority="236" operator="greaterThan">
      <formula>J29</formula>
    </cfRule>
  </conditionalFormatting>
  <conditionalFormatting sqref="K30">
    <cfRule type="cellIs" dxfId="102" priority="241" operator="greaterThan">
      <formula>J30</formula>
    </cfRule>
  </conditionalFormatting>
  <conditionalFormatting sqref="K31">
    <cfRule type="cellIs" dxfId="101" priority="246" operator="greaterThan">
      <formula>J31</formula>
    </cfRule>
  </conditionalFormatting>
  <conditionalFormatting sqref="K32">
    <cfRule type="cellIs" dxfId="100" priority="251" operator="greaterThan">
      <formula>J32</formula>
    </cfRule>
  </conditionalFormatting>
  <conditionalFormatting sqref="K33">
    <cfRule type="cellIs" dxfId="99" priority="256" operator="greaterThan">
      <formula>J33</formula>
    </cfRule>
  </conditionalFormatting>
  <conditionalFormatting sqref="K34">
    <cfRule type="cellIs" dxfId="98" priority="261" operator="greaterThan">
      <formula>J34</formula>
    </cfRule>
  </conditionalFormatting>
  <conditionalFormatting sqref="K35">
    <cfRule type="cellIs" dxfId="97" priority="266" operator="greaterThan">
      <formula>J35</formula>
    </cfRule>
  </conditionalFormatting>
  <conditionalFormatting sqref="K36">
    <cfRule type="cellIs" dxfId="96" priority="271" operator="greaterThan">
      <formula>J36</formula>
    </cfRule>
  </conditionalFormatting>
  <conditionalFormatting sqref="K37">
    <cfRule type="cellIs" dxfId="95" priority="276" operator="greaterThan">
      <formula>J37</formula>
    </cfRule>
  </conditionalFormatting>
  <conditionalFormatting sqref="K38">
    <cfRule type="cellIs" dxfId="94" priority="281" operator="greaterThan">
      <formula>J38</formula>
    </cfRule>
  </conditionalFormatting>
  <conditionalFormatting sqref="K39">
    <cfRule type="cellIs" dxfId="93" priority="286" operator="greaterThan">
      <formula>J39</formula>
    </cfRule>
  </conditionalFormatting>
  <conditionalFormatting sqref="K40">
    <cfRule type="cellIs" dxfId="92" priority="291" operator="greaterThan">
      <formula>J40</formula>
    </cfRule>
  </conditionalFormatting>
  <conditionalFormatting sqref="K41">
    <cfRule type="cellIs" dxfId="91" priority="296" operator="greaterThan">
      <formula>J41</formula>
    </cfRule>
  </conditionalFormatting>
  <conditionalFormatting sqref="K42">
    <cfRule type="cellIs" dxfId="90" priority="301" operator="greaterThan">
      <formula>J42</formula>
    </cfRule>
  </conditionalFormatting>
  <conditionalFormatting sqref="K43">
    <cfRule type="cellIs" dxfId="89" priority="306" operator="greaterThan">
      <formula>J43</formula>
    </cfRule>
  </conditionalFormatting>
  <conditionalFormatting sqref="K44">
    <cfRule type="cellIs" dxfId="88" priority="311" operator="greaterThan">
      <formula>J44</formula>
    </cfRule>
  </conditionalFormatting>
  <conditionalFormatting sqref="K45">
    <cfRule type="cellIs" dxfId="87" priority="316" operator="greaterThan">
      <formula>J45</formula>
    </cfRule>
  </conditionalFormatting>
  <conditionalFormatting sqref="K46">
    <cfRule type="cellIs" dxfId="86" priority="321" operator="greaterThan">
      <formula>J46</formula>
    </cfRule>
  </conditionalFormatting>
  <conditionalFormatting sqref="K47">
    <cfRule type="cellIs" dxfId="85" priority="326" operator="greaterThan">
      <formula>J47</formula>
    </cfRule>
  </conditionalFormatting>
  <conditionalFormatting sqref="K7">
    <cfRule type="cellIs" dxfId="84" priority="126" operator="greaterThan">
      <formula>J7</formula>
    </cfRule>
  </conditionalFormatting>
  <conditionalFormatting sqref="K8">
    <cfRule type="cellIs" dxfId="83" priority="131" operator="greaterThan">
      <formula>J8</formula>
    </cfRule>
  </conditionalFormatting>
  <conditionalFormatting sqref="K9">
    <cfRule type="cellIs" dxfId="82" priority="136" operator="greaterThan">
      <formula>J9</formula>
    </cfRule>
  </conditionalFormatting>
  <conditionalFormatting sqref="L10">
    <cfRule type="cellIs" dxfId="81" priority="142" operator="lessThanOrEqual">
      <formula>H10</formula>
    </cfRule>
  </conditionalFormatting>
  <conditionalFormatting sqref="L11">
    <cfRule type="cellIs" dxfId="80" priority="147" operator="lessThanOrEqual">
      <formula>H11</formula>
    </cfRule>
  </conditionalFormatting>
  <conditionalFormatting sqref="L12">
    <cfRule type="cellIs" dxfId="79" priority="152" operator="lessThanOrEqual">
      <formula>H12</formula>
    </cfRule>
  </conditionalFormatting>
  <conditionalFormatting sqref="L13">
    <cfRule type="cellIs" dxfId="78" priority="157" operator="lessThanOrEqual">
      <formula>H13</formula>
    </cfRule>
  </conditionalFormatting>
  <conditionalFormatting sqref="L14">
    <cfRule type="cellIs" dxfId="77" priority="162" operator="lessThanOrEqual">
      <formula>H14</formula>
    </cfRule>
  </conditionalFormatting>
  <conditionalFormatting sqref="L15">
    <cfRule type="cellIs" dxfId="76" priority="167" operator="lessThanOrEqual">
      <formula>H15</formula>
    </cfRule>
  </conditionalFormatting>
  <conditionalFormatting sqref="L16">
    <cfRule type="cellIs" dxfId="75" priority="172" operator="lessThanOrEqual">
      <formula>H16</formula>
    </cfRule>
  </conditionalFormatting>
  <conditionalFormatting sqref="L17">
    <cfRule type="cellIs" dxfId="74" priority="177" operator="lessThanOrEqual">
      <formula>H17</formula>
    </cfRule>
  </conditionalFormatting>
  <conditionalFormatting sqref="L18">
    <cfRule type="cellIs" dxfId="73" priority="182" operator="lessThanOrEqual">
      <formula>H18</formula>
    </cfRule>
  </conditionalFormatting>
  <conditionalFormatting sqref="L19">
    <cfRule type="cellIs" dxfId="72" priority="187" operator="lessThanOrEqual">
      <formula>H19</formula>
    </cfRule>
  </conditionalFormatting>
  <conditionalFormatting sqref="L20">
    <cfRule type="cellIs" dxfId="71" priority="192" operator="lessThanOrEqual">
      <formula>H20</formula>
    </cfRule>
  </conditionalFormatting>
  <conditionalFormatting sqref="L21">
    <cfRule type="cellIs" dxfId="70" priority="197" operator="lessThanOrEqual">
      <formula>H21</formula>
    </cfRule>
  </conditionalFormatting>
  <conditionalFormatting sqref="L22">
    <cfRule type="cellIs" dxfId="69" priority="202" operator="lessThanOrEqual">
      <formula>H22</formula>
    </cfRule>
  </conditionalFormatting>
  <conditionalFormatting sqref="L23">
    <cfRule type="cellIs" dxfId="68" priority="207" operator="lessThanOrEqual">
      <formula>H23</formula>
    </cfRule>
  </conditionalFormatting>
  <conditionalFormatting sqref="L24">
    <cfRule type="cellIs" dxfId="67" priority="212" operator="lessThanOrEqual">
      <formula>H24</formula>
    </cfRule>
  </conditionalFormatting>
  <conditionalFormatting sqref="L25">
    <cfRule type="cellIs" dxfId="66" priority="217" operator="lessThanOrEqual">
      <formula>H25</formula>
    </cfRule>
  </conditionalFormatting>
  <conditionalFormatting sqref="L26">
    <cfRule type="cellIs" dxfId="65" priority="222" operator="lessThanOrEqual">
      <formula>H26</formula>
    </cfRule>
  </conditionalFormatting>
  <conditionalFormatting sqref="L27">
    <cfRule type="cellIs" dxfId="64" priority="227" operator="lessThanOrEqual">
      <formula>H27</formula>
    </cfRule>
  </conditionalFormatting>
  <conditionalFormatting sqref="L28">
    <cfRule type="cellIs" dxfId="63" priority="232" operator="lessThanOrEqual">
      <formula>H28</formula>
    </cfRule>
  </conditionalFormatting>
  <conditionalFormatting sqref="L29">
    <cfRule type="cellIs" dxfId="62" priority="237" operator="lessThanOrEqual">
      <formula>H29</formula>
    </cfRule>
  </conditionalFormatting>
  <conditionalFormatting sqref="L30">
    <cfRule type="cellIs" dxfId="61" priority="242" operator="lessThanOrEqual">
      <formula>H30</formula>
    </cfRule>
  </conditionalFormatting>
  <conditionalFormatting sqref="L31">
    <cfRule type="cellIs" dxfId="60" priority="247" operator="lessThanOrEqual">
      <formula>H31</formula>
    </cfRule>
  </conditionalFormatting>
  <conditionalFormatting sqref="L32">
    <cfRule type="cellIs" dxfId="59" priority="252" operator="lessThanOrEqual">
      <formula>H32</formula>
    </cfRule>
  </conditionalFormatting>
  <conditionalFormatting sqref="L33">
    <cfRule type="cellIs" dxfId="58" priority="257" operator="lessThanOrEqual">
      <formula>H33</formula>
    </cfRule>
  </conditionalFormatting>
  <conditionalFormatting sqref="L34">
    <cfRule type="cellIs" dxfId="57" priority="262" operator="lessThanOrEqual">
      <formula>H34</formula>
    </cfRule>
  </conditionalFormatting>
  <conditionalFormatting sqref="L35">
    <cfRule type="cellIs" dxfId="56" priority="267" operator="lessThanOrEqual">
      <formula>H35</formula>
    </cfRule>
  </conditionalFormatting>
  <conditionalFormatting sqref="L36">
    <cfRule type="cellIs" dxfId="55" priority="272" operator="lessThanOrEqual">
      <formula>H36</formula>
    </cfRule>
  </conditionalFormatting>
  <conditionalFormatting sqref="L37">
    <cfRule type="cellIs" dxfId="54" priority="277" operator="lessThanOrEqual">
      <formula>H37</formula>
    </cfRule>
  </conditionalFormatting>
  <conditionalFormatting sqref="L38">
    <cfRule type="cellIs" dxfId="53" priority="282" operator="lessThanOrEqual">
      <formula>H38</formula>
    </cfRule>
  </conditionalFormatting>
  <conditionalFormatting sqref="L39">
    <cfRule type="cellIs" dxfId="52" priority="287" operator="lessThanOrEqual">
      <formula>H39</formula>
    </cfRule>
  </conditionalFormatting>
  <conditionalFormatting sqref="L40">
    <cfRule type="cellIs" dxfId="51" priority="292" operator="lessThanOrEqual">
      <formula>H40</formula>
    </cfRule>
  </conditionalFormatting>
  <conditionalFormatting sqref="L41">
    <cfRule type="cellIs" dxfId="50" priority="297" operator="lessThanOrEqual">
      <formula>H41</formula>
    </cfRule>
  </conditionalFormatting>
  <conditionalFormatting sqref="L42">
    <cfRule type="cellIs" dxfId="49" priority="302" operator="lessThanOrEqual">
      <formula>H42</formula>
    </cfRule>
  </conditionalFormatting>
  <conditionalFormatting sqref="L43">
    <cfRule type="cellIs" dxfId="48" priority="307" operator="lessThanOrEqual">
      <formula>H43</formula>
    </cfRule>
  </conditionalFormatting>
  <conditionalFormatting sqref="L44">
    <cfRule type="cellIs" dxfId="47" priority="312" operator="lessThanOrEqual">
      <formula>H44</formula>
    </cfRule>
  </conditionalFormatting>
  <conditionalFormatting sqref="L45">
    <cfRule type="cellIs" dxfId="46" priority="317" operator="lessThanOrEqual">
      <formula>H45</formula>
    </cfRule>
  </conditionalFormatting>
  <conditionalFormatting sqref="L46">
    <cfRule type="cellIs" dxfId="45" priority="322" operator="lessThanOrEqual">
      <formula>H46</formula>
    </cfRule>
  </conditionalFormatting>
  <conditionalFormatting sqref="L47">
    <cfRule type="cellIs" dxfId="44" priority="327" operator="lessThanOrEqual">
      <formula>H47</formula>
    </cfRule>
  </conditionalFormatting>
  <conditionalFormatting sqref="L7">
    <cfRule type="cellIs" dxfId="43" priority="127" operator="lessThanOrEqual">
      <formula>H7</formula>
    </cfRule>
  </conditionalFormatting>
  <conditionalFormatting sqref="L8">
    <cfRule type="cellIs" dxfId="42" priority="132" operator="lessThanOrEqual">
      <formula>H8</formula>
    </cfRule>
  </conditionalFormatting>
  <conditionalFormatting sqref="L9">
    <cfRule type="cellIs" dxfId="41" priority="137" operator="lessThanOrEqual">
      <formula>H9</formula>
    </cfRule>
  </conditionalFormatting>
  <conditionalFormatting sqref="M10">
    <cfRule type="cellIs" dxfId="40" priority="143" operator="lessThanOrEqual">
      <formula>I10</formula>
    </cfRule>
  </conditionalFormatting>
  <conditionalFormatting sqref="M11">
    <cfRule type="cellIs" dxfId="39" priority="148" operator="lessThanOrEqual">
      <formula>I11</formula>
    </cfRule>
  </conditionalFormatting>
  <conditionalFormatting sqref="M12">
    <cfRule type="cellIs" dxfId="38" priority="153" operator="lessThanOrEqual">
      <formula>I12</formula>
    </cfRule>
  </conditionalFormatting>
  <conditionalFormatting sqref="M13">
    <cfRule type="cellIs" dxfId="37" priority="158" operator="lessThanOrEqual">
      <formula>I13</formula>
    </cfRule>
  </conditionalFormatting>
  <conditionalFormatting sqref="M14">
    <cfRule type="cellIs" dxfId="36" priority="163" operator="lessThanOrEqual">
      <formula>I14</formula>
    </cfRule>
  </conditionalFormatting>
  <conditionalFormatting sqref="M15">
    <cfRule type="cellIs" dxfId="35" priority="168" operator="lessThanOrEqual">
      <formula>I15</formula>
    </cfRule>
  </conditionalFormatting>
  <conditionalFormatting sqref="M16">
    <cfRule type="cellIs" dxfId="34" priority="173" operator="lessThanOrEqual">
      <formula>I16</formula>
    </cfRule>
  </conditionalFormatting>
  <conditionalFormatting sqref="M17">
    <cfRule type="cellIs" dxfId="33" priority="178" operator="lessThanOrEqual">
      <formula>I17</formula>
    </cfRule>
  </conditionalFormatting>
  <conditionalFormatting sqref="M18">
    <cfRule type="cellIs" dxfId="32" priority="183" operator="lessThanOrEqual">
      <formula>I18</formula>
    </cfRule>
  </conditionalFormatting>
  <conditionalFormatting sqref="M19">
    <cfRule type="cellIs" dxfId="31" priority="188" operator="lessThanOrEqual">
      <formula>I19</formula>
    </cfRule>
  </conditionalFormatting>
  <conditionalFormatting sqref="M20">
    <cfRule type="cellIs" dxfId="30" priority="193" operator="lessThanOrEqual">
      <formula>I20</formula>
    </cfRule>
  </conditionalFormatting>
  <conditionalFormatting sqref="M21">
    <cfRule type="cellIs" dxfId="29" priority="198" operator="lessThanOrEqual">
      <formula>I21</formula>
    </cfRule>
  </conditionalFormatting>
  <conditionalFormatting sqref="M22">
    <cfRule type="cellIs" dxfId="28" priority="203" operator="lessThanOrEqual">
      <formula>I22</formula>
    </cfRule>
  </conditionalFormatting>
  <conditionalFormatting sqref="M23">
    <cfRule type="cellIs" dxfId="27" priority="208" operator="lessThanOrEqual">
      <formula>I23</formula>
    </cfRule>
  </conditionalFormatting>
  <conditionalFormatting sqref="M24">
    <cfRule type="cellIs" dxfId="26" priority="213" operator="lessThanOrEqual">
      <formula>I24</formula>
    </cfRule>
  </conditionalFormatting>
  <conditionalFormatting sqref="M25">
    <cfRule type="cellIs" dxfId="25" priority="218" operator="lessThanOrEqual">
      <formula>I25</formula>
    </cfRule>
  </conditionalFormatting>
  <conditionalFormatting sqref="M26">
    <cfRule type="cellIs" dxfId="24" priority="223" operator="lessThanOrEqual">
      <formula>I26</formula>
    </cfRule>
  </conditionalFormatting>
  <conditionalFormatting sqref="M27">
    <cfRule type="cellIs" dxfId="23" priority="228" operator="lessThanOrEqual">
      <formula>I27</formula>
    </cfRule>
  </conditionalFormatting>
  <conditionalFormatting sqref="M28">
    <cfRule type="cellIs" dxfId="22" priority="233" operator="lessThanOrEqual">
      <formula>I28</formula>
    </cfRule>
  </conditionalFormatting>
  <conditionalFormatting sqref="M29">
    <cfRule type="cellIs" dxfId="21" priority="238" operator="lessThanOrEqual">
      <formula>I29</formula>
    </cfRule>
  </conditionalFormatting>
  <conditionalFormatting sqref="M30">
    <cfRule type="cellIs" dxfId="20" priority="243" operator="lessThanOrEqual">
      <formula>I30</formula>
    </cfRule>
  </conditionalFormatting>
  <conditionalFormatting sqref="M31">
    <cfRule type="cellIs" dxfId="19" priority="248" operator="lessThanOrEqual">
      <formula>I31</formula>
    </cfRule>
  </conditionalFormatting>
  <conditionalFormatting sqref="M32">
    <cfRule type="cellIs" dxfId="18" priority="253" operator="lessThanOrEqual">
      <formula>I32</formula>
    </cfRule>
  </conditionalFormatting>
  <conditionalFormatting sqref="M33">
    <cfRule type="cellIs" dxfId="17" priority="258" operator="lessThanOrEqual">
      <formula>I33</formula>
    </cfRule>
  </conditionalFormatting>
  <conditionalFormatting sqref="M34">
    <cfRule type="cellIs" dxfId="16" priority="263" operator="lessThanOrEqual">
      <formula>I34</formula>
    </cfRule>
  </conditionalFormatting>
  <conditionalFormatting sqref="M35">
    <cfRule type="cellIs" dxfId="15" priority="268" operator="lessThanOrEqual">
      <formula>I35</formula>
    </cfRule>
  </conditionalFormatting>
  <conditionalFormatting sqref="M36">
    <cfRule type="cellIs" dxfId="14" priority="273" operator="lessThanOrEqual">
      <formula>I36</formula>
    </cfRule>
  </conditionalFormatting>
  <conditionalFormatting sqref="M37">
    <cfRule type="cellIs" dxfId="13" priority="278" operator="lessThanOrEqual">
      <formula>I37</formula>
    </cfRule>
  </conditionalFormatting>
  <conditionalFormatting sqref="M38">
    <cfRule type="cellIs" dxfId="12" priority="283" operator="lessThanOrEqual">
      <formula>I38</formula>
    </cfRule>
  </conditionalFormatting>
  <conditionalFormatting sqref="M39">
    <cfRule type="cellIs" dxfId="11" priority="288" operator="lessThanOrEqual">
      <formula>I39</formula>
    </cfRule>
  </conditionalFormatting>
  <conditionalFormatting sqref="M40">
    <cfRule type="cellIs" dxfId="10" priority="293" operator="lessThanOrEqual">
      <formula>I40</formula>
    </cfRule>
  </conditionalFormatting>
  <conditionalFormatting sqref="M41">
    <cfRule type="cellIs" dxfId="9" priority="298" operator="lessThanOrEqual">
      <formula>I41</formula>
    </cfRule>
  </conditionalFormatting>
  <conditionalFormatting sqref="M42">
    <cfRule type="cellIs" dxfId="8" priority="303" operator="lessThanOrEqual">
      <formula>I42</formula>
    </cfRule>
  </conditionalFormatting>
  <conditionalFormatting sqref="M43">
    <cfRule type="cellIs" dxfId="7" priority="308" operator="lessThanOrEqual">
      <formula>I43</formula>
    </cfRule>
  </conditionalFormatting>
  <conditionalFormatting sqref="M44">
    <cfRule type="cellIs" dxfId="6" priority="313" operator="lessThanOrEqual">
      <formula>I44</formula>
    </cfRule>
  </conditionalFormatting>
  <conditionalFormatting sqref="M45">
    <cfRule type="cellIs" dxfId="5" priority="318" operator="lessThanOrEqual">
      <formula>I45</formula>
    </cfRule>
  </conditionalFormatting>
  <conditionalFormatting sqref="M46">
    <cfRule type="cellIs" dxfId="4" priority="323" operator="lessThanOrEqual">
      <formula>I46</formula>
    </cfRule>
  </conditionalFormatting>
  <conditionalFormatting sqref="M47">
    <cfRule type="cellIs" dxfId="3" priority="328" operator="lessThanOrEqual">
      <formula>I47</formula>
    </cfRule>
  </conditionalFormatting>
  <conditionalFormatting sqref="M7">
    <cfRule type="cellIs" dxfId="2" priority="128" operator="lessThanOrEqual">
      <formula>I7</formula>
    </cfRule>
  </conditionalFormatting>
  <conditionalFormatting sqref="M8">
    <cfRule type="cellIs" dxfId="1" priority="133" operator="lessThanOrEqual">
      <formula>I8</formula>
    </cfRule>
  </conditionalFormatting>
  <conditionalFormatting sqref="M9">
    <cfRule type="cellIs" dxfId="0" priority="138" operator="lessThanOrEqual">
      <formula>I9</formula>
    </cfRule>
  </conditionalFormatting>
  <hyperlinks>
    <hyperlink ref="N7" r:id="rId1"/>
    <hyperlink ref="N8" r:id="rId2"/>
    <hyperlink ref="N9" r:id="rId3"/>
    <hyperlink ref="N10" r:id="rId4"/>
    <hyperlink ref="N11" r:id="rId5"/>
    <hyperlink ref="N12" r:id="rId6"/>
    <hyperlink ref="N13" r:id="rId7"/>
    <hyperlink ref="N14" r:id="rId8"/>
    <hyperlink ref="N15" r:id="rId9"/>
    <hyperlink ref="N16" r:id="rId10"/>
    <hyperlink ref="N17" r:id="rId11"/>
    <hyperlink ref="N18" r:id="rId12"/>
    <hyperlink ref="N19" r:id="rId13"/>
    <hyperlink ref="N20" r:id="rId14"/>
    <hyperlink ref="N21" r:id="rId15"/>
    <hyperlink ref="N22" r:id="rId16"/>
    <hyperlink ref="N23" r:id="rId17"/>
    <hyperlink ref="N24" r:id="rId18"/>
    <hyperlink ref="N25" r:id="rId19"/>
    <hyperlink ref="N26" r:id="rId20"/>
    <hyperlink ref="N27" r:id="rId21"/>
    <hyperlink ref="N28" r:id="rId22"/>
    <hyperlink ref="N29" r:id="rId23"/>
    <hyperlink ref="N30" r:id="rId24"/>
    <hyperlink ref="N31" r:id="rId25"/>
    <hyperlink ref="N32" r:id="rId26"/>
    <hyperlink ref="N33" r:id="rId27"/>
    <hyperlink ref="N34" r:id="rId28"/>
    <hyperlink ref="N35" r:id="rId29"/>
    <hyperlink ref="N36" r:id="rId30"/>
    <hyperlink ref="N37" r:id="rId31"/>
    <hyperlink ref="N38" r:id="rId32"/>
    <hyperlink ref="N39" r:id="rId33"/>
    <hyperlink ref="N40" r:id="rId34"/>
    <hyperlink ref="N41" r:id="rId35"/>
    <hyperlink ref="N42" r:id="rId36"/>
    <hyperlink ref="N43" r:id="rId37"/>
    <hyperlink ref="N44" r:id="rId38"/>
    <hyperlink ref="N45" r:id="rId39"/>
    <hyperlink ref="N46" r:id="rId40"/>
    <hyperlink ref="N47" r:id="rId41"/>
  </hyperlinks>
  <pageMargins left="0.7" right="0.7" top="0.75" bottom="0.75" header="0.3" footer="0.3"/>
  <pageSetup paperSize="9" scale="55" orientation="portrait" horizontalDpi="1200" verticalDpi="1200" r:id="rId42"/>
  <legacy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KiCad. </vt:lpstr>
      <vt:lpstr>BoardQty</vt:lpstr>
      <vt:lpstr>digikey_part_data</vt:lpstr>
      <vt:lpstr>global_part_data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kropf</cp:lastModifiedBy>
  <cp:lastPrinted>2018-01-18T22:09:28Z</cp:lastPrinted>
  <dcterms:created xsi:type="dcterms:W3CDTF">2018-01-18T22:07:44Z</dcterms:created>
  <dcterms:modified xsi:type="dcterms:W3CDTF">2018-01-18T22:10:15Z</dcterms:modified>
</cp:coreProperties>
</file>