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3301f9cf3fbaf0/Giełda/Industrials/Industrial Conglomerates/Projects/2024Q4/"/>
    </mc:Choice>
  </mc:AlternateContent>
  <xr:revisionPtr revIDLastSave="611" documentId="8_{63A1F345-BE95-4918-BE2C-0DD23516810E}" xr6:coauthVersionLast="47" xr6:coauthVersionMax="47" xr10:uidLastSave="{2A0F4115-5288-487A-98DC-50594EBD8D76}"/>
  <bookViews>
    <workbookView xWindow="-98" yWindow="-98" windowWidth="21795" windowHeight="12975" firstSheet="1" activeTab="1" xr2:uid="{00000000-000D-0000-FFFF-FFFF00000000}"/>
  </bookViews>
  <sheets>
    <sheet name="WACC" sheetId="2" r:id="rId1"/>
    <sheet name="R&amp;D" sheetId="10" r:id="rId2"/>
    <sheet name="Sales-to-Capital" sheetId="3" r:id="rId3"/>
    <sheet name="Growth" sheetId="8" r:id="rId4"/>
    <sheet name="Value" sheetId="5" r:id="rId5"/>
    <sheet name="Sensitive" sheetId="9" r:id="rId6"/>
  </sheets>
  <calcPr calcId="191028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0" l="1"/>
  <c r="B5" i="2"/>
  <c r="F5" i="10"/>
  <c r="F6" i="10"/>
  <c r="F7" i="10"/>
  <c r="F8" i="10"/>
  <c r="F9" i="10"/>
  <c r="F10" i="10"/>
  <c r="F11" i="10"/>
  <c r="F12" i="10"/>
  <c r="F3" i="10"/>
  <c r="E12" i="10"/>
  <c r="E11" i="10"/>
  <c r="E10" i="10"/>
  <c r="E9" i="10"/>
  <c r="E8" i="10"/>
  <c r="E7" i="10"/>
  <c r="E6" i="10"/>
  <c r="E5" i="10"/>
  <c r="E4" i="10"/>
  <c r="E3" i="10"/>
  <c r="I2" i="10"/>
  <c r="E2" i="10"/>
  <c r="E13" i="10" l="1"/>
  <c r="B4" i="3" s="1"/>
  <c r="F13" i="10"/>
  <c r="J2" i="10" s="1"/>
  <c r="K2" i="10" s="1"/>
  <c r="B6" i="5" s="1"/>
  <c r="B5" i="3" l="1"/>
  <c r="A11" i="2"/>
  <c r="L3" i="5" s="1"/>
  <c r="B2" i="9"/>
  <c r="C11" i="8"/>
  <c r="C10" i="8"/>
  <c r="C9" i="8"/>
  <c r="C8" i="8"/>
  <c r="C7" i="8"/>
  <c r="C6" i="8"/>
  <c r="C5" i="8"/>
  <c r="C4" i="8"/>
  <c r="C3" i="8"/>
  <c r="C2" i="8"/>
  <c r="M5" i="5"/>
  <c r="C4" i="2" l="1"/>
  <c r="G4" i="2" s="1"/>
  <c r="C14" i="8"/>
  <c r="B3" i="9" s="1"/>
  <c r="C3" i="5" s="1"/>
  <c r="C13" i="8"/>
  <c r="E4" i="2" l="1"/>
  <c r="M3" i="5"/>
  <c r="D3" i="5" s="1"/>
  <c r="E3" i="5" s="1"/>
  <c r="F3" i="5" s="1"/>
  <c r="G3" i="5" s="1"/>
  <c r="H3" i="5" s="1"/>
  <c r="I3" i="5" s="1"/>
  <c r="J3" i="5" s="1"/>
  <c r="K3" i="5" s="1"/>
  <c r="B26" i="2"/>
  <c r="B6" i="3"/>
  <c r="P14" i="5"/>
  <c r="B8" i="3" l="1"/>
  <c r="B4" i="5"/>
  <c r="P8" i="5" s="1"/>
  <c r="P3" i="5"/>
  <c r="C4" i="5" l="1"/>
  <c r="D4" i="5" s="1"/>
  <c r="E4" i="5" l="1"/>
  <c r="F4" i="5" l="1"/>
  <c r="G4" i="5" l="1"/>
  <c r="H4" i="5" l="1"/>
  <c r="I4" i="5" l="1"/>
  <c r="J4" i="5" l="1"/>
  <c r="K4" i="5" l="1"/>
  <c r="L4" i="5" l="1"/>
  <c r="L6" i="5" l="1"/>
  <c r="M4" i="5"/>
  <c r="M6" i="5" l="1"/>
  <c r="B25" i="2" l="1"/>
  <c r="B24" i="2"/>
  <c r="B23" i="2"/>
  <c r="B22" i="2"/>
  <c r="B21" i="2"/>
  <c r="B20" i="2"/>
  <c r="B19" i="2"/>
  <c r="B18" i="2"/>
  <c r="B17" i="2"/>
  <c r="B16" i="2"/>
  <c r="B15" i="2"/>
  <c r="K15" i="2"/>
  <c r="C11" i="2"/>
  <c r="C26" i="2" s="1"/>
  <c r="C8" i="2"/>
  <c r="K5" i="2" s="1"/>
  <c r="K8" i="2"/>
  <c r="C2" i="2" l="1"/>
  <c r="B2" i="3"/>
  <c r="B9" i="3" s="1"/>
  <c r="B5" i="9" s="1"/>
  <c r="B9" i="5" s="1"/>
  <c r="C14" i="2"/>
  <c r="D14" i="2" s="1"/>
  <c r="C20" i="2"/>
  <c r="D20" i="2" s="1"/>
  <c r="C24" i="2"/>
  <c r="D24" i="2" s="1"/>
  <c r="C17" i="2"/>
  <c r="D17" i="2" s="1"/>
  <c r="D26" i="2"/>
  <c r="K21" i="2"/>
  <c r="C17" i="5" s="1"/>
  <c r="C3" i="2"/>
  <c r="C23" i="2"/>
  <c r="D23" i="2" s="1"/>
  <c r="C21" i="2"/>
  <c r="D21" i="2" s="1"/>
  <c r="C18" i="2"/>
  <c r="D18" i="2" s="1"/>
  <c r="C25" i="2"/>
  <c r="D25" i="2" s="1"/>
  <c r="C15" i="2"/>
  <c r="D15" i="2" s="1"/>
  <c r="C16" i="2"/>
  <c r="D16" i="2" s="1"/>
  <c r="C19" i="2"/>
  <c r="D19" i="2" s="1"/>
  <c r="C22" i="2"/>
  <c r="D22" i="2" s="1"/>
  <c r="G2" i="2" l="1"/>
  <c r="C5" i="2"/>
  <c r="E2" i="2"/>
  <c r="G9" i="5"/>
  <c r="F9" i="5"/>
  <c r="E9" i="5"/>
  <c r="I9" i="5"/>
  <c r="H9" i="5"/>
  <c r="J9" i="5"/>
  <c r="K9" i="5"/>
  <c r="L9" i="5"/>
  <c r="C9" i="5"/>
  <c r="D9" i="5"/>
  <c r="B10" i="5"/>
  <c r="J17" i="5"/>
  <c r="L17" i="5"/>
  <c r="K17" i="5"/>
  <c r="I17" i="5"/>
  <c r="E17" i="5"/>
  <c r="D17" i="5"/>
  <c r="H17" i="5"/>
  <c r="M17" i="5"/>
  <c r="G17" i="5"/>
  <c r="F17" i="5"/>
  <c r="D27" i="2"/>
  <c r="P13" i="5" s="1"/>
  <c r="G3" i="2"/>
  <c r="E3" i="2"/>
  <c r="G5" i="2" l="1"/>
  <c r="E5" i="2"/>
  <c r="K7" i="2" s="1"/>
  <c r="D10" i="5"/>
  <c r="D11" i="5"/>
  <c r="C10" i="5"/>
  <c r="C11" i="5"/>
  <c r="L10" i="5"/>
  <c r="L11" i="5"/>
  <c r="K10" i="5"/>
  <c r="K11" i="5"/>
  <c r="J10" i="5"/>
  <c r="J11" i="5"/>
  <c r="H11" i="5"/>
  <c r="H10" i="5"/>
  <c r="I10" i="5"/>
  <c r="I11" i="5"/>
  <c r="E10" i="5"/>
  <c r="E11" i="5"/>
  <c r="F11" i="5"/>
  <c r="F10" i="5"/>
  <c r="G10" i="5"/>
  <c r="G11" i="5"/>
  <c r="K16" i="2"/>
  <c r="K17" i="2" s="1"/>
  <c r="K19" i="2" s="1"/>
  <c r="C14" i="5" s="1"/>
  <c r="K18" i="2" l="1"/>
  <c r="C15" i="5" s="1"/>
  <c r="K15" i="5" s="1"/>
  <c r="G14" i="5"/>
  <c r="K14" i="5"/>
  <c r="F14" i="5"/>
  <c r="L14" i="5"/>
  <c r="H14" i="5"/>
  <c r="M14" i="5"/>
  <c r="D14" i="5"/>
  <c r="E14" i="5"/>
  <c r="I14" i="5"/>
  <c r="J14" i="5"/>
  <c r="K22" i="2"/>
  <c r="L7" i="5"/>
  <c r="C7" i="5" s="1"/>
  <c r="K4" i="2"/>
  <c r="K6" i="2" s="1"/>
  <c r="K9" i="2" s="1"/>
  <c r="K20" i="2" s="1"/>
  <c r="J15" i="5" l="1"/>
  <c r="H15" i="5"/>
  <c r="E15" i="5"/>
  <c r="I15" i="5"/>
  <c r="F15" i="5"/>
  <c r="D15" i="5"/>
  <c r="L15" i="5"/>
  <c r="G15" i="5"/>
  <c r="D7" i="5"/>
  <c r="C18" i="5"/>
  <c r="C19" i="5" s="1"/>
  <c r="M15" i="5"/>
  <c r="K23" i="2"/>
  <c r="C16" i="5"/>
  <c r="L18" i="5"/>
  <c r="L19" i="5" s="1"/>
  <c r="M7" i="5"/>
  <c r="M18" i="5" s="1"/>
  <c r="M19" i="5" s="1"/>
  <c r="L8" i="5"/>
  <c r="M8" i="5" s="1"/>
  <c r="E7" i="5" l="1"/>
  <c r="D18" i="5"/>
  <c r="D19" i="5" s="1"/>
  <c r="L12" i="5"/>
  <c r="G16" i="5"/>
  <c r="K16" i="5"/>
  <c r="D16" i="5"/>
  <c r="I16" i="5"/>
  <c r="J16" i="5"/>
  <c r="E16" i="5"/>
  <c r="L16" i="5"/>
  <c r="L20" i="5" s="1"/>
  <c r="L23" i="5" s="1"/>
  <c r="F16" i="5"/>
  <c r="H16" i="5"/>
  <c r="M16" i="5"/>
  <c r="M20" i="5" s="1"/>
  <c r="C20" i="5"/>
  <c r="C23" i="5" s="1"/>
  <c r="D20" i="5" l="1"/>
  <c r="D23" i="5" s="1"/>
  <c r="F7" i="5"/>
  <c r="E18" i="5"/>
  <c r="E19" i="5" s="1"/>
  <c r="E20" i="5" s="1"/>
  <c r="E23" i="5" s="1"/>
  <c r="M23" i="5"/>
  <c r="L24" i="5"/>
  <c r="G7" i="5" l="1"/>
  <c r="F18" i="5"/>
  <c r="F19" i="5" s="1"/>
  <c r="F20" i="5" s="1"/>
  <c r="F23" i="5" s="1"/>
  <c r="H7" i="5" l="1"/>
  <c r="G18" i="5"/>
  <c r="G19" i="5" s="1"/>
  <c r="G20" i="5" s="1"/>
  <c r="G23" i="5" s="1"/>
  <c r="I7" i="5" l="1"/>
  <c r="H18" i="5"/>
  <c r="H19" i="5" s="1"/>
  <c r="H20" i="5" s="1"/>
  <c r="H23" i="5" s="1"/>
  <c r="J7" i="5" l="1"/>
  <c r="I18" i="5"/>
  <c r="I19" i="5" s="1"/>
  <c r="I20" i="5" s="1"/>
  <c r="I23" i="5" s="1"/>
  <c r="K7" i="5" l="1"/>
  <c r="K18" i="5" s="1"/>
  <c r="K19" i="5" s="1"/>
  <c r="K20" i="5" s="1"/>
  <c r="K23" i="5" s="1"/>
  <c r="J18" i="5"/>
  <c r="J19" i="5" s="1"/>
  <c r="J20" i="5" s="1"/>
  <c r="J23" i="5" s="1"/>
  <c r="P7" i="5" l="1"/>
  <c r="P9" i="5" s="1"/>
  <c r="B4" i="9" s="1"/>
  <c r="B8" i="5"/>
  <c r="P2" i="5" l="1"/>
  <c r="P4" i="5" s="1"/>
  <c r="M11" i="5" s="1"/>
  <c r="M12" i="5" s="1"/>
  <c r="M24" i="5" s="1"/>
  <c r="B5" i="5"/>
  <c r="C5" i="5" s="1"/>
  <c r="C6" i="5" s="1"/>
  <c r="C8" i="5" s="1"/>
  <c r="C12" i="5" s="1"/>
  <c r="C24" i="5" s="1"/>
  <c r="D5" i="5" l="1"/>
  <c r="E5" i="5" s="1"/>
  <c r="D6" i="5" l="1"/>
  <c r="D8" i="5" s="1"/>
  <c r="D12" i="5" s="1"/>
  <c r="D24" i="5" s="1"/>
  <c r="F5" i="5"/>
  <c r="E6" i="5"/>
  <c r="E8" i="5" s="1"/>
  <c r="E12" i="5" s="1"/>
  <c r="E24" i="5" s="1"/>
  <c r="G5" i="5" l="1"/>
  <c r="F6" i="5"/>
  <c r="F8" i="5" s="1"/>
  <c r="F12" i="5" s="1"/>
  <c r="F24" i="5" s="1"/>
  <c r="H5" i="5" l="1"/>
  <c r="G6" i="5"/>
  <c r="G8" i="5" s="1"/>
  <c r="G12" i="5" s="1"/>
  <c r="G24" i="5" s="1"/>
  <c r="I5" i="5" l="1"/>
  <c r="H6" i="5"/>
  <c r="H8" i="5" s="1"/>
  <c r="H12" i="5" s="1"/>
  <c r="H24" i="5" s="1"/>
  <c r="J5" i="5" l="1"/>
  <c r="I6" i="5"/>
  <c r="I8" i="5" s="1"/>
  <c r="I12" i="5" s="1"/>
  <c r="I24" i="5" s="1"/>
  <c r="K5" i="5" l="1"/>
  <c r="K6" i="5" s="1"/>
  <c r="K8" i="5" s="1"/>
  <c r="K12" i="5" s="1"/>
  <c r="K24" i="5" s="1"/>
  <c r="J6" i="5"/>
  <c r="J8" i="5" s="1"/>
  <c r="J12" i="5" s="1"/>
  <c r="J24" i="5" s="1"/>
  <c r="P12" i="5" l="1"/>
  <c r="P15" i="5" s="1"/>
  <c r="F27" i="9" s="1"/>
  <c r="P16" i="5"/>
  <c r="F3" i="9" l="1"/>
  <c r="F15" i="9"/>
  <c r="P18" i="5"/>
</calcChain>
</file>

<file path=xl/sharedStrings.xml><?xml version="1.0" encoding="utf-8"?>
<sst xmlns="http://schemas.openxmlformats.org/spreadsheetml/2006/main" count="119" uniqueCount="84">
  <si>
    <t>Revenue</t>
  </si>
  <si>
    <t>Proportion of Revenue</t>
  </si>
  <si>
    <t>Assumed ERP</t>
  </si>
  <si>
    <t>Weighted ERP</t>
  </si>
  <si>
    <t>Assumed Tax</t>
  </si>
  <si>
    <t>Weighted Tax</t>
  </si>
  <si>
    <t>Component</t>
  </si>
  <si>
    <t>Value</t>
  </si>
  <si>
    <t>Ticker</t>
  </si>
  <si>
    <t>Americas</t>
  </si>
  <si>
    <t>Levered Beta for Industry</t>
  </si>
  <si>
    <t>MMM</t>
  </si>
  <si>
    <t>Asia Pacific</t>
  </si>
  <si>
    <t>Debt-To-Equity For Industry</t>
  </si>
  <si>
    <t>EMEA</t>
  </si>
  <si>
    <t>Unlevered Beta For Industry</t>
  </si>
  <si>
    <t>Debt-To-Equity</t>
  </si>
  <si>
    <t>Levered Beta</t>
  </si>
  <si>
    <t>Market Cap</t>
  </si>
  <si>
    <t>Total Debt</t>
  </si>
  <si>
    <t>ERP</t>
  </si>
  <si>
    <t>Risk-Free Rate</t>
  </si>
  <si>
    <t>Cost of Equity</t>
  </si>
  <si>
    <t>Spread</t>
  </si>
  <si>
    <t>Cost of Debt</t>
  </si>
  <si>
    <t>Time</t>
  </si>
  <si>
    <t>Interest Expense</t>
  </si>
  <si>
    <t>Discount Factor</t>
  </si>
  <si>
    <t>Present Value</t>
  </si>
  <si>
    <t>Equity</t>
  </si>
  <si>
    <t>Debt</t>
  </si>
  <si>
    <t>Capital</t>
  </si>
  <si>
    <t>Proportion of Debt</t>
  </si>
  <si>
    <t>Proportion of Equity</t>
  </si>
  <si>
    <t>Tax Rate</t>
  </si>
  <si>
    <t>WACC</t>
  </si>
  <si>
    <t>Year</t>
  </si>
  <si>
    <t>R&amp;D Expsense</t>
  </si>
  <si>
    <t>Unamortized %</t>
  </si>
  <si>
    <t>Unamortized</t>
  </si>
  <si>
    <t>Amortized</t>
  </si>
  <si>
    <t>R&amp;D Expense</t>
  </si>
  <si>
    <t>Amortization</t>
  </si>
  <si>
    <t>Correct for R&amp;D</t>
  </si>
  <si>
    <t>Sales</t>
  </si>
  <si>
    <t>Unadjusted Book Value of Equity</t>
  </si>
  <si>
    <t>Value of the R&amp;D Asset</t>
  </si>
  <si>
    <t>Adjusted Book</t>
  </si>
  <si>
    <t>Book Value of Debt</t>
  </si>
  <si>
    <t>Cash &amp; ST Investments + Marketable Securities</t>
  </si>
  <si>
    <t>Book Value of Invested Capital</t>
  </si>
  <si>
    <t>Sales to Capital</t>
  </si>
  <si>
    <t>Change</t>
  </si>
  <si>
    <t>Average:</t>
  </si>
  <si>
    <t>Median:</t>
  </si>
  <si>
    <t>Terminal Year</t>
  </si>
  <si>
    <t>Return on Capital</t>
  </si>
  <si>
    <t>Revenue Growth</t>
  </si>
  <si>
    <t>Terminal Growth</t>
  </si>
  <si>
    <t>Terminal Reinvestment Rate</t>
  </si>
  <si>
    <t>EBIT Margin</t>
  </si>
  <si>
    <t>Adjusted EBIT</t>
  </si>
  <si>
    <t>EBIT * (1 - Tax Rate)</t>
  </si>
  <si>
    <t>Sales To Capital</t>
  </si>
  <si>
    <t>Invested Capital</t>
  </si>
  <si>
    <t>Reinvestment</t>
  </si>
  <si>
    <t>FCFF</t>
  </si>
  <si>
    <t>Total Value of Enterprise</t>
  </si>
  <si>
    <t>Market Value of Debt</t>
  </si>
  <si>
    <t>Weight in Equity</t>
  </si>
  <si>
    <t>Cash</t>
  </si>
  <si>
    <t>Weight in Debt</t>
  </si>
  <si>
    <t>Equity Value in Common Stock</t>
  </si>
  <si>
    <t>Equity Value in 10 years</t>
  </si>
  <si>
    <t>Pre-Tax Cost of Debt</t>
  </si>
  <si>
    <t>Shares Outstanding</t>
  </si>
  <si>
    <t>Assumed Tax Rate</t>
  </si>
  <si>
    <t>Estimated Value per Share</t>
  </si>
  <si>
    <t>After-Tax Cost of Debt</t>
  </si>
  <si>
    <t>Present Valur of Cash Flow</t>
  </si>
  <si>
    <t>Operating Margin</t>
  </si>
  <si>
    <t>Growth</t>
  </si>
  <si>
    <t>Initial Growth Rate</t>
  </si>
  <si>
    <t>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</si>
</sst>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31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/>
    <xf numFmtId="4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" xfId="0" applyBorder="1"/>
    <xf numFmtId="4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10" fontId="4" fillId="0" borderId="5" xfId="0" applyNumberFormat="1" applyFon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4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2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9" xfId="0" applyBorder="1" applyAlignment="1">
      <alignment horizontal="left"/>
    </xf>
    <xf numFmtId="2" fontId="0" fillId="0" borderId="10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0" fontId="0" fillId="0" borderId="9" xfId="0" applyBorder="1"/>
    <xf numFmtId="0" fontId="4" fillId="0" borderId="1" xfId="0" applyFont="1" applyBorder="1"/>
    <xf numFmtId="4" fontId="4" fillId="0" borderId="5" xfId="0" applyNumberFormat="1" applyFont="1" applyBorder="1" applyAlignment="1">
      <alignment horizontal="center"/>
    </xf>
    <xf numFmtId="0" fontId="3" fillId="0" borderId="13" xfId="1" applyFont="1" applyBorder="1"/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3" fillId="0" borderId="14" xfId="1" applyFont="1" applyBorder="1" applyAlignment="1">
      <alignment horizontal="left"/>
    </xf>
    <xf numFmtId="0" fontId="2" fillId="0" borderId="7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8" xfId="1" applyBorder="1" applyAlignment="1">
      <alignment horizontal="center"/>
    </xf>
    <xf numFmtId="0" fontId="3" fillId="0" borderId="14" xfId="1" applyFont="1" applyBorder="1"/>
    <xf numFmtId="10" fontId="2" fillId="0" borderId="7" xfId="1" applyNumberFormat="1" applyBorder="1" applyAlignment="1">
      <alignment horizontal="center"/>
    </xf>
    <xf numFmtId="10" fontId="2" fillId="0" borderId="0" xfId="1" applyNumberFormat="1" applyAlignment="1">
      <alignment horizontal="center"/>
    </xf>
    <xf numFmtId="10" fontId="2" fillId="0" borderId="8" xfId="1" applyNumberFormat="1" applyBorder="1" applyAlignment="1">
      <alignment horizontal="center"/>
    </xf>
    <xf numFmtId="4" fontId="2" fillId="0" borderId="7" xfId="1" applyNumberFormat="1" applyBorder="1" applyAlignment="1">
      <alignment horizontal="center"/>
    </xf>
    <xf numFmtId="4" fontId="2" fillId="0" borderId="8" xfId="1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2" xfId="1" applyFont="1" applyBorder="1"/>
    <xf numFmtId="0" fontId="2" fillId="0" borderId="9" xfId="1" applyBorder="1" applyAlignment="1">
      <alignment horizontal="center"/>
    </xf>
    <xf numFmtId="4" fontId="2" fillId="0" borderId="10" xfId="1" applyNumberFormat="1" applyBorder="1" applyAlignment="1">
      <alignment horizontal="center"/>
    </xf>
    <xf numFmtId="4" fontId="2" fillId="0" borderId="11" xfId="1" applyNumberFormat="1" applyBorder="1" applyAlignment="1">
      <alignment horizontal="center"/>
    </xf>
    <xf numFmtId="0" fontId="2" fillId="0" borderId="0" xfId="1"/>
    <xf numFmtId="0" fontId="0" fillId="0" borderId="8" xfId="0" applyBorder="1" applyAlignment="1">
      <alignment horizontal="center"/>
    </xf>
    <xf numFmtId="10" fontId="2" fillId="0" borderId="6" xfId="1" applyNumberFormat="1" applyBorder="1" applyAlignment="1">
      <alignment horizontal="center"/>
    </xf>
    <xf numFmtId="10" fontId="2" fillId="0" borderId="3" xfId="1" applyNumberFormat="1" applyBorder="1" applyAlignment="1">
      <alignment horizontal="center"/>
    </xf>
    <xf numFmtId="10" fontId="2" fillId="0" borderId="4" xfId="1" applyNumberForma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0" fontId="2" fillId="0" borderId="9" xfId="1" applyNumberFormat="1" applyBorder="1" applyAlignment="1">
      <alignment horizontal="center"/>
    </xf>
    <xf numFmtId="10" fontId="2" fillId="0" borderId="10" xfId="1" applyNumberFormat="1" applyBorder="1" applyAlignment="1">
      <alignment horizontal="center"/>
    </xf>
    <xf numFmtId="10" fontId="2" fillId="0" borderId="11" xfId="1" applyNumberFormat="1" applyBorder="1" applyAlignment="1">
      <alignment horizontal="center"/>
    </xf>
    <xf numFmtId="2" fontId="2" fillId="0" borderId="3" xfId="1" applyNumberFormat="1" applyBorder="1" applyAlignment="1">
      <alignment horizontal="center"/>
    </xf>
    <xf numFmtId="2" fontId="2" fillId="0" borderId="4" xfId="1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/>
    <xf numFmtId="4" fontId="2" fillId="0" borderId="0" xfId="1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1" fillId="0" borderId="8" xfId="1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4" fontId="4" fillId="0" borderId="15" xfId="0" applyNumberFormat="1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4" fillId="0" borderId="13" xfId="0" applyNumberFormat="1" applyFont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4" fontId="0" fillId="0" borderId="19" xfId="0" applyNumberFormat="1" applyBorder="1" applyAlignment="1">
      <alignment horizontal="center"/>
    </xf>
    <xf numFmtId="4" fontId="0" fillId="0" borderId="2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10" fontId="4" fillId="0" borderId="12" xfId="0" applyNumberFormat="1" applyFont="1" applyBorder="1" applyAlignment="1">
      <alignment horizontal="center"/>
    </xf>
    <xf numFmtId="4" fontId="0" fillId="0" borderId="22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/>
    <xf numFmtId="0" fontId="0" fillId="0" borderId="3" xfId="0" applyBorder="1" applyAlignment="1">
      <alignment horizontal="center"/>
    </xf>
    <xf numFmtId="0" fontId="4" fillId="0" borderId="9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5" fillId="0" borderId="0" xfId="0" applyFont="1"/>
    <xf numFmtId="10" fontId="6" fillId="0" borderId="2" xfId="0" applyNumberFormat="1" applyFont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10" fontId="7" fillId="0" borderId="11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5" xfId="0" applyBorder="1"/>
    <xf numFmtId="0" fontId="8" fillId="0" borderId="0" xfId="0" applyFont="1"/>
    <xf numFmtId="0" fontId="9" fillId="0" borderId="0" xfId="0" applyFont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4" fontId="10" fillId="0" borderId="26" xfId="0" applyNumberFormat="1" applyFont="1" applyBorder="1" applyAlignment="1">
      <alignment horizontal="center"/>
    </xf>
    <xf numFmtId="10" fontId="0" fillId="0" borderId="26" xfId="0" applyNumberFormat="1" applyBorder="1" applyAlignment="1">
      <alignment horizontal="center"/>
    </xf>
    <xf numFmtId="4" fontId="0" fillId="0" borderId="26" xfId="0" applyNumberFormat="1" applyBorder="1" applyAlignment="1">
      <alignment horizontal="center"/>
    </xf>
    <xf numFmtId="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left"/>
    </xf>
    <xf numFmtId="4" fontId="10" fillId="0" borderId="0" xfId="0" applyNumberFormat="1" applyFont="1" applyAlignment="1">
      <alignment horizontal="center"/>
    </xf>
    <xf numFmtId="4" fontId="0" fillId="0" borderId="29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left"/>
    </xf>
    <xf numFmtId="4" fontId="10" fillId="0" borderId="31" xfId="0" applyNumberFormat="1" applyFont="1" applyBorder="1" applyAlignment="1">
      <alignment horizontal="center"/>
    </xf>
    <xf numFmtId="10" fontId="0" fillId="0" borderId="31" xfId="0" applyNumberFormat="1" applyBorder="1" applyAlignment="1">
      <alignment horizontal="center"/>
    </xf>
    <xf numFmtId="4" fontId="0" fillId="0" borderId="31" xfId="0" applyNumberFormat="1" applyBorder="1" applyAlignment="1">
      <alignment horizontal="center"/>
    </xf>
    <xf numFmtId="4" fontId="0" fillId="0" borderId="32" xfId="0" applyNumberFormat="1" applyBorder="1" applyAlignment="1">
      <alignment horizontal="center"/>
    </xf>
    <xf numFmtId="0" fontId="4" fillId="0" borderId="13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Normal 3" xfId="1" xr:uid="{F2BD93D7-4364-4019-846E-5B1F934D22FE}"/>
    <cellStyle name="Normalny" xfId="0" builtinId="0"/>
  </cellStyles>
  <dxfs count="4"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D0B2-0261-49EC-8D74-E27660585CCB}">
  <dimension ref="A1:M29"/>
  <sheetViews>
    <sheetView workbookViewId="0">
      <selection activeCell="C18" sqref="C18"/>
    </sheetView>
  </sheetViews>
  <sheetFormatPr defaultRowHeight="14.25"/>
  <cols>
    <col min="1" max="1" width="12.42578125" bestFit="1" customWidth="1"/>
    <col min="2" max="2" width="14.42578125" bestFit="1" customWidth="1"/>
    <col min="3" max="3" width="19.42578125" bestFit="1" customWidth="1"/>
    <col min="4" max="4" width="12" bestFit="1" customWidth="1"/>
    <col min="5" max="5" width="12.140625" bestFit="1" customWidth="1"/>
    <col min="6" max="6" width="11.42578125" bestFit="1" customWidth="1"/>
    <col min="7" max="7" width="11.85546875" bestFit="1" customWidth="1"/>
    <col min="10" max="10" width="23" bestFit="1" customWidth="1"/>
    <col min="11" max="11" width="9.7109375" bestFit="1" customWidth="1"/>
  </cols>
  <sheetData>
    <row r="1" spans="1:13" ht="14.65" thickBo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J1" s="1" t="s">
        <v>6</v>
      </c>
      <c r="K1" s="5" t="s">
        <v>7</v>
      </c>
      <c r="M1" s="103" t="s">
        <v>8</v>
      </c>
    </row>
    <row r="2" spans="1:13" ht="14.65" thickBot="1">
      <c r="A2" s="6" t="s">
        <v>9</v>
      </c>
      <c r="B2" s="7">
        <v>13405</v>
      </c>
      <c r="C2" s="8">
        <f>B2/$B$5</f>
        <v>0.54547304170905386</v>
      </c>
      <c r="D2" s="8">
        <v>5.2499999999999998E-2</v>
      </c>
      <c r="E2" s="8">
        <f>C2*D2</f>
        <v>2.8637334689725326E-2</v>
      </c>
      <c r="F2" s="8">
        <v>0.26240000000000002</v>
      </c>
      <c r="G2" s="9">
        <f>C2*F2</f>
        <v>0.14313212614445575</v>
      </c>
      <c r="J2" s="96" t="s">
        <v>10</v>
      </c>
      <c r="K2" s="10">
        <v>1.0900000000000001</v>
      </c>
      <c r="M2" s="104" t="s">
        <v>11</v>
      </c>
    </row>
    <row r="3" spans="1:13">
      <c r="A3" s="11" t="s">
        <v>12</v>
      </c>
      <c r="B3" s="12">
        <v>6994</v>
      </c>
      <c r="C3" s="13">
        <f>B3/$B$5</f>
        <v>0.28459816887080364</v>
      </c>
      <c r="D3" s="13">
        <v>5.7799999999999997E-2</v>
      </c>
      <c r="E3" s="13">
        <f t="shared" ref="E3" si="0">C3*D3</f>
        <v>1.6449774160732449E-2</v>
      </c>
      <c r="F3" s="13">
        <v>0.25969999999999999</v>
      </c>
      <c r="G3" s="14">
        <f t="shared" ref="G3" si="1">C3*F3</f>
        <v>7.3910144455747701E-2</v>
      </c>
      <c r="J3" s="97" t="s">
        <v>13</v>
      </c>
      <c r="K3" s="14">
        <v>0.16089999999999999</v>
      </c>
    </row>
    <row r="4" spans="1:13" ht="14.65" thickBot="1">
      <c r="A4" t="s">
        <v>14</v>
      </c>
      <c r="B4" s="12">
        <v>4176</v>
      </c>
      <c r="C4" s="13">
        <f>B4/$B$5</f>
        <v>0.16992878942014242</v>
      </c>
      <c r="D4" s="13">
        <v>6.1699999999999998E-2</v>
      </c>
      <c r="E4" s="13">
        <f t="shared" ref="E4" si="2">C4*D4</f>
        <v>1.0484606307222788E-2</v>
      </c>
      <c r="F4" s="13">
        <v>0.24329999999999999</v>
      </c>
      <c r="G4" s="14">
        <f t="shared" ref="G4" si="3">C4*F4</f>
        <v>4.1343674465920646E-2</v>
      </c>
      <c r="J4" s="97" t="s">
        <v>15</v>
      </c>
      <c r="K4" s="15">
        <f>K2/(1+(1-G5)*K3)</f>
        <v>0.97380056457100628</v>
      </c>
    </row>
    <row r="5" spans="1:13" ht="14.65" thickBot="1">
      <c r="A5" s="16"/>
      <c r="B5" s="17">
        <f>SUM(B2:B4)</f>
        <v>24575</v>
      </c>
      <c r="C5" s="18">
        <f>SUM(C2:C4)</f>
        <v>1</v>
      </c>
      <c r="D5" s="70"/>
      <c r="E5" s="18">
        <f>SUM(E2:E4)</f>
        <v>5.5571715157680564E-2</v>
      </c>
      <c r="F5" s="70"/>
      <c r="G5" s="19">
        <f>SUM(G2:G4)</f>
        <v>0.25838594506612411</v>
      </c>
      <c r="J5" s="97" t="s">
        <v>16</v>
      </c>
      <c r="K5" s="14">
        <f>C8</f>
        <v>0.16898820608317816</v>
      </c>
    </row>
    <row r="6" spans="1:13" ht="14.65" thickBot="1">
      <c r="J6" s="97" t="s">
        <v>17</v>
      </c>
      <c r="K6" s="15">
        <f>K4*(1+(1-G5)*K5)</f>
        <v>1.0958411745214338</v>
      </c>
    </row>
    <row r="7" spans="1:13" ht="14.65" thickBot="1">
      <c r="A7" s="1" t="s">
        <v>18</v>
      </c>
      <c r="B7" s="2" t="s">
        <v>19</v>
      </c>
      <c r="C7" s="5" t="s">
        <v>16</v>
      </c>
      <c r="J7" s="97" t="s">
        <v>20</v>
      </c>
      <c r="K7" s="14">
        <f>E5</f>
        <v>5.5571715157680564E-2</v>
      </c>
    </row>
    <row r="8" spans="1:13" ht="14.65" thickBot="1">
      <c r="A8" s="22">
        <v>80550</v>
      </c>
      <c r="B8" s="23">
        <v>13612</v>
      </c>
      <c r="C8" s="24">
        <f>B8/A8</f>
        <v>0.16898820608317816</v>
      </c>
      <c r="J8" s="97" t="s">
        <v>21</v>
      </c>
      <c r="K8" s="14">
        <f>A11</f>
        <v>4.2200000000000001E-2</v>
      </c>
    </row>
    <row r="9" spans="1:13" ht="14.65" thickBot="1">
      <c r="B9" s="20"/>
      <c r="J9" s="1" t="s">
        <v>22</v>
      </c>
      <c r="K9" s="21">
        <f>K8+K7*K6</f>
        <v>0.10309777360856323</v>
      </c>
    </row>
    <row r="10" spans="1:13" ht="14.65" thickBot="1">
      <c r="A10" s="1" t="s">
        <v>21</v>
      </c>
      <c r="B10" s="2" t="s">
        <v>23</v>
      </c>
      <c r="C10" s="5" t="s">
        <v>24</v>
      </c>
      <c r="J10" s="20"/>
    </row>
    <row r="11" spans="1:13" ht="14.65" thickBot="1">
      <c r="A11" s="25">
        <f>Sensitive!B6</f>
        <v>4.2200000000000001E-2</v>
      </c>
      <c r="B11" s="26">
        <v>9.4999999999999998E-3</v>
      </c>
      <c r="C11" s="24">
        <f>SUM(A11:B11)</f>
        <v>5.1700000000000003E-2</v>
      </c>
      <c r="J11" s="20"/>
    </row>
    <row r="12" spans="1:13" ht="14.65" thickBot="1">
      <c r="B12" s="20"/>
      <c r="J12" s="20"/>
    </row>
    <row r="13" spans="1:13" ht="14.65" thickBot="1">
      <c r="A13" s="1" t="s">
        <v>25</v>
      </c>
      <c r="B13" s="2" t="s">
        <v>26</v>
      </c>
      <c r="C13" s="2" t="s">
        <v>27</v>
      </c>
      <c r="D13" s="5" t="s">
        <v>28</v>
      </c>
      <c r="J13" s="20"/>
    </row>
    <row r="14" spans="1:13" ht="14.65" thickBot="1">
      <c r="A14" s="29">
        <v>1</v>
      </c>
      <c r="B14" s="7">
        <v>1191</v>
      </c>
      <c r="C14" s="30">
        <f t="shared" ref="C14:C26" si="4">1/((1+$C$11)^A14)</f>
        <v>0.95084149472282964</v>
      </c>
      <c r="D14" s="31">
        <f>B14*C14</f>
        <v>1132.4522202148901</v>
      </c>
      <c r="J14" s="1" t="s">
        <v>6</v>
      </c>
      <c r="K14" s="5" t="s">
        <v>7</v>
      </c>
    </row>
    <row r="15" spans="1:13">
      <c r="A15" s="27">
        <v>2</v>
      </c>
      <c r="B15" s="12">
        <f t="shared" ref="B15:B25" si="5">$B$14</f>
        <v>1191</v>
      </c>
      <c r="C15" s="32">
        <f t="shared" si="4"/>
        <v>0.90409954808674486</v>
      </c>
      <c r="D15" s="28">
        <f t="shared" ref="D15:D26" si="6">B15*C15</f>
        <v>1076.7825617713131</v>
      </c>
      <c r="J15" s="27" t="s">
        <v>29</v>
      </c>
      <c r="K15" s="28">
        <f>A8</f>
        <v>80550</v>
      </c>
    </row>
    <row r="16" spans="1:13">
      <c r="A16" s="27">
        <v>3</v>
      </c>
      <c r="B16" s="12">
        <f t="shared" si="5"/>
        <v>1191</v>
      </c>
      <c r="C16" s="32">
        <f t="shared" si="4"/>
        <v>0.8596553656810354</v>
      </c>
      <c r="D16" s="28">
        <f t="shared" si="6"/>
        <v>1023.8495405261132</v>
      </c>
      <c r="J16" s="27" t="s">
        <v>30</v>
      </c>
      <c r="K16" s="28">
        <f>D27</f>
        <v>18142.620492297588</v>
      </c>
    </row>
    <row r="17" spans="1:11">
      <c r="A17" s="27">
        <v>4</v>
      </c>
      <c r="B17" s="12">
        <f t="shared" si="5"/>
        <v>1191</v>
      </c>
      <c r="C17" s="32">
        <f t="shared" si="4"/>
        <v>0.81739599285065634</v>
      </c>
      <c r="D17" s="28">
        <f t="shared" si="6"/>
        <v>973.51862748513167</v>
      </c>
      <c r="J17" s="27" t="s">
        <v>31</v>
      </c>
      <c r="K17" s="28">
        <f>SUM(K15:K16)</f>
        <v>98692.620492297588</v>
      </c>
    </row>
    <row r="18" spans="1:11">
      <c r="A18" s="27">
        <v>5</v>
      </c>
      <c r="B18" s="12">
        <f t="shared" si="5"/>
        <v>1191</v>
      </c>
      <c r="C18" s="32">
        <f t="shared" si="4"/>
        <v>0.77721402762256953</v>
      </c>
      <c r="D18" s="28">
        <f t="shared" si="6"/>
        <v>925.66190689848031</v>
      </c>
      <c r="J18" s="27" t="s">
        <v>32</v>
      </c>
      <c r="K18" s="14">
        <f>K16/K17</f>
        <v>0.18382955485221431</v>
      </c>
    </row>
    <row r="19" spans="1:11">
      <c r="A19" s="27">
        <v>6</v>
      </c>
      <c r="B19" s="12">
        <f t="shared" si="5"/>
        <v>1191</v>
      </c>
      <c r="C19" s="32">
        <f t="shared" si="4"/>
        <v>0.73900734774419463</v>
      </c>
      <c r="D19" s="28">
        <f t="shared" si="6"/>
        <v>880.15775116333577</v>
      </c>
      <c r="J19" s="27" t="s">
        <v>33</v>
      </c>
      <c r="K19" s="14">
        <f>K15/K17</f>
        <v>0.81617044514778569</v>
      </c>
    </row>
    <row r="20" spans="1:11">
      <c r="A20" s="27">
        <v>7</v>
      </c>
      <c r="B20" s="12">
        <f t="shared" si="5"/>
        <v>1191</v>
      </c>
      <c r="C20" s="32">
        <f t="shared" si="4"/>
        <v>0.70267885114024398</v>
      </c>
      <c r="D20" s="28">
        <f t="shared" si="6"/>
        <v>836.89051170803054</v>
      </c>
      <c r="J20" s="27" t="s">
        <v>22</v>
      </c>
      <c r="K20" s="14">
        <f>K9</f>
        <v>0.10309777360856323</v>
      </c>
    </row>
    <row r="21" spans="1:11">
      <c r="A21" s="27">
        <v>8</v>
      </c>
      <c r="B21" s="12">
        <f t="shared" si="5"/>
        <v>1191</v>
      </c>
      <c r="C21" s="32">
        <f t="shared" si="4"/>
        <v>0.66813620912831029</v>
      </c>
      <c r="D21" s="28">
        <f t="shared" si="6"/>
        <v>795.75022507181757</v>
      </c>
      <c r="J21" s="27" t="s">
        <v>24</v>
      </c>
      <c r="K21" s="14">
        <f>C11</f>
        <v>5.1700000000000003E-2</v>
      </c>
    </row>
    <row r="22" spans="1:11" ht="14.65" thickBot="1">
      <c r="A22" s="27">
        <v>9</v>
      </c>
      <c r="B22" s="12">
        <f t="shared" si="5"/>
        <v>1191</v>
      </c>
      <c r="C22" s="32">
        <f t="shared" si="4"/>
        <v>0.63529163176600767</v>
      </c>
      <c r="D22" s="28">
        <f t="shared" si="6"/>
        <v>756.63233343331513</v>
      </c>
      <c r="J22" s="27" t="s">
        <v>34</v>
      </c>
      <c r="K22" s="14">
        <f>G5</f>
        <v>0.25838594506612411</v>
      </c>
    </row>
    <row r="23" spans="1:11" ht="14.65" thickBot="1">
      <c r="A23" s="27">
        <v>10</v>
      </c>
      <c r="B23" s="12">
        <f t="shared" si="5"/>
        <v>1191</v>
      </c>
      <c r="C23" s="32">
        <f t="shared" si="4"/>
        <v>0.60406164473329615</v>
      </c>
      <c r="D23" s="28">
        <f t="shared" si="6"/>
        <v>719.43741887735575</v>
      </c>
      <c r="J23" s="1" t="s">
        <v>35</v>
      </c>
      <c r="K23" s="21">
        <f>K18*K21*(1-K22)+K19*K20</f>
        <v>9.119364684808276E-2</v>
      </c>
    </row>
    <row r="24" spans="1:11">
      <c r="A24" s="27">
        <v>11</v>
      </c>
      <c r="B24" s="12">
        <f t="shared" si="5"/>
        <v>1191</v>
      </c>
      <c r="C24" s="32">
        <f t="shared" si="4"/>
        <v>0.57436687718293833</v>
      </c>
      <c r="D24" s="28">
        <f t="shared" si="6"/>
        <v>684.07095072487959</v>
      </c>
      <c r="J24" s="20"/>
    </row>
    <row r="25" spans="1:11">
      <c r="A25" s="27">
        <v>12</v>
      </c>
      <c r="B25" s="12">
        <f t="shared" si="5"/>
        <v>1191</v>
      </c>
      <c r="C25" s="32">
        <f t="shared" si="4"/>
        <v>0.54613186001990899</v>
      </c>
      <c r="D25" s="28">
        <f t="shared" si="6"/>
        <v>650.44304528371163</v>
      </c>
      <c r="J25" s="20"/>
    </row>
    <row r="26" spans="1:11" ht="14.65" thickBot="1">
      <c r="A26" s="33">
        <v>13</v>
      </c>
      <c r="B26" s="23">
        <f>$B$8+$B$14</f>
        <v>14803</v>
      </c>
      <c r="C26" s="34">
        <f t="shared" si="4"/>
        <v>0.51928483409708937</v>
      </c>
      <c r="D26" s="35">
        <f t="shared" si="6"/>
        <v>7686.9733991392141</v>
      </c>
      <c r="J26" s="20"/>
    </row>
    <row r="27" spans="1:11" ht="14.65" thickBot="1">
      <c r="B27" s="20"/>
      <c r="D27" s="36">
        <f>SUM(D14:D26)</f>
        <v>18142.620492297588</v>
      </c>
      <c r="J27" s="20"/>
    </row>
    <row r="28" spans="1:11">
      <c r="J28" s="20"/>
    </row>
    <row r="29" spans="1:11">
      <c r="J2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3D86-9B86-434F-A236-7C980CC83713}">
  <dimension ref="A1:K13"/>
  <sheetViews>
    <sheetView tabSelected="1" workbookViewId="0">
      <selection activeCell="E26" sqref="E26"/>
    </sheetView>
  </sheetViews>
  <sheetFormatPr defaultRowHeight="14.25"/>
  <cols>
    <col min="1" max="1" width="5" customWidth="1"/>
    <col min="2" max="2" width="4.7109375" bestFit="1" customWidth="1"/>
    <col min="3" max="3" width="12.28515625" bestFit="1" customWidth="1"/>
    <col min="4" max="4" width="13.28515625" bestFit="1" customWidth="1"/>
    <col min="5" max="5" width="11.28515625" bestFit="1" customWidth="1"/>
    <col min="6" max="6" width="9.28515625" bestFit="1" customWidth="1"/>
    <col min="9" max="9" width="11.5703125" bestFit="1" customWidth="1"/>
    <col min="10" max="10" width="11.42578125" bestFit="1" customWidth="1"/>
    <col min="11" max="11" width="13.5703125" bestFit="1" customWidth="1"/>
  </cols>
  <sheetData>
    <row r="1" spans="1:11">
      <c r="A1" s="6"/>
      <c r="B1" s="3" t="s">
        <v>36</v>
      </c>
      <c r="C1" s="3" t="s">
        <v>37</v>
      </c>
      <c r="D1" s="3" t="s">
        <v>38</v>
      </c>
      <c r="E1" s="3" t="s">
        <v>39</v>
      </c>
      <c r="F1" s="4" t="s">
        <v>40</v>
      </c>
      <c r="I1" s="1" t="s">
        <v>41</v>
      </c>
      <c r="J1" s="2" t="s">
        <v>42</v>
      </c>
      <c r="K1" s="5" t="s">
        <v>43</v>
      </c>
    </row>
    <row r="2" spans="1:11">
      <c r="A2" s="109">
        <v>0</v>
      </c>
      <c r="B2" s="110">
        <v>2024</v>
      </c>
      <c r="C2" s="111">
        <v>1085</v>
      </c>
      <c r="D2" s="112">
        <v>1</v>
      </c>
      <c r="E2" s="113">
        <f>C2*D2</f>
        <v>1085</v>
      </c>
      <c r="F2" s="114">
        <v>0</v>
      </c>
      <c r="I2" s="107">
        <f>C2</f>
        <v>1085</v>
      </c>
      <c r="J2" s="17">
        <f>F13</f>
        <v>1708.5000000000002</v>
      </c>
      <c r="K2" s="108">
        <f>I2-J2</f>
        <v>-623.50000000000023</v>
      </c>
    </row>
    <row r="3" spans="1:11">
      <c r="A3" s="115">
        <v>-1</v>
      </c>
      <c r="B3" s="116">
        <v>2023</v>
      </c>
      <c r="C3" s="117">
        <v>1154</v>
      </c>
      <c r="D3" s="13">
        <v>0.9</v>
      </c>
      <c r="E3" s="12">
        <f>C3*D3</f>
        <v>1038.6000000000001</v>
      </c>
      <c r="F3" s="118">
        <f>C3/10</f>
        <v>115.4</v>
      </c>
    </row>
    <row r="4" spans="1:11">
      <c r="A4" s="115">
        <v>-2</v>
      </c>
      <c r="B4" s="116">
        <v>2022</v>
      </c>
      <c r="C4" s="117">
        <v>1160</v>
      </c>
      <c r="D4" s="13">
        <v>0.8</v>
      </c>
      <c r="E4" s="12">
        <f t="shared" ref="E4:E6" si="0">C4*D4</f>
        <v>928</v>
      </c>
      <c r="F4" s="118">
        <f>C4/10</f>
        <v>116</v>
      </c>
    </row>
    <row r="5" spans="1:11">
      <c r="A5" s="115">
        <v>-3</v>
      </c>
      <c r="B5" s="116">
        <v>2021</v>
      </c>
      <c r="C5" s="117">
        <v>1994</v>
      </c>
      <c r="D5" s="13">
        <v>0.7</v>
      </c>
      <c r="E5" s="12">
        <f t="shared" si="0"/>
        <v>1395.8</v>
      </c>
      <c r="F5" s="118">
        <f t="shared" ref="F5:F12" si="1">C5/10</f>
        <v>199.4</v>
      </c>
    </row>
    <row r="6" spans="1:11">
      <c r="A6" s="115">
        <v>-4</v>
      </c>
      <c r="B6" s="116">
        <v>2020</v>
      </c>
      <c r="C6" s="117">
        <v>1878</v>
      </c>
      <c r="D6" s="13">
        <v>0.6</v>
      </c>
      <c r="E6" s="12">
        <f t="shared" si="0"/>
        <v>1126.8</v>
      </c>
      <c r="F6" s="118">
        <f t="shared" si="1"/>
        <v>187.8</v>
      </c>
    </row>
    <row r="7" spans="1:11">
      <c r="A7" s="115">
        <v>-5</v>
      </c>
      <c r="B7" s="116">
        <v>2019</v>
      </c>
      <c r="C7" s="117">
        <v>1911</v>
      </c>
      <c r="D7" s="13">
        <v>0.5</v>
      </c>
      <c r="E7" s="12">
        <f t="shared" ref="E7:E12" si="2">C7*D7</f>
        <v>955.5</v>
      </c>
      <c r="F7" s="118">
        <f t="shared" si="1"/>
        <v>191.1</v>
      </c>
    </row>
    <row r="8" spans="1:11">
      <c r="A8" s="115">
        <v>-6</v>
      </c>
      <c r="B8" s="116">
        <v>2018</v>
      </c>
      <c r="C8" s="117">
        <v>1821</v>
      </c>
      <c r="D8" s="13">
        <v>0.4</v>
      </c>
      <c r="E8" s="12">
        <f t="shared" si="2"/>
        <v>728.40000000000009</v>
      </c>
      <c r="F8" s="118">
        <f t="shared" si="1"/>
        <v>182.1</v>
      </c>
    </row>
    <row r="9" spans="1:11">
      <c r="A9" s="115">
        <v>-7</v>
      </c>
      <c r="B9" s="116">
        <v>2017</v>
      </c>
      <c r="C9" s="117">
        <v>1870</v>
      </c>
      <c r="D9" s="13">
        <v>0.3</v>
      </c>
      <c r="E9" s="12">
        <f t="shared" si="2"/>
        <v>561</v>
      </c>
      <c r="F9" s="118">
        <f t="shared" si="1"/>
        <v>187</v>
      </c>
      <c r="I9" s="105"/>
    </row>
    <row r="10" spans="1:11">
      <c r="A10" s="115">
        <v>-8</v>
      </c>
      <c r="B10" s="116">
        <v>2016</v>
      </c>
      <c r="C10" s="117">
        <v>1764</v>
      </c>
      <c r="D10" s="13">
        <v>0.2</v>
      </c>
      <c r="E10" s="12">
        <f t="shared" si="2"/>
        <v>352.8</v>
      </c>
      <c r="F10" s="118">
        <f t="shared" si="1"/>
        <v>176.4</v>
      </c>
      <c r="I10" s="105"/>
    </row>
    <row r="11" spans="1:11">
      <c r="A11" s="115">
        <v>-9</v>
      </c>
      <c r="B11" s="116">
        <v>2015</v>
      </c>
      <c r="C11" s="117">
        <v>1763</v>
      </c>
      <c r="D11" s="13">
        <v>0.1</v>
      </c>
      <c r="E11" s="12">
        <f t="shared" si="2"/>
        <v>176.3</v>
      </c>
      <c r="F11" s="118">
        <f t="shared" si="1"/>
        <v>176.3</v>
      </c>
      <c r="I11" s="105"/>
    </row>
    <row r="12" spans="1:11">
      <c r="A12" s="119">
        <v>-10</v>
      </c>
      <c r="B12" s="120">
        <v>2014</v>
      </c>
      <c r="C12" s="121">
        <v>1770</v>
      </c>
      <c r="D12" s="122">
        <v>0</v>
      </c>
      <c r="E12" s="123">
        <f t="shared" si="2"/>
        <v>0</v>
      </c>
      <c r="F12" s="124">
        <f t="shared" si="1"/>
        <v>177</v>
      </c>
      <c r="I12" s="105"/>
    </row>
    <row r="13" spans="1:11">
      <c r="E13" s="22">
        <f>SUM(E2:E12)</f>
        <v>8348.2000000000007</v>
      </c>
      <c r="F13" s="35">
        <f>SUM(F3:F12)</f>
        <v>1708.5000000000002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3FF3-C082-42DF-88BD-6BC5C9E9E463}">
  <dimension ref="A1:B9"/>
  <sheetViews>
    <sheetView workbookViewId="0">
      <selection activeCell="B4" sqref="B4"/>
    </sheetView>
  </sheetViews>
  <sheetFormatPr defaultRowHeight="14.25"/>
  <cols>
    <col min="1" max="1" width="37.85546875" bestFit="1" customWidth="1"/>
    <col min="2" max="2" width="9.7109375" bestFit="1" customWidth="1"/>
  </cols>
  <sheetData>
    <row r="1" spans="1:2" ht="14.65" thickBot="1">
      <c r="A1" s="1" t="s">
        <v>6</v>
      </c>
      <c r="B1" s="5" t="s">
        <v>7</v>
      </c>
    </row>
    <row r="2" spans="1:2">
      <c r="A2" s="11" t="s">
        <v>44</v>
      </c>
      <c r="B2" s="28">
        <f>WACC!B5</f>
        <v>24575</v>
      </c>
    </row>
    <row r="3" spans="1:2">
      <c r="A3" s="11" t="s">
        <v>45</v>
      </c>
      <c r="B3" s="28">
        <v>3894</v>
      </c>
    </row>
    <row r="4" spans="1:2">
      <c r="A4" s="11" t="s">
        <v>46</v>
      </c>
      <c r="B4" s="28">
        <f>'R&amp;D'!E13</f>
        <v>8348.2000000000007</v>
      </c>
    </row>
    <row r="5" spans="1:2">
      <c r="A5" s="11" t="s">
        <v>47</v>
      </c>
      <c r="B5" s="28">
        <f>SUM(B3:B4)</f>
        <v>12242.2</v>
      </c>
    </row>
    <row r="6" spans="1:2">
      <c r="A6" s="11" t="s">
        <v>48</v>
      </c>
      <c r="B6" s="28">
        <f>WACC!B8</f>
        <v>13612</v>
      </c>
    </row>
    <row r="7" spans="1:2">
      <c r="A7" s="11" t="s">
        <v>49</v>
      </c>
      <c r="B7" s="28">
        <v>7728</v>
      </c>
    </row>
    <row r="8" spans="1:2" ht="14.65" thickBot="1">
      <c r="A8" s="37" t="s">
        <v>50</v>
      </c>
      <c r="B8" s="35">
        <f>B5+B6-B7</f>
        <v>18126.2</v>
      </c>
    </row>
    <row r="9" spans="1:2" ht="14.65" thickBot="1">
      <c r="A9" s="38" t="s">
        <v>51</v>
      </c>
      <c r="B9" s="39">
        <f>B2/B8</f>
        <v>1.3557723074886077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BC3E-7110-4417-AF5D-1480074067CB}">
  <dimension ref="A1:J21"/>
  <sheetViews>
    <sheetView workbookViewId="0">
      <selection activeCell="G5" sqref="G5"/>
    </sheetView>
  </sheetViews>
  <sheetFormatPr defaultRowHeight="14.25"/>
  <sheetData>
    <row r="1" spans="1:10" ht="14.65" thickBot="1">
      <c r="A1" s="1" t="s">
        <v>36</v>
      </c>
      <c r="B1" s="2" t="s">
        <v>0</v>
      </c>
      <c r="C1" s="5" t="s">
        <v>52</v>
      </c>
    </row>
    <row r="2" spans="1:10">
      <c r="A2" s="27">
        <v>2024</v>
      </c>
      <c r="B2" s="106">
        <v>24575</v>
      </c>
      <c r="C2" s="14">
        <f>B2/B3-1</f>
        <v>-0.24803402588660073</v>
      </c>
    </row>
    <row r="3" spans="1:10">
      <c r="A3" s="27">
        <v>2023</v>
      </c>
      <c r="B3" s="106">
        <v>32681</v>
      </c>
      <c r="C3" s="14">
        <f t="shared" ref="C3:C11" si="0">B3/B4-1</f>
        <v>-4.5224809372169772E-2</v>
      </c>
    </row>
    <row r="4" spans="1:10">
      <c r="A4" s="27">
        <v>2022</v>
      </c>
      <c r="B4" s="106">
        <v>34229</v>
      </c>
      <c r="C4" s="14">
        <f t="shared" si="0"/>
        <v>-3.1848394852213247E-2</v>
      </c>
    </row>
    <row r="5" spans="1:10">
      <c r="A5" s="27">
        <v>2021</v>
      </c>
      <c r="B5" s="106">
        <v>35355</v>
      </c>
      <c r="C5" s="14">
        <f t="shared" si="0"/>
        <v>9.8527218493661417E-2</v>
      </c>
    </row>
    <row r="6" spans="1:10">
      <c r="A6" s="27">
        <v>2020</v>
      </c>
      <c r="B6" s="106">
        <v>32184</v>
      </c>
      <c r="C6" s="14">
        <f t="shared" si="0"/>
        <v>1.4936519790889058E-3</v>
      </c>
    </row>
    <row r="7" spans="1:10">
      <c r="A7" s="27">
        <v>2019</v>
      </c>
      <c r="B7" s="106">
        <v>32136</v>
      </c>
      <c r="C7" s="14">
        <f t="shared" si="0"/>
        <v>-1.9197314207233362E-2</v>
      </c>
    </row>
    <row r="8" spans="1:10">
      <c r="A8" s="27">
        <v>2018</v>
      </c>
      <c r="B8" s="106">
        <v>32765</v>
      </c>
      <c r="C8" s="14">
        <f t="shared" si="0"/>
        <v>3.5000157942951082E-2</v>
      </c>
      <c r="G8" s="105"/>
    </row>
    <row r="9" spans="1:10">
      <c r="A9" s="27">
        <v>2017</v>
      </c>
      <c r="B9" s="106">
        <v>31657</v>
      </c>
      <c r="C9" s="14">
        <f>B9/B10-1</f>
        <v>5.1413198711348862E-2</v>
      </c>
      <c r="G9" s="105"/>
      <c r="I9" s="105"/>
    </row>
    <row r="10" spans="1:10">
      <c r="A10" s="27">
        <v>2016</v>
      </c>
      <c r="B10" s="106">
        <v>30109</v>
      </c>
      <c r="C10" s="14">
        <f t="shared" si="0"/>
        <v>-5.4502213120168896E-3</v>
      </c>
      <c r="G10" s="105"/>
      <c r="I10" s="105"/>
    </row>
    <row r="11" spans="1:10">
      <c r="A11" s="27">
        <v>2015</v>
      </c>
      <c r="B11" s="106">
        <v>30274</v>
      </c>
      <c r="C11" s="14">
        <f t="shared" si="0"/>
        <v>-4.8615694038528057E-2</v>
      </c>
      <c r="G11" s="105"/>
      <c r="I11" s="105"/>
      <c r="J11" s="105"/>
    </row>
    <row r="12" spans="1:10" ht="14.65" thickBot="1">
      <c r="A12" s="27">
        <v>2014</v>
      </c>
      <c r="B12" s="106">
        <v>31821</v>
      </c>
      <c r="C12" s="92"/>
      <c r="G12" s="105"/>
      <c r="I12" s="105"/>
      <c r="J12" s="105"/>
    </row>
    <row r="13" spans="1:10">
      <c r="A13" s="93" t="s">
        <v>53</v>
      </c>
      <c r="B13" s="94"/>
      <c r="C13" s="9">
        <f>AVERAGE(C2:C11)</f>
        <v>-2.1193623254171179E-2</v>
      </c>
      <c r="G13" s="105"/>
      <c r="I13" s="105"/>
      <c r="J13" s="105"/>
    </row>
    <row r="14" spans="1:10" ht="14.65" thickBot="1">
      <c r="A14" s="95" t="s">
        <v>54</v>
      </c>
      <c r="B14" s="91"/>
      <c r="C14" s="24">
        <f>MEDIAN(C2:C11)</f>
        <v>-1.2323767759625126E-2</v>
      </c>
      <c r="G14" s="105"/>
      <c r="I14" s="105"/>
      <c r="J14" s="105"/>
    </row>
    <row r="15" spans="1:10">
      <c r="G15" s="105"/>
      <c r="I15" s="105"/>
      <c r="J15" s="105"/>
    </row>
    <row r="16" spans="1:10">
      <c r="G16" s="105"/>
      <c r="I16" s="105"/>
      <c r="J16" s="105"/>
    </row>
    <row r="17" spans="7:10">
      <c r="G17" s="105"/>
      <c r="I17" s="105"/>
      <c r="J17" s="105"/>
    </row>
    <row r="18" spans="7:10">
      <c r="G18" s="105"/>
      <c r="I18" s="105"/>
      <c r="J18" s="105"/>
    </row>
    <row r="19" spans="7:10">
      <c r="I19" s="105"/>
      <c r="J19" s="105"/>
    </row>
    <row r="20" spans="7:10">
      <c r="J20" s="105"/>
    </row>
    <row r="21" spans="7:10">
      <c r="J21" s="10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C3EC-A2AD-4692-ACDE-E3D5BD62C5BA}">
  <dimension ref="A1:P31"/>
  <sheetViews>
    <sheetView workbookViewId="0">
      <selection activeCell="B6" sqref="B6"/>
    </sheetView>
  </sheetViews>
  <sheetFormatPr defaultRowHeight="14.25"/>
  <cols>
    <col min="1" max="1" width="25.42578125" bestFit="1" customWidth="1"/>
    <col min="2" max="9" width="9.7109375" bestFit="1" customWidth="1"/>
    <col min="10" max="10" width="11.28515625" customWidth="1"/>
    <col min="11" max="11" width="13.7109375" customWidth="1"/>
    <col min="12" max="12" width="12.42578125" bestFit="1" customWidth="1"/>
    <col min="13" max="13" width="13.42578125" bestFit="1" customWidth="1"/>
    <col min="15" max="15" width="28.28515625" bestFit="1" customWidth="1"/>
    <col min="16" max="16" width="10.85546875" bestFit="1" customWidth="1"/>
  </cols>
  <sheetData>
    <row r="1" spans="1:16" ht="14.65" thickBot="1">
      <c r="A1" s="40" t="s">
        <v>36</v>
      </c>
      <c r="B1" s="41">
        <v>2024</v>
      </c>
      <c r="C1" s="41">
        <v>2025</v>
      </c>
      <c r="D1" s="41">
        <v>2026</v>
      </c>
      <c r="E1" s="41">
        <v>2027</v>
      </c>
      <c r="F1" s="41">
        <v>2028</v>
      </c>
      <c r="G1" s="41">
        <v>2029</v>
      </c>
      <c r="H1" s="41">
        <v>2030</v>
      </c>
      <c r="I1" s="41">
        <v>2031</v>
      </c>
      <c r="J1" s="41">
        <v>2032</v>
      </c>
      <c r="K1" s="41">
        <v>2033</v>
      </c>
      <c r="L1" s="41">
        <v>2034</v>
      </c>
      <c r="M1" s="42">
        <v>2034</v>
      </c>
      <c r="O1" s="1" t="s">
        <v>6</v>
      </c>
      <c r="P1" s="5" t="s">
        <v>7</v>
      </c>
    </row>
    <row r="2" spans="1:16">
      <c r="A2" s="43" t="s">
        <v>25</v>
      </c>
      <c r="B2" s="44">
        <v>0</v>
      </c>
      <c r="C2" s="45">
        <v>1</v>
      </c>
      <c r="D2" s="45">
        <v>2</v>
      </c>
      <c r="E2" s="45">
        <v>3</v>
      </c>
      <c r="F2" s="45">
        <v>4</v>
      </c>
      <c r="G2" s="45">
        <v>5</v>
      </c>
      <c r="H2" s="45">
        <v>6</v>
      </c>
      <c r="I2" s="45">
        <v>7</v>
      </c>
      <c r="J2" s="45">
        <v>8</v>
      </c>
      <c r="K2" s="45">
        <v>9</v>
      </c>
      <c r="L2" s="45">
        <v>10</v>
      </c>
      <c r="M2" s="46" t="s">
        <v>55</v>
      </c>
      <c r="O2" s="27" t="s">
        <v>56</v>
      </c>
      <c r="P2" s="14">
        <f>B8/B10</f>
        <v>0.24759915481457778</v>
      </c>
    </row>
    <row r="3" spans="1:16" ht="14.65" thickBot="1">
      <c r="A3" s="47" t="s">
        <v>57</v>
      </c>
      <c r="B3" s="48"/>
      <c r="C3" s="72">
        <f>Sensitive!B3</f>
        <v>-1.2323767759625126E-2</v>
      </c>
      <c r="D3" s="72">
        <f>C3-($C$3-$M$3)/9</f>
        <v>-6.2655713418890008E-3</v>
      </c>
      <c r="E3" s="72">
        <f t="shared" ref="E3:K3" si="0">D3-($C$3-$M$3)/9</f>
        <v>-2.0737492415287551E-4</v>
      </c>
      <c r="F3" s="72">
        <f t="shared" si="0"/>
        <v>5.8508214935832498E-3</v>
      </c>
      <c r="G3" s="72">
        <f t="shared" si="0"/>
        <v>1.1909017911319375E-2</v>
      </c>
      <c r="H3" s="72">
        <f t="shared" si="0"/>
        <v>1.79672143290555E-2</v>
      </c>
      <c r="I3" s="72">
        <f t="shared" si="0"/>
        <v>2.4025410746791626E-2</v>
      </c>
      <c r="J3" s="72">
        <f t="shared" si="0"/>
        <v>3.0083607164527751E-2</v>
      </c>
      <c r="K3" s="72">
        <f t="shared" si="0"/>
        <v>3.6141803582263876E-2</v>
      </c>
      <c r="L3" s="72">
        <f>WACC!A11</f>
        <v>4.2200000000000001E-2</v>
      </c>
      <c r="M3" s="50">
        <f>$L$3</f>
        <v>4.2200000000000001E-2</v>
      </c>
      <c r="O3" s="27" t="s">
        <v>58</v>
      </c>
      <c r="P3" s="14">
        <f>M3</f>
        <v>4.2200000000000001E-2</v>
      </c>
    </row>
    <row r="4" spans="1:16" ht="14.65" thickBot="1">
      <c r="A4" s="47" t="s">
        <v>0</v>
      </c>
      <c r="B4" s="51">
        <f>WACC!B5</f>
        <v>24575</v>
      </c>
      <c r="C4" s="71">
        <f>B4*(1+C3)</f>
        <v>24272.143407307212</v>
      </c>
      <c r="D4" s="71">
        <f t="shared" ref="D4:K4" si="1">C4*(1+D3)</f>
        <v>24120.064561168168</v>
      </c>
      <c r="E4" s="71">
        <f t="shared" si="1"/>
        <v>24115.062664609231</v>
      </c>
      <c r="F4" s="71">
        <f t="shared" si="1"/>
        <v>24256.155591566436</v>
      </c>
      <c r="G4" s="71">
        <f t="shared" si="1"/>
        <v>24545.022582966147</v>
      </c>
      <c r="H4" s="71">
        <f t="shared" si="1"/>
        <v>24986.028264425808</v>
      </c>
      <c r="I4" s="71">
        <f t="shared" si="1"/>
        <v>25586.327856409582</v>
      </c>
      <c r="J4" s="71">
        <f t="shared" si="1"/>
        <v>26356.056892424622</v>
      </c>
      <c r="K4" s="71">
        <f t="shared" si="1"/>
        <v>27308.612323833604</v>
      </c>
      <c r="L4" s="71">
        <f>K4*(1+L3)</f>
        <v>28461.035763899381</v>
      </c>
      <c r="M4" s="52">
        <f>$L$4</f>
        <v>28461.035763899381</v>
      </c>
      <c r="O4" s="53" t="s">
        <v>59</v>
      </c>
      <c r="P4" s="21">
        <f>P3/P2</f>
        <v>0.170436769186885</v>
      </c>
    </row>
    <row r="5" spans="1:16" ht="14.65" thickBot="1">
      <c r="A5" s="47" t="s">
        <v>60</v>
      </c>
      <c r="B5" s="48">
        <f>Sensitive!B4</f>
        <v>0.21918616480162767</v>
      </c>
      <c r="C5" s="49">
        <f>B5-($B$5-$L$5)/10</f>
        <v>0.21685754832146489</v>
      </c>
      <c r="D5" s="49">
        <f t="shared" ref="D5:K5" si="2">C5-($B$5-$L$5)/10</f>
        <v>0.21452893184130212</v>
      </c>
      <c r="E5" s="49">
        <f t="shared" si="2"/>
        <v>0.21220031536113934</v>
      </c>
      <c r="F5" s="49">
        <f t="shared" si="2"/>
        <v>0.20987169888097656</v>
      </c>
      <c r="G5" s="49">
        <f t="shared" si="2"/>
        <v>0.20754308240081379</v>
      </c>
      <c r="H5" s="49">
        <f t="shared" si="2"/>
        <v>0.20521446592065101</v>
      </c>
      <c r="I5" s="49">
        <f t="shared" si="2"/>
        <v>0.20288584944048824</v>
      </c>
      <c r="J5" s="49">
        <f t="shared" si="2"/>
        <v>0.20055723296032546</v>
      </c>
      <c r="K5" s="49">
        <f t="shared" si="2"/>
        <v>0.19822861648016268</v>
      </c>
      <c r="L5" s="49">
        <v>0.19589999999999999</v>
      </c>
      <c r="M5" s="73">
        <f>$L$5</f>
        <v>0.19589999999999999</v>
      </c>
      <c r="O5" s="20"/>
      <c r="P5" s="20"/>
    </row>
    <row r="6" spans="1:16" ht="14.65" thickBot="1">
      <c r="A6" s="47" t="s">
        <v>61</v>
      </c>
      <c r="B6" s="51">
        <f>6010+'R&amp;D'!K2</f>
        <v>5386.5</v>
      </c>
      <c r="C6" s="71">
        <f>C4*C5</f>
        <v>5263.5975118156493</v>
      </c>
      <c r="D6" s="71">
        <f t="shared" ref="D6:L6" si="3">D4*D5</f>
        <v>5174.4516862506525</v>
      </c>
      <c r="E6" s="71">
        <f t="shared" si="3"/>
        <v>5117.2239023837164</v>
      </c>
      <c r="F6" s="71">
        <f t="shared" si="3"/>
        <v>5090.6805823233472</v>
      </c>
      <c r="G6" s="71">
        <f t="shared" si="3"/>
        <v>5094.149644466378</v>
      </c>
      <c r="H6" s="71">
        <f t="shared" si="3"/>
        <v>5127.4944457624333</v>
      </c>
      <c r="I6" s="71">
        <f t="shared" si="3"/>
        <v>5191.1038612104849</v>
      </c>
      <c r="J6" s="71">
        <f t="shared" si="3"/>
        <v>5285.8978420895965</v>
      </c>
      <c r="K6" s="71">
        <f t="shared" si="3"/>
        <v>5413.3484389466557</v>
      </c>
      <c r="L6" s="71">
        <f t="shared" si="3"/>
        <v>5575.5169061478882</v>
      </c>
      <c r="M6" s="52">
        <f>$L$6</f>
        <v>5575.5169061478882</v>
      </c>
      <c r="O6" s="1" t="s">
        <v>6</v>
      </c>
      <c r="P6" s="5" t="s">
        <v>7</v>
      </c>
    </row>
    <row r="7" spans="1:16">
      <c r="A7" s="47" t="s">
        <v>34</v>
      </c>
      <c r="B7" s="48">
        <v>0.1668</v>
      </c>
      <c r="C7" s="49">
        <f>B7-($B$7-$L$7)/10</f>
        <v>0.17595859450661241</v>
      </c>
      <c r="D7" s="49">
        <f t="shared" ref="D7:K7" si="4">C7-($B$7-$L$7)/10</f>
        <v>0.18511718901322483</v>
      </c>
      <c r="E7" s="49">
        <f t="shared" si="4"/>
        <v>0.19427578351983724</v>
      </c>
      <c r="F7" s="49">
        <f t="shared" si="4"/>
        <v>0.20343437802644965</v>
      </c>
      <c r="G7" s="49">
        <f t="shared" si="4"/>
        <v>0.21259297253306206</v>
      </c>
      <c r="H7" s="49">
        <f t="shared" si="4"/>
        <v>0.22175156703967447</v>
      </c>
      <c r="I7" s="49">
        <f t="shared" si="4"/>
        <v>0.23091016154628688</v>
      </c>
      <c r="J7" s="49">
        <f t="shared" si="4"/>
        <v>0.24006875605289929</v>
      </c>
      <c r="K7" s="49">
        <f t="shared" si="4"/>
        <v>0.2492273505595117</v>
      </c>
      <c r="L7" s="49">
        <f>WACC!$G$5</f>
        <v>0.25838594506612411</v>
      </c>
      <c r="M7" s="50">
        <f>$L$7</f>
        <v>0.25838594506612411</v>
      </c>
      <c r="O7" s="27" t="s">
        <v>61</v>
      </c>
      <c r="P7" s="28">
        <f>B6</f>
        <v>5386.5</v>
      </c>
    </row>
    <row r="8" spans="1:16" ht="14.65" thickBot="1">
      <c r="A8" s="47" t="s">
        <v>62</v>
      </c>
      <c r="B8" s="51">
        <f>B6*(1-B7)</f>
        <v>4488.0317999999997</v>
      </c>
      <c r="C8" s="71">
        <f t="shared" ref="C8:L8" si="5">C6*(1-C7)</f>
        <v>4337.4222915880655</v>
      </c>
      <c r="D8" s="71">
        <f t="shared" si="5"/>
        <v>4216.5717354071903</v>
      </c>
      <c r="E8" s="71">
        <f t="shared" si="5"/>
        <v>4123.0712193016807</v>
      </c>
      <c r="F8" s="71">
        <f t="shared" si="5"/>
        <v>4055.0611443270727</v>
      </c>
      <c r="G8" s="71">
        <f t="shared" si="5"/>
        <v>4011.1692290210294</v>
      </c>
      <c r="H8" s="71">
        <f t="shared" si="5"/>
        <v>3990.4645174273865</v>
      </c>
      <c r="I8" s="71">
        <f t="shared" si="5"/>
        <v>3992.4252300148182</v>
      </c>
      <c r="J8" s="71">
        <f t="shared" si="5"/>
        <v>4016.9189225164419</v>
      </c>
      <c r="K8" s="71">
        <f t="shared" si="5"/>
        <v>4064.1939498525121</v>
      </c>
      <c r="L8" s="71">
        <f t="shared" si="5"/>
        <v>4134.8817011207138</v>
      </c>
      <c r="M8" s="52">
        <f>$L$8</f>
        <v>4134.8817011207138</v>
      </c>
      <c r="O8" s="27" t="s">
        <v>0</v>
      </c>
      <c r="P8" s="28">
        <f>B4</f>
        <v>24575</v>
      </c>
    </row>
    <row r="9" spans="1:16" ht="14.65" thickBot="1">
      <c r="A9" s="47" t="s">
        <v>63</v>
      </c>
      <c r="B9" s="51">
        <f>Sensitive!B5</f>
        <v>1.3557723074886077</v>
      </c>
      <c r="C9" s="71">
        <f>$B$9</f>
        <v>1.3557723074886077</v>
      </c>
      <c r="D9" s="71">
        <f t="shared" ref="D9:L9" si="6">$B$9</f>
        <v>1.3557723074886077</v>
      </c>
      <c r="E9" s="71">
        <f t="shared" si="6"/>
        <v>1.3557723074886077</v>
      </c>
      <c r="F9" s="71">
        <f t="shared" si="6"/>
        <v>1.3557723074886077</v>
      </c>
      <c r="G9" s="71">
        <f t="shared" si="6"/>
        <v>1.3557723074886077</v>
      </c>
      <c r="H9" s="71">
        <f t="shared" si="6"/>
        <v>1.3557723074886077</v>
      </c>
      <c r="I9" s="71">
        <f t="shared" si="6"/>
        <v>1.3557723074886077</v>
      </c>
      <c r="J9" s="71">
        <f t="shared" si="6"/>
        <v>1.3557723074886077</v>
      </c>
      <c r="K9" s="71">
        <f t="shared" si="6"/>
        <v>1.3557723074886077</v>
      </c>
      <c r="L9" s="71">
        <f t="shared" si="6"/>
        <v>1.3557723074886077</v>
      </c>
      <c r="M9" s="52"/>
      <c r="O9" s="53" t="s">
        <v>60</v>
      </c>
      <c r="P9" s="21">
        <f>P7/P8</f>
        <v>0.21918616480162767</v>
      </c>
    </row>
    <row r="10" spans="1:16" ht="14.65" thickBot="1">
      <c r="A10" s="47" t="s">
        <v>64</v>
      </c>
      <c r="B10" s="51">
        <f>B4/B9</f>
        <v>18126.2</v>
      </c>
      <c r="C10" s="71">
        <f>C4/C9</f>
        <v>17902.816920835481</v>
      </c>
      <c r="D10" s="71">
        <f t="shared" ref="D10:L10" si="7">D4/D9</f>
        <v>17790.64554419721</v>
      </c>
      <c r="E10" s="71">
        <f t="shared" si="7"/>
        <v>17786.956210426852</v>
      </c>
      <c r="F10" s="71">
        <f t="shared" si="7"/>
        <v>17891.02451612824</v>
      </c>
      <c r="G10" s="71">
        <f t="shared" si="7"/>
        <v>18104.089047542664</v>
      </c>
      <c r="H10" s="71">
        <f t="shared" si="7"/>
        <v>18429.369095692171</v>
      </c>
      <c r="I10" s="71">
        <f t="shared" si="7"/>
        <v>18872.142258020402</v>
      </c>
      <c r="J10" s="71">
        <f t="shared" si="7"/>
        <v>19439.884372063771</v>
      </c>
      <c r="K10" s="71">
        <f t="shared" si="7"/>
        <v>20142.476854700821</v>
      </c>
      <c r="L10" s="71">
        <f t="shared" si="7"/>
        <v>20992.489377969196</v>
      </c>
      <c r="M10" s="52"/>
    </row>
    <row r="11" spans="1:16" ht="14.65" thickBot="1">
      <c r="A11" s="47" t="s">
        <v>65</v>
      </c>
      <c r="B11" s="51"/>
      <c r="C11" s="71">
        <f>(C4-B4)/C9</f>
        <v>-223.38307916451711</v>
      </c>
      <c r="D11" s="71">
        <f t="shared" ref="D11:L11" si="8">(D4-C4)/D9</f>
        <v>-112.17137663827212</v>
      </c>
      <c r="E11" s="71">
        <f t="shared" si="8"/>
        <v>-3.6893337703602826</v>
      </c>
      <c r="F11" s="71">
        <f t="shared" si="8"/>
        <v>104.06830570139073</v>
      </c>
      <c r="G11" s="71">
        <f t="shared" si="8"/>
        <v>213.06453141442282</v>
      </c>
      <c r="H11" s="71">
        <f t="shared" si="8"/>
        <v>325.28004814950589</v>
      </c>
      <c r="I11" s="71">
        <f t="shared" si="8"/>
        <v>442.77316232823131</v>
      </c>
      <c r="J11" s="71">
        <f t="shared" si="8"/>
        <v>567.74211404337007</v>
      </c>
      <c r="K11" s="71">
        <f t="shared" si="8"/>
        <v>702.59248263704956</v>
      </c>
      <c r="L11" s="71">
        <f t="shared" si="8"/>
        <v>850.0125232683738</v>
      </c>
      <c r="M11" s="52">
        <f>M8*P4</f>
        <v>704.7358781089855</v>
      </c>
      <c r="O11" s="1" t="s">
        <v>6</v>
      </c>
      <c r="P11" s="5" t="s">
        <v>7</v>
      </c>
    </row>
    <row r="12" spans="1:16" ht="14.65" thickBot="1">
      <c r="A12" s="54" t="s">
        <v>66</v>
      </c>
      <c r="B12" s="55"/>
      <c r="C12" s="56">
        <f>C8-C11</f>
        <v>4560.8053707525823</v>
      </c>
      <c r="D12" s="56">
        <f t="shared" ref="D12:L12" si="9">D8-D11</f>
        <v>4328.7431120454621</v>
      </c>
      <c r="E12" s="56">
        <f t="shared" si="9"/>
        <v>4126.7605530720411</v>
      </c>
      <c r="F12" s="56">
        <f t="shared" si="9"/>
        <v>3950.992838625682</v>
      </c>
      <c r="G12" s="56">
        <f t="shared" si="9"/>
        <v>3798.1046976066068</v>
      </c>
      <c r="H12" s="56">
        <f t="shared" si="9"/>
        <v>3665.1844692778805</v>
      </c>
      <c r="I12" s="56">
        <f t="shared" si="9"/>
        <v>3549.6520676865871</v>
      </c>
      <c r="J12" s="56">
        <f t="shared" si="9"/>
        <v>3449.176808473072</v>
      </c>
      <c r="K12" s="56">
        <f t="shared" si="9"/>
        <v>3361.6014672154624</v>
      </c>
      <c r="L12" s="56">
        <f t="shared" si="9"/>
        <v>3284.8691778523398</v>
      </c>
      <c r="M12" s="57">
        <f>M8-M11</f>
        <v>3430.1458230117282</v>
      </c>
      <c r="O12" s="11" t="s">
        <v>67</v>
      </c>
      <c r="P12" s="28">
        <f>SUM(C24:M24)</f>
        <v>54170.242487295793</v>
      </c>
    </row>
    <row r="13" spans="1:16" ht="14.65" thickBot="1">
      <c r="A13" s="5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O13" s="11" t="s">
        <v>68</v>
      </c>
      <c r="P13" s="28">
        <f>WACC!$D$27</f>
        <v>18142.620492297588</v>
      </c>
    </row>
    <row r="14" spans="1:16">
      <c r="A14" s="40" t="s">
        <v>69</v>
      </c>
      <c r="B14" s="60"/>
      <c r="C14" s="61">
        <f>WACC!$K$19</f>
        <v>0.81617044514778569</v>
      </c>
      <c r="D14" s="61">
        <f>$C$14</f>
        <v>0.81617044514778569</v>
      </c>
      <c r="E14" s="61">
        <f t="shared" ref="E14:M14" si="10">$C$14</f>
        <v>0.81617044514778569</v>
      </c>
      <c r="F14" s="61">
        <f t="shared" si="10"/>
        <v>0.81617044514778569</v>
      </c>
      <c r="G14" s="61">
        <f t="shared" si="10"/>
        <v>0.81617044514778569</v>
      </c>
      <c r="H14" s="61">
        <f t="shared" si="10"/>
        <v>0.81617044514778569</v>
      </c>
      <c r="I14" s="61">
        <f t="shared" si="10"/>
        <v>0.81617044514778569</v>
      </c>
      <c r="J14" s="61">
        <f t="shared" si="10"/>
        <v>0.81617044514778569</v>
      </c>
      <c r="K14" s="61">
        <f t="shared" si="10"/>
        <v>0.81617044514778569</v>
      </c>
      <c r="L14" s="61">
        <f t="shared" si="10"/>
        <v>0.81617044514778569</v>
      </c>
      <c r="M14" s="62">
        <f t="shared" si="10"/>
        <v>0.81617044514778569</v>
      </c>
      <c r="O14" s="11" t="s">
        <v>70</v>
      </c>
      <c r="P14" s="28">
        <f>'Sales-to-Capital'!$B$7</f>
        <v>7728</v>
      </c>
    </row>
    <row r="15" spans="1:16">
      <c r="A15" s="47" t="s">
        <v>71</v>
      </c>
      <c r="B15" s="48"/>
      <c r="C15" s="49">
        <f>WACC!$K$18</f>
        <v>0.18382955485221431</v>
      </c>
      <c r="D15" s="49">
        <f>$C$15</f>
        <v>0.18382955485221431</v>
      </c>
      <c r="E15" s="49">
        <f t="shared" ref="E15:M15" si="11">$C$15</f>
        <v>0.18382955485221431</v>
      </c>
      <c r="F15" s="49">
        <f t="shared" si="11"/>
        <v>0.18382955485221431</v>
      </c>
      <c r="G15" s="49">
        <f t="shared" si="11"/>
        <v>0.18382955485221431</v>
      </c>
      <c r="H15" s="49">
        <f t="shared" si="11"/>
        <v>0.18382955485221431</v>
      </c>
      <c r="I15" s="49">
        <f t="shared" si="11"/>
        <v>0.18382955485221431</v>
      </c>
      <c r="J15" s="49">
        <f t="shared" si="11"/>
        <v>0.18382955485221431</v>
      </c>
      <c r="K15" s="49">
        <f t="shared" si="11"/>
        <v>0.18382955485221431</v>
      </c>
      <c r="L15" s="49">
        <f t="shared" si="11"/>
        <v>0.18382955485221431</v>
      </c>
      <c r="M15" s="50">
        <f t="shared" si="11"/>
        <v>0.18382955485221431</v>
      </c>
      <c r="O15" s="11" t="s">
        <v>72</v>
      </c>
      <c r="P15" s="28">
        <f>P12-P13+P14</f>
        <v>43755.621994998204</v>
      </c>
    </row>
    <row r="16" spans="1:16">
      <c r="A16" s="47" t="s">
        <v>22</v>
      </c>
      <c r="B16" s="48"/>
      <c r="C16" s="49">
        <f>WACC!$K$20</f>
        <v>0.10309777360856323</v>
      </c>
      <c r="D16" s="49">
        <f>$C$16</f>
        <v>0.10309777360856323</v>
      </c>
      <c r="E16" s="49">
        <f t="shared" ref="E16:M16" si="12">$C$16</f>
        <v>0.10309777360856323</v>
      </c>
      <c r="F16" s="49">
        <f t="shared" si="12"/>
        <v>0.10309777360856323</v>
      </c>
      <c r="G16" s="49">
        <f t="shared" si="12"/>
        <v>0.10309777360856323</v>
      </c>
      <c r="H16" s="49">
        <f t="shared" si="12"/>
        <v>0.10309777360856323</v>
      </c>
      <c r="I16" s="49">
        <f t="shared" si="12"/>
        <v>0.10309777360856323</v>
      </c>
      <c r="J16" s="49">
        <f t="shared" si="12"/>
        <v>0.10309777360856323</v>
      </c>
      <c r="K16" s="49">
        <f t="shared" si="12"/>
        <v>0.10309777360856323</v>
      </c>
      <c r="L16" s="49">
        <f t="shared" si="12"/>
        <v>0.10309777360856323</v>
      </c>
      <c r="M16" s="50">
        <f t="shared" si="12"/>
        <v>0.10309777360856323</v>
      </c>
      <c r="O16" s="11" t="s">
        <v>73</v>
      </c>
      <c r="P16" s="28">
        <f>SUM(C24:L24)-P13+P14</f>
        <v>14503.691816478116</v>
      </c>
    </row>
    <row r="17" spans="1:16" ht="14.65" thickBot="1">
      <c r="A17" s="47" t="s">
        <v>74</v>
      </c>
      <c r="B17" s="48"/>
      <c r="C17" s="49">
        <f>WACC!$K$21</f>
        <v>5.1700000000000003E-2</v>
      </c>
      <c r="D17" s="49">
        <f>$C$17</f>
        <v>5.1700000000000003E-2</v>
      </c>
      <c r="E17" s="49">
        <f t="shared" ref="E17:M17" si="13">$C$17</f>
        <v>5.1700000000000003E-2</v>
      </c>
      <c r="F17" s="49">
        <f t="shared" si="13"/>
        <v>5.1700000000000003E-2</v>
      </c>
      <c r="G17" s="49">
        <f t="shared" si="13"/>
        <v>5.1700000000000003E-2</v>
      </c>
      <c r="H17" s="49">
        <f t="shared" si="13"/>
        <v>5.1700000000000003E-2</v>
      </c>
      <c r="I17" s="49">
        <f t="shared" si="13"/>
        <v>5.1700000000000003E-2</v>
      </c>
      <c r="J17" s="49">
        <f t="shared" si="13"/>
        <v>5.1700000000000003E-2</v>
      </c>
      <c r="K17" s="49">
        <f t="shared" si="13"/>
        <v>5.1700000000000003E-2</v>
      </c>
      <c r="L17" s="49">
        <f t="shared" si="13"/>
        <v>5.1700000000000003E-2</v>
      </c>
      <c r="M17" s="50">
        <f t="shared" si="13"/>
        <v>5.1700000000000003E-2</v>
      </c>
      <c r="O17" s="11" t="s">
        <v>75</v>
      </c>
      <c r="P17" s="59">
        <v>552</v>
      </c>
    </row>
    <row r="18" spans="1:16" ht="14.65" thickBot="1">
      <c r="A18" s="47" t="s">
        <v>76</v>
      </c>
      <c r="B18" s="48"/>
      <c r="C18" s="49">
        <f t="shared" ref="C18:M18" si="14">C7</f>
        <v>0.17595859450661241</v>
      </c>
      <c r="D18" s="49">
        <f t="shared" si="14"/>
        <v>0.18511718901322483</v>
      </c>
      <c r="E18" s="49">
        <f t="shared" si="14"/>
        <v>0.19427578351983724</v>
      </c>
      <c r="F18" s="49">
        <f t="shared" si="14"/>
        <v>0.20343437802644965</v>
      </c>
      <c r="G18" s="49">
        <f t="shared" si="14"/>
        <v>0.21259297253306206</v>
      </c>
      <c r="H18" s="49">
        <f t="shared" si="14"/>
        <v>0.22175156703967447</v>
      </c>
      <c r="I18" s="49">
        <f t="shared" si="14"/>
        <v>0.23091016154628688</v>
      </c>
      <c r="J18" s="49">
        <f t="shared" si="14"/>
        <v>0.24006875605289929</v>
      </c>
      <c r="K18" s="49">
        <f t="shared" si="14"/>
        <v>0.2492273505595117</v>
      </c>
      <c r="L18" s="49">
        <f t="shared" si="14"/>
        <v>0.25838594506612411</v>
      </c>
      <c r="M18" s="50">
        <f t="shared" si="14"/>
        <v>0.25838594506612411</v>
      </c>
      <c r="O18" s="38" t="s">
        <v>77</v>
      </c>
      <c r="P18" s="63">
        <f>P15/P17</f>
        <v>79.267431150359059</v>
      </c>
    </row>
    <row r="19" spans="1:16">
      <c r="A19" s="47" t="s">
        <v>78</v>
      </c>
      <c r="B19" s="48"/>
      <c r="C19" s="49">
        <f>C17*(1-C18)</f>
        <v>4.2602940664008139E-2</v>
      </c>
      <c r="D19" s="49">
        <f t="shared" ref="D19:M19" si="15">D17*(1-D18)</f>
        <v>4.2129441328016277E-2</v>
      </c>
      <c r="E19" s="49">
        <f t="shared" si="15"/>
        <v>4.1655941992024416E-2</v>
      </c>
      <c r="F19" s="49">
        <f t="shared" si="15"/>
        <v>4.1182442656032561E-2</v>
      </c>
      <c r="G19" s="49">
        <f t="shared" si="15"/>
        <v>4.0708943320040693E-2</v>
      </c>
      <c r="H19" s="49">
        <f t="shared" si="15"/>
        <v>4.0235443984048831E-2</v>
      </c>
      <c r="I19" s="49">
        <f>I17*(1-I18)</f>
        <v>3.976194464805697E-2</v>
      </c>
      <c r="J19" s="49">
        <f t="shared" si="15"/>
        <v>3.9288445312065108E-2</v>
      </c>
      <c r="K19" s="49">
        <f t="shared" si="15"/>
        <v>3.8814945976073247E-2</v>
      </c>
      <c r="L19" s="49">
        <f t="shared" si="15"/>
        <v>3.8341446640081385E-2</v>
      </c>
      <c r="M19" s="50">
        <f t="shared" si="15"/>
        <v>3.8341446640081385E-2</v>
      </c>
    </row>
    <row r="20" spans="1:16" ht="14.65" thickBot="1">
      <c r="A20" s="54" t="s">
        <v>35</v>
      </c>
      <c r="B20" s="64"/>
      <c r="C20" s="65">
        <f>C14*C16+C15*C19</f>
        <v>9.1977035397506596E-2</v>
      </c>
      <c r="D20" s="65">
        <f t="shared" ref="D20:M20" si="16">D14*D16+D15*D19</f>
        <v>9.1889992225348396E-2</v>
      </c>
      <c r="E20" s="65">
        <f t="shared" si="16"/>
        <v>9.1802949053190183E-2</v>
      </c>
      <c r="F20" s="65">
        <f t="shared" si="16"/>
        <v>9.1715905881031984E-2</v>
      </c>
      <c r="G20" s="65">
        <f t="shared" si="16"/>
        <v>9.1628862708873784E-2</v>
      </c>
      <c r="H20" s="65">
        <f t="shared" si="16"/>
        <v>9.1541819536715585E-2</v>
      </c>
      <c r="I20" s="65">
        <f t="shared" si="16"/>
        <v>9.1454776364557372E-2</v>
      </c>
      <c r="J20" s="65">
        <f t="shared" si="16"/>
        <v>9.1367733192399173E-2</v>
      </c>
      <c r="K20" s="65">
        <f t="shared" si="16"/>
        <v>9.1280690020240973E-2</v>
      </c>
      <c r="L20" s="65">
        <f t="shared" si="16"/>
        <v>9.119364684808276E-2</v>
      </c>
      <c r="M20" s="66">
        <f t="shared" si="16"/>
        <v>9.119364684808276E-2</v>
      </c>
    </row>
    <row r="21" spans="1:16">
      <c r="A21" s="5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</row>
    <row r="22" spans="1:16" ht="14.65" thickBot="1">
      <c r="A22" s="5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</row>
    <row r="23" spans="1:16">
      <c r="A23" s="40" t="s">
        <v>27</v>
      </c>
      <c r="B23" s="67"/>
      <c r="C23" s="67">
        <f t="shared" ref="C23:L23" si="17">1/((1+C20)^C2)</f>
        <v>0.91577017426559271</v>
      </c>
      <c r="D23" s="67">
        <f t="shared" si="17"/>
        <v>0.83876872584020779</v>
      </c>
      <c r="E23" s="67">
        <f t="shared" si="17"/>
        <v>0.76836435761182054</v>
      </c>
      <c r="F23" s="67">
        <f t="shared" si="17"/>
        <v>0.7039818276861427</v>
      </c>
      <c r="G23" s="67">
        <f t="shared" si="17"/>
        <v>0.64509689336379472</v>
      </c>
      <c r="H23" s="67">
        <f t="shared" si="17"/>
        <v>0.59123171800522578</v>
      </c>
      <c r="I23" s="67">
        <f t="shared" si="17"/>
        <v>0.54195069779871696</v>
      </c>
      <c r="J23" s="67">
        <f t="shared" si="17"/>
        <v>0.49685666949300583</v>
      </c>
      <c r="K23" s="67">
        <f t="shared" si="17"/>
        <v>0.45558746381645715</v>
      </c>
      <c r="L23" s="67">
        <f t="shared" si="17"/>
        <v>0.41781277261642741</v>
      </c>
      <c r="M23" s="68">
        <f>(1/(M20-M3))*L23</f>
        <v>8.5278969722740179</v>
      </c>
    </row>
    <row r="24" spans="1:16" ht="14.65" thickBot="1">
      <c r="A24" s="54" t="s">
        <v>79</v>
      </c>
      <c r="B24" s="56"/>
      <c r="C24" s="56">
        <f t="shared" ref="C24:L24" si="18">C12*C23</f>
        <v>4176.6495291655438</v>
      </c>
      <c r="D24" s="56">
        <f t="shared" si="18"/>
        <v>3630.8143445799483</v>
      </c>
      <c r="E24" s="56">
        <f t="shared" si="18"/>
        <v>3170.855721379</v>
      </c>
      <c r="F24" s="56">
        <f t="shared" si="18"/>
        <v>2781.4271597105685</v>
      </c>
      <c r="G24" s="56">
        <f t="shared" si="18"/>
        <v>2450.1455410964572</v>
      </c>
      <c r="H24" s="56">
        <f t="shared" si="18"/>
        <v>2166.973310577233</v>
      </c>
      <c r="I24" s="56">
        <f t="shared" si="18"/>
        <v>1923.7364150254043</v>
      </c>
      <c r="J24" s="56">
        <f t="shared" si="18"/>
        <v>1713.7465015504458</v>
      </c>
      <c r="K24" s="56">
        <f t="shared" si="18"/>
        <v>1531.5034868103737</v>
      </c>
      <c r="L24" s="56">
        <f t="shared" si="18"/>
        <v>1372.4602988807305</v>
      </c>
      <c r="M24" s="57">
        <f>M12*M23</f>
        <v>29251.930178520088</v>
      </c>
      <c r="O24" s="20"/>
      <c r="P24" s="20"/>
    </row>
    <row r="25" spans="1:16">
      <c r="O25" s="20"/>
      <c r="P25" s="20"/>
    </row>
    <row r="31" spans="1:16">
      <c r="A31" s="9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F0FD-5DC7-47BC-8A5D-11CF32C6DCCF}">
  <dimension ref="A1:P36"/>
  <sheetViews>
    <sheetView workbookViewId="0">
      <selection activeCell="H6" sqref="H6"/>
    </sheetView>
  </sheetViews>
  <sheetFormatPr defaultRowHeight="14.25"/>
  <cols>
    <col min="1" max="1" width="14.5703125" bestFit="1" customWidth="1"/>
    <col min="2" max="2" width="12.42578125" bestFit="1" customWidth="1"/>
    <col min="5" max="5" width="3" bestFit="1" customWidth="1"/>
    <col min="6" max="16" width="10.85546875" bestFit="1" customWidth="1"/>
  </cols>
  <sheetData>
    <row r="1" spans="1:16" ht="14.65" thickBot="1">
      <c r="A1" s="1" t="s">
        <v>6</v>
      </c>
      <c r="B1" s="5" t="s">
        <v>7</v>
      </c>
      <c r="C1" s="69"/>
      <c r="D1" s="69"/>
      <c r="M1" s="69"/>
      <c r="N1" s="69"/>
      <c r="O1" s="69"/>
      <c r="P1" s="69"/>
    </row>
    <row r="2" spans="1:16" ht="14.65" thickBot="1">
      <c r="A2" s="29" t="s">
        <v>18</v>
      </c>
      <c r="B2" s="31">
        <f>WACC!A8</f>
        <v>80550</v>
      </c>
      <c r="C2" s="13"/>
      <c r="D2" s="12"/>
      <c r="E2" s="6"/>
      <c r="F2" s="3"/>
      <c r="G2" s="128" t="s">
        <v>80</v>
      </c>
      <c r="H2" s="129"/>
      <c r="I2" s="129"/>
      <c r="J2" s="129"/>
      <c r="K2" s="129"/>
      <c r="L2" s="129"/>
      <c r="M2" s="129"/>
      <c r="N2" s="129"/>
      <c r="O2" s="129"/>
      <c r="P2" s="130"/>
    </row>
    <row r="3" spans="1:16" ht="14.65" thickBot="1">
      <c r="A3" s="27" t="s">
        <v>81</v>
      </c>
      <c r="B3" s="14">
        <f>Growth!C14</f>
        <v>-1.2323767759625126E-2</v>
      </c>
      <c r="C3" s="20"/>
      <c r="E3" s="74"/>
      <c r="F3" s="75">
        <f>Value!$P$15</f>
        <v>43755.621994998204</v>
      </c>
      <c r="G3" s="76">
        <v>0.05</v>
      </c>
      <c r="H3" s="76">
        <v>0.1</v>
      </c>
      <c r="I3" s="76">
        <v>0.15</v>
      </c>
      <c r="J3" s="76">
        <v>0.2</v>
      </c>
      <c r="K3" s="76">
        <v>0.25</v>
      </c>
      <c r="L3" s="76">
        <v>0.3</v>
      </c>
      <c r="M3" s="76">
        <v>0.35</v>
      </c>
      <c r="N3" s="76">
        <v>0.4</v>
      </c>
      <c r="O3" s="76">
        <v>0.45</v>
      </c>
      <c r="P3" s="21">
        <v>0.5</v>
      </c>
    </row>
    <row r="4" spans="1:16">
      <c r="A4" s="27" t="s">
        <v>60</v>
      </c>
      <c r="B4" s="14">
        <f>Value!P9</f>
        <v>0.21918616480162767</v>
      </c>
      <c r="C4" s="20"/>
      <c r="E4" s="125" t="s">
        <v>82</v>
      </c>
      <c r="F4" s="77">
        <v>0.01</v>
      </c>
      <c r="G4" s="78">
        <f t="dataTable" ref="G4:P12" dt2D="1" dtr="1" r1="B4" r2="B3"/>
        <v>35762.512734976932</v>
      </c>
      <c r="H4" s="79">
        <v>39220.285199210048</v>
      </c>
      <c r="I4" s="79">
        <v>42678.057663443178</v>
      </c>
      <c r="J4" s="79">
        <v>46135.830127676294</v>
      </c>
      <c r="K4" s="79">
        <v>49593.602591909403</v>
      </c>
      <c r="L4" s="79">
        <v>53051.375056142526</v>
      </c>
      <c r="M4" s="79">
        <v>56509.147520375642</v>
      </c>
      <c r="N4" s="79">
        <v>59966.919984608758</v>
      </c>
      <c r="O4" s="79">
        <v>63424.692448841874</v>
      </c>
      <c r="P4" s="80">
        <v>66882.464913074989</v>
      </c>
    </row>
    <row r="5" spans="1:16">
      <c r="A5" s="27" t="s">
        <v>51</v>
      </c>
      <c r="B5" s="28">
        <f>'Sales-to-Capital'!B9</f>
        <v>1.3557723074886077</v>
      </c>
      <c r="C5" s="20"/>
      <c r="E5" s="126"/>
      <c r="F5" s="81">
        <v>0.02</v>
      </c>
      <c r="G5" s="82">
        <v>37220.587660650723</v>
      </c>
      <c r="H5" s="83">
        <v>40769.437448439581</v>
      </c>
      <c r="I5" s="83">
        <v>44318.28723622844</v>
      </c>
      <c r="J5" s="83">
        <v>47867.137024017284</v>
      </c>
      <c r="K5" s="83">
        <v>51415.986811806135</v>
      </c>
      <c r="L5" s="83">
        <v>54964.836599594986</v>
      </c>
      <c r="M5" s="83">
        <v>58513.686387383845</v>
      </c>
      <c r="N5" s="83">
        <v>62062.536175172703</v>
      </c>
      <c r="O5" s="83">
        <v>65611.385962961547</v>
      </c>
      <c r="P5" s="84">
        <v>69160.235750750391</v>
      </c>
    </row>
    <row r="6" spans="1:16" ht="14.65" thickBot="1">
      <c r="A6" s="101" t="s">
        <v>21</v>
      </c>
      <c r="B6" s="102">
        <v>4.2200000000000001E-2</v>
      </c>
      <c r="C6" s="20"/>
      <c r="E6" s="126"/>
      <c r="F6" s="81">
        <v>0.03</v>
      </c>
      <c r="G6" s="82">
        <v>38739.804083751507</v>
      </c>
      <c r="H6" s="83">
        <v>42381.916279197605</v>
      </c>
      <c r="I6" s="83">
        <v>46024.02847464371</v>
      </c>
      <c r="J6" s="83">
        <v>49666.140670089808</v>
      </c>
      <c r="K6" s="83">
        <v>53308.252865535906</v>
      </c>
      <c r="L6" s="83">
        <v>56950.365060982018</v>
      </c>
      <c r="M6" s="83">
        <v>60592.477256428116</v>
      </c>
      <c r="N6" s="83">
        <v>64234.589451874213</v>
      </c>
      <c r="O6" s="83">
        <v>67876.701647320311</v>
      </c>
      <c r="P6" s="84">
        <v>71518.813842766409</v>
      </c>
    </row>
    <row r="7" spans="1:16">
      <c r="C7" s="20"/>
      <c r="E7" s="126"/>
      <c r="F7" s="81">
        <v>0.04</v>
      </c>
      <c r="G7" s="82">
        <v>40322.308207428803</v>
      </c>
      <c r="H7" s="83">
        <v>44059.91757626371</v>
      </c>
      <c r="I7" s="83">
        <v>47797.526945098623</v>
      </c>
      <c r="J7" s="83">
        <v>51535.13631393353</v>
      </c>
      <c r="K7" s="83">
        <v>55272.745682768436</v>
      </c>
      <c r="L7" s="83">
        <v>59010.355051603343</v>
      </c>
      <c r="M7" s="83">
        <v>62747.964420438249</v>
      </c>
      <c r="N7" s="83">
        <v>66485.573789273156</v>
      </c>
      <c r="O7" s="83">
        <v>70223.183158108077</v>
      </c>
      <c r="P7" s="84">
        <v>73960.792526942954</v>
      </c>
    </row>
    <row r="8" spans="1:16">
      <c r="C8" s="20"/>
      <c r="E8" s="126"/>
      <c r="F8" s="81">
        <v>0.05</v>
      </c>
      <c r="G8" s="82">
        <v>41970.307849725781</v>
      </c>
      <c r="H8" s="83">
        <v>45805.699816309585</v>
      </c>
      <c r="I8" s="83">
        <v>49641.091782893396</v>
      </c>
      <c r="J8" s="83">
        <v>53476.4837494772</v>
      </c>
      <c r="K8" s="83">
        <v>57311.875716060997</v>
      </c>
      <c r="L8" s="83">
        <v>61147.267682644815</v>
      </c>
      <c r="M8" s="83">
        <v>64982.659649228604</v>
      </c>
      <c r="N8" s="83">
        <v>68818.051615812408</v>
      </c>
      <c r="O8" s="83">
        <v>72653.443582396212</v>
      </c>
      <c r="P8" s="84">
        <v>76488.835548980001</v>
      </c>
    </row>
    <row r="9" spans="1:16">
      <c r="C9" s="20"/>
      <c r="E9" s="126"/>
      <c r="F9" s="81">
        <v>0.06</v>
      </c>
      <c r="G9" s="82">
        <v>43686.073842656682</v>
      </c>
      <c r="H9" s="83">
        <v>47621.58548252465</v>
      </c>
      <c r="I9" s="83">
        <v>51557.097122392632</v>
      </c>
      <c r="J9" s="83">
        <v>55492.608762260599</v>
      </c>
      <c r="K9" s="83">
        <v>59428.120402128567</v>
      </c>
      <c r="L9" s="83">
        <v>63363.632041996534</v>
      </c>
      <c r="M9" s="83">
        <v>67299.143681864516</v>
      </c>
      <c r="N9" s="83">
        <v>71234.655321732469</v>
      </c>
      <c r="O9" s="83">
        <v>75170.166961600436</v>
      </c>
      <c r="P9" s="84">
        <v>79105.678601468404</v>
      </c>
    </row>
    <row r="10" spans="1:16">
      <c r="A10" s="20"/>
      <c r="B10" s="20"/>
      <c r="C10" s="20"/>
      <c r="E10" s="126"/>
      <c r="F10" s="81">
        <v>7.0000000000000007E-2</v>
      </c>
      <c r="G10" s="82">
        <v>45471.941455239838</v>
      </c>
      <c r="H10" s="83">
        <v>49509.962503383897</v>
      </c>
      <c r="I10" s="83">
        <v>53547.983551527956</v>
      </c>
      <c r="J10" s="83">
        <v>57586.004599672</v>
      </c>
      <c r="K10" s="83">
        <v>61624.025647816059</v>
      </c>
      <c r="L10" s="83">
        <v>65662.046695960118</v>
      </c>
      <c r="M10" s="83">
        <v>69700.067744104163</v>
      </c>
      <c r="N10" s="83">
        <v>73738.088792248222</v>
      </c>
      <c r="O10" s="83">
        <v>77776.109840392266</v>
      </c>
      <c r="P10" s="84">
        <v>81814.130888536311</v>
      </c>
    </row>
    <row r="11" spans="1:16">
      <c r="A11" s="20"/>
      <c r="B11" s="20"/>
      <c r="C11" s="20"/>
      <c r="E11" s="126"/>
      <c r="F11" s="81">
        <v>0.08</v>
      </c>
      <c r="G11" s="82">
        <v>47330.311840773422</v>
      </c>
      <c r="H11" s="83">
        <v>51473.285715846599</v>
      </c>
      <c r="I11" s="83">
        <v>55616.259590919784</v>
      </c>
      <c r="J11" s="83">
        <v>59759.233465992962</v>
      </c>
      <c r="K11" s="83">
        <v>63902.20734106614</v>
      </c>
      <c r="L11" s="83">
        <v>68045.181216139332</v>
      </c>
      <c r="M11" s="83">
        <v>72188.155091212495</v>
      </c>
      <c r="N11" s="83">
        <v>76331.128966285658</v>
      </c>
      <c r="O11" s="83">
        <v>80474.10284135885</v>
      </c>
      <c r="P11" s="84">
        <v>84617.076716432013</v>
      </c>
    </row>
    <row r="12" spans="1:16" ht="14.65" thickBot="1">
      <c r="A12" s="20"/>
      <c r="B12" s="20"/>
      <c r="C12" s="20"/>
      <c r="E12" s="127"/>
      <c r="F12" s="85">
        <v>0.09</v>
      </c>
      <c r="G12" s="86">
        <v>49263.653508643933</v>
      </c>
      <c r="H12" s="87">
        <v>53514.078353277626</v>
      </c>
      <c r="I12" s="87">
        <v>57764.503197911326</v>
      </c>
      <c r="J12" s="87">
        <v>62014.928042545027</v>
      </c>
      <c r="K12" s="87">
        <v>66265.352887178698</v>
      </c>
      <c r="L12" s="87">
        <v>70515.777731812399</v>
      </c>
      <c r="M12" s="87">
        <v>74766.2025764461</v>
      </c>
      <c r="N12" s="87">
        <v>79016.627421079786</v>
      </c>
      <c r="O12" s="87">
        <v>83267.052265713486</v>
      </c>
      <c r="P12" s="88">
        <v>87517.477110347172</v>
      </c>
    </row>
    <row r="13" spans="1:16" ht="14.65" thickBot="1">
      <c r="A13" s="20"/>
      <c r="B13" s="20"/>
      <c r="C13" s="20"/>
    </row>
    <row r="14" spans="1:16" ht="14.65" thickBot="1">
      <c r="A14" s="20"/>
      <c r="B14" s="20"/>
      <c r="C14" s="20"/>
      <c r="E14" s="6"/>
      <c r="F14" s="3"/>
      <c r="G14" s="128" t="s">
        <v>51</v>
      </c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ht="14.65" thickBot="1">
      <c r="A15" s="69"/>
      <c r="B15" s="20"/>
      <c r="C15" s="20"/>
      <c r="E15" s="74"/>
      <c r="F15" s="75">
        <f>Value!$P$15</f>
        <v>43755.621994998204</v>
      </c>
      <c r="G15" s="89">
        <v>0.5</v>
      </c>
      <c r="H15" s="89">
        <v>1</v>
      </c>
      <c r="I15" s="89">
        <v>1.5</v>
      </c>
      <c r="J15" s="89">
        <v>2</v>
      </c>
      <c r="K15" s="89">
        <v>2.5</v>
      </c>
      <c r="L15" s="89">
        <v>3</v>
      </c>
      <c r="M15" s="89">
        <v>3.5</v>
      </c>
      <c r="N15" s="89">
        <v>4</v>
      </c>
      <c r="O15" s="89">
        <v>4.5</v>
      </c>
      <c r="P15" s="63">
        <v>5</v>
      </c>
    </row>
    <row r="16" spans="1:16">
      <c r="A16" s="90"/>
      <c r="B16" s="20"/>
      <c r="C16" s="20"/>
      <c r="E16" s="125" t="s">
        <v>82</v>
      </c>
      <c r="F16" s="77">
        <v>0.01</v>
      </c>
      <c r="G16" s="78">
        <f t="dataTable" ref="G16:P24" dt2D="1" dtr="1" r1="B5" r2="B3" ca="1"/>
        <v>30824.699853240832</v>
      </c>
      <c r="H16" s="79">
        <v>44004.188530706822</v>
      </c>
      <c r="I16" s="79">
        <v>48397.35142319549</v>
      </c>
      <c r="J16" s="79">
        <v>50593.932869439821</v>
      </c>
      <c r="K16" s="79">
        <v>51911.881737186428</v>
      </c>
      <c r="L16" s="79">
        <v>52790.514315684151</v>
      </c>
      <c r="M16" s="79">
        <v>53418.109014611109</v>
      </c>
      <c r="N16" s="79">
        <v>53888.805038806328</v>
      </c>
      <c r="O16" s="79">
        <v>54254.90194651371</v>
      </c>
      <c r="P16" s="80">
        <v>54547.779472679627</v>
      </c>
    </row>
    <row r="17" spans="1:16">
      <c r="A17" s="90"/>
      <c r="B17" s="20"/>
      <c r="C17" s="20"/>
      <c r="E17" s="126"/>
      <c r="F17" s="81">
        <v>0.02</v>
      </c>
      <c r="G17" s="82">
        <v>30622.302270650209</v>
      </c>
      <c r="H17" s="83">
        <v>45361.227468815639</v>
      </c>
      <c r="I17" s="83">
        <v>50274.202534870776</v>
      </c>
      <c r="J17" s="83">
        <v>52730.690067898344</v>
      </c>
      <c r="K17" s="83">
        <v>54204.582587714889</v>
      </c>
      <c r="L17" s="83">
        <v>55187.177600925919</v>
      </c>
      <c r="M17" s="83">
        <v>55889.031181790939</v>
      </c>
      <c r="N17" s="83">
        <v>56415.421367439703</v>
      </c>
      <c r="O17" s="83">
        <v>56824.835956277631</v>
      </c>
      <c r="P17" s="84">
        <v>57152.36762734798</v>
      </c>
    </row>
    <row r="18" spans="1:16">
      <c r="A18" s="90"/>
      <c r="B18" s="20"/>
      <c r="C18" s="20"/>
      <c r="E18" s="126"/>
      <c r="F18" s="81">
        <v>0.03</v>
      </c>
      <c r="G18" s="82">
        <v>30411.128723853166</v>
      </c>
      <c r="H18" s="83">
        <v>46770.731241334004</v>
      </c>
      <c r="I18" s="83">
        <v>52223.932080494284</v>
      </c>
      <c r="J18" s="83">
        <v>54950.532500074434</v>
      </c>
      <c r="K18" s="83">
        <v>56586.492751822516</v>
      </c>
      <c r="L18" s="83">
        <v>57677.132919654556</v>
      </c>
      <c r="M18" s="83">
        <v>58456.161610963172</v>
      </c>
      <c r="N18" s="83">
        <v>59040.433129444646</v>
      </c>
      <c r="O18" s="83">
        <v>59494.86653270798</v>
      </c>
      <c r="P18" s="84">
        <v>59858.413255318679</v>
      </c>
    </row>
    <row r="19" spans="1:16">
      <c r="A19" s="90"/>
      <c r="B19" s="20"/>
      <c r="C19" s="20"/>
      <c r="E19" s="126"/>
      <c r="F19" s="81">
        <v>0.04</v>
      </c>
      <c r="G19" s="82">
        <v>30190.868010945371</v>
      </c>
      <c r="H19" s="83">
        <v>48234.468404644627</v>
      </c>
      <c r="I19" s="83">
        <v>54249.001869211039</v>
      </c>
      <c r="J19" s="83">
        <v>57256.268601494245</v>
      </c>
      <c r="K19" s="83">
        <v>59060.628640864175</v>
      </c>
      <c r="L19" s="83">
        <v>60263.535333777458</v>
      </c>
      <c r="M19" s="83">
        <v>61122.754400144084</v>
      </c>
      <c r="N19" s="83">
        <v>61767.168699919057</v>
      </c>
      <c r="O19" s="83">
        <v>62268.379821966257</v>
      </c>
      <c r="P19" s="84">
        <v>62669.348719604037</v>
      </c>
    </row>
    <row r="20" spans="1:16">
      <c r="A20" s="20"/>
      <c r="B20" s="20"/>
      <c r="C20" s="20"/>
      <c r="E20" s="126"/>
      <c r="F20" s="81">
        <v>0.05</v>
      </c>
      <c r="G20" s="82">
        <v>29961.199974108669</v>
      </c>
      <c r="H20" s="83">
        <v>49754.257079446077</v>
      </c>
      <c r="I20" s="83">
        <v>56351.942781225211</v>
      </c>
      <c r="J20" s="83">
        <v>59650.78563211477</v>
      </c>
      <c r="K20" s="83">
        <v>61630.091342648506</v>
      </c>
      <c r="L20" s="83">
        <v>62949.628483004344</v>
      </c>
      <c r="M20" s="83">
        <v>63892.155011829935</v>
      </c>
      <c r="N20" s="83">
        <v>64599.049908449131</v>
      </c>
      <c r="O20" s="83">
        <v>65148.85705026405</v>
      </c>
      <c r="P20" s="84">
        <v>65588.702763715992</v>
      </c>
    </row>
    <row r="21" spans="1:16">
      <c r="A21" s="20"/>
      <c r="B21" s="20"/>
      <c r="C21" s="20"/>
      <c r="E21" s="126"/>
      <c r="F21" s="81">
        <v>0.06</v>
      </c>
      <c r="G21" s="82">
        <v>29721.795296451492</v>
      </c>
      <c r="H21" s="83">
        <v>51331.966058453996</v>
      </c>
      <c r="I21" s="83">
        <v>58535.356312454838</v>
      </c>
      <c r="J21" s="83">
        <v>62137.051439455259</v>
      </c>
      <c r="K21" s="83">
        <v>64298.068515655512</v>
      </c>
      <c r="L21" s="83">
        <v>65738.74656645568</v>
      </c>
      <c r="M21" s="83">
        <v>66767.802317027221</v>
      </c>
      <c r="N21" s="83">
        <v>67539.594129955876</v>
      </c>
      <c r="O21" s="83">
        <v>68139.876651122628</v>
      </c>
      <c r="P21" s="84">
        <v>68620.102668056017</v>
      </c>
    </row>
    <row r="22" spans="1:16">
      <c r="A22" s="20"/>
      <c r="B22" s="20"/>
      <c r="C22" s="20"/>
      <c r="E22" s="126"/>
      <c r="F22" s="81">
        <v>7.0000000000000007E-2</v>
      </c>
      <c r="G22" s="82">
        <v>29472.315295380518</v>
      </c>
      <c r="H22" s="83">
        <v>52969.515932857597</v>
      </c>
      <c r="I22" s="83">
        <v>60801.916145349955</v>
      </c>
      <c r="J22" s="83">
        <v>64718.116251596119</v>
      </c>
      <c r="K22" s="83">
        <v>67067.83631534384</v>
      </c>
      <c r="L22" s="83">
        <v>68634.316357842312</v>
      </c>
      <c r="M22" s="83">
        <v>69753.230673912636</v>
      </c>
      <c r="N22" s="83">
        <v>70592.416410965394</v>
      </c>
      <c r="O22" s="83">
        <v>71245.116428673093</v>
      </c>
      <c r="P22" s="84">
        <v>71767.276442839255</v>
      </c>
    </row>
    <row r="23" spans="1:16">
      <c r="A23" s="20"/>
      <c r="B23" s="20"/>
      <c r="C23" s="20"/>
      <c r="E23" s="126"/>
      <c r="F23" s="81">
        <v>0.08</v>
      </c>
      <c r="G23" s="82">
        <v>29212.411712462141</v>
      </c>
      <c r="H23" s="83">
        <v>54668.880237754325</v>
      </c>
      <c r="I23" s="83">
        <v>63154.369746185053</v>
      </c>
      <c r="J23" s="83">
        <v>67397.114500400421</v>
      </c>
      <c r="K23" s="83">
        <v>69942.76135292965</v>
      </c>
      <c r="L23" s="83">
        <v>71639.859254615774</v>
      </c>
      <c r="M23" s="83">
        <v>72852.072041534455</v>
      </c>
      <c r="N23" s="83">
        <v>73761.231631723465</v>
      </c>
      <c r="O23" s="83">
        <v>74468.355757426034</v>
      </c>
      <c r="P23" s="84">
        <v>75034.05505798808</v>
      </c>
    </row>
    <row r="24" spans="1:16" ht="14.65" thickBot="1">
      <c r="A24" s="20"/>
      <c r="B24" s="20"/>
      <c r="C24" s="20"/>
      <c r="E24" s="127"/>
      <c r="F24" s="85">
        <v>0.09</v>
      </c>
      <c r="G24" s="86">
        <v>28941.726499731951</v>
      </c>
      <c r="H24" s="87">
        <v>56432.086616788103</v>
      </c>
      <c r="I24" s="87">
        <v>65595.539989140161</v>
      </c>
      <c r="J24" s="87">
        <v>70177.266675316176</v>
      </c>
      <c r="K24" s="87">
        <v>72926.302687021787</v>
      </c>
      <c r="L24" s="87">
        <v>74758.993361492205</v>
      </c>
      <c r="M24" s="87">
        <v>76068.058128971068</v>
      </c>
      <c r="N24" s="87">
        <v>77049.856704580219</v>
      </c>
      <c r="O24" s="87">
        <v>77813.477818942876</v>
      </c>
      <c r="P24" s="88">
        <v>78424.374710433025</v>
      </c>
    </row>
    <row r="25" spans="1:16" ht="14.65" thickBot="1"/>
    <row r="26" spans="1:16" ht="14.65" thickBot="1">
      <c r="E26" s="6"/>
      <c r="F26" s="3"/>
      <c r="G26" s="128" t="s">
        <v>83</v>
      </c>
      <c r="H26" s="129"/>
      <c r="I26" s="129"/>
      <c r="J26" s="129"/>
      <c r="K26" s="129"/>
      <c r="L26" s="129"/>
      <c r="M26" s="129"/>
      <c r="N26" s="129"/>
      <c r="O26" s="129"/>
      <c r="P26" s="130"/>
    </row>
    <row r="27" spans="1:16" ht="14.65" thickBot="1">
      <c r="E27" s="74"/>
      <c r="F27" s="75">
        <f>Value!$P$15</f>
        <v>43755.621994998204</v>
      </c>
      <c r="G27" s="99">
        <v>5.0000000000000001E-3</v>
      </c>
      <c r="H27" s="99">
        <v>0.01</v>
      </c>
      <c r="I27" s="99">
        <v>1.4999999999999999E-2</v>
      </c>
      <c r="J27" s="99">
        <v>0.02</v>
      </c>
      <c r="K27" s="99">
        <v>2.5000000000000001E-2</v>
      </c>
      <c r="L27" s="99">
        <v>0.03</v>
      </c>
      <c r="M27" s="99">
        <v>3.5000000000000003E-2</v>
      </c>
      <c r="N27" s="99">
        <v>0.04</v>
      </c>
      <c r="O27" s="99">
        <v>4.4999999999999998E-2</v>
      </c>
      <c r="P27" s="100">
        <v>0.05</v>
      </c>
    </row>
    <row r="28" spans="1:16">
      <c r="E28" s="125" t="s">
        <v>82</v>
      </c>
      <c r="F28" s="77">
        <v>0.01</v>
      </c>
      <c r="G28" s="78">
        <f t="dataTable" ref="G28:P36" dt2D="1" dtr="1" r1="B6" r2="B3" ca="1"/>
        <v>60446.29400040453</v>
      </c>
      <c r="H28" s="79">
        <v>58537.1682547253</v>
      </c>
      <c r="I28" s="79">
        <v>56678.132425187228</v>
      </c>
      <c r="J28" s="79">
        <v>54870.079582284496</v>
      </c>
      <c r="K28" s="79">
        <v>53113.475752078943</v>
      </c>
      <c r="L28" s="79">
        <v>51408.424955637136</v>
      </c>
      <c r="M28" s="79">
        <v>49754.726986064976</v>
      </c>
      <c r="N28" s="79">
        <v>48151.928426263396</v>
      </c>
      <c r="O28" s="79">
        <v>46599.367438209578</v>
      </c>
      <c r="P28" s="80">
        <v>45096.212863583496</v>
      </c>
    </row>
    <row r="29" spans="1:16">
      <c r="E29" s="126"/>
      <c r="F29" s="81">
        <v>0.02</v>
      </c>
      <c r="G29" s="82">
        <v>63120.008711623341</v>
      </c>
      <c r="H29" s="83">
        <v>61071.060554674637</v>
      </c>
      <c r="I29" s="83">
        <v>59078.107076205546</v>
      </c>
      <c r="J29" s="83">
        <v>57141.845591743884</v>
      </c>
      <c r="K29" s="83">
        <v>55262.54224611682</v>
      </c>
      <c r="L29" s="83">
        <v>53440.099065465467</v>
      </c>
      <c r="M29" s="83">
        <v>51674.113470742996</v>
      </c>
      <c r="N29" s="83">
        <v>49963.93077493395</v>
      </c>
      <c r="O29" s="83">
        <v>48308.690215832365</v>
      </c>
      <c r="P29" s="84">
        <v>46707.365086124562</v>
      </c>
    </row>
    <row r="30" spans="1:16">
      <c r="E30" s="126"/>
      <c r="F30" s="81">
        <v>0.03</v>
      </c>
      <c r="G30" s="82">
        <v>65899.713906632038</v>
      </c>
      <c r="H30" s="83">
        <v>63705.124439351799</v>
      </c>
      <c r="I30" s="83">
        <v>61572.695065856242</v>
      </c>
      <c r="J30" s="83">
        <v>59502.918050498934</v>
      </c>
      <c r="K30" s="83">
        <v>57495.850237707113</v>
      </c>
      <c r="L30" s="83">
        <v>55551.182203085649</v>
      </c>
      <c r="M30" s="83">
        <v>53668.299577340644</v>
      </c>
      <c r="N30" s="83">
        <v>51846.337085328851</v>
      </c>
      <c r="O30" s="83">
        <v>50084.225874125674</v>
      </c>
      <c r="P30" s="84">
        <v>48380.734714831218</v>
      </c>
    </row>
    <row r="31" spans="1:16">
      <c r="E31" s="126"/>
      <c r="F31" s="81">
        <v>0.04</v>
      </c>
      <c r="G31" s="82">
        <v>68789.051737353322</v>
      </c>
      <c r="H31" s="83">
        <v>66442.79421277385</v>
      </c>
      <c r="I31" s="83">
        <v>64165.132652999237</v>
      </c>
      <c r="J31" s="83">
        <v>61956.344599929609</v>
      </c>
      <c r="K31" s="83">
        <v>59816.267801347276</v>
      </c>
      <c r="L31" s="83">
        <v>57744.371550725868</v>
      </c>
      <c r="M31" s="83">
        <v>55739.819898165842</v>
      </c>
      <c r="N31" s="83">
        <v>53801.527295825334</v>
      </c>
      <c r="O31" s="83">
        <v>51928.20727485844</v>
      </c>
      <c r="P31" s="84">
        <v>50118.414762643086</v>
      </c>
    </row>
    <row r="32" spans="1:16">
      <c r="E32" s="126"/>
      <c r="F32" s="81">
        <v>0.05</v>
      </c>
      <c r="G32" s="82">
        <v>71791.768246029649</v>
      </c>
      <c r="H32" s="83">
        <v>69287.601922949354</v>
      </c>
      <c r="I32" s="83">
        <v>66858.747998766092</v>
      </c>
      <c r="J32" s="83">
        <v>64505.259234087265</v>
      </c>
      <c r="K32" s="83">
        <v>62226.744094266935</v>
      </c>
      <c r="L32" s="83">
        <v>60022.440370729579</v>
      </c>
      <c r="M32" s="83">
        <v>57891.280358203781</v>
      </c>
      <c r="N32" s="83">
        <v>55831.948173332028</v>
      </c>
      <c r="O32" s="83">
        <v>53842.929835896794</v>
      </c>
      <c r="P32" s="84">
        <v>51922.556746639093</v>
      </c>
    </row>
    <row r="33" spans="5:16">
      <c r="E33" s="126"/>
      <c r="F33" s="81">
        <v>0.06</v>
      </c>
      <c r="G33" s="82">
        <v>74911.715728355746</v>
      </c>
      <c r="H33" s="83">
        <v>72243.179580116834</v>
      </c>
      <c r="I33" s="83">
        <v>69656.963247447871</v>
      </c>
      <c r="J33" s="83">
        <v>67152.884250445291</v>
      </c>
      <c r="K33" s="83">
        <v>64730.31118392662</v>
      </c>
      <c r="L33" s="83">
        <v>62388.239716365228</v>
      </c>
      <c r="M33" s="83">
        <v>60125.359815484328</v>
      </c>
      <c r="N33" s="83">
        <v>57940.114809153529</v>
      </c>
      <c r="O33" s="83">
        <v>55830.752928207941</v>
      </c>
      <c r="P33" s="84">
        <v>53795.371991534972</v>
      </c>
    </row>
    <row r="34" spans="5:16">
      <c r="E34" s="126"/>
      <c r="F34" s="81">
        <v>7.0000000000000007E-2</v>
      </c>
      <c r="G34" s="82">
        <v>78152.855137364852</v>
      </c>
      <c r="H34" s="83">
        <v>75313.261413144559</v>
      </c>
      <c r="I34" s="83">
        <v>72563.29664309544</v>
      </c>
      <c r="J34" s="83">
        <v>69902.532234047831</v>
      </c>
      <c r="K34" s="83">
        <v>67330.085906728724</v>
      </c>
      <c r="L34" s="83">
        <v>64844.700171783734</v>
      </c>
      <c r="M34" s="83">
        <v>62444.811688649141</v>
      </c>
      <c r="N34" s="83">
        <v>60128.612140217694</v>
      </c>
      <c r="O34" s="83">
        <v>57894.101296493005</v>
      </c>
      <c r="P34" s="84">
        <v>55739.132955174493</v>
      </c>
    </row>
    <row r="35" spans="5:16">
      <c r="E35" s="126"/>
      <c r="F35" s="81">
        <v>0.08</v>
      </c>
      <c r="G35" s="82">
        <v>81519.258528563369</v>
      </c>
      <c r="H35" s="83">
        <v>78501.686164554892</v>
      </c>
      <c r="I35" s="83">
        <v>75581.364682262691</v>
      </c>
      <c r="J35" s="83">
        <v>72757.608075457581</v>
      </c>
      <c r="K35" s="83">
        <v>70029.271758314222</v>
      </c>
      <c r="L35" s="83">
        <v>67394.833621472906</v>
      </c>
      <c r="M35" s="83">
        <v>64852.465612044623</v>
      </c>
      <c r="N35" s="83">
        <v>62400.096495966907</v>
      </c>
      <c r="O35" s="83">
        <v>60035.466503729323</v>
      </c>
      <c r="P35" s="84">
        <v>57756.174576275225</v>
      </c>
    </row>
    <row r="36" spans="5:16" ht="14.65" thickBot="1">
      <c r="E36" s="127"/>
      <c r="F36" s="85">
        <v>0.09</v>
      </c>
      <c r="G36" s="86">
        <v>85015.111546811793</v>
      </c>
      <c r="H36" s="87">
        <v>81812.399424637333</v>
      </c>
      <c r="I36" s="87">
        <v>78714.884303327635</v>
      </c>
      <c r="J36" s="87">
        <v>75721.611022909026</v>
      </c>
      <c r="K36" s="87">
        <v>72831.160815823387</v>
      </c>
      <c r="L36" s="87">
        <v>70041.735049560433</v>
      </c>
      <c r="M36" s="87">
        <v>67351.229118666291</v>
      </c>
      <c r="N36" s="87">
        <v>64757.297171218888</v>
      </c>
      <c r="O36" s="87">
        <v>62257.408399905129</v>
      </c>
      <c r="P36" s="88">
        <v>59848.895644691191</v>
      </c>
    </row>
  </sheetData>
  <mergeCells count="6">
    <mergeCell ref="E28:E36"/>
    <mergeCell ref="G2:P2"/>
    <mergeCell ref="E4:E12"/>
    <mergeCell ref="G14:P14"/>
    <mergeCell ref="E16:E24"/>
    <mergeCell ref="G26:P26"/>
  </mergeCells>
  <conditionalFormatting sqref="G4:P12 G16:P24">
    <cfRule type="cellIs" dxfId="3" priority="3" operator="lessThan">
      <formula>$B$2</formula>
    </cfRule>
    <cfRule type="cellIs" dxfId="2" priority="4" operator="greaterThanOrEqual">
      <formula>$B$2</formula>
    </cfRule>
  </conditionalFormatting>
  <conditionalFormatting sqref="G28:P36">
    <cfRule type="cellIs" dxfId="1" priority="1" operator="lessThan">
      <formula>$B$2</formula>
    </cfRule>
    <cfRule type="cellIs" dxfId="0" priority="2" operator="greaterThanOrEqual">
      <formula>$B$2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Lukasz Pietrowski</cp:lastModifiedBy>
  <cp:revision/>
  <dcterms:created xsi:type="dcterms:W3CDTF">2023-10-21T07:54:52Z</dcterms:created>
  <dcterms:modified xsi:type="dcterms:W3CDTF">2025-02-25T15:29:49Z</dcterms:modified>
  <cp:category/>
  <cp:contentStatus/>
</cp:coreProperties>
</file>