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nce\valuation\"/>
    </mc:Choice>
  </mc:AlternateContent>
  <xr:revisionPtr revIDLastSave="0" documentId="13_ncr:1_{F00E82C9-B55B-4CA9-8F3A-4F632219A77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ACC" sheetId="6" r:id="rId1"/>
    <sheet name="Sales-To-Capital" sheetId="7" r:id="rId2"/>
    <sheet name="Growth" sheetId="9" r:id="rId3"/>
    <sheet name="Value" sheetId="8" r:id="rId4"/>
    <sheet name="Sensitive" sheetId="10" r:id="rId5"/>
  </sheet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6" l="1"/>
  <c r="C6" i="6" l="1"/>
  <c r="P8" i="8"/>
  <c r="L3" i="8"/>
  <c r="B2" i="10"/>
  <c r="B18" i="6"/>
  <c r="B8" i="6" l="1"/>
  <c r="M5" i="8"/>
  <c r="C11" i="9"/>
  <c r="C10" i="9"/>
  <c r="C9" i="9"/>
  <c r="C8" i="9"/>
  <c r="C7" i="9"/>
  <c r="C6" i="9"/>
  <c r="C5" i="9"/>
  <c r="C4" i="9"/>
  <c r="C3" i="9"/>
  <c r="C2" i="9"/>
  <c r="C5" i="6" l="1"/>
  <c r="C7" i="6"/>
  <c r="C14" i="9"/>
  <c r="B3" i="10" s="1"/>
  <c r="C3" i="8" s="1"/>
  <c r="C13" i="9"/>
  <c r="E7" i="6" l="1"/>
  <c r="G7" i="6"/>
  <c r="E6" i="6"/>
  <c r="G6" i="6"/>
  <c r="E5" i="6"/>
  <c r="G5" i="6"/>
  <c r="M3" i="8"/>
  <c r="P16" i="8"/>
  <c r="B6" i="7"/>
  <c r="B5" i="7"/>
  <c r="B29" i="6"/>
  <c r="B28" i="6"/>
  <c r="B27" i="6"/>
  <c r="B26" i="6"/>
  <c r="B25" i="6"/>
  <c r="B24" i="6"/>
  <c r="B23" i="6"/>
  <c r="B22" i="6"/>
  <c r="B21" i="6"/>
  <c r="B20" i="6"/>
  <c r="B19" i="6"/>
  <c r="K15" i="6"/>
  <c r="C14" i="6"/>
  <c r="C11" i="6"/>
  <c r="K5" i="6" s="1"/>
  <c r="K8" i="6"/>
  <c r="B4" i="8"/>
  <c r="P9" i="8" s="1"/>
  <c r="C3" i="6"/>
  <c r="C2" i="6"/>
  <c r="P3" i="8" l="1"/>
  <c r="D3" i="8"/>
  <c r="E3" i="8" s="1"/>
  <c r="F3" i="8" s="1"/>
  <c r="G3" i="8" s="1"/>
  <c r="H3" i="8" s="1"/>
  <c r="I3" i="8" s="1"/>
  <c r="J3" i="8" s="1"/>
  <c r="K3" i="8" s="1"/>
  <c r="C4" i="6"/>
  <c r="C8" i="6" s="1"/>
  <c r="B2" i="7"/>
  <c r="B8" i="7"/>
  <c r="C4" i="8"/>
  <c r="P10" i="8"/>
  <c r="B8" i="8"/>
  <c r="G2" i="6"/>
  <c r="E2" i="6"/>
  <c r="G3" i="6"/>
  <c r="E3" i="6"/>
  <c r="G4" i="6"/>
  <c r="E4" i="6"/>
  <c r="C29" i="6"/>
  <c r="D29" i="6" s="1"/>
  <c r="C28" i="6"/>
  <c r="D28" i="6" s="1"/>
  <c r="C27" i="6"/>
  <c r="C26" i="6"/>
  <c r="D26" i="6" s="1"/>
  <c r="C25" i="6"/>
  <c r="D25" i="6" s="1"/>
  <c r="C24" i="6"/>
  <c r="D24" i="6" s="1"/>
  <c r="K21" i="6"/>
  <c r="C17" i="8" s="1"/>
  <c r="C23" i="6"/>
  <c r="D23" i="6" s="1"/>
  <c r="C22" i="6"/>
  <c r="D22" i="6" s="1"/>
  <c r="C21" i="6"/>
  <c r="D21" i="6" s="1"/>
  <c r="C20" i="6"/>
  <c r="D20" i="6" s="1"/>
  <c r="C19" i="6"/>
  <c r="D19" i="6" s="1"/>
  <c r="C18" i="6"/>
  <c r="C17" i="6"/>
  <c r="D17" i="6" s="1"/>
  <c r="D18" i="6"/>
  <c r="D27" i="6"/>
  <c r="M17" i="8" l="1"/>
  <c r="E17" i="8"/>
  <c r="D17" i="8"/>
  <c r="B4" i="10"/>
  <c r="B5" i="8" s="1"/>
  <c r="C5" i="8" s="1"/>
  <c r="D5" i="8" s="1"/>
  <c r="E5" i="8" s="1"/>
  <c r="F5" i="8" s="1"/>
  <c r="G5" i="8" s="1"/>
  <c r="H5" i="8" s="1"/>
  <c r="I5" i="8" s="1"/>
  <c r="J5" i="8" s="1"/>
  <c r="K5" i="8" s="1"/>
  <c r="E8" i="6"/>
  <c r="K7" i="6" s="1"/>
  <c r="G8" i="6"/>
  <c r="L7" i="8" s="1"/>
  <c r="B9" i="7"/>
  <c r="B5" i="10" s="1"/>
  <c r="B9" i="8" s="1"/>
  <c r="K9" i="8" s="1"/>
  <c r="F17" i="8"/>
  <c r="G17" i="8"/>
  <c r="H17" i="8"/>
  <c r="I17" i="8"/>
  <c r="J17" i="8"/>
  <c r="K17" i="8"/>
  <c r="L17" i="8"/>
  <c r="D4" i="8"/>
  <c r="D30" i="6"/>
  <c r="C6" i="8" l="1"/>
  <c r="J9" i="8"/>
  <c r="H9" i="8"/>
  <c r="E9" i="8"/>
  <c r="C9" i="8"/>
  <c r="C11" i="8" s="1"/>
  <c r="F9" i="8"/>
  <c r="L9" i="8"/>
  <c r="B10" i="8"/>
  <c r="P2" i="8" s="1"/>
  <c r="P4" i="8" s="1"/>
  <c r="I9" i="8"/>
  <c r="G9" i="8"/>
  <c r="D9" i="8"/>
  <c r="D11" i="8" s="1"/>
  <c r="C7" i="8"/>
  <c r="L18" i="8"/>
  <c r="L19" i="8" s="1"/>
  <c r="M7" i="8"/>
  <c r="M18" i="8" s="1"/>
  <c r="M19" i="8" s="1"/>
  <c r="K16" i="6"/>
  <c r="K17" i="6" s="1"/>
  <c r="P15" i="8"/>
  <c r="D6" i="8"/>
  <c r="E4" i="8"/>
  <c r="K22" i="6"/>
  <c r="K4" i="6"/>
  <c r="K6" i="6" s="1"/>
  <c r="K9" i="6" s="1"/>
  <c r="K20" i="6" s="1"/>
  <c r="C16" i="8" s="1"/>
  <c r="C10" i="8" l="1"/>
  <c r="D10" i="8"/>
  <c r="C18" i="8"/>
  <c r="C19" i="8" s="1"/>
  <c r="D7" i="8"/>
  <c r="C8" i="8"/>
  <c r="C12" i="8" s="1"/>
  <c r="G16" i="8"/>
  <c r="D16" i="8"/>
  <c r="M16" i="8"/>
  <c r="L16" i="8"/>
  <c r="K16" i="8"/>
  <c r="J16" i="8"/>
  <c r="I16" i="8"/>
  <c r="H16" i="8"/>
  <c r="F16" i="8"/>
  <c r="E16" i="8"/>
  <c r="E11" i="8"/>
  <c r="E10" i="8"/>
  <c r="E6" i="8"/>
  <c r="F4" i="8"/>
  <c r="K19" i="6"/>
  <c r="C14" i="8" s="1"/>
  <c r="K18" i="6"/>
  <c r="D18" i="8" l="1"/>
  <c r="D19" i="8" s="1"/>
  <c r="E7" i="8"/>
  <c r="D8" i="8"/>
  <c r="D12" i="8" s="1"/>
  <c r="K23" i="6"/>
  <c r="C15" i="8"/>
  <c r="C20" i="8" s="1"/>
  <c r="C23" i="8" s="1"/>
  <c r="C24" i="8" s="1"/>
  <c r="M14" i="8"/>
  <c r="L14" i="8"/>
  <c r="K14" i="8"/>
  <c r="J14" i="8"/>
  <c r="I14" i="8"/>
  <c r="H14" i="8"/>
  <c r="G14" i="8"/>
  <c r="F14" i="8"/>
  <c r="E14" i="8"/>
  <c r="D14" i="8"/>
  <c r="F11" i="8"/>
  <c r="F10" i="8"/>
  <c r="F6" i="8"/>
  <c r="G4" i="8"/>
  <c r="E18" i="8" l="1"/>
  <c r="E19" i="8" s="1"/>
  <c r="F7" i="8"/>
  <c r="E8" i="8"/>
  <c r="E12" i="8" s="1"/>
  <c r="I15" i="8"/>
  <c r="H15" i="8"/>
  <c r="G15" i="8"/>
  <c r="F15" i="8"/>
  <c r="D15" i="8"/>
  <c r="D20" i="8" s="1"/>
  <c r="D23" i="8" s="1"/>
  <c r="D24" i="8" s="1"/>
  <c r="L15" i="8"/>
  <c r="L20" i="8" s="1"/>
  <c r="L23" i="8" s="1"/>
  <c r="K15" i="8"/>
  <c r="J15" i="8"/>
  <c r="E15" i="8"/>
  <c r="E20" i="8" s="1"/>
  <c r="E23" i="8" s="1"/>
  <c r="M15" i="8"/>
  <c r="M20" i="8" s="1"/>
  <c r="G11" i="8"/>
  <c r="G10" i="8"/>
  <c r="G6" i="8"/>
  <c r="H4" i="8"/>
  <c r="E24" i="8" l="1"/>
  <c r="G7" i="8"/>
  <c r="F18" i="8"/>
  <c r="F19" i="8" s="1"/>
  <c r="F20" i="8" s="1"/>
  <c r="F23" i="8" s="1"/>
  <c r="F8" i="8"/>
  <c r="F12" i="8" s="1"/>
  <c r="M23" i="8"/>
  <c r="H11" i="8"/>
  <c r="H10" i="8"/>
  <c r="H6" i="8"/>
  <c r="I4" i="8"/>
  <c r="F24" i="8" l="1"/>
  <c r="H7" i="8"/>
  <c r="G18" i="8"/>
  <c r="G19" i="8" s="1"/>
  <c r="G20" i="8" s="1"/>
  <c r="G23" i="8" s="1"/>
  <c r="G8" i="8"/>
  <c r="G12" i="8" s="1"/>
  <c r="I11" i="8"/>
  <c r="I10" i="8"/>
  <c r="I6" i="8"/>
  <c r="J4" i="8"/>
  <c r="G24" i="8" l="1"/>
  <c r="I7" i="8"/>
  <c r="H18" i="8"/>
  <c r="H19" i="8" s="1"/>
  <c r="H20" i="8" s="1"/>
  <c r="H23" i="8" s="1"/>
  <c r="H8" i="8"/>
  <c r="H12" i="8" s="1"/>
  <c r="J11" i="8"/>
  <c r="J10" i="8"/>
  <c r="J6" i="8"/>
  <c r="K4" i="8"/>
  <c r="H24" i="8" l="1"/>
  <c r="I18" i="8"/>
  <c r="I19" i="8" s="1"/>
  <c r="I20" i="8" s="1"/>
  <c r="I23" i="8" s="1"/>
  <c r="J7" i="8"/>
  <c r="I8" i="8"/>
  <c r="I12" i="8" s="1"/>
  <c r="K11" i="8"/>
  <c r="K10" i="8"/>
  <c r="K6" i="8"/>
  <c r="L4" i="8"/>
  <c r="I24" i="8" l="1"/>
  <c r="J18" i="8"/>
  <c r="J19" i="8" s="1"/>
  <c r="J20" i="8" s="1"/>
  <c r="J23" i="8" s="1"/>
  <c r="K7" i="8"/>
  <c r="K18" i="8" s="1"/>
  <c r="K19" i="8" s="1"/>
  <c r="K20" i="8" s="1"/>
  <c r="K23" i="8" s="1"/>
  <c r="J8" i="8"/>
  <c r="J12" i="8" s="1"/>
  <c r="L11" i="8"/>
  <c r="L10" i="8"/>
  <c r="L6" i="8"/>
  <c r="M4" i="8"/>
  <c r="J24" i="8" l="1"/>
  <c r="K8" i="8"/>
  <c r="K12" i="8" s="1"/>
  <c r="K24" i="8" s="1"/>
  <c r="L8" i="8"/>
  <c r="M6" i="8"/>
  <c r="L12" i="8" l="1"/>
  <c r="L24" i="8" s="1"/>
  <c r="P18" i="8" s="1"/>
  <c r="M8" i="8"/>
  <c r="M11" i="8" l="1"/>
  <c r="M12" i="8" s="1"/>
  <c r="M24" i="8" s="1"/>
  <c r="P14" i="8" s="1"/>
  <c r="P17" i="8" s="1"/>
  <c r="F3" i="10" l="1"/>
  <c r="F27" i="10"/>
  <c r="F15" i="10"/>
  <c r="P20" i="8"/>
</calcChain>
</file>

<file path=xl/sharedStrings.xml><?xml version="1.0" encoding="utf-8"?>
<sst xmlns="http://schemas.openxmlformats.org/spreadsheetml/2006/main" count="114" uniqueCount="79">
  <si>
    <t>Revenue</t>
  </si>
  <si>
    <t>Proportion of Revenue</t>
  </si>
  <si>
    <t>Assumed ERP</t>
  </si>
  <si>
    <t>Weighted ERP</t>
  </si>
  <si>
    <t>Assumed Tax</t>
  </si>
  <si>
    <t>Weighted Tax</t>
  </si>
  <si>
    <t>Component</t>
  </si>
  <si>
    <t>Value</t>
  </si>
  <si>
    <t>Ticker</t>
  </si>
  <si>
    <t>US</t>
  </si>
  <si>
    <t>Levered Beta for Industry</t>
  </si>
  <si>
    <t>T</t>
  </si>
  <si>
    <t>Mexico</t>
  </si>
  <si>
    <t>Debt-To-Equity For Industry</t>
  </si>
  <si>
    <t>Asia Pacific</t>
  </si>
  <si>
    <t>Unlevered Beta For Industry</t>
  </si>
  <si>
    <t>Europe</t>
  </si>
  <si>
    <t>Debt-To-Equity</t>
  </si>
  <si>
    <t>Latin America</t>
  </si>
  <si>
    <t>Levered Beta</t>
  </si>
  <si>
    <t>Carribean</t>
  </si>
  <si>
    <t>ERP</t>
  </si>
  <si>
    <t>Risk-Free Rate</t>
  </si>
  <si>
    <t>Cost of Equity</t>
  </si>
  <si>
    <t>Market Cap</t>
  </si>
  <si>
    <t>Total Debt</t>
  </si>
  <si>
    <t>Spread</t>
  </si>
  <si>
    <t>Cost of Debt</t>
  </si>
  <si>
    <t>Equity</t>
  </si>
  <si>
    <t>Time</t>
  </si>
  <si>
    <t>Interest Expense</t>
  </si>
  <si>
    <t>Discount Factor</t>
  </si>
  <si>
    <t>Present Value</t>
  </si>
  <si>
    <t>Debt</t>
  </si>
  <si>
    <t>Capital</t>
  </si>
  <si>
    <t>Proportion of Debt</t>
  </si>
  <si>
    <t>Proportion of Equity</t>
  </si>
  <si>
    <t>Tax Rate</t>
  </si>
  <si>
    <t>WACC</t>
  </si>
  <si>
    <t>Sales</t>
  </si>
  <si>
    <t>Unadjusted Book Value of Equity</t>
  </si>
  <si>
    <t>Value of the R&amp;D Asset</t>
  </si>
  <si>
    <t>Adjusted Book</t>
  </si>
  <si>
    <t>Book Value of Debt</t>
  </si>
  <si>
    <t>Cash &amp; ST Investments + Marketable Securities</t>
  </si>
  <si>
    <t>Book Value of Invested Capital</t>
  </si>
  <si>
    <t>Sales to Capital</t>
  </si>
  <si>
    <t>Year</t>
  </si>
  <si>
    <t>Change</t>
  </si>
  <si>
    <t>Average:</t>
  </si>
  <si>
    <t>Median:</t>
  </si>
  <si>
    <t>Terminal Year</t>
  </si>
  <si>
    <t>Return on Capital</t>
  </si>
  <si>
    <t>Revenue Growth</t>
  </si>
  <si>
    <t>Terminal Growth</t>
  </si>
  <si>
    <t>Terminal Reinvestment Rate</t>
  </si>
  <si>
    <t>EBIT Margin</t>
  </si>
  <si>
    <t>Adjusted EBIT</t>
  </si>
  <si>
    <t>EBIT * (1 - Tax Rate)</t>
  </si>
  <si>
    <t>Sales To Capital</t>
  </si>
  <si>
    <t>Invested Capital</t>
  </si>
  <si>
    <t>Reinvestment</t>
  </si>
  <si>
    <t>FCFF</t>
  </si>
  <si>
    <t>Weight in Equity</t>
  </si>
  <si>
    <t>Total Value of Enterprise</t>
  </si>
  <si>
    <t>Weight in Debt</t>
  </si>
  <si>
    <t>Market Value of Debt</t>
  </si>
  <si>
    <t>Cash</t>
  </si>
  <si>
    <t>Pre-Tax Cost of Debt</t>
  </si>
  <si>
    <t>Equity Value in Common Stock</t>
  </si>
  <si>
    <t>Assumed Tax Rate</t>
  </si>
  <si>
    <t>Equity Value in 10 years</t>
  </si>
  <si>
    <t>After-Tax Cost of Debt</t>
  </si>
  <si>
    <t>Shares Outstanding</t>
  </si>
  <si>
    <t>Estimated Value per Share</t>
  </si>
  <si>
    <t>Present Valur of Cash Flow</t>
  </si>
  <si>
    <t>Operating Margin</t>
  </si>
  <si>
    <t>Growth</t>
  </si>
  <si>
    <t>Initial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</si>
</sst>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4" fontId="0" fillId="0" borderId="0" xfId="0" applyNumberFormat="1" applyAlignment="1">
      <alignment horizontal="center"/>
    </xf>
    <xf numFmtId="10" fontId="0" fillId="0" borderId="7" xfId="0" applyNumberForma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left"/>
    </xf>
    <xf numFmtId="2" fontId="0" fillId="0" borderId="7" xfId="0" applyNumberFormat="1" applyBorder="1" applyAlignment="1">
      <alignment horizontal="center"/>
    </xf>
    <xf numFmtId="0" fontId="0" fillId="0" borderId="1" xfId="0" applyBorder="1"/>
    <xf numFmtId="4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4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 applyAlignment="1">
      <alignment horizontal="left"/>
    </xf>
    <xf numFmtId="2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0" fontId="0" fillId="0" borderId="9" xfId="0" applyBorder="1"/>
    <xf numFmtId="0" fontId="2" fillId="0" borderId="1" xfId="0" applyFont="1" applyBorder="1"/>
    <xf numFmtId="4" fontId="2" fillId="0" borderId="5" xfId="0" applyNumberFormat="1" applyFont="1" applyBorder="1" applyAlignment="1">
      <alignment horizontal="center"/>
    </xf>
    <xf numFmtId="0" fontId="1" fillId="0" borderId="13" xfId="1" applyFont="1" applyBorder="1"/>
    <xf numFmtId="0" fontId="3" fillId="0" borderId="8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4" xfId="1" applyBorder="1" applyAlignment="1">
      <alignment horizontal="center"/>
    </xf>
    <xf numFmtId="0" fontId="1" fillId="0" borderId="14" xfId="1" applyFont="1" applyBorder="1" applyAlignment="1">
      <alignment horizontal="left"/>
    </xf>
    <xf numFmtId="0" fontId="3" fillId="0" borderId="6" xfId="1" applyBorder="1" applyAlignment="1">
      <alignment horizontal="center"/>
    </xf>
    <xf numFmtId="0" fontId="3" fillId="0" borderId="0" xfId="1" applyAlignment="1">
      <alignment horizontal="center"/>
    </xf>
    <xf numFmtId="0" fontId="3" fillId="0" borderId="7" xfId="1" applyBorder="1" applyAlignment="1">
      <alignment horizontal="center"/>
    </xf>
    <xf numFmtId="0" fontId="1" fillId="0" borderId="14" xfId="1" applyFont="1" applyBorder="1"/>
    <xf numFmtId="10" fontId="3" fillId="0" borderId="6" xfId="1" applyNumberFormat="1" applyBorder="1" applyAlignment="1">
      <alignment horizontal="center"/>
    </xf>
    <xf numFmtId="10" fontId="3" fillId="0" borderId="0" xfId="1" applyNumberFormat="1" applyAlignment="1">
      <alignment horizontal="center"/>
    </xf>
    <xf numFmtId="10" fontId="3" fillId="0" borderId="7" xfId="1" applyNumberFormat="1" applyBorder="1" applyAlignment="1">
      <alignment horizontal="center"/>
    </xf>
    <xf numFmtId="4" fontId="3" fillId="0" borderId="6" xfId="1" applyNumberFormat="1" applyBorder="1" applyAlignment="1">
      <alignment horizontal="center"/>
    </xf>
    <xf numFmtId="4" fontId="3" fillId="0" borderId="0" xfId="1" applyNumberFormat="1" applyAlignment="1">
      <alignment horizontal="center"/>
    </xf>
    <xf numFmtId="4" fontId="3" fillId="0" borderId="7" xfId="1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2" xfId="1" applyFont="1" applyBorder="1"/>
    <xf numFmtId="0" fontId="3" fillId="0" borderId="9" xfId="1" applyBorder="1" applyAlignment="1">
      <alignment horizontal="center"/>
    </xf>
    <xf numFmtId="4" fontId="3" fillId="0" borderId="10" xfId="1" applyNumberFormat="1" applyBorder="1" applyAlignment="1">
      <alignment horizontal="center"/>
    </xf>
    <xf numFmtId="4" fontId="3" fillId="0" borderId="11" xfId="1" applyNumberFormat="1" applyBorder="1" applyAlignment="1">
      <alignment horizontal="center"/>
    </xf>
    <xf numFmtId="0" fontId="3" fillId="0" borderId="0" xfId="1"/>
    <xf numFmtId="10" fontId="3" fillId="0" borderId="8" xfId="1" applyNumberFormat="1" applyBorder="1" applyAlignment="1">
      <alignment horizontal="center"/>
    </xf>
    <xf numFmtId="10" fontId="3" fillId="0" borderId="3" xfId="1" applyNumberFormat="1" applyBorder="1" applyAlignment="1">
      <alignment horizontal="center"/>
    </xf>
    <xf numFmtId="10" fontId="3" fillId="0" borderId="4" xfId="1" applyNumberFormat="1" applyBorder="1" applyAlignment="1">
      <alignment horizontal="center"/>
    </xf>
    <xf numFmtId="0" fontId="0" fillId="0" borderId="7" xfId="0" applyBorder="1" applyAlignment="1">
      <alignment horizontal="center"/>
    </xf>
    <xf numFmtId="10" fontId="3" fillId="0" borderId="9" xfId="1" applyNumberFormat="1" applyBorder="1" applyAlignment="1">
      <alignment horizontal="center"/>
    </xf>
    <xf numFmtId="10" fontId="3" fillId="0" borderId="10" xfId="1" applyNumberFormat="1" applyBorder="1" applyAlignment="1">
      <alignment horizontal="center"/>
    </xf>
    <xf numFmtId="10" fontId="3" fillId="0" borderId="11" xfId="1" applyNumberForma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3" fillId="0" borderId="3" xfId="1" applyNumberFormat="1" applyBorder="1" applyAlignment="1">
      <alignment horizontal="center"/>
    </xf>
    <xf numFmtId="2" fontId="3" fillId="0" borderId="4" xfId="1" applyNumberFormat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2" fillId="0" borderId="13" xfId="0" applyNumberFormat="1" applyFont="1" applyBorder="1" applyAlignment="1">
      <alignment horizontal="center"/>
    </xf>
    <xf numFmtId="10" fontId="2" fillId="0" borderId="14" xfId="0" applyNumberFormat="1" applyFont="1" applyBorder="1" applyAlignment="1">
      <alignment horizontal="center"/>
    </xf>
    <xf numFmtId="10" fontId="2" fillId="0" borderId="1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0" borderId="8" xfId="0" applyFont="1" applyBorder="1"/>
    <xf numFmtId="0" fontId="0" fillId="0" borderId="3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2" fillId="0" borderId="9" xfId="0" applyFont="1" applyBorder="1"/>
    <xf numFmtId="0" fontId="0" fillId="0" borderId="10" xfId="0" applyBorder="1" applyAlignment="1">
      <alignment horizontal="center"/>
    </xf>
    <xf numFmtId="0" fontId="4" fillId="0" borderId="0" xfId="0" applyFont="1"/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4" fontId="2" fillId="0" borderId="19" xfId="0" applyNumberFormat="1" applyFon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5" fillId="0" borderId="2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10" fontId="6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0" fontId="0" fillId="0" borderId="19" xfId="0" applyBorder="1"/>
    <xf numFmtId="0" fontId="1" fillId="0" borderId="19" xfId="0" applyFont="1" applyBorder="1" applyAlignment="1">
      <alignment horizontal="center"/>
    </xf>
  </cellXfs>
  <cellStyles count="2">
    <cellStyle name="Normal" xfId="0" builtinId="0"/>
    <cellStyle name="Normal 3" xfId="1" xr:uid="{53B33213-D08E-44EB-AA9A-97D9D62A7D1D}"/>
  </cellStyles>
  <dxfs count="4"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6C1C-B851-459E-A638-EC4D76A9968E}">
  <dimension ref="A1:M30"/>
  <sheetViews>
    <sheetView tabSelected="1" workbookViewId="0">
      <selection activeCell="M13" sqref="L13:M13"/>
    </sheetView>
  </sheetViews>
  <sheetFormatPr defaultRowHeight="14.25" x14ac:dyDescent="0.45"/>
  <cols>
    <col min="1" max="1" width="14.9296875" customWidth="1"/>
    <col min="2" max="2" width="14.3984375" bestFit="1" customWidth="1"/>
    <col min="3" max="3" width="19.3984375" bestFit="1" customWidth="1"/>
    <col min="4" max="4" width="12" bestFit="1" customWidth="1"/>
    <col min="5" max="5" width="12.1328125" bestFit="1" customWidth="1"/>
    <col min="6" max="6" width="11.3984375" bestFit="1" customWidth="1"/>
    <col min="7" max="7" width="11.86328125" bestFit="1" customWidth="1"/>
    <col min="10" max="10" width="23" bestFit="1" customWidth="1"/>
    <col min="11" max="11" width="9.73046875" bestFit="1" customWidth="1"/>
  </cols>
  <sheetData>
    <row r="1" spans="1:13" ht="14.65" thickBot="1" x14ac:dyDescent="0.5">
      <c r="A1" s="96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J1" s="1" t="s">
        <v>6</v>
      </c>
      <c r="K1" s="5" t="s">
        <v>7</v>
      </c>
      <c r="M1" s="113" t="s">
        <v>8</v>
      </c>
    </row>
    <row r="2" spans="1:13" ht="14.65" thickBot="1" x14ac:dyDescent="0.5">
      <c r="A2" s="83" t="s">
        <v>9</v>
      </c>
      <c r="B2" s="25">
        <v>116882</v>
      </c>
      <c r="C2" s="97">
        <f>B2/$B$8</f>
        <v>0.9554178655506147</v>
      </c>
      <c r="D2" s="97">
        <v>4.3299999999999998E-2</v>
      </c>
      <c r="E2" s="97">
        <f>C2*D2</f>
        <v>4.1369593578341614E-2</v>
      </c>
      <c r="F2" s="97">
        <v>0.25</v>
      </c>
      <c r="G2" s="79">
        <f>C2*F2</f>
        <v>0.23885446638765367</v>
      </c>
      <c r="J2" s="9" t="s">
        <v>10</v>
      </c>
      <c r="K2" s="10">
        <v>0.86</v>
      </c>
      <c r="M2" s="112" t="s">
        <v>11</v>
      </c>
    </row>
    <row r="3" spans="1:13" x14ac:dyDescent="0.45">
      <c r="A3" s="6" t="s">
        <v>12</v>
      </c>
      <c r="B3" s="7">
        <v>4286</v>
      </c>
      <c r="C3" s="98">
        <f>B3/$B$8</f>
        <v>3.5034658645043161E-2</v>
      </c>
      <c r="D3" s="98">
        <v>6.8699999999999997E-2</v>
      </c>
      <c r="E3" s="98">
        <f t="shared" ref="E3:E7" si="0">C3*D3</f>
        <v>2.406881048914465E-3</v>
      </c>
      <c r="F3" s="98">
        <v>0.3</v>
      </c>
      <c r="G3" s="8">
        <f t="shared" ref="G3:G7" si="1">C3*F3</f>
        <v>1.0510397593512948E-2</v>
      </c>
      <c r="J3" s="11" t="s">
        <v>13</v>
      </c>
      <c r="K3" s="8">
        <v>0.7984</v>
      </c>
    </row>
    <row r="4" spans="1:13" x14ac:dyDescent="0.45">
      <c r="A4" s="6" t="s">
        <v>14</v>
      </c>
      <c r="B4" s="7">
        <v>462</v>
      </c>
      <c r="C4" s="98">
        <f>B4/$B$8</f>
        <v>3.7764844363065656E-3</v>
      </c>
      <c r="D4" s="98">
        <v>5.6399999999999999E-2</v>
      </c>
      <c r="E4" s="98">
        <f t="shared" si="0"/>
        <v>2.129937222076903E-4</v>
      </c>
      <c r="F4" s="98">
        <v>0.25590000000000002</v>
      </c>
      <c r="G4" s="8">
        <f t="shared" si="1"/>
        <v>9.6640236725085017E-4</v>
      </c>
      <c r="J4" s="11" t="s">
        <v>15</v>
      </c>
      <c r="K4" s="12">
        <f>K2/(1+(1-G8)*K3)</f>
        <v>0.53840029805418721</v>
      </c>
    </row>
    <row r="5" spans="1:13" x14ac:dyDescent="0.45">
      <c r="A5" s="6" t="s">
        <v>16</v>
      </c>
      <c r="B5" s="7">
        <v>441</v>
      </c>
      <c r="C5" s="98">
        <f t="shared" ref="C5:C7" si="2">B5/$B$8</f>
        <v>3.6048260528380852E-3</v>
      </c>
      <c r="D5" s="98">
        <v>5.45E-2</v>
      </c>
      <c r="E5" s="98">
        <f t="shared" si="0"/>
        <v>1.9646301987967564E-4</v>
      </c>
      <c r="F5" s="98">
        <v>0.24779999999999999</v>
      </c>
      <c r="G5" s="8">
        <f t="shared" si="1"/>
        <v>8.9327589589327755E-4</v>
      </c>
      <c r="J5" s="11" t="s">
        <v>17</v>
      </c>
      <c r="K5" s="8">
        <f>C11</f>
        <v>0.74006406890032561</v>
      </c>
    </row>
    <row r="6" spans="1:13" x14ac:dyDescent="0.45">
      <c r="A6" s="6" t="s">
        <v>18</v>
      </c>
      <c r="B6" s="7">
        <v>149</v>
      </c>
      <c r="C6" s="98">
        <f t="shared" si="2"/>
        <v>1.2179571017525504E-3</v>
      </c>
      <c r="D6" s="98">
        <v>9.1499999999999998E-2</v>
      </c>
      <c r="E6" s="98">
        <f t="shared" si="0"/>
        <v>1.1144307481035836E-4</v>
      </c>
      <c r="F6" s="98">
        <v>0.3155</v>
      </c>
      <c r="G6" s="8">
        <f t="shared" si="1"/>
        <v>3.8426546560292965E-4</v>
      </c>
      <c r="J6" s="11" t="s">
        <v>19</v>
      </c>
      <c r="K6" s="12">
        <f>K4*(1+(1-G8)*K5)</f>
        <v>0.83650198139480603</v>
      </c>
    </row>
    <row r="7" spans="1:13" ht="14.65" thickBot="1" x14ac:dyDescent="0.5">
      <c r="A7" s="35" t="s">
        <v>20</v>
      </c>
      <c r="B7" s="19">
        <v>116</v>
      </c>
      <c r="C7" s="23">
        <f t="shared" si="2"/>
        <v>9.4820821344493856E-4</v>
      </c>
      <c r="D7" s="23">
        <v>0.12429999999999999</v>
      </c>
      <c r="E7" s="23">
        <f t="shared" si="0"/>
        <v>1.1786228093120586E-4</v>
      </c>
      <c r="F7" s="23">
        <v>0.25230000000000002</v>
      </c>
      <c r="G7" s="20">
        <f t="shared" si="1"/>
        <v>2.3923293225215801E-4</v>
      </c>
      <c r="J7" s="11" t="s">
        <v>21</v>
      </c>
      <c r="K7" s="8">
        <f>E8</f>
        <v>4.4415236725085003E-2</v>
      </c>
    </row>
    <row r="8" spans="1:13" ht="14.65" thickBot="1" x14ac:dyDescent="0.5">
      <c r="A8" s="13"/>
      <c r="B8" s="14">
        <f>SUM(B2:B7)</f>
        <v>122336</v>
      </c>
      <c r="C8" s="15">
        <f>SUM(C2:C7)</f>
        <v>1</v>
      </c>
      <c r="D8" s="16"/>
      <c r="E8" s="15">
        <f>SUM(E2:E7)</f>
        <v>4.4415236725085003E-2</v>
      </c>
      <c r="F8" s="16"/>
      <c r="G8" s="17">
        <f>SUM(G2:G7)</f>
        <v>0.25184804064216582</v>
      </c>
      <c r="J8" s="11" t="s">
        <v>22</v>
      </c>
      <c r="K8" s="8">
        <f>A14</f>
        <v>4.2200000000000001E-2</v>
      </c>
    </row>
    <row r="9" spans="1:13" ht="14.65" thickBot="1" x14ac:dyDescent="0.5">
      <c r="J9" s="1" t="s">
        <v>23</v>
      </c>
      <c r="K9" s="21">
        <f>K8+K7*K6</f>
        <v>7.9353433524652961E-2</v>
      </c>
    </row>
    <row r="10" spans="1:13" ht="14.65" thickBot="1" x14ac:dyDescent="0.5">
      <c r="A10" s="1" t="s">
        <v>24</v>
      </c>
      <c r="B10" s="2" t="s">
        <v>25</v>
      </c>
      <c r="C10" s="5" t="s">
        <v>17</v>
      </c>
    </row>
    <row r="11" spans="1:13" ht="14.65" thickBot="1" x14ac:dyDescent="0.5">
      <c r="A11" s="18">
        <v>190420</v>
      </c>
      <c r="B11" s="19">
        <v>140923</v>
      </c>
      <c r="C11" s="20">
        <f>B11/A11</f>
        <v>0.74006406890032561</v>
      </c>
    </row>
    <row r="12" spans="1:13" ht="14.65" thickBot="1" x14ac:dyDescent="0.5"/>
    <row r="13" spans="1:13" ht="14.65" thickBot="1" x14ac:dyDescent="0.5">
      <c r="A13" s="1" t="s">
        <v>22</v>
      </c>
      <c r="B13" s="2" t="s">
        <v>26</v>
      </c>
      <c r="C13" s="5" t="s">
        <v>27</v>
      </c>
    </row>
    <row r="14" spans="1:13" ht="14.65" thickBot="1" x14ac:dyDescent="0.5">
      <c r="A14" s="22">
        <f>Sensitive!B6</f>
        <v>4.2200000000000001E-2</v>
      </c>
      <c r="B14" s="23">
        <v>1.47E-2</v>
      </c>
      <c r="C14" s="20">
        <f>SUM(A14:B14)</f>
        <v>5.6899999999999999E-2</v>
      </c>
      <c r="J14" s="1" t="s">
        <v>6</v>
      </c>
      <c r="K14" s="5" t="s">
        <v>7</v>
      </c>
    </row>
    <row r="15" spans="1:13" ht="14.65" thickBot="1" x14ac:dyDescent="0.5">
      <c r="J15" s="28" t="s">
        <v>28</v>
      </c>
      <c r="K15" s="29">
        <f>A11</f>
        <v>190420</v>
      </c>
    </row>
    <row r="16" spans="1:13" ht="14.65" thickBot="1" x14ac:dyDescent="0.5">
      <c r="A16" s="1" t="s">
        <v>29</v>
      </c>
      <c r="B16" s="2" t="s">
        <v>30</v>
      </c>
      <c r="C16" s="2" t="s">
        <v>31</v>
      </c>
      <c r="D16" s="5" t="s">
        <v>32</v>
      </c>
      <c r="J16" s="28" t="s">
        <v>33</v>
      </c>
      <c r="K16" s="29">
        <f>D30</f>
        <v>129568.16338503285</v>
      </c>
    </row>
    <row r="17" spans="1:11" x14ac:dyDescent="0.45">
      <c r="A17" s="24">
        <v>1</v>
      </c>
      <c r="B17" s="25">
        <v>6759</v>
      </c>
      <c r="C17" s="26">
        <f t="shared" ref="C17:C29" si="3">1/((1+$C$14)^A17)</f>
        <v>0.94616330778692403</v>
      </c>
      <c r="D17" s="27">
        <f>B17*C17</f>
        <v>6395.1177973318199</v>
      </c>
      <c r="J17" s="28" t="s">
        <v>34</v>
      </c>
      <c r="K17" s="29">
        <f>SUM(K15:K16)</f>
        <v>319988.16338503285</v>
      </c>
    </row>
    <row r="18" spans="1:11" x14ac:dyDescent="0.45">
      <c r="A18" s="28">
        <v>2</v>
      </c>
      <c r="B18" s="7">
        <f t="shared" ref="B18:B28" si="4">$B$17</f>
        <v>6759</v>
      </c>
      <c r="C18" s="30">
        <f t="shared" si="3"/>
        <v>0.89522500500229363</v>
      </c>
      <c r="D18" s="29">
        <f>B18*C18</f>
        <v>6050.8258088105031</v>
      </c>
      <c r="J18" s="28" t="s">
        <v>35</v>
      </c>
      <c r="K18" s="8">
        <f>K16/K17</f>
        <v>0.40491548816800166</v>
      </c>
    </row>
    <row r="19" spans="1:11" x14ac:dyDescent="0.45">
      <c r="A19" s="28">
        <v>3</v>
      </c>
      <c r="B19" s="7">
        <f t="shared" si="4"/>
        <v>6759</v>
      </c>
      <c r="C19" s="30">
        <f t="shared" si="3"/>
        <v>0.84702905194653566</v>
      </c>
      <c r="D19" s="29">
        <f t="shared" ref="D19:D29" si="5">B19*C19</f>
        <v>5725.0693621066348</v>
      </c>
      <c r="J19" s="28" t="s">
        <v>36</v>
      </c>
      <c r="K19" s="8">
        <f>K15/K17</f>
        <v>0.59508451183199829</v>
      </c>
    </row>
    <row r="20" spans="1:11" x14ac:dyDescent="0.45">
      <c r="A20" s="28">
        <v>4</v>
      </c>
      <c r="B20" s="7">
        <f t="shared" si="4"/>
        <v>6759</v>
      </c>
      <c r="C20" s="30">
        <f t="shared" si="3"/>
        <v>0.80142780958135662</v>
      </c>
      <c r="D20" s="29">
        <f t="shared" si="5"/>
        <v>5416.8505649603894</v>
      </c>
      <c r="J20" s="28" t="s">
        <v>23</v>
      </c>
      <c r="K20" s="8">
        <f>K9</f>
        <v>7.9353433524652961E-2</v>
      </c>
    </row>
    <row r="21" spans="1:11" x14ac:dyDescent="0.45">
      <c r="A21" s="28">
        <v>5</v>
      </c>
      <c r="B21" s="7">
        <f t="shared" si="4"/>
        <v>6759</v>
      </c>
      <c r="C21" s="30">
        <f t="shared" si="3"/>
        <v>0.75828158726592554</v>
      </c>
      <c r="D21" s="29">
        <f t="shared" si="5"/>
        <v>5125.225248330391</v>
      </c>
      <c r="J21" s="28" t="s">
        <v>27</v>
      </c>
      <c r="K21" s="8">
        <f>C14</f>
        <v>5.6899999999999999E-2</v>
      </c>
    </row>
    <row r="22" spans="1:11" ht="14.65" thickBot="1" x14ac:dyDescent="0.5">
      <c r="A22" s="28">
        <v>6</v>
      </c>
      <c r="B22" s="7">
        <f t="shared" si="4"/>
        <v>6759</v>
      </c>
      <c r="C22" s="30">
        <f t="shared" si="3"/>
        <v>0.71745821484144723</v>
      </c>
      <c r="D22" s="29">
        <f t="shared" si="5"/>
        <v>4849.3000741133419</v>
      </c>
      <c r="J22" s="28" t="s">
        <v>37</v>
      </c>
      <c r="K22" s="8">
        <f>G8</f>
        <v>0.25184804064216582</v>
      </c>
    </row>
    <row r="23" spans="1:11" ht="14.65" thickBot="1" x14ac:dyDescent="0.5">
      <c r="A23" s="28">
        <v>7</v>
      </c>
      <c r="B23" s="7">
        <f t="shared" si="4"/>
        <v>6759</v>
      </c>
      <c r="C23" s="30">
        <f t="shared" si="3"/>
        <v>0.67883263775328528</v>
      </c>
      <c r="D23" s="29">
        <f t="shared" si="5"/>
        <v>4588.2297985744553</v>
      </c>
      <c r="J23" s="1" t="s">
        <v>38</v>
      </c>
      <c r="K23" s="21">
        <f>K18*K21*(1-K22)+K19*K20</f>
        <v>6.445918942291809E-2</v>
      </c>
    </row>
    <row r="24" spans="1:11" x14ac:dyDescent="0.45">
      <c r="A24" s="28">
        <v>8</v>
      </c>
      <c r="B24" s="7">
        <f t="shared" si="4"/>
        <v>6759</v>
      </c>
      <c r="C24" s="30">
        <f t="shared" si="3"/>
        <v>0.64228653397037128</v>
      </c>
      <c r="D24" s="29">
        <f t="shared" si="5"/>
        <v>4341.2146831057398</v>
      </c>
    </row>
    <row r="25" spans="1:11" x14ac:dyDescent="0.45">
      <c r="A25" s="28">
        <v>9</v>
      </c>
      <c r="B25" s="7">
        <f t="shared" si="4"/>
        <v>6759</v>
      </c>
      <c r="C25" s="30">
        <f t="shared" si="3"/>
        <v>0.60770795152840495</v>
      </c>
      <c r="D25" s="29">
        <f t="shared" si="5"/>
        <v>4107.4980443804889</v>
      </c>
    </row>
    <row r="26" spans="1:11" x14ac:dyDescent="0.45">
      <c r="A26" s="28">
        <v>10</v>
      </c>
      <c r="B26" s="7">
        <f t="shared" si="4"/>
        <v>6759</v>
      </c>
      <c r="C26" s="30">
        <f t="shared" si="3"/>
        <v>0.5749909655865314</v>
      </c>
      <c r="D26" s="29">
        <f t="shared" si="5"/>
        <v>3886.3639363993657</v>
      </c>
    </row>
    <row r="27" spans="1:11" x14ac:dyDescent="0.45">
      <c r="A27" s="28">
        <v>11</v>
      </c>
      <c r="B27" s="7">
        <f t="shared" si="4"/>
        <v>6759</v>
      </c>
      <c r="C27" s="30">
        <f t="shared" si="3"/>
        <v>0.54403535394694991</v>
      </c>
      <c r="D27" s="29">
        <f t="shared" si="5"/>
        <v>3677.1349573274342</v>
      </c>
    </row>
    <row r="28" spans="1:11" x14ac:dyDescent="0.45">
      <c r="A28" s="28">
        <v>12</v>
      </c>
      <c r="B28" s="7">
        <f t="shared" si="4"/>
        <v>6759</v>
      </c>
      <c r="C28" s="30">
        <f t="shared" si="3"/>
        <v>0.51474629004347627</v>
      </c>
      <c r="D28" s="29">
        <f t="shared" si="5"/>
        <v>3479.170174403856</v>
      </c>
    </row>
    <row r="29" spans="1:11" ht="14.65" thickBot="1" x14ac:dyDescent="0.5">
      <c r="A29" s="31">
        <v>13</v>
      </c>
      <c r="B29" s="19">
        <f>$B$11+$B$17</f>
        <v>147682</v>
      </c>
      <c r="C29" s="32">
        <f t="shared" si="3"/>
        <v>0.48703405245858283</v>
      </c>
      <c r="D29" s="33">
        <f t="shared" si="5"/>
        <v>71926.162935188433</v>
      </c>
    </row>
    <row r="30" spans="1:11" ht="14.65" thickBot="1" x14ac:dyDescent="0.5">
      <c r="D30" s="34">
        <f>SUM(D17:D29)</f>
        <v>129568.16338503285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6E5E-BDF4-426D-8F8E-9FDE5F99C905}">
  <dimension ref="A1:B9"/>
  <sheetViews>
    <sheetView workbookViewId="0">
      <selection activeCell="B7" sqref="B7"/>
    </sheetView>
  </sheetViews>
  <sheetFormatPr defaultRowHeight="14.25" x14ac:dyDescent="0.45"/>
  <cols>
    <col min="1" max="1" width="37.86328125" bestFit="1" customWidth="1"/>
    <col min="2" max="2" width="10.59765625" bestFit="1" customWidth="1"/>
  </cols>
  <sheetData>
    <row r="1" spans="1:2" x14ac:dyDescent="0.45">
      <c r="A1" s="1" t="s">
        <v>6</v>
      </c>
      <c r="B1" s="5" t="s">
        <v>7</v>
      </c>
    </row>
    <row r="2" spans="1:2" x14ac:dyDescent="0.45">
      <c r="A2" s="6" t="s">
        <v>39</v>
      </c>
      <c r="B2" s="29">
        <f>WACC!B8</f>
        <v>122336</v>
      </c>
    </row>
    <row r="3" spans="1:2" x14ac:dyDescent="0.45">
      <c r="A3" s="6" t="s">
        <v>40</v>
      </c>
      <c r="B3" s="29">
        <v>118245</v>
      </c>
    </row>
    <row r="4" spans="1:2" x14ac:dyDescent="0.45">
      <c r="A4" s="6" t="s">
        <v>41</v>
      </c>
      <c r="B4" s="29">
        <v>0</v>
      </c>
    </row>
    <row r="5" spans="1:2" x14ac:dyDescent="0.45">
      <c r="A5" s="6" t="s">
        <v>42</v>
      </c>
      <c r="B5" s="29">
        <f>SUM(B3:B4)</f>
        <v>118245</v>
      </c>
    </row>
    <row r="6" spans="1:2" x14ac:dyDescent="0.45">
      <c r="A6" s="6" t="s">
        <v>43</v>
      </c>
      <c r="B6" s="29">
        <f>WACC!B11</f>
        <v>140923</v>
      </c>
    </row>
    <row r="7" spans="1:2" x14ac:dyDescent="0.45">
      <c r="A7" s="6" t="s">
        <v>44</v>
      </c>
      <c r="B7" s="29">
        <v>3298</v>
      </c>
    </row>
    <row r="8" spans="1:2" x14ac:dyDescent="0.45">
      <c r="A8" s="35" t="s">
        <v>45</v>
      </c>
      <c r="B8" s="33">
        <f>B5+B6-B7</f>
        <v>255870</v>
      </c>
    </row>
    <row r="9" spans="1:2" x14ac:dyDescent="0.45">
      <c r="A9" s="36" t="s">
        <v>46</v>
      </c>
      <c r="B9" s="37">
        <f>B2/B8</f>
        <v>0.47811779419236333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C799-2422-4E5D-8A52-77CF2B1E9A73}">
  <dimension ref="A1:H26"/>
  <sheetViews>
    <sheetView workbookViewId="0">
      <selection activeCell="H18" sqref="H18"/>
    </sheetView>
  </sheetViews>
  <sheetFormatPr defaultRowHeight="14.25" x14ac:dyDescent="0.45"/>
  <cols>
    <col min="2" max="2" width="9.6640625" style="75" bestFit="1" customWidth="1"/>
  </cols>
  <sheetData>
    <row r="1" spans="1:8" ht="14.65" thickBot="1" x14ac:dyDescent="0.5">
      <c r="A1" s="1" t="s">
        <v>47</v>
      </c>
      <c r="B1" s="2" t="s">
        <v>0</v>
      </c>
      <c r="C1" s="5" t="s">
        <v>48</v>
      </c>
    </row>
    <row r="2" spans="1:8" x14ac:dyDescent="0.45">
      <c r="A2" s="28">
        <v>2024</v>
      </c>
      <c r="B2" s="111">
        <v>122326</v>
      </c>
      <c r="C2" s="8">
        <f>B2/B3-1</f>
        <v>-8.3314274512369391E-4</v>
      </c>
    </row>
    <row r="3" spans="1:8" x14ac:dyDescent="0.45">
      <c r="A3" s="28">
        <v>2023</v>
      </c>
      <c r="B3" s="111">
        <v>122428</v>
      </c>
      <c r="C3" s="8">
        <f t="shared" ref="C3:C11" si="0">B3/B4-1</f>
        <v>-0.19677207715522893</v>
      </c>
    </row>
    <row r="4" spans="1:8" x14ac:dyDescent="0.45">
      <c r="A4" s="28">
        <v>2022</v>
      </c>
      <c r="B4" s="111">
        <v>152420</v>
      </c>
      <c r="C4" s="8">
        <f t="shared" si="0"/>
        <v>-9.7380140231192014E-2</v>
      </c>
    </row>
    <row r="5" spans="1:8" x14ac:dyDescent="0.45">
      <c r="A5" s="28">
        <v>2021</v>
      </c>
      <c r="B5" s="111">
        <v>168864</v>
      </c>
      <c r="C5" s="8">
        <f t="shared" si="0"/>
        <v>0.10536961516557897</v>
      </c>
    </row>
    <row r="6" spans="1:8" x14ac:dyDescent="0.45">
      <c r="A6" s="28">
        <v>2020</v>
      </c>
      <c r="B6" s="111">
        <v>152767</v>
      </c>
      <c r="C6" s="8">
        <f t="shared" si="0"/>
        <v>-6.563954519599513E-2</v>
      </c>
    </row>
    <row r="7" spans="1:8" x14ac:dyDescent="0.45">
      <c r="A7" s="28">
        <v>2019</v>
      </c>
      <c r="B7" s="111">
        <v>163499</v>
      </c>
      <c r="C7" s="8">
        <f t="shared" si="0"/>
        <v>7.3215399258262481E-2</v>
      </c>
    </row>
    <row r="8" spans="1:8" x14ac:dyDescent="0.45">
      <c r="A8" s="28">
        <v>2018</v>
      </c>
      <c r="B8" s="111">
        <v>152345</v>
      </c>
      <c r="C8" s="8">
        <f t="shared" si="0"/>
        <v>4.634710880031867E-2</v>
      </c>
    </row>
    <row r="9" spans="1:8" x14ac:dyDescent="0.45">
      <c r="A9" s="28">
        <v>2017</v>
      </c>
      <c r="B9" s="111">
        <v>145597</v>
      </c>
      <c r="C9" s="8">
        <f t="shared" si="0"/>
        <v>-2.2077590607452735E-2</v>
      </c>
    </row>
    <row r="10" spans="1:8" x14ac:dyDescent="0.45">
      <c r="A10" s="28">
        <v>2016</v>
      </c>
      <c r="B10" s="111">
        <v>148884</v>
      </c>
      <c r="C10" s="8">
        <f t="shared" si="0"/>
        <v>0.13067582037865377</v>
      </c>
    </row>
    <row r="11" spans="1:8" x14ac:dyDescent="0.45">
      <c r="A11" s="28">
        <v>2015</v>
      </c>
      <c r="B11" s="111">
        <v>131677</v>
      </c>
      <c r="C11" s="8">
        <f t="shared" si="0"/>
        <v>0.11178939013990563</v>
      </c>
    </row>
    <row r="12" spans="1:8" ht="14.65" thickBot="1" x14ac:dyDescent="0.5">
      <c r="A12" s="28">
        <v>2014</v>
      </c>
      <c r="B12" s="111">
        <v>118437</v>
      </c>
      <c r="C12" s="76"/>
    </row>
    <row r="13" spans="1:8" x14ac:dyDescent="0.45">
      <c r="A13" s="77" t="s">
        <v>49</v>
      </c>
      <c r="B13" s="78"/>
      <c r="C13" s="79">
        <f>AVERAGE(C2:C11)</f>
        <v>8.4694837807727016E-3</v>
      </c>
    </row>
    <row r="14" spans="1:8" ht="14.65" thickBot="1" x14ac:dyDescent="0.5">
      <c r="A14" s="80" t="s">
        <v>50</v>
      </c>
      <c r="B14" s="81"/>
      <c r="C14" s="20">
        <f>MEDIAN(C2:C11)</f>
        <v>2.2756983027597488E-2</v>
      </c>
    </row>
    <row r="16" spans="1:8" x14ac:dyDescent="0.45">
      <c r="H16" s="82"/>
    </row>
    <row r="17" spans="8:8" x14ac:dyDescent="0.45">
      <c r="H17" s="82"/>
    </row>
    <row r="18" spans="8:8" x14ac:dyDescent="0.45">
      <c r="H18" s="82"/>
    </row>
    <row r="19" spans="8:8" x14ac:dyDescent="0.45">
      <c r="H19" s="82"/>
    </row>
    <row r="20" spans="8:8" x14ac:dyDescent="0.45">
      <c r="H20" s="82"/>
    </row>
    <row r="21" spans="8:8" x14ac:dyDescent="0.45">
      <c r="H21" s="82"/>
    </row>
    <row r="22" spans="8:8" x14ac:dyDescent="0.45">
      <c r="H22" s="82"/>
    </row>
    <row r="23" spans="8:8" x14ac:dyDescent="0.45">
      <c r="H23" s="82"/>
    </row>
    <row r="24" spans="8:8" x14ac:dyDescent="0.45">
      <c r="H24" s="82"/>
    </row>
    <row r="25" spans="8:8" x14ac:dyDescent="0.45">
      <c r="H25" s="82"/>
    </row>
    <row r="26" spans="8:8" x14ac:dyDescent="0.45">
      <c r="H26" s="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F46F-60BA-42CC-B767-9C5BF3B9C569}">
  <dimension ref="A1:P24"/>
  <sheetViews>
    <sheetView workbookViewId="0">
      <selection activeCell="L13" sqref="L13"/>
    </sheetView>
  </sheetViews>
  <sheetFormatPr defaultRowHeight="14.25" x14ac:dyDescent="0.45"/>
  <cols>
    <col min="1" max="1" width="22.59765625" bestFit="1" customWidth="1"/>
    <col min="2" max="12" width="9.73046875" bestFit="1" customWidth="1"/>
    <col min="13" max="13" width="11.59765625" bestFit="1" customWidth="1"/>
    <col min="15" max="15" width="24.86328125" bestFit="1" customWidth="1"/>
    <col min="16" max="16" width="9.73046875" bestFit="1" customWidth="1"/>
  </cols>
  <sheetData>
    <row r="1" spans="1:16" x14ac:dyDescent="0.45">
      <c r="A1" s="38" t="s">
        <v>47</v>
      </c>
      <c r="B1" s="39">
        <v>2023</v>
      </c>
      <c r="C1" s="40">
        <v>2024</v>
      </c>
      <c r="D1" s="40">
        <v>2025</v>
      </c>
      <c r="E1" s="40">
        <v>2026</v>
      </c>
      <c r="F1" s="40">
        <v>2027</v>
      </c>
      <c r="G1" s="40">
        <v>2028</v>
      </c>
      <c r="H1" s="40">
        <v>2029</v>
      </c>
      <c r="I1" s="40">
        <v>2030</v>
      </c>
      <c r="J1" s="40">
        <v>2031</v>
      </c>
      <c r="K1" s="40">
        <v>2032</v>
      </c>
      <c r="L1" s="40">
        <v>2033</v>
      </c>
      <c r="M1" s="41">
        <v>2033</v>
      </c>
      <c r="O1" s="1" t="s">
        <v>6</v>
      </c>
      <c r="P1" s="5" t="s">
        <v>7</v>
      </c>
    </row>
    <row r="2" spans="1:16" x14ac:dyDescent="0.45">
      <c r="A2" s="42" t="s">
        <v>29</v>
      </c>
      <c r="B2" s="43">
        <v>0</v>
      </c>
      <c r="C2" s="44">
        <v>1</v>
      </c>
      <c r="D2" s="44">
        <v>2</v>
      </c>
      <c r="E2" s="44">
        <v>3</v>
      </c>
      <c r="F2" s="44">
        <v>4</v>
      </c>
      <c r="G2" s="44">
        <v>5</v>
      </c>
      <c r="H2" s="44">
        <v>6</v>
      </c>
      <c r="I2" s="44">
        <v>7</v>
      </c>
      <c r="J2" s="44">
        <v>8</v>
      </c>
      <c r="K2" s="44">
        <v>9</v>
      </c>
      <c r="L2" s="44">
        <v>10</v>
      </c>
      <c r="M2" s="45" t="s">
        <v>51</v>
      </c>
      <c r="O2" s="28" t="s">
        <v>52</v>
      </c>
      <c r="P2" s="8">
        <f>B8/B10</f>
        <v>5.4637359205846725E-2</v>
      </c>
    </row>
    <row r="3" spans="1:16" x14ac:dyDescent="0.45">
      <c r="A3" s="46" t="s">
        <v>53</v>
      </c>
      <c r="B3" s="47"/>
      <c r="C3" s="48">
        <f>Sensitive!B3</f>
        <v>2.2756983027597488E-2</v>
      </c>
      <c r="D3" s="48">
        <f>C3-($C$3-$M$3)/9</f>
        <v>2.4917318246753323E-2</v>
      </c>
      <c r="E3" s="48">
        <f t="shared" ref="E3:K3" si="0">D3-($C$3-$M$3)/9</f>
        <v>2.7077653465909159E-2</v>
      </c>
      <c r="F3" s="48">
        <f t="shared" si="0"/>
        <v>2.9237988685064994E-2</v>
      </c>
      <c r="G3" s="48">
        <f t="shared" si="0"/>
        <v>3.1398323904220829E-2</v>
      </c>
      <c r="H3" s="48">
        <f t="shared" si="0"/>
        <v>3.3558659123376661E-2</v>
      </c>
      <c r="I3" s="48">
        <f t="shared" si="0"/>
        <v>3.5718994342532492E-2</v>
      </c>
      <c r="J3" s="48">
        <f t="shared" si="0"/>
        <v>3.7879329561688324E-2</v>
      </c>
      <c r="K3" s="48">
        <f t="shared" si="0"/>
        <v>4.0039664780844156E-2</v>
      </c>
      <c r="L3" s="48">
        <f>WACC!A14</f>
        <v>4.2200000000000001E-2</v>
      </c>
      <c r="M3" s="49">
        <f>$L$3</f>
        <v>4.2200000000000001E-2</v>
      </c>
      <c r="O3" s="28" t="s">
        <v>54</v>
      </c>
      <c r="P3" s="8">
        <f>M3</f>
        <v>4.2200000000000001E-2</v>
      </c>
    </row>
    <row r="4" spans="1:16" x14ac:dyDescent="0.45">
      <c r="A4" s="46" t="s">
        <v>0</v>
      </c>
      <c r="B4" s="50">
        <f>WACC!B8</f>
        <v>122336</v>
      </c>
      <c r="C4" s="51">
        <f>B4*(1+C3)</f>
        <v>125119.99827566417</v>
      </c>
      <c r="D4" s="51">
        <f t="shared" ref="D4:L4" si="1">C4*(1+D3)</f>
        <v>128237.65309173211</v>
      </c>
      <c r="E4" s="51">
        <f t="shared" si="1"/>
        <v>131710.0278234315</v>
      </c>
      <c r="F4" s="51">
        <f t="shared" si="1"/>
        <v>135560.96412664259</v>
      </c>
      <c r="G4" s="51">
        <f t="shared" si="1"/>
        <v>139817.35118705936</v>
      </c>
      <c r="H4" s="51">
        <f t="shared" si="1"/>
        <v>144509.43401507934</v>
      </c>
      <c r="I4" s="51">
        <f t="shared" si="1"/>
        <v>149671.16567110652</v>
      </c>
      <c r="J4" s="51">
        <f t="shared" si="1"/>
        <v>155340.60908144442</v>
      </c>
      <c r="K4" s="51">
        <f t="shared" si="1"/>
        <v>161560.3949959176</v>
      </c>
      <c r="L4" s="51">
        <f t="shared" si="1"/>
        <v>168378.24366474533</v>
      </c>
      <c r="M4" s="52">
        <f>$L$4</f>
        <v>168378.24366474533</v>
      </c>
      <c r="O4" s="53" t="s">
        <v>55</v>
      </c>
      <c r="P4" s="21">
        <f>P3/P2</f>
        <v>0.77236529388272834</v>
      </c>
    </row>
    <row r="5" spans="1:16" x14ac:dyDescent="0.45">
      <c r="A5" s="46" t="s">
        <v>56</v>
      </c>
      <c r="B5" s="47">
        <f>Sensitive!B4</f>
        <v>0.15571050222338478</v>
      </c>
      <c r="C5" s="48">
        <f>B5-($B$5-$L$5)/10</f>
        <v>0.15654945200104631</v>
      </c>
      <c r="D5" s="48">
        <f>C5-($B$5-$L$5)/10</f>
        <v>0.15738840177870783</v>
      </c>
      <c r="E5" s="48">
        <f t="shared" ref="E5:K5" si="2">D5-($B$5-$L$5)/10</f>
        <v>0.15822735155636936</v>
      </c>
      <c r="F5" s="48">
        <f t="shared" si="2"/>
        <v>0.15906630133403088</v>
      </c>
      <c r="G5" s="48">
        <f>F5-($B$5-$L$5)/10</f>
        <v>0.1599052511116924</v>
      </c>
      <c r="H5" s="48">
        <f t="shared" si="2"/>
        <v>0.16074420088935393</v>
      </c>
      <c r="I5" s="48">
        <f t="shared" si="2"/>
        <v>0.16158315066701545</v>
      </c>
      <c r="J5" s="48">
        <f t="shared" si="2"/>
        <v>0.16242210044467698</v>
      </c>
      <c r="K5" s="48">
        <f t="shared" si="2"/>
        <v>0.1632610502223385</v>
      </c>
      <c r="L5" s="48">
        <v>0.1641</v>
      </c>
      <c r="M5" s="49">
        <f>$L$5</f>
        <v>0.1641</v>
      </c>
    </row>
    <row r="6" spans="1:16" x14ac:dyDescent="0.45">
      <c r="A6" s="46" t="s">
        <v>57</v>
      </c>
      <c r="B6" s="51">
        <v>19049</v>
      </c>
      <c r="C6" s="51">
        <f>C4*C5</f>
        <v>19587.467164427086</v>
      </c>
      <c r="D6" s="51">
        <f t="shared" ref="D6:L6" si="3">D4*D5</f>
        <v>20183.119267960086</v>
      </c>
      <c r="E6" s="51">
        <f t="shared" si="3"/>
        <v>20840.128875917286</v>
      </c>
      <c r="F6" s="51">
        <f t="shared" si="3"/>
        <v>21563.181168900279</v>
      </c>
      <c r="G6" s="51">
        <f t="shared" si="3"/>
        <v>22357.528651338413</v>
      </c>
      <c r="H6" s="51">
        <f t="shared" si="3"/>
        <v>23229.053491726751</v>
      </c>
      <c r="I6" s="51">
        <f t="shared" si="3"/>
        <v>24184.338513142236</v>
      </c>
      <c r="J6" s="51">
        <f>J4*J5</f>
        <v>25230.748011363667</v>
      </c>
      <c r="K6" s="51">
        <f t="shared" si="3"/>
        <v>26376.519761369349</v>
      </c>
      <c r="L6" s="51">
        <f t="shared" si="3"/>
        <v>27630.869785384708</v>
      </c>
      <c r="M6" s="52">
        <f>$L$6</f>
        <v>27630.869785384708</v>
      </c>
    </row>
    <row r="7" spans="1:16" x14ac:dyDescent="0.45">
      <c r="A7" s="46" t="s">
        <v>37</v>
      </c>
      <c r="B7" s="47">
        <v>0.2661</v>
      </c>
      <c r="C7" s="48">
        <f>B7-($B$7-$L$7)/10</f>
        <v>0.26467480406421656</v>
      </c>
      <c r="D7" s="48">
        <f t="shared" ref="D7:K7" si="4">C7-($B$7-$L$7)/10</f>
        <v>0.26324960812843312</v>
      </c>
      <c r="E7" s="48">
        <f t="shared" si="4"/>
        <v>0.26182441219264968</v>
      </c>
      <c r="F7" s="48">
        <f t="shared" si="4"/>
        <v>0.26039921625686624</v>
      </c>
      <c r="G7" s="48">
        <f t="shared" si="4"/>
        <v>0.2589740203210828</v>
      </c>
      <c r="H7" s="48">
        <f t="shared" si="4"/>
        <v>0.25754882438529936</v>
      </c>
      <c r="I7" s="48">
        <f t="shared" si="4"/>
        <v>0.25612362844951592</v>
      </c>
      <c r="J7" s="48">
        <f t="shared" si="4"/>
        <v>0.25469843251373248</v>
      </c>
      <c r="K7" s="48">
        <f t="shared" si="4"/>
        <v>0.25327323657794903</v>
      </c>
      <c r="L7" s="48">
        <f>WACC!G8</f>
        <v>0.25184804064216582</v>
      </c>
      <c r="M7" s="49">
        <f>$L$7</f>
        <v>0.25184804064216582</v>
      </c>
      <c r="O7" s="1" t="s">
        <v>6</v>
      </c>
      <c r="P7" s="5" t="s">
        <v>7</v>
      </c>
    </row>
    <row r="8" spans="1:16" x14ac:dyDescent="0.45">
      <c r="A8" s="46" t="s">
        <v>58</v>
      </c>
      <c r="B8" s="50">
        <f>B6*(1-B7)</f>
        <v>13980.061100000001</v>
      </c>
      <c r="C8" s="51">
        <f t="shared" ref="C8:L8" si="5">C6*(1-C7)</f>
        <v>14403.15813056807</v>
      </c>
      <c r="D8" s="51">
        <f t="shared" si="5"/>
        <v>14869.921029860165</v>
      </c>
      <c r="E8" s="51">
        <f t="shared" si="5"/>
        <v>15383.674382961179</v>
      </c>
      <c r="F8" s="51">
        <f t="shared" si="5"/>
        <v>15948.14569251383</v>
      </c>
      <c r="G8" s="51">
        <f t="shared" si="5"/>
        <v>16567.509572057508</v>
      </c>
      <c r="H8" s="51">
        <f t="shared" si="5"/>
        <v>17246.438073349294</v>
      </c>
      <c r="I8" s="51">
        <f t="shared" si="5"/>
        <v>17990.157981504879</v>
      </c>
      <c r="J8" s="51">
        <f t="shared" si="5"/>
        <v>18804.51604172037</v>
      </c>
      <c r="K8" s="51">
        <f t="shared" si="5"/>
        <v>19696.0532317451</v>
      </c>
      <c r="L8" s="51">
        <f t="shared" si="5"/>
        <v>20672.08936869675</v>
      </c>
      <c r="M8" s="52">
        <f>$L$8</f>
        <v>20672.08936869675</v>
      </c>
      <c r="O8" s="28" t="s">
        <v>57</v>
      </c>
      <c r="P8" s="29">
        <f>B6</f>
        <v>19049</v>
      </c>
    </row>
    <row r="9" spans="1:16" x14ac:dyDescent="0.45">
      <c r="A9" s="46" t="s">
        <v>59</v>
      </c>
      <c r="B9" s="50">
        <f>Sensitive!B5</f>
        <v>0.47811779419236333</v>
      </c>
      <c r="C9" s="51">
        <f>$B$9</f>
        <v>0.47811779419236333</v>
      </c>
      <c r="D9" s="51">
        <f t="shared" ref="D9:L9" si="6">$B$9</f>
        <v>0.47811779419236333</v>
      </c>
      <c r="E9" s="51">
        <f t="shared" si="6"/>
        <v>0.47811779419236333</v>
      </c>
      <c r="F9" s="51">
        <f t="shared" si="6"/>
        <v>0.47811779419236333</v>
      </c>
      <c r="G9" s="51">
        <f t="shared" si="6"/>
        <v>0.47811779419236333</v>
      </c>
      <c r="H9" s="51">
        <f t="shared" si="6"/>
        <v>0.47811779419236333</v>
      </c>
      <c r="I9" s="51">
        <f t="shared" si="6"/>
        <v>0.47811779419236333</v>
      </c>
      <c r="J9" s="51">
        <f t="shared" si="6"/>
        <v>0.47811779419236333</v>
      </c>
      <c r="K9" s="51">
        <f t="shared" si="6"/>
        <v>0.47811779419236333</v>
      </c>
      <c r="L9" s="51">
        <f t="shared" si="6"/>
        <v>0.47811779419236333</v>
      </c>
      <c r="M9" s="52"/>
      <c r="O9" s="28" t="s">
        <v>0</v>
      </c>
      <c r="P9" s="29">
        <f>B4</f>
        <v>122336</v>
      </c>
    </row>
    <row r="10" spans="1:16" x14ac:dyDescent="0.45">
      <c r="A10" s="46" t="s">
        <v>60</v>
      </c>
      <c r="B10" s="50">
        <f>B4/B9</f>
        <v>255870</v>
      </c>
      <c r="C10" s="51">
        <f t="shared" ref="C10:L10" si="7">C4/C9</f>
        <v>261692.82924727135</v>
      </c>
      <c r="D10" s="51">
        <f t="shared" si="7"/>
        <v>268213.51275651884</v>
      </c>
      <c r="E10" s="51">
        <f t="shared" si="7"/>
        <v>275476.1053098141</v>
      </c>
      <c r="F10" s="51">
        <f t="shared" si="7"/>
        <v>283530.47255986824</v>
      </c>
      <c r="G10" s="51">
        <f t="shared" si="7"/>
        <v>292432.85417401971</v>
      </c>
      <c r="H10" s="51">
        <f t="shared" si="7"/>
        <v>302246.50864372181</v>
      </c>
      <c r="I10" s="51">
        <f t="shared" si="7"/>
        <v>313042.44997601706</v>
      </c>
      <c r="J10" s="51">
        <f t="shared" si="7"/>
        <v>324900.28810545697</v>
      </c>
      <c r="K10" s="51">
        <f t="shared" si="7"/>
        <v>337909.18672839913</v>
      </c>
      <c r="L10" s="51">
        <f t="shared" si="7"/>
        <v>352168.95440833759</v>
      </c>
      <c r="M10" s="52"/>
      <c r="O10" s="53" t="s">
        <v>56</v>
      </c>
      <c r="P10" s="21">
        <f>P8/P9</f>
        <v>0.15571050222338478</v>
      </c>
    </row>
    <row r="11" spans="1:16" x14ac:dyDescent="0.45">
      <c r="A11" s="46" t="s">
        <v>61</v>
      </c>
      <c r="B11" s="50"/>
      <c r="C11" s="51">
        <f>(C4-B4)/C9</f>
        <v>5822.8292472713756</v>
      </c>
      <c r="D11" s="51">
        <f t="shared" ref="D11:L11" si="8">(D4-C4)/D9</f>
        <v>6520.6835092475085</v>
      </c>
      <c r="E11" s="51">
        <f t="shared" si="8"/>
        <v>7262.5925532952269</v>
      </c>
      <c r="F11" s="51">
        <f t="shared" si="8"/>
        <v>8054.3672500541152</v>
      </c>
      <c r="G11" s="51">
        <f t="shared" si="8"/>
        <v>8902.3816141515181</v>
      </c>
      <c r="H11" s="51">
        <f t="shared" si="8"/>
        <v>9813.6544697020654</v>
      </c>
      <c r="I11" s="51">
        <f t="shared" si="8"/>
        <v>10795.941332295257</v>
      </c>
      <c r="J11" s="51">
        <f t="shared" si="8"/>
        <v>11857.838129439895</v>
      </c>
      <c r="K11" s="51">
        <f t="shared" si="8"/>
        <v>13008.898622942157</v>
      </c>
      <c r="L11" s="51">
        <f t="shared" si="8"/>
        <v>14259.767679938464</v>
      </c>
      <c r="M11" s="52">
        <f>M8*P4</f>
        <v>15966.40438042349</v>
      </c>
    </row>
    <row r="12" spans="1:16" x14ac:dyDescent="0.45">
      <c r="A12" s="54" t="s">
        <v>62</v>
      </c>
      <c r="B12" s="55"/>
      <c r="C12" s="56">
        <f>C8-C11</f>
        <v>8580.3288832966937</v>
      </c>
      <c r="D12" s="56">
        <f t="shared" ref="D12:M12" si="9">D8-D11</f>
        <v>8349.2375206126562</v>
      </c>
      <c r="E12" s="56">
        <f t="shared" si="9"/>
        <v>8121.0818296659518</v>
      </c>
      <c r="F12" s="56">
        <f t="shared" si="9"/>
        <v>7893.7784424597148</v>
      </c>
      <c r="G12" s="56">
        <f t="shared" si="9"/>
        <v>7665.1279579059901</v>
      </c>
      <c r="H12" s="56">
        <f t="shared" si="9"/>
        <v>7432.783603647229</v>
      </c>
      <c r="I12" s="56">
        <f t="shared" si="9"/>
        <v>7194.2166492096221</v>
      </c>
      <c r="J12" s="56">
        <f t="shared" si="9"/>
        <v>6946.6779122804746</v>
      </c>
      <c r="K12" s="56">
        <f t="shared" si="9"/>
        <v>6687.1546088029427</v>
      </c>
      <c r="L12" s="56">
        <f t="shared" si="9"/>
        <v>6412.3216887582857</v>
      </c>
      <c r="M12" s="57">
        <f t="shared" si="9"/>
        <v>4705.6849882732604</v>
      </c>
    </row>
    <row r="13" spans="1:16" x14ac:dyDescent="0.45">
      <c r="A13" s="58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O13" s="1" t="s">
        <v>6</v>
      </c>
      <c r="P13" s="5" t="s">
        <v>7</v>
      </c>
    </row>
    <row r="14" spans="1:16" x14ac:dyDescent="0.45">
      <c r="A14" s="38" t="s">
        <v>63</v>
      </c>
      <c r="B14" s="59"/>
      <c r="C14" s="60">
        <f>WACC!$K$19</f>
        <v>0.59508451183199829</v>
      </c>
      <c r="D14" s="60">
        <f>$C$14</f>
        <v>0.59508451183199829</v>
      </c>
      <c r="E14" s="60">
        <f t="shared" ref="E14:M14" si="10">$C$14</f>
        <v>0.59508451183199829</v>
      </c>
      <c r="F14" s="60">
        <f t="shared" si="10"/>
        <v>0.59508451183199829</v>
      </c>
      <c r="G14" s="60">
        <f t="shared" si="10"/>
        <v>0.59508451183199829</v>
      </c>
      <c r="H14" s="60">
        <f t="shared" si="10"/>
        <v>0.59508451183199829</v>
      </c>
      <c r="I14" s="60">
        <f t="shared" si="10"/>
        <v>0.59508451183199829</v>
      </c>
      <c r="J14" s="60">
        <f t="shared" si="10"/>
        <v>0.59508451183199829</v>
      </c>
      <c r="K14" s="60">
        <f t="shared" si="10"/>
        <v>0.59508451183199829</v>
      </c>
      <c r="L14" s="60">
        <f t="shared" si="10"/>
        <v>0.59508451183199829</v>
      </c>
      <c r="M14" s="61">
        <f t="shared" si="10"/>
        <v>0.59508451183199829</v>
      </c>
      <c r="O14" s="6" t="s">
        <v>64</v>
      </c>
      <c r="P14" s="29">
        <f>SUM(C24:M24)</f>
        <v>168357.83995205967</v>
      </c>
    </row>
    <row r="15" spans="1:16" x14ac:dyDescent="0.45">
      <c r="A15" s="46" t="s">
        <v>65</v>
      </c>
      <c r="B15" s="47"/>
      <c r="C15" s="48">
        <f>WACC!$K$18</f>
        <v>0.40491548816800166</v>
      </c>
      <c r="D15" s="48">
        <f>$C$15</f>
        <v>0.40491548816800166</v>
      </c>
      <c r="E15" s="48">
        <f t="shared" ref="E15:M15" si="11">$C$15</f>
        <v>0.40491548816800166</v>
      </c>
      <c r="F15" s="48">
        <f t="shared" si="11"/>
        <v>0.40491548816800166</v>
      </c>
      <c r="G15" s="48">
        <f t="shared" si="11"/>
        <v>0.40491548816800166</v>
      </c>
      <c r="H15" s="48">
        <f t="shared" si="11"/>
        <v>0.40491548816800166</v>
      </c>
      <c r="I15" s="48">
        <f t="shared" si="11"/>
        <v>0.40491548816800166</v>
      </c>
      <c r="J15" s="48">
        <f t="shared" si="11"/>
        <v>0.40491548816800166</v>
      </c>
      <c r="K15" s="48">
        <f t="shared" si="11"/>
        <v>0.40491548816800166</v>
      </c>
      <c r="L15" s="48">
        <f t="shared" si="11"/>
        <v>0.40491548816800166</v>
      </c>
      <c r="M15" s="49">
        <f t="shared" si="11"/>
        <v>0.40491548816800166</v>
      </c>
      <c r="O15" s="6" t="s">
        <v>66</v>
      </c>
      <c r="P15" s="29">
        <f>WACC!D30</f>
        <v>129568.16338503285</v>
      </c>
    </row>
    <row r="16" spans="1:16" x14ac:dyDescent="0.45">
      <c r="A16" s="46" t="s">
        <v>23</v>
      </c>
      <c r="B16" s="47"/>
      <c r="C16" s="48">
        <f>WACC!$K$20</f>
        <v>7.9353433524652961E-2</v>
      </c>
      <c r="D16" s="48">
        <f>$C$16</f>
        <v>7.9353433524652961E-2</v>
      </c>
      <c r="E16" s="48">
        <f t="shared" ref="E16:M16" si="12">$C$16</f>
        <v>7.9353433524652961E-2</v>
      </c>
      <c r="F16" s="48">
        <f t="shared" si="12"/>
        <v>7.9353433524652961E-2</v>
      </c>
      <c r="G16" s="48">
        <f t="shared" si="12"/>
        <v>7.9353433524652961E-2</v>
      </c>
      <c r="H16" s="48">
        <f t="shared" si="12"/>
        <v>7.9353433524652961E-2</v>
      </c>
      <c r="I16" s="48">
        <f t="shared" si="12"/>
        <v>7.9353433524652961E-2</v>
      </c>
      <c r="J16" s="48">
        <f t="shared" si="12"/>
        <v>7.9353433524652961E-2</v>
      </c>
      <c r="K16" s="48">
        <f t="shared" si="12"/>
        <v>7.9353433524652961E-2</v>
      </c>
      <c r="L16" s="48">
        <f t="shared" si="12"/>
        <v>7.9353433524652961E-2</v>
      </c>
      <c r="M16" s="49">
        <f t="shared" si="12"/>
        <v>7.9353433524652961E-2</v>
      </c>
      <c r="O16" s="6" t="s">
        <v>67</v>
      </c>
      <c r="P16" s="29">
        <f>'Sales-To-Capital'!B7</f>
        <v>3298</v>
      </c>
    </row>
    <row r="17" spans="1:16" x14ac:dyDescent="0.45">
      <c r="A17" s="46" t="s">
        <v>68</v>
      </c>
      <c r="B17" s="47"/>
      <c r="C17" s="48">
        <f>WACC!$K$21</f>
        <v>5.6899999999999999E-2</v>
      </c>
      <c r="D17" s="48">
        <f>$C$17</f>
        <v>5.6899999999999999E-2</v>
      </c>
      <c r="E17" s="48">
        <f t="shared" ref="E17:M17" si="13">$C$17</f>
        <v>5.6899999999999999E-2</v>
      </c>
      <c r="F17" s="48">
        <f t="shared" si="13"/>
        <v>5.6899999999999999E-2</v>
      </c>
      <c r="G17" s="48">
        <f t="shared" si="13"/>
        <v>5.6899999999999999E-2</v>
      </c>
      <c r="H17" s="48">
        <f t="shared" si="13"/>
        <v>5.6899999999999999E-2</v>
      </c>
      <c r="I17" s="48">
        <f t="shared" si="13"/>
        <v>5.6899999999999999E-2</v>
      </c>
      <c r="J17" s="48">
        <f t="shared" si="13"/>
        <v>5.6899999999999999E-2</v>
      </c>
      <c r="K17" s="48">
        <f t="shared" si="13"/>
        <v>5.6899999999999999E-2</v>
      </c>
      <c r="L17" s="48">
        <f t="shared" si="13"/>
        <v>5.6899999999999999E-2</v>
      </c>
      <c r="M17" s="49">
        <f t="shared" si="13"/>
        <v>5.6899999999999999E-2</v>
      </c>
      <c r="O17" s="6" t="s">
        <v>69</v>
      </c>
      <c r="P17" s="29">
        <f>P14-P15+P16</f>
        <v>42087.676567026821</v>
      </c>
    </row>
    <row r="18" spans="1:16" x14ac:dyDescent="0.45">
      <c r="A18" s="46" t="s">
        <v>70</v>
      </c>
      <c r="B18" s="47"/>
      <c r="C18" s="48">
        <f>C7</f>
        <v>0.26467480406421656</v>
      </c>
      <c r="D18" s="48">
        <f t="shared" ref="D18:M18" si="14">D7</f>
        <v>0.26324960812843312</v>
      </c>
      <c r="E18" s="48">
        <f t="shared" si="14"/>
        <v>0.26182441219264968</v>
      </c>
      <c r="F18" s="48">
        <f t="shared" si="14"/>
        <v>0.26039921625686624</v>
      </c>
      <c r="G18" s="48">
        <f t="shared" si="14"/>
        <v>0.2589740203210828</v>
      </c>
      <c r="H18" s="48">
        <f t="shared" si="14"/>
        <v>0.25754882438529936</v>
      </c>
      <c r="I18" s="48">
        <f t="shared" si="14"/>
        <v>0.25612362844951592</v>
      </c>
      <c r="J18" s="48">
        <f t="shared" si="14"/>
        <v>0.25469843251373248</v>
      </c>
      <c r="K18" s="48">
        <f t="shared" si="14"/>
        <v>0.25327323657794903</v>
      </c>
      <c r="L18" s="48">
        <f t="shared" si="14"/>
        <v>0.25184804064216582</v>
      </c>
      <c r="M18" s="49">
        <f t="shared" si="14"/>
        <v>0.25184804064216582</v>
      </c>
      <c r="O18" s="6" t="s">
        <v>71</v>
      </c>
      <c r="P18" s="29">
        <f>SUM(C24:L24)-P15+P16</f>
        <v>-71106.308549051537</v>
      </c>
    </row>
    <row r="19" spans="1:16" x14ac:dyDescent="0.45">
      <c r="A19" s="46" t="s">
        <v>72</v>
      </c>
      <c r="B19" s="47"/>
      <c r="C19" s="48">
        <f>C17*(1-C18)</f>
        <v>4.1840003648746071E-2</v>
      </c>
      <c r="D19" s="48">
        <f t="shared" ref="D19:M19" si="15">D17*(1-D18)</f>
        <v>4.1921097297492153E-2</v>
      </c>
      <c r="E19" s="48">
        <f t="shared" si="15"/>
        <v>4.2002190946238235E-2</v>
      </c>
      <c r="F19" s="48">
        <f t="shared" si="15"/>
        <v>4.208328459498431E-2</v>
      </c>
      <c r="G19" s="48">
        <f t="shared" si="15"/>
        <v>4.2164378243730385E-2</v>
      </c>
      <c r="H19" s="48">
        <f t="shared" si="15"/>
        <v>4.2245471892476467E-2</v>
      </c>
      <c r="I19" s="48">
        <f t="shared" si="15"/>
        <v>4.2326565541222549E-2</v>
      </c>
      <c r="J19" s="48">
        <f t="shared" si="15"/>
        <v>4.2407659189968624E-2</v>
      </c>
      <c r="K19" s="48">
        <f t="shared" si="15"/>
        <v>4.24887528387147E-2</v>
      </c>
      <c r="L19" s="48">
        <f t="shared" si="15"/>
        <v>4.2569846487460768E-2</v>
      </c>
      <c r="M19" s="49">
        <f t="shared" si="15"/>
        <v>4.2569846487460768E-2</v>
      </c>
      <c r="O19" s="6" t="s">
        <v>73</v>
      </c>
      <c r="P19" s="62">
        <v>7199</v>
      </c>
    </row>
    <row r="20" spans="1:16" x14ac:dyDescent="0.45">
      <c r="A20" s="54" t="s">
        <v>38</v>
      </c>
      <c r="B20" s="63"/>
      <c r="C20" s="64">
        <f>C14*C16+C15*C19</f>
        <v>6.4163664753594016E-2</v>
      </c>
      <c r="D20" s="64">
        <f t="shared" ref="D20:M20" si="16">D14*D16+D15*D19</f>
        <v>6.4196500827963354E-2</v>
      </c>
      <c r="E20" s="64">
        <f t="shared" si="16"/>
        <v>6.4229336902332707E-2</v>
      </c>
      <c r="F20" s="64">
        <f t="shared" si="16"/>
        <v>6.4262172976702045E-2</v>
      </c>
      <c r="G20" s="64">
        <f t="shared" si="16"/>
        <v>6.4295009051071383E-2</v>
      </c>
      <c r="H20" s="64">
        <f t="shared" si="16"/>
        <v>6.4327845125440736E-2</v>
      </c>
      <c r="I20" s="64">
        <f t="shared" si="16"/>
        <v>6.4360681199810074E-2</v>
      </c>
      <c r="J20" s="64">
        <f t="shared" si="16"/>
        <v>6.4393517274179413E-2</v>
      </c>
      <c r="K20" s="64">
        <f t="shared" si="16"/>
        <v>6.4426353348548765E-2</v>
      </c>
      <c r="L20" s="64">
        <f t="shared" si="16"/>
        <v>6.4459189422918103E-2</v>
      </c>
      <c r="M20" s="65">
        <f t="shared" si="16"/>
        <v>6.4459189422918103E-2</v>
      </c>
      <c r="O20" s="36" t="s">
        <v>74</v>
      </c>
      <c r="P20" s="66">
        <f>P17/P19</f>
        <v>5.8463226235625534</v>
      </c>
    </row>
    <row r="21" spans="1:16" x14ac:dyDescent="0.45">
      <c r="A21" s="58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6" x14ac:dyDescent="0.45">
      <c r="A22" s="58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6" x14ac:dyDescent="0.45">
      <c r="A23" s="38" t="s">
        <v>31</v>
      </c>
      <c r="B23" s="67"/>
      <c r="C23" s="67">
        <f>1/((1+C20)^C2)</f>
        <v>0.93970507838336037</v>
      </c>
      <c r="D23" s="67">
        <f t="shared" ref="D23:L23" si="17">1/((1+D20)^D2)</f>
        <v>0.88299114195059547</v>
      </c>
      <c r="E23" s="67">
        <f t="shared" si="17"/>
        <v>0.82964885855861603</v>
      </c>
      <c r="F23" s="67">
        <f t="shared" si="17"/>
        <v>0.77948093017206721</v>
      </c>
      <c r="G23" s="67">
        <f t="shared" si="17"/>
        <v>0.73230141315152508</v>
      </c>
      <c r="H23" s="67">
        <f t="shared" si="17"/>
        <v>0.68793507622104932</v>
      </c>
      <c r="I23" s="67">
        <f t="shared" si="17"/>
        <v>0.64621679406761445</v>
      </c>
      <c r="J23" s="67">
        <f t="shared" si="17"/>
        <v>0.60699097463384599</v>
      </c>
      <c r="K23" s="67">
        <f t="shared" si="17"/>
        <v>0.57011101826874166</v>
      </c>
      <c r="L23" s="67">
        <f t="shared" si="17"/>
        <v>0.53543880699891988</v>
      </c>
      <c r="M23" s="68">
        <f>(1/(M20-M3))*L23</f>
        <v>24.05473069237782</v>
      </c>
    </row>
    <row r="24" spans="1:16" x14ac:dyDescent="0.45">
      <c r="A24" s="54" t="s">
        <v>75</v>
      </c>
      <c r="B24" s="56"/>
      <c r="C24" s="56">
        <f>C12*C23</f>
        <v>8062.9786258333306</v>
      </c>
      <c r="D24" s="56">
        <f t="shared" ref="D24:L24" si="18">D12*D23</f>
        <v>7372.3027727425278</v>
      </c>
      <c r="E24" s="56">
        <f t="shared" si="18"/>
        <v>6737.6462702434737</v>
      </c>
      <c r="F24" s="56">
        <f t="shared" si="18"/>
        <v>6153.0497629007104</v>
      </c>
      <c r="G24" s="56">
        <f t="shared" si="18"/>
        <v>5613.1840355618206</v>
      </c>
      <c r="H24" s="56">
        <f t="shared" si="18"/>
        <v>5113.2725549096222</v>
      </c>
      <c r="I24" s="56">
        <f t="shared" si="18"/>
        <v>4649.0236188800973</v>
      </c>
      <c r="J24" s="56">
        <f t="shared" si="18"/>
        <v>4216.5707964425355</v>
      </c>
      <c r="K24" s="56">
        <f t="shared" si="18"/>
        <v>3812.4205233451544</v>
      </c>
      <c r="L24" s="56">
        <f t="shared" si="18"/>
        <v>3433.4058751220359</v>
      </c>
      <c r="M24" s="57">
        <f>M12*M23</f>
        <v>113193.98511607836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C1E9-287B-4C7B-85A2-90B28EA7CBB2}">
  <dimension ref="A1:P36"/>
  <sheetViews>
    <sheetView workbookViewId="0">
      <selection activeCell="R28" sqref="R28"/>
    </sheetView>
  </sheetViews>
  <sheetFormatPr defaultRowHeight="14.25" x14ac:dyDescent="0.45"/>
  <cols>
    <col min="1" max="1" width="12.86328125" bestFit="1" customWidth="1"/>
    <col min="2" max="2" width="9.73046875" bestFit="1" customWidth="1"/>
    <col min="3" max="3" width="10.3984375" bestFit="1" customWidth="1"/>
    <col min="6" max="6" width="9.265625" bestFit="1" customWidth="1"/>
    <col min="7" max="7" width="11.59765625" bestFit="1" customWidth="1"/>
    <col min="8" max="16" width="9.73046875" bestFit="1" customWidth="1"/>
  </cols>
  <sheetData>
    <row r="1" spans="1:16" ht="14.65" thickBot="1" x14ac:dyDescent="0.5">
      <c r="A1" s="1" t="s">
        <v>6</v>
      </c>
      <c r="B1" s="5" t="s">
        <v>7</v>
      </c>
      <c r="C1" s="69"/>
      <c r="D1" s="69"/>
      <c r="M1" s="69"/>
      <c r="N1" s="69"/>
      <c r="O1" s="69"/>
      <c r="P1" s="69"/>
    </row>
    <row r="2" spans="1:16" ht="14.65" thickBot="1" x14ac:dyDescent="0.5">
      <c r="A2" s="24" t="s">
        <v>24</v>
      </c>
      <c r="B2" s="27">
        <f>WACC!A11</f>
        <v>190420</v>
      </c>
      <c r="C2" s="98"/>
      <c r="D2" s="7"/>
      <c r="E2" s="83"/>
      <c r="F2" s="3"/>
      <c r="G2" s="106" t="s">
        <v>76</v>
      </c>
      <c r="H2" s="107"/>
      <c r="I2" s="107"/>
      <c r="J2" s="107"/>
      <c r="K2" s="107"/>
      <c r="L2" s="107"/>
      <c r="M2" s="107"/>
      <c r="N2" s="107"/>
      <c r="O2" s="107"/>
      <c r="P2" s="108"/>
    </row>
    <row r="3" spans="1:16" ht="14.65" thickBot="1" x14ac:dyDescent="0.5">
      <c r="A3" s="28" t="s">
        <v>77</v>
      </c>
      <c r="B3" s="8">
        <f>Growth!C14</f>
        <v>2.2756983027597488E-2</v>
      </c>
      <c r="C3" s="75"/>
      <c r="E3" s="84"/>
      <c r="F3" s="85">
        <f>Value!$P$17</f>
        <v>42087.676567026821</v>
      </c>
      <c r="G3" s="70">
        <v>0.05</v>
      </c>
      <c r="H3" s="70">
        <v>0.1</v>
      </c>
      <c r="I3" s="70">
        <v>0.15</v>
      </c>
      <c r="J3" s="70">
        <v>0.2</v>
      </c>
      <c r="K3" s="70">
        <v>0.25</v>
      </c>
      <c r="L3" s="70">
        <v>0.3</v>
      </c>
      <c r="M3" s="70">
        <v>0.35</v>
      </c>
      <c r="N3" s="70">
        <v>0.4</v>
      </c>
      <c r="O3" s="70">
        <v>0.45</v>
      </c>
      <c r="P3" s="21">
        <v>0.5</v>
      </c>
    </row>
    <row r="4" spans="1:16" x14ac:dyDescent="0.45">
      <c r="A4" s="28" t="s">
        <v>56</v>
      </c>
      <c r="B4" s="8">
        <f>Value!P10</f>
        <v>0.15571050222338478</v>
      </c>
      <c r="C4" s="75"/>
      <c r="E4" s="103" t="s">
        <v>78</v>
      </c>
      <c r="F4" s="71">
        <v>0.01</v>
      </c>
      <c r="G4" s="86">
        <f t="dataTable" ref="G4:P12" dt2D="1" dtr="1" r1="B4" r2="B3"/>
        <v>9716.4281706023612</v>
      </c>
      <c r="H4" s="87">
        <v>27004.556048158614</v>
      </c>
      <c r="I4" s="87">
        <v>44292.683925714839</v>
      </c>
      <c r="J4" s="87">
        <v>61580.811803271092</v>
      </c>
      <c r="K4" s="87">
        <v>78868.939680827403</v>
      </c>
      <c r="L4" s="87">
        <v>96157.067558383627</v>
      </c>
      <c r="M4" s="87">
        <v>113445.19543593985</v>
      </c>
      <c r="N4" s="87">
        <v>130733.32331349613</v>
      </c>
      <c r="O4" s="87">
        <v>148021.45119105239</v>
      </c>
      <c r="P4" s="88">
        <v>165309.57906860858</v>
      </c>
    </row>
    <row r="5" spans="1:16" ht="14.65" thickBot="1" x14ac:dyDescent="0.5">
      <c r="A5" s="31" t="s">
        <v>46</v>
      </c>
      <c r="B5" s="33">
        <f>'Sales-To-Capital'!B9</f>
        <v>0.47811779419236333</v>
      </c>
      <c r="C5" s="75"/>
      <c r="E5" s="104"/>
      <c r="F5" s="72">
        <v>1.4999999999999999E-2</v>
      </c>
      <c r="G5" s="89">
        <v>7606.9518735493184</v>
      </c>
      <c r="H5" s="90">
        <v>25130.316687021346</v>
      </c>
      <c r="I5" s="90">
        <v>42653.681500493374</v>
      </c>
      <c r="J5" s="90">
        <v>60177.046313965402</v>
      </c>
      <c r="K5" s="90">
        <v>77700.411127437546</v>
      </c>
      <c r="L5" s="90">
        <v>95223.775940909516</v>
      </c>
      <c r="M5" s="90">
        <v>112747.14075438157</v>
      </c>
      <c r="N5" s="90">
        <v>130270.50556785363</v>
      </c>
      <c r="O5" s="90">
        <v>147793.87038132566</v>
      </c>
      <c r="P5" s="91">
        <v>165317.23519479769</v>
      </c>
    </row>
    <row r="6" spans="1:16" ht="14.65" thickBot="1" x14ac:dyDescent="0.5">
      <c r="A6" s="101" t="s">
        <v>22</v>
      </c>
      <c r="B6" s="102">
        <v>4.2200000000000001E-2</v>
      </c>
      <c r="C6" s="75"/>
      <c r="E6" s="104"/>
      <c r="F6" s="72">
        <v>0.02</v>
      </c>
      <c r="G6" s="89">
        <v>5457.9048298762063</v>
      </c>
      <c r="H6" s="90">
        <v>23219.432101336279</v>
      </c>
      <c r="I6" s="90">
        <v>40980.959372796351</v>
      </c>
      <c r="J6" s="90">
        <v>58742.486644256453</v>
      </c>
      <c r="K6" s="90">
        <v>76504.013915716583</v>
      </c>
      <c r="L6" s="90">
        <v>94265.541187176656</v>
      </c>
      <c r="M6" s="90">
        <v>112027.0684586367</v>
      </c>
      <c r="N6" s="90">
        <v>129788.59573009677</v>
      </c>
      <c r="O6" s="90">
        <v>147550.12300155684</v>
      </c>
      <c r="P6" s="91">
        <v>165311.65027301694</v>
      </c>
    </row>
    <row r="7" spans="1:16" x14ac:dyDescent="0.45">
      <c r="A7" s="75"/>
      <c r="B7" s="75"/>
      <c r="C7" s="75"/>
      <c r="E7" s="104"/>
      <c r="F7" s="72">
        <v>2.5000000000000001E-2</v>
      </c>
      <c r="G7" s="89">
        <v>3268.6283193208801</v>
      </c>
      <c r="H7" s="90">
        <v>21271.277708214533</v>
      </c>
      <c r="I7" s="90">
        <v>39273.927097108186</v>
      </c>
      <c r="J7" s="90">
        <v>57276.576486001839</v>
      </c>
      <c r="K7" s="90">
        <v>75279.225874895579</v>
      </c>
      <c r="L7" s="90">
        <v>93281.875263789232</v>
      </c>
      <c r="M7" s="90">
        <v>111284.52465268286</v>
      </c>
      <c r="N7" s="90">
        <v>129287.17404157657</v>
      </c>
      <c r="O7" s="90">
        <v>147289.82343047025</v>
      </c>
      <c r="P7" s="91">
        <v>165292.47281936387</v>
      </c>
    </row>
    <row r="8" spans="1:16" x14ac:dyDescent="0.45">
      <c r="A8" s="75"/>
      <c r="B8" s="75"/>
      <c r="C8" s="75"/>
      <c r="E8" s="104"/>
      <c r="F8" s="72">
        <v>0.03</v>
      </c>
      <c r="G8" s="89">
        <v>1038.4544220567623</v>
      </c>
      <c r="H8" s="90">
        <v>19285.220068239752</v>
      </c>
      <c r="I8" s="90">
        <v>37531.985714422772</v>
      </c>
      <c r="J8" s="90">
        <v>55778.751360605791</v>
      </c>
      <c r="K8" s="90">
        <v>74025.517006788868</v>
      </c>
      <c r="L8" s="90">
        <v>92272.282652971859</v>
      </c>
      <c r="M8" s="90">
        <v>110519.04829915491</v>
      </c>
      <c r="N8" s="90">
        <v>128765.8139453379</v>
      </c>
      <c r="O8" s="90">
        <v>147012.57959152089</v>
      </c>
      <c r="P8" s="91">
        <v>165259.34523770394</v>
      </c>
    </row>
    <row r="9" spans="1:16" x14ac:dyDescent="0.45">
      <c r="A9" s="75"/>
      <c r="B9" s="75"/>
      <c r="C9" s="75"/>
      <c r="E9" s="104"/>
      <c r="F9" s="72">
        <v>3.5000000000000003E-2</v>
      </c>
      <c r="G9" s="89">
        <v>-1233.2940843515098</v>
      </c>
      <c r="H9" s="90">
        <v>17260.616785208258</v>
      </c>
      <c r="I9" s="90">
        <v>35754.527654767997</v>
      </c>
      <c r="J9" s="90">
        <v>54248.438524327765</v>
      </c>
      <c r="K9" s="90">
        <v>72742.34939388762</v>
      </c>
      <c r="L9" s="90">
        <v>91236.260263447359</v>
      </c>
      <c r="M9" s="90">
        <v>109730.17113300707</v>
      </c>
      <c r="N9" s="90">
        <v>128224.08200256689</v>
      </c>
      <c r="O9" s="90">
        <v>146717.99287212663</v>
      </c>
      <c r="P9" s="91">
        <v>165211.90374168637</v>
      </c>
    </row>
    <row r="10" spans="1:16" x14ac:dyDescent="0.45">
      <c r="A10" s="75"/>
      <c r="B10" s="75"/>
      <c r="C10" s="75"/>
      <c r="E10" s="104"/>
      <c r="F10" s="72">
        <v>0.04</v>
      </c>
      <c r="G10" s="89">
        <v>-3547.3038288702955</v>
      </c>
      <c r="H10" s="90">
        <v>15196.81640500811</v>
      </c>
      <c r="I10" s="90">
        <v>33940.936638886487</v>
      </c>
      <c r="J10" s="90">
        <v>52685.056872764893</v>
      </c>
      <c r="K10" s="90">
        <v>71429.177106643387</v>
      </c>
      <c r="L10" s="90">
        <v>90173.297340521764</v>
      </c>
      <c r="M10" s="90">
        <v>108917.4175744002</v>
      </c>
      <c r="N10" s="90">
        <v>127661.5378082786</v>
      </c>
      <c r="O10" s="90">
        <v>146405.65804215701</v>
      </c>
      <c r="P10" s="91">
        <v>165149.77827603545</v>
      </c>
    </row>
    <row r="11" spans="1:16" x14ac:dyDescent="0.45">
      <c r="A11" s="75"/>
      <c r="B11" s="75"/>
      <c r="C11" s="75"/>
      <c r="E11" s="104"/>
      <c r="F11" s="72">
        <v>4.4999999999999998E-2</v>
      </c>
      <c r="G11" s="89">
        <v>-5904.270951803177</v>
      </c>
      <c r="H11" s="90">
        <v>13093.158313631808</v>
      </c>
      <c r="I11" s="90">
        <v>32090.587579066778</v>
      </c>
      <c r="J11" s="90">
        <v>51088.016844501777</v>
      </c>
      <c r="K11" s="90">
        <v>70085.446109936835</v>
      </c>
      <c r="L11" s="90">
        <v>89082.875375371834</v>
      </c>
      <c r="M11" s="90">
        <v>108080.3046408068</v>
      </c>
      <c r="N11" s="90">
        <v>127077.7339062418</v>
      </c>
      <c r="O11" s="90">
        <v>146075.1631716768</v>
      </c>
      <c r="P11" s="91">
        <v>165072.59243711171</v>
      </c>
    </row>
    <row r="12" spans="1:16" ht="14.65" thickBot="1" x14ac:dyDescent="0.5">
      <c r="A12" s="75"/>
      <c r="B12" s="75"/>
      <c r="C12" s="75"/>
      <c r="E12" s="105"/>
      <c r="F12" s="73">
        <v>0.05</v>
      </c>
      <c r="G12" s="92">
        <v>-8304.9012104843714</v>
      </c>
      <c r="H12" s="93">
        <v>10948.972634318459</v>
      </c>
      <c r="I12" s="93">
        <v>30202.846479121305</v>
      </c>
      <c r="J12" s="93">
        <v>49456.72032392415</v>
      </c>
      <c r="K12" s="93">
        <v>68710.594168727112</v>
      </c>
      <c r="L12" s="93">
        <v>87964.468013529928</v>
      </c>
      <c r="M12" s="93">
        <v>107218.34185833274</v>
      </c>
      <c r="N12" s="93">
        <v>126472.21570313562</v>
      </c>
      <c r="O12" s="93">
        <v>145726.08954793849</v>
      </c>
      <c r="P12" s="94">
        <v>164979.96339274128</v>
      </c>
    </row>
    <row r="13" spans="1:16" ht="14.65" thickBot="1" x14ac:dyDescent="0.5">
      <c r="A13" s="75"/>
      <c r="B13" s="75"/>
      <c r="C13" s="75"/>
    </row>
    <row r="14" spans="1:16" ht="14.65" thickBot="1" x14ac:dyDescent="0.5">
      <c r="A14" s="75"/>
      <c r="B14" s="75"/>
      <c r="C14" s="75"/>
      <c r="E14" s="83"/>
      <c r="F14" s="3"/>
      <c r="G14" s="106" t="s">
        <v>46</v>
      </c>
      <c r="H14" s="107"/>
      <c r="I14" s="107"/>
      <c r="J14" s="107"/>
      <c r="K14" s="107"/>
      <c r="L14" s="107"/>
      <c r="M14" s="107"/>
      <c r="N14" s="107"/>
      <c r="O14" s="107"/>
      <c r="P14" s="108"/>
    </row>
    <row r="15" spans="1:16" ht="14.65" thickBot="1" x14ac:dyDescent="0.5">
      <c r="A15" s="69"/>
      <c r="B15" s="75"/>
      <c r="C15" s="75"/>
      <c r="E15" s="84"/>
      <c r="F15" s="85">
        <f>Value!$P$17</f>
        <v>42087.676567026821</v>
      </c>
      <c r="G15" s="74">
        <v>0.4</v>
      </c>
      <c r="H15" s="74">
        <v>0.5</v>
      </c>
      <c r="I15" s="74">
        <v>0.6</v>
      </c>
      <c r="J15" s="74">
        <v>0.7</v>
      </c>
      <c r="K15" s="74">
        <v>0.8</v>
      </c>
      <c r="L15" s="74">
        <v>0.9</v>
      </c>
      <c r="M15" s="74">
        <v>1</v>
      </c>
      <c r="N15" s="74">
        <v>1.1000000000000001</v>
      </c>
      <c r="O15" s="74">
        <v>1.2</v>
      </c>
      <c r="P15" s="66">
        <v>1.3</v>
      </c>
    </row>
    <row r="16" spans="1:16" x14ac:dyDescent="0.45">
      <c r="A16" s="95"/>
      <c r="B16" s="75"/>
      <c r="C16" s="75"/>
      <c r="E16" s="103" t="s">
        <v>78</v>
      </c>
      <c r="F16" s="71">
        <v>0.01</v>
      </c>
      <c r="G16" s="86">
        <f t="dataTable" ref="G16:P24" dt2D="1" dtr="1" r1="B5" r2="B3" ca="1"/>
        <v>-33922.041312155561</v>
      </c>
      <c r="H16" s="87">
        <v>64237.11767729139</v>
      </c>
      <c r="I16" s="87">
        <v>129676.55700358929</v>
      </c>
      <c r="J16" s="87">
        <v>176419.01366523077</v>
      </c>
      <c r="K16" s="87">
        <v>211475.85616146185</v>
      </c>
      <c r="L16" s="87">
        <v>238742.28921408596</v>
      </c>
      <c r="M16" s="87">
        <v>260555.43565618526</v>
      </c>
      <c r="N16" s="87">
        <v>278402.55547244835</v>
      </c>
      <c r="O16" s="87">
        <v>293275.1553193343</v>
      </c>
      <c r="P16" s="88">
        <v>305859.66288208385</v>
      </c>
    </row>
    <row r="17" spans="1:16" x14ac:dyDescent="0.45">
      <c r="A17" s="95"/>
      <c r="B17" s="75"/>
      <c r="C17" s="75"/>
      <c r="E17" s="104"/>
      <c r="F17" s="72">
        <v>1.4999999999999999E-2</v>
      </c>
      <c r="G17" s="89">
        <v>-38509.479185921751</v>
      </c>
      <c r="H17" s="90">
        <v>63291.730328858219</v>
      </c>
      <c r="I17" s="90">
        <v>131159.20333871152</v>
      </c>
      <c r="J17" s="90">
        <v>179635.96977432113</v>
      </c>
      <c r="K17" s="90">
        <v>215993.54460102826</v>
      </c>
      <c r="L17" s="90">
        <v>244271.65835513378</v>
      </c>
      <c r="M17" s="90">
        <v>266894.14935841819</v>
      </c>
      <c r="N17" s="90">
        <v>285403.4601792873</v>
      </c>
      <c r="O17" s="90">
        <v>300827.88586334494</v>
      </c>
      <c r="P17" s="91">
        <v>313879.32298062439</v>
      </c>
    </row>
    <row r="18" spans="1:16" x14ac:dyDescent="0.45">
      <c r="A18" s="95"/>
      <c r="B18" s="75"/>
      <c r="C18" s="75"/>
      <c r="E18" s="104"/>
      <c r="F18" s="72">
        <v>0.02</v>
      </c>
      <c r="G18" s="89">
        <v>-43191.277077271545</v>
      </c>
      <c r="H18" s="90">
        <v>62326.621435759705</v>
      </c>
      <c r="I18" s="90">
        <v>132671.88711111381</v>
      </c>
      <c r="J18" s="90">
        <v>182918.5054506525</v>
      </c>
      <c r="K18" s="90">
        <v>220603.46920530649</v>
      </c>
      <c r="L18" s="90">
        <v>249913.99657003739</v>
      </c>
      <c r="M18" s="90">
        <v>273362.41846182203</v>
      </c>
      <c r="N18" s="90">
        <v>292547.49091873685</v>
      </c>
      <c r="O18" s="90">
        <v>308535.05129949917</v>
      </c>
      <c r="P18" s="91">
        <v>322062.98700629798</v>
      </c>
    </row>
    <row r="19" spans="1:16" x14ac:dyDescent="0.45">
      <c r="A19" s="95"/>
      <c r="B19" s="75"/>
      <c r="C19" s="75"/>
      <c r="E19" s="104"/>
      <c r="F19" s="72">
        <v>2.5000000000000001E-2</v>
      </c>
      <c r="G19" s="89">
        <v>-47969.084615965025</v>
      </c>
      <c r="H19" s="90">
        <v>61341.442682335444</v>
      </c>
      <c r="I19" s="90">
        <v>134215.12754786899</v>
      </c>
      <c r="J19" s="90">
        <v>186267.75959467876</v>
      </c>
      <c r="K19" s="90">
        <v>225307.23362978612</v>
      </c>
      <c r="L19" s="90">
        <v>255671.2689904251</v>
      </c>
      <c r="M19" s="90">
        <v>279962.49727893627</v>
      </c>
      <c r="N19" s="90">
        <v>299837.13860590005</v>
      </c>
      <c r="O19" s="90">
        <v>316399.33971170307</v>
      </c>
      <c r="P19" s="91">
        <v>330413.50987815188</v>
      </c>
    </row>
    <row r="20" spans="1:16" x14ac:dyDescent="0.45">
      <c r="A20" s="75"/>
      <c r="B20" s="75"/>
      <c r="C20" s="75"/>
      <c r="E20" s="104"/>
      <c r="F20" s="72">
        <v>0.03</v>
      </c>
      <c r="G20" s="89">
        <v>-52844.575171371383</v>
      </c>
      <c r="H20" s="90">
        <v>60335.840699480963</v>
      </c>
      <c r="I20" s="90">
        <v>135789.45128004911</v>
      </c>
      <c r="J20" s="90">
        <v>189684.88740902639</v>
      </c>
      <c r="K20" s="90">
        <v>230106.46450575936</v>
      </c>
      <c r="L20" s="90">
        <v>261545.46891432948</v>
      </c>
      <c r="M20" s="90">
        <v>286696.67244118551</v>
      </c>
      <c r="N20" s="90">
        <v>307274.92987224954</v>
      </c>
      <c r="O20" s="90">
        <v>324423.47773146961</v>
      </c>
      <c r="P20" s="91">
        <v>338933.78745850193</v>
      </c>
    </row>
    <row r="21" spans="1:16" x14ac:dyDescent="0.45">
      <c r="A21" s="75"/>
      <c r="B21" s="75"/>
      <c r="C21" s="75"/>
      <c r="E21" s="104"/>
      <c r="F21" s="72">
        <v>3.5000000000000003E-2</v>
      </c>
      <c r="G21" s="89">
        <v>-57819.446123729402</v>
      </c>
      <c r="H21" s="90">
        <v>59309.457006506214</v>
      </c>
      <c r="I21" s="90">
        <v>137395.39242666325</v>
      </c>
      <c r="J21" s="90">
        <v>193171.0605839183</v>
      </c>
      <c r="K21" s="90">
        <v>235002.81170185958</v>
      </c>
      <c r="L21" s="90">
        <v>267538.61812692502</v>
      </c>
      <c r="M21" s="90">
        <v>293567.26326697745</v>
      </c>
      <c r="N21" s="90">
        <v>314863.42747247481</v>
      </c>
      <c r="O21" s="90">
        <v>332610.23097705591</v>
      </c>
      <c r="P21" s="91">
        <v>347626.75701939379</v>
      </c>
    </row>
    <row r="22" spans="1:16" x14ac:dyDescent="0.45">
      <c r="A22" s="75"/>
      <c r="B22" s="75"/>
      <c r="C22" s="75"/>
      <c r="E22" s="104"/>
      <c r="F22" s="72">
        <v>0.04</v>
      </c>
      <c r="G22" s="89">
        <v>-62895.419137754128</v>
      </c>
      <c r="H22" s="90">
        <v>58261.927952488593</v>
      </c>
      <c r="I22" s="90">
        <v>139033.49267931702</v>
      </c>
      <c r="J22" s="90">
        <v>196727.46748419455</v>
      </c>
      <c r="K22" s="90">
        <v>239997.9485878527</v>
      </c>
      <c r="L22" s="90">
        <v>273652.76722403121</v>
      </c>
      <c r="M22" s="90">
        <v>300576.62213297404</v>
      </c>
      <c r="N22" s="90">
        <v>322605.23069483641</v>
      </c>
      <c r="O22" s="90">
        <v>340962.40449638822</v>
      </c>
      <c r="P22" s="91">
        <v>356495.39771308604</v>
      </c>
    </row>
    <row r="23" spans="1:16" x14ac:dyDescent="0.45">
      <c r="A23" s="75"/>
      <c r="B23" s="75"/>
      <c r="C23" s="75"/>
      <c r="E23" s="104"/>
      <c r="F23" s="72">
        <v>4.4999999999999998E-2</v>
      </c>
      <c r="G23" s="89">
        <v>-68074.240438600769</v>
      </c>
      <c r="H23" s="90">
        <v>57192.884657117014</v>
      </c>
      <c r="I23" s="90">
        <v>140704.30138759548</v>
      </c>
      <c r="J23" s="90">
        <v>200355.31333793735</v>
      </c>
      <c r="K23" s="90">
        <v>245093.57230069366</v>
      </c>
      <c r="L23" s="90">
        <v>279889.99593839311</v>
      </c>
      <c r="M23" s="90">
        <v>307727.13484855258</v>
      </c>
      <c r="N23" s="90">
        <v>330502.97577504668</v>
      </c>
      <c r="O23" s="90">
        <v>349482.84321379173</v>
      </c>
      <c r="P23" s="91">
        <v>365542.73104657611</v>
      </c>
    </row>
    <row r="24" spans="1:16" ht="14.65" thickBot="1" x14ac:dyDescent="0.5">
      <c r="A24" s="75"/>
      <c r="B24" s="75"/>
      <c r="C24" s="75"/>
      <c r="E24" s="105"/>
      <c r="F24" s="73">
        <v>0.05</v>
      </c>
      <c r="G24" s="92">
        <v>-73357.681090199505</v>
      </c>
      <c r="H24" s="93">
        <v>56101.952951025334</v>
      </c>
      <c r="I24" s="93">
        <v>142408.37564517511</v>
      </c>
      <c r="J24" s="93">
        <v>204055.82042671082</v>
      </c>
      <c r="K24" s="93">
        <v>250291.40401286248</v>
      </c>
      <c r="L24" s="93">
        <v>286252.41346875828</v>
      </c>
      <c r="M24" s="93">
        <v>315021.2210334749</v>
      </c>
      <c r="N24" s="93">
        <v>338559.33631369757</v>
      </c>
      <c r="O24" s="93">
        <v>358174.43238054978</v>
      </c>
      <c r="P24" s="94">
        <v>374771.82136019407</v>
      </c>
    </row>
    <row r="25" spans="1:16" ht="14.65" thickBot="1" x14ac:dyDescent="0.5"/>
    <row r="26" spans="1:16" ht="14.65" thickBot="1" x14ac:dyDescent="0.5">
      <c r="E26" s="83"/>
      <c r="F26" s="3"/>
      <c r="G26" s="109" t="s">
        <v>22</v>
      </c>
      <c r="H26" s="110"/>
      <c r="I26" s="110"/>
      <c r="J26" s="110"/>
      <c r="K26" s="110"/>
      <c r="L26" s="110"/>
      <c r="M26" s="110"/>
      <c r="N26" s="110"/>
      <c r="O26" s="110"/>
      <c r="P26" s="110"/>
    </row>
    <row r="27" spans="1:16" ht="14.65" thickBot="1" x14ac:dyDescent="0.5">
      <c r="E27" s="84"/>
      <c r="F27" s="85">
        <f>Value!$P$17</f>
        <v>42087.676567026821</v>
      </c>
      <c r="G27" s="99">
        <v>5.0000000000000001E-3</v>
      </c>
      <c r="H27" s="99">
        <v>0.01</v>
      </c>
      <c r="I27" s="99">
        <v>1.4999999999999999E-2</v>
      </c>
      <c r="J27" s="99">
        <v>0.02</v>
      </c>
      <c r="K27" s="99">
        <v>2.5000000000000001E-2</v>
      </c>
      <c r="L27" s="99">
        <v>0.03</v>
      </c>
      <c r="M27" s="99">
        <v>3.5000000000000003E-2</v>
      </c>
      <c r="N27" s="99">
        <v>0.04</v>
      </c>
      <c r="O27" s="99">
        <v>4.4999999999999998E-2</v>
      </c>
      <c r="P27" s="100">
        <v>0.05</v>
      </c>
    </row>
    <row r="28" spans="1:16" x14ac:dyDescent="0.45">
      <c r="E28" s="103" t="s">
        <v>78</v>
      </c>
      <c r="F28" s="71">
        <v>0.01</v>
      </c>
      <c r="G28" s="86">
        <f t="dataTable" ref="G28:P36" dt2D="1" dtr="1" r1="B6" r2="B3" ca="1"/>
        <v>400238.27637993253</v>
      </c>
      <c r="H28" s="87">
        <v>350703.97146115161</v>
      </c>
      <c r="I28" s="87">
        <v>301445.3476460271</v>
      </c>
      <c r="J28" s="87">
        <v>252661.69430984545</v>
      </c>
      <c r="K28" s="87">
        <v>204538.92092953908</v>
      </c>
      <c r="L28" s="87">
        <v>157247.81128288939</v>
      </c>
      <c r="M28" s="87">
        <v>110942.66777104439</v>
      </c>
      <c r="N28" s="87">
        <v>65760.365451866266</v>
      </c>
      <c r="O28" s="87">
        <v>21819.816206558287</v>
      </c>
      <c r="P28" s="88">
        <v>-20778.173655598293</v>
      </c>
    </row>
    <row r="29" spans="1:16" x14ac:dyDescent="0.45">
      <c r="E29" s="104"/>
      <c r="F29" s="72">
        <v>1.4999999999999999E-2</v>
      </c>
      <c r="G29" s="89">
        <v>408158.27890255826</v>
      </c>
      <c r="H29" s="90">
        <v>357247.95606521843</v>
      </c>
      <c r="I29" s="90">
        <v>306636.27229351096</v>
      </c>
      <c r="J29" s="90">
        <v>256526.44465675874</v>
      </c>
      <c r="K29" s="90">
        <v>207108.02430323331</v>
      </c>
      <c r="L29" s="90">
        <v>158555.10423052346</v>
      </c>
      <c r="M29" s="90">
        <v>111024.92766227838</v>
      </c>
      <c r="N29" s="90">
        <v>64656.916960142262</v>
      </c>
      <c r="O29" s="90">
        <v>19572.123360718368</v>
      </c>
      <c r="P29" s="91">
        <v>-24126.919707745285</v>
      </c>
    </row>
    <row r="30" spans="1:16" x14ac:dyDescent="0.45">
      <c r="E30" s="104"/>
      <c r="F30" s="72">
        <v>0.02</v>
      </c>
      <c r="G30" s="89">
        <v>416242.53620220011</v>
      </c>
      <c r="H30" s="90">
        <v>363927.41482031206</v>
      </c>
      <c r="I30" s="90">
        <v>311934.44542557094</v>
      </c>
      <c r="J30" s="90">
        <v>260470.85423090321</v>
      </c>
      <c r="K30" s="90">
        <v>209729.90891047189</v>
      </c>
      <c r="L30" s="90">
        <v>159889.07900759578</v>
      </c>
      <c r="M30" s="90">
        <v>111108.60766317497</v>
      </c>
      <c r="N30" s="90">
        <v>63530.514939409622</v>
      </c>
      <c r="O30" s="90">
        <v>17278.032890630129</v>
      </c>
      <c r="P30" s="91">
        <v>-27544.545428358033</v>
      </c>
    </row>
    <row r="31" spans="1:16" x14ac:dyDescent="0.45">
      <c r="E31" s="104"/>
      <c r="F31" s="72">
        <v>2.5000000000000001E-2</v>
      </c>
      <c r="G31" s="89">
        <v>424493.94757221953</v>
      </c>
      <c r="H31" s="90">
        <v>370744.73452208098</v>
      </c>
      <c r="I31" s="90">
        <v>317341.7527216539</v>
      </c>
      <c r="J31" s="90">
        <v>264496.32038328971</v>
      </c>
      <c r="K31" s="90">
        <v>212405.49784023344</v>
      </c>
      <c r="L31" s="90">
        <v>161250.19964293472</v>
      </c>
      <c r="M31" s="90">
        <v>111193.72892533761</v>
      </c>
      <c r="N31" s="90">
        <v>62380.754666615452</v>
      </c>
      <c r="O31" s="90">
        <v>14936.731856590661</v>
      </c>
      <c r="P31" s="91">
        <v>-31032.253823498075</v>
      </c>
    </row>
    <row r="32" spans="1:16" x14ac:dyDescent="0.45">
      <c r="E32" s="104"/>
      <c r="F32" s="72">
        <v>0.03</v>
      </c>
      <c r="G32" s="89">
        <v>432915.45449988963</v>
      </c>
      <c r="H32" s="90">
        <v>377702.33663163939</v>
      </c>
      <c r="I32" s="90">
        <v>322860.10718995892</v>
      </c>
      <c r="J32" s="90">
        <v>268604.26066834654</v>
      </c>
      <c r="K32" s="90">
        <v>215135.72748858744</v>
      </c>
      <c r="L32" s="90">
        <v>162638.93682054098</v>
      </c>
      <c r="M32" s="90">
        <v>111280.31286106433</v>
      </c>
      <c r="N32" s="90">
        <v>61207.225552946038</v>
      </c>
      <c r="O32" s="90">
        <v>12547.395602818346</v>
      </c>
      <c r="P32" s="91">
        <v>-34591.26518380169</v>
      </c>
    </row>
    <row r="33" spans="5:16" x14ac:dyDescent="0.45">
      <c r="E33" s="104"/>
      <c r="F33" s="72">
        <v>3.5000000000000003E-2</v>
      </c>
      <c r="G33" s="89">
        <v>441510.04115476739</v>
      </c>
      <c r="H33" s="90">
        <v>384802.67767592368</v>
      </c>
      <c r="I33" s="90">
        <v>328491.44948233792</v>
      </c>
      <c r="J33" s="90">
        <v>272796.11307613563</v>
      </c>
      <c r="K33" s="90">
        <v>217921.54771118623</v>
      </c>
      <c r="L33" s="90">
        <v>164055.76795548043</v>
      </c>
      <c r="M33" s="90">
        <v>111368.38114589331</v>
      </c>
      <c r="N33" s="90">
        <v>60009.511076382129</v>
      </c>
      <c r="O33" s="90">
        <v>10109.187623447855</v>
      </c>
      <c r="P33" s="91">
        <v>-38222.817281566662</v>
      </c>
    </row>
    <row r="34" spans="5:16" x14ac:dyDescent="0.45">
      <c r="E34" s="104"/>
      <c r="F34" s="72">
        <v>0.04</v>
      </c>
      <c r="G34" s="89">
        <v>450280.73488134786</v>
      </c>
      <c r="H34" s="90">
        <v>392048.24965155346</v>
      </c>
      <c r="I34" s="90">
        <v>334237.74821194424</v>
      </c>
      <c r="J34" s="90">
        <v>277073.3362665918</v>
      </c>
      <c r="K34" s="90">
        <v>220763.9219770843</v>
      </c>
      <c r="L34" s="90">
        <v>165501.17727043101</v>
      </c>
      <c r="M34" s="90">
        <v>111457.95572116596</v>
      </c>
      <c r="N34" s="90">
        <v>58787.188713666925</v>
      </c>
      <c r="O34" s="90">
        <v>7621.2594273668219</v>
      </c>
      <c r="P34" s="91">
        <v>-41928.165569538905</v>
      </c>
    </row>
    <row r="35" spans="5:16" x14ac:dyDescent="0.45">
      <c r="E35" s="104"/>
      <c r="F35" s="72">
        <v>4.4999999999999998E-2</v>
      </c>
      <c r="G35" s="89">
        <v>459230.60669602477</v>
      </c>
      <c r="H35" s="90">
        <v>399441.58043221175</v>
      </c>
      <c r="I35" s="90">
        <v>340101.00027364539</v>
      </c>
      <c r="J35" s="90">
        <v>281437.40980579308</v>
      </c>
      <c r="K35" s="90">
        <v>223663.82752388431</v>
      </c>
      <c r="L35" s="90">
        <v>166975.65587288991</v>
      </c>
      <c r="M35" s="90">
        <v>111549.05879660934</v>
      </c>
      <c r="N35" s="90">
        <v>57539.829871685099</v>
      </c>
      <c r="O35" s="90">
        <v>5082.7504018875916</v>
      </c>
      <c r="P35" s="91">
        <v>-45708.583381406745</v>
      </c>
    </row>
    <row r="36" spans="5:16" ht="14.65" thickBot="1" x14ac:dyDescent="0.5">
      <c r="E36" s="105"/>
      <c r="F36" s="73">
        <v>0.05</v>
      </c>
      <c r="G36" s="92">
        <v>468362.77178838721</v>
      </c>
      <c r="H36" s="93">
        <v>406985.23417957372</v>
      </c>
      <c r="I36" s="93">
        <v>346083.2311672197</v>
      </c>
      <c r="J36" s="93">
        <v>285889.83440427773</v>
      </c>
      <c r="K36" s="93">
        <v>226622.2555142247</v>
      </c>
      <c r="L36" s="93">
        <v>168479.7018330429</v>
      </c>
      <c r="M36" s="93">
        <v>111641.71285293676</v>
      </c>
      <c r="N36" s="93">
        <v>56266.999818248412</v>
      </c>
      <c r="O36" s="93">
        <v>2492.7876752453885</v>
      </c>
      <c r="P36" s="94">
        <v>-49565.36213401494</v>
      </c>
    </row>
  </sheetData>
  <mergeCells count="6">
    <mergeCell ref="E28:E36"/>
    <mergeCell ref="G2:P2"/>
    <mergeCell ref="E4:E12"/>
    <mergeCell ref="G14:P14"/>
    <mergeCell ref="E16:E24"/>
    <mergeCell ref="G26:P26"/>
  </mergeCells>
  <conditionalFormatting sqref="G4:P12 G16:P24">
    <cfRule type="cellIs" dxfId="3" priority="5" operator="lessThan">
      <formula>$B$2</formula>
    </cfRule>
    <cfRule type="cellIs" dxfId="2" priority="6" operator="greaterThanOrEqual">
      <formula>$B$2</formula>
    </cfRule>
  </conditionalFormatting>
  <conditionalFormatting sqref="G28:P36">
    <cfRule type="cellIs" dxfId="1" priority="1" operator="lessThan">
      <formula>$B$2</formula>
    </cfRule>
    <cfRule type="cellIs" dxfId="0" priority="2" operator="greaterThanOrEqual">
      <formula>$B$2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WACC</vt:lpstr>
      <vt:lpstr>Sales-To-Capital</vt:lpstr>
      <vt:lpstr>Growth</vt:lpstr>
      <vt:lpstr>Value</vt:lpstr>
      <vt:lpstr>Sensitive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Lukasz Pietrowski</cp:lastModifiedBy>
  <cp:revision/>
  <dcterms:created xsi:type="dcterms:W3CDTF">2023-09-25T10:13:07Z</dcterms:created>
  <dcterms:modified xsi:type="dcterms:W3CDTF">2025-03-02T22:29:24Z</dcterms:modified>
  <cp:category/>
  <cp:contentStatus/>
</cp:coreProperties>
</file>