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3301f9cf3fbaf0/Giełda/Industrials/Airlines/Projects/2024Q4/"/>
    </mc:Choice>
  </mc:AlternateContent>
  <xr:revisionPtr revIDLastSave="709" documentId="8_{63A1F345-BE95-4918-BE2C-0DD23516810E}" xr6:coauthVersionLast="47" xr6:coauthVersionMax="47" xr10:uidLastSave="{E2D6EB91-520B-474B-BF7A-40D24AD035B9}"/>
  <bookViews>
    <workbookView xWindow="-98" yWindow="-98" windowWidth="21795" windowHeight="12975" xr2:uid="{00000000-000D-0000-FFFF-FFFF00000000}"/>
  </bookViews>
  <sheets>
    <sheet name="WACC" sheetId="2" r:id="rId1"/>
    <sheet name="Sales-to-Capital" sheetId="3" r:id="rId2"/>
    <sheet name="Growth" sheetId="8" r:id="rId3"/>
    <sheet name="Value" sheetId="5" r:id="rId4"/>
    <sheet name="Sensitive" sheetId="9" r:id="rId5"/>
  </sheets>
  <calcPr calcId="191028" iterate="1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C5" i="2" s="1"/>
  <c r="G5" i="2" s="1"/>
  <c r="E5" i="2" l="1"/>
  <c r="B5" i="3"/>
  <c r="A12" i="2"/>
  <c r="L3" i="5" s="1"/>
  <c r="B2" i="9"/>
  <c r="C11" i="8"/>
  <c r="C10" i="8"/>
  <c r="C9" i="8"/>
  <c r="C8" i="8"/>
  <c r="C7" i="8"/>
  <c r="C6" i="8"/>
  <c r="C5" i="8"/>
  <c r="C4" i="8"/>
  <c r="C3" i="8"/>
  <c r="C2" i="8"/>
  <c r="M5" i="5"/>
  <c r="C4" i="2" l="1"/>
  <c r="G4" i="2" s="1"/>
  <c r="C14" i="8"/>
  <c r="B3" i="9" s="1"/>
  <c r="C3" i="5" s="1"/>
  <c r="C13" i="8"/>
  <c r="E4" i="2" l="1"/>
  <c r="M3" i="5"/>
  <c r="D3" i="5" s="1"/>
  <c r="E3" i="5" s="1"/>
  <c r="F3" i="5" s="1"/>
  <c r="G3" i="5" s="1"/>
  <c r="H3" i="5" s="1"/>
  <c r="I3" i="5" s="1"/>
  <c r="J3" i="5" s="1"/>
  <c r="K3" i="5" s="1"/>
  <c r="B27" i="2"/>
  <c r="B6" i="3"/>
  <c r="P14" i="5"/>
  <c r="B8" i="3" l="1"/>
  <c r="B4" i="5"/>
  <c r="P8" i="5" s="1"/>
  <c r="P3" i="5"/>
  <c r="C4" i="5" l="1"/>
  <c r="D4" i="5" s="1"/>
  <c r="E4" i="5" l="1"/>
  <c r="F4" i="5" l="1"/>
  <c r="G4" i="5" l="1"/>
  <c r="H4" i="5" l="1"/>
  <c r="I4" i="5" l="1"/>
  <c r="J4" i="5" l="1"/>
  <c r="K4" i="5" l="1"/>
  <c r="L4" i="5" l="1"/>
  <c r="L6" i="5" l="1"/>
  <c r="M4" i="5"/>
  <c r="M6" i="5" l="1"/>
  <c r="B26" i="2" l="1"/>
  <c r="B25" i="2"/>
  <c r="B24" i="2"/>
  <c r="B23" i="2"/>
  <c r="B22" i="2"/>
  <c r="B21" i="2"/>
  <c r="B20" i="2"/>
  <c r="B19" i="2"/>
  <c r="B18" i="2"/>
  <c r="B17" i="2"/>
  <c r="B16" i="2"/>
  <c r="K15" i="2"/>
  <c r="C12" i="2"/>
  <c r="C27" i="2" s="1"/>
  <c r="C9" i="2"/>
  <c r="K5" i="2" s="1"/>
  <c r="K8" i="2"/>
  <c r="C2" i="2" l="1"/>
  <c r="B2" i="3"/>
  <c r="B9" i="3" s="1"/>
  <c r="B5" i="9" s="1"/>
  <c r="B9" i="5" s="1"/>
  <c r="C15" i="2"/>
  <c r="D15" i="2" s="1"/>
  <c r="C21" i="2"/>
  <c r="D21" i="2" s="1"/>
  <c r="C25" i="2"/>
  <c r="D25" i="2" s="1"/>
  <c r="C18" i="2"/>
  <c r="D18" i="2" s="1"/>
  <c r="D27" i="2"/>
  <c r="K21" i="2"/>
  <c r="C17" i="5" s="1"/>
  <c r="C3" i="2"/>
  <c r="C24" i="2"/>
  <c r="D24" i="2" s="1"/>
  <c r="C22" i="2"/>
  <c r="D22" i="2" s="1"/>
  <c r="C19" i="2"/>
  <c r="D19" i="2" s="1"/>
  <c r="C26" i="2"/>
  <c r="D26" i="2" s="1"/>
  <c r="C16" i="2"/>
  <c r="D16" i="2" s="1"/>
  <c r="C17" i="2"/>
  <c r="D17" i="2" s="1"/>
  <c r="C20" i="2"/>
  <c r="D20" i="2" s="1"/>
  <c r="C23" i="2"/>
  <c r="D23" i="2" s="1"/>
  <c r="C6" i="2" l="1"/>
  <c r="G2" i="2"/>
  <c r="E2" i="2"/>
  <c r="G9" i="5"/>
  <c r="F9" i="5"/>
  <c r="E9" i="5"/>
  <c r="I9" i="5"/>
  <c r="H9" i="5"/>
  <c r="J9" i="5"/>
  <c r="K9" i="5"/>
  <c r="L9" i="5"/>
  <c r="C9" i="5"/>
  <c r="D9" i="5"/>
  <c r="B10" i="5"/>
  <c r="J17" i="5"/>
  <c r="L17" i="5"/>
  <c r="K17" i="5"/>
  <c r="I17" i="5"/>
  <c r="E17" i="5"/>
  <c r="D17" i="5"/>
  <c r="H17" i="5"/>
  <c r="M17" i="5"/>
  <c r="G17" i="5"/>
  <c r="F17" i="5"/>
  <c r="D28" i="2"/>
  <c r="P13" i="5" s="1"/>
  <c r="G3" i="2"/>
  <c r="E3" i="2"/>
  <c r="E6" i="2" l="1"/>
  <c r="K7" i="2" s="1"/>
  <c r="G6" i="2"/>
  <c r="D10" i="5"/>
  <c r="D11" i="5"/>
  <c r="C10" i="5"/>
  <c r="C11" i="5"/>
  <c r="L10" i="5"/>
  <c r="L11" i="5"/>
  <c r="K10" i="5"/>
  <c r="K11" i="5"/>
  <c r="J10" i="5"/>
  <c r="J11" i="5"/>
  <c r="H11" i="5"/>
  <c r="H10" i="5"/>
  <c r="I10" i="5"/>
  <c r="I11" i="5"/>
  <c r="E10" i="5"/>
  <c r="E11" i="5"/>
  <c r="F11" i="5"/>
  <c r="F10" i="5"/>
  <c r="G10" i="5"/>
  <c r="G11" i="5"/>
  <c r="K16" i="2"/>
  <c r="K17" i="2" s="1"/>
  <c r="K19" i="2" s="1"/>
  <c r="C14" i="5" s="1"/>
  <c r="K18" i="2" l="1"/>
  <c r="C15" i="5" s="1"/>
  <c r="K15" i="5" s="1"/>
  <c r="G14" i="5"/>
  <c r="K14" i="5"/>
  <c r="F14" i="5"/>
  <c r="L14" i="5"/>
  <c r="H14" i="5"/>
  <c r="M14" i="5"/>
  <c r="D14" i="5"/>
  <c r="E14" i="5"/>
  <c r="I14" i="5"/>
  <c r="J14" i="5"/>
  <c r="K22" i="2"/>
  <c r="L7" i="5"/>
  <c r="C7" i="5" s="1"/>
  <c r="K4" i="2"/>
  <c r="K6" i="2" s="1"/>
  <c r="K9" i="2" s="1"/>
  <c r="K20" i="2" s="1"/>
  <c r="J15" i="5" l="1"/>
  <c r="H15" i="5"/>
  <c r="E15" i="5"/>
  <c r="I15" i="5"/>
  <c r="F15" i="5"/>
  <c r="D15" i="5"/>
  <c r="L15" i="5"/>
  <c r="G15" i="5"/>
  <c r="D7" i="5"/>
  <c r="C18" i="5"/>
  <c r="C19" i="5" s="1"/>
  <c r="M15" i="5"/>
  <c r="K23" i="2"/>
  <c r="C16" i="5"/>
  <c r="L18" i="5"/>
  <c r="L19" i="5" s="1"/>
  <c r="M7" i="5"/>
  <c r="M18" i="5" s="1"/>
  <c r="M19" i="5" s="1"/>
  <c r="L8" i="5"/>
  <c r="M8" i="5" s="1"/>
  <c r="E7" i="5" l="1"/>
  <c r="D18" i="5"/>
  <c r="D19" i="5" s="1"/>
  <c r="L12" i="5"/>
  <c r="G16" i="5"/>
  <c r="K16" i="5"/>
  <c r="D16" i="5"/>
  <c r="I16" i="5"/>
  <c r="J16" i="5"/>
  <c r="E16" i="5"/>
  <c r="L16" i="5"/>
  <c r="L20" i="5" s="1"/>
  <c r="L23" i="5" s="1"/>
  <c r="F16" i="5"/>
  <c r="H16" i="5"/>
  <c r="M16" i="5"/>
  <c r="M20" i="5" s="1"/>
  <c r="C20" i="5"/>
  <c r="C23" i="5" s="1"/>
  <c r="D20" i="5" l="1"/>
  <c r="D23" i="5" s="1"/>
  <c r="F7" i="5"/>
  <c r="E18" i="5"/>
  <c r="E19" i="5" s="1"/>
  <c r="E20" i="5" s="1"/>
  <c r="E23" i="5" s="1"/>
  <c r="M23" i="5"/>
  <c r="L24" i="5"/>
  <c r="G7" i="5" l="1"/>
  <c r="F18" i="5"/>
  <c r="F19" i="5" s="1"/>
  <c r="F20" i="5" s="1"/>
  <c r="F23" i="5" s="1"/>
  <c r="H7" i="5" l="1"/>
  <c r="G18" i="5"/>
  <c r="G19" i="5" s="1"/>
  <c r="G20" i="5" s="1"/>
  <c r="G23" i="5" s="1"/>
  <c r="I7" i="5" l="1"/>
  <c r="H18" i="5"/>
  <c r="H19" i="5" s="1"/>
  <c r="H20" i="5" s="1"/>
  <c r="H23" i="5" s="1"/>
  <c r="J7" i="5" l="1"/>
  <c r="I18" i="5"/>
  <c r="I19" i="5" s="1"/>
  <c r="I20" i="5" s="1"/>
  <c r="I23" i="5" s="1"/>
  <c r="K7" i="5" l="1"/>
  <c r="K18" i="5" s="1"/>
  <c r="K19" i="5" s="1"/>
  <c r="K20" i="5" s="1"/>
  <c r="K23" i="5" s="1"/>
  <c r="J18" i="5"/>
  <c r="J19" i="5" s="1"/>
  <c r="J20" i="5" s="1"/>
  <c r="J23" i="5" s="1"/>
  <c r="P7" i="5" l="1"/>
  <c r="P9" i="5" s="1"/>
  <c r="B4" i="9" s="1"/>
  <c r="B8" i="5"/>
  <c r="P2" i="5" l="1"/>
  <c r="P4" i="5" s="1"/>
  <c r="M11" i="5" s="1"/>
  <c r="M12" i="5" s="1"/>
  <c r="M24" i="5" s="1"/>
  <c r="B5" i="5"/>
  <c r="C5" i="5" s="1"/>
  <c r="C6" i="5" s="1"/>
  <c r="C8" i="5" s="1"/>
  <c r="C12" i="5" s="1"/>
  <c r="C24" i="5" s="1"/>
  <c r="D5" i="5" l="1"/>
  <c r="E5" i="5" s="1"/>
  <c r="D6" i="5" l="1"/>
  <c r="D8" i="5" s="1"/>
  <c r="D12" i="5" s="1"/>
  <c r="D24" i="5" s="1"/>
  <c r="F5" i="5"/>
  <c r="E6" i="5"/>
  <c r="E8" i="5" s="1"/>
  <c r="E12" i="5" s="1"/>
  <c r="E24" i="5" s="1"/>
  <c r="G5" i="5" l="1"/>
  <c r="F6" i="5"/>
  <c r="F8" i="5" s="1"/>
  <c r="F12" i="5" s="1"/>
  <c r="F24" i="5" s="1"/>
  <c r="H5" i="5" l="1"/>
  <c r="G6" i="5"/>
  <c r="G8" i="5" s="1"/>
  <c r="G12" i="5" s="1"/>
  <c r="G24" i="5" s="1"/>
  <c r="I5" i="5" l="1"/>
  <c r="H6" i="5"/>
  <c r="H8" i="5" s="1"/>
  <c r="H12" i="5" s="1"/>
  <c r="H24" i="5" s="1"/>
  <c r="J5" i="5" l="1"/>
  <c r="I6" i="5"/>
  <c r="I8" i="5" s="1"/>
  <c r="I12" i="5" s="1"/>
  <c r="I24" i="5" s="1"/>
  <c r="K5" i="5" l="1"/>
  <c r="K6" i="5" s="1"/>
  <c r="K8" i="5" s="1"/>
  <c r="K12" i="5" s="1"/>
  <c r="K24" i="5" s="1"/>
  <c r="J6" i="5"/>
  <c r="J8" i="5" s="1"/>
  <c r="J12" i="5" s="1"/>
  <c r="J24" i="5" s="1"/>
  <c r="P12" i="5" l="1"/>
  <c r="P15" i="5" s="1"/>
  <c r="F27" i="9" s="1"/>
  <c r="P16" i="5"/>
  <c r="F3" i="9" l="1"/>
  <c r="F15" i="9"/>
  <c r="P18" i="5"/>
</calcChain>
</file>

<file path=xl/sharedStrings.xml><?xml version="1.0" encoding="utf-8"?>
<sst xmlns="http://schemas.openxmlformats.org/spreadsheetml/2006/main" count="112" uniqueCount="78">
  <si>
    <t>Revenue</t>
  </si>
  <si>
    <t>Proportion of Revenue</t>
  </si>
  <si>
    <t>Assumed ERP</t>
  </si>
  <si>
    <t>Weighted ERP</t>
  </si>
  <si>
    <t>Assumed Tax</t>
  </si>
  <si>
    <t>Weighted Tax</t>
  </si>
  <si>
    <t>Component</t>
  </si>
  <si>
    <t>Value</t>
  </si>
  <si>
    <t>Ticker</t>
  </si>
  <si>
    <t>Levered Beta for Industry</t>
  </si>
  <si>
    <t>Debt-To-Equity For Industry</t>
  </si>
  <si>
    <t>Unlevered Beta For Industry</t>
  </si>
  <si>
    <t>Debt-To-Equity</t>
  </si>
  <si>
    <t>Levered Beta</t>
  </si>
  <si>
    <t>Market Cap</t>
  </si>
  <si>
    <t>Total Debt</t>
  </si>
  <si>
    <t>ERP</t>
  </si>
  <si>
    <t>Risk-Free Rate</t>
  </si>
  <si>
    <t>Cost of Equity</t>
  </si>
  <si>
    <t>Spread</t>
  </si>
  <si>
    <t>Cost of Debt</t>
  </si>
  <si>
    <t>Time</t>
  </si>
  <si>
    <t>Interest Expense</t>
  </si>
  <si>
    <t>Discount Factor</t>
  </si>
  <si>
    <t>Present Value</t>
  </si>
  <si>
    <t>Equity</t>
  </si>
  <si>
    <t>Debt</t>
  </si>
  <si>
    <t>Capital</t>
  </si>
  <si>
    <t>Proportion of Debt</t>
  </si>
  <si>
    <t>Proportion of Equity</t>
  </si>
  <si>
    <t>Tax Rate</t>
  </si>
  <si>
    <t>WACC</t>
  </si>
  <si>
    <t>Sales</t>
  </si>
  <si>
    <t>Unadjusted Book Value of Equity</t>
  </si>
  <si>
    <t>Value of the R&amp;D Asset</t>
  </si>
  <si>
    <t>Adjusted Book</t>
  </si>
  <si>
    <t>Book Value of Debt</t>
  </si>
  <si>
    <t>Cash &amp; ST Investments + Marketable Securities</t>
  </si>
  <si>
    <t>Book Value of Invested Capital</t>
  </si>
  <si>
    <t>Sales to Capital</t>
  </si>
  <si>
    <t>Year</t>
  </si>
  <si>
    <t>Change</t>
  </si>
  <si>
    <t>Average:</t>
  </si>
  <si>
    <t>Median:</t>
  </si>
  <si>
    <t>Terminal Year</t>
  </si>
  <si>
    <t>Return on Capital</t>
  </si>
  <si>
    <t>Revenue Growth</t>
  </si>
  <si>
    <t>Terminal Growth</t>
  </si>
  <si>
    <t>Terminal Reinvestment Rate</t>
  </si>
  <si>
    <t>EBIT Margin</t>
  </si>
  <si>
    <t>Adjusted EBIT</t>
  </si>
  <si>
    <t>EBIT * (1 - Tax Rate)</t>
  </si>
  <si>
    <t>Sales To Capital</t>
  </si>
  <si>
    <t>Invested Capital</t>
  </si>
  <si>
    <t>Reinvestment</t>
  </si>
  <si>
    <t>FCFF</t>
  </si>
  <si>
    <t>Total Value of Enterprise</t>
  </si>
  <si>
    <t>Market Value of Debt</t>
  </si>
  <si>
    <t>Weight in Equity</t>
  </si>
  <si>
    <t>Cash</t>
  </si>
  <si>
    <t>Weight in Debt</t>
  </si>
  <si>
    <t>Equity Value in Common Stock</t>
  </si>
  <si>
    <t>Equity Value in 10 years</t>
  </si>
  <si>
    <t>Pre-Tax Cost of Debt</t>
  </si>
  <si>
    <t>Shares Outstanding</t>
  </si>
  <si>
    <t>Assumed Tax Rate</t>
  </si>
  <si>
    <t>Estimated Value per Share</t>
  </si>
  <si>
    <t>After-Tax Cost of Debt</t>
  </si>
  <si>
    <t>Present Valur of Cash Flow</t>
  </si>
  <si>
    <t>Operating Margin</t>
  </si>
  <si>
    <t>Growth</t>
  </si>
  <si>
    <t>Initial Growth Rate</t>
  </si>
  <si>
    <t>Risk Free Rate</t>
  </si>
  <si>
    <t>DAL</t>
  </si>
  <si>
    <t>Atlantic</t>
  </si>
  <si>
    <t>Latin America</t>
  </si>
  <si>
    <t>Pacific</t>
  </si>
  <si>
    <t>US and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</si>
</sst>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/>
    <xf numFmtId="4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" xfId="0" applyBorder="1"/>
    <xf numFmtId="4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10" fontId="4" fillId="0" borderId="5" xfId="0" applyNumberFormat="1" applyFon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left"/>
    </xf>
    <xf numFmtId="4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2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9" xfId="0" applyBorder="1" applyAlignment="1">
      <alignment horizontal="left"/>
    </xf>
    <xf numFmtId="2" fontId="0" fillId="0" borderId="10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0" fontId="0" fillId="0" borderId="9" xfId="0" applyBorder="1"/>
    <xf numFmtId="0" fontId="4" fillId="0" borderId="1" xfId="0" applyFont="1" applyBorder="1"/>
    <xf numFmtId="4" fontId="4" fillId="0" borderId="5" xfId="0" applyNumberFormat="1" applyFont="1" applyBorder="1" applyAlignment="1">
      <alignment horizontal="center"/>
    </xf>
    <xf numFmtId="0" fontId="3" fillId="0" borderId="13" xfId="1" applyFont="1" applyBorder="1"/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3" fillId="0" borderId="14" xfId="1" applyFont="1" applyBorder="1" applyAlignment="1">
      <alignment horizontal="left"/>
    </xf>
    <xf numFmtId="0" fontId="2" fillId="0" borderId="7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8" xfId="1" applyBorder="1" applyAlignment="1">
      <alignment horizontal="center"/>
    </xf>
    <xf numFmtId="0" fontId="3" fillId="0" borderId="14" xfId="1" applyFont="1" applyBorder="1"/>
    <xf numFmtId="10" fontId="2" fillId="0" borderId="7" xfId="1" applyNumberFormat="1" applyBorder="1" applyAlignment="1">
      <alignment horizontal="center"/>
    </xf>
    <xf numFmtId="10" fontId="2" fillId="0" borderId="0" xfId="1" applyNumberFormat="1" applyAlignment="1">
      <alignment horizontal="center"/>
    </xf>
    <xf numFmtId="10" fontId="2" fillId="0" borderId="8" xfId="1" applyNumberFormat="1" applyBorder="1" applyAlignment="1">
      <alignment horizontal="center"/>
    </xf>
    <xf numFmtId="4" fontId="2" fillId="0" borderId="7" xfId="1" applyNumberFormat="1" applyBorder="1" applyAlignment="1">
      <alignment horizontal="center"/>
    </xf>
    <xf numFmtId="4" fontId="2" fillId="0" borderId="8" xfId="1" applyNumberForma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2" xfId="1" applyFont="1" applyBorder="1"/>
    <xf numFmtId="0" fontId="2" fillId="0" borderId="9" xfId="1" applyBorder="1" applyAlignment="1">
      <alignment horizontal="center"/>
    </xf>
    <xf numFmtId="4" fontId="2" fillId="0" borderId="10" xfId="1" applyNumberFormat="1" applyBorder="1" applyAlignment="1">
      <alignment horizontal="center"/>
    </xf>
    <xf numFmtId="4" fontId="2" fillId="0" borderId="11" xfId="1" applyNumberFormat="1" applyBorder="1" applyAlignment="1">
      <alignment horizontal="center"/>
    </xf>
    <xf numFmtId="0" fontId="2" fillId="0" borderId="0" xfId="1"/>
    <xf numFmtId="0" fontId="0" fillId="0" borderId="8" xfId="0" applyBorder="1" applyAlignment="1">
      <alignment horizontal="center"/>
    </xf>
    <xf numFmtId="10" fontId="2" fillId="0" borderId="6" xfId="1" applyNumberFormat="1" applyBorder="1" applyAlignment="1">
      <alignment horizontal="center"/>
    </xf>
    <xf numFmtId="10" fontId="2" fillId="0" borderId="3" xfId="1" applyNumberFormat="1" applyBorder="1" applyAlignment="1">
      <alignment horizontal="center"/>
    </xf>
    <xf numFmtId="10" fontId="2" fillId="0" borderId="4" xfId="1" applyNumberForma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0" fontId="2" fillId="0" borderId="9" xfId="1" applyNumberFormat="1" applyBorder="1" applyAlignment="1">
      <alignment horizontal="center"/>
    </xf>
    <xf numFmtId="10" fontId="2" fillId="0" borderId="10" xfId="1" applyNumberFormat="1" applyBorder="1" applyAlignment="1">
      <alignment horizontal="center"/>
    </xf>
    <xf numFmtId="10" fontId="2" fillId="0" borderId="11" xfId="1" applyNumberFormat="1" applyBorder="1" applyAlignment="1">
      <alignment horizontal="center"/>
    </xf>
    <xf numFmtId="2" fontId="2" fillId="0" borderId="3" xfId="1" applyNumberFormat="1" applyBorder="1" applyAlignment="1">
      <alignment horizontal="center"/>
    </xf>
    <xf numFmtId="2" fontId="2" fillId="0" borderId="4" xfId="1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/>
    <xf numFmtId="4" fontId="2" fillId="0" borderId="0" xfId="1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1" fillId="0" borderId="8" xfId="1" applyNumberFormat="1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4" fontId="4" fillId="0" borderId="15" xfId="0" applyNumberFormat="1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4" fillId="0" borderId="13" xfId="0" applyNumberFormat="1" applyFont="1" applyBorder="1" applyAlignment="1">
      <alignment horizontal="center"/>
    </xf>
    <xf numFmtId="4" fontId="0" fillId="0" borderId="16" xfId="0" applyNumberForma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4" fontId="0" fillId="0" borderId="19" xfId="0" applyNumberFormat="1" applyBorder="1" applyAlignment="1">
      <alignment horizontal="center"/>
    </xf>
    <xf numFmtId="4" fontId="0" fillId="0" borderId="2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10" fontId="4" fillId="0" borderId="12" xfId="0" applyNumberFormat="1" applyFont="1" applyBorder="1" applyAlignment="1">
      <alignment horizontal="center"/>
    </xf>
    <xf numFmtId="4" fontId="0" fillId="0" borderId="22" xfId="0" applyNumberFormat="1" applyBorder="1" applyAlignment="1">
      <alignment horizontal="center"/>
    </xf>
    <xf numFmtId="4" fontId="0" fillId="0" borderId="23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/>
    <xf numFmtId="0" fontId="0" fillId="0" borderId="3" xfId="0" applyBorder="1" applyAlignment="1">
      <alignment horizontal="center"/>
    </xf>
    <xf numFmtId="0" fontId="4" fillId="0" borderId="9" xfId="0" applyFont="1" applyBorder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5" fillId="0" borderId="0" xfId="0" applyFont="1"/>
    <xf numFmtId="10" fontId="6" fillId="0" borderId="2" xfId="0" applyNumberFormat="1" applyFont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0" fontId="7" fillId="0" borderId="9" xfId="0" applyFont="1" applyBorder="1" applyAlignment="1">
      <alignment horizontal="left"/>
    </xf>
    <xf numFmtId="10" fontId="7" fillId="0" borderId="11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5" xfId="0" applyBorder="1"/>
    <xf numFmtId="0" fontId="8" fillId="0" borderId="0" xfId="0" applyFont="1"/>
    <xf numFmtId="4" fontId="9" fillId="0" borderId="0" xfId="0" applyNumberFormat="1" applyFont="1" applyAlignment="1">
      <alignment horizontal="center"/>
    </xf>
    <xf numFmtId="10" fontId="9" fillId="0" borderId="0" xfId="1" applyNumberFormat="1" applyFont="1" applyAlignment="1">
      <alignment horizontal="center"/>
    </xf>
    <xf numFmtId="4" fontId="9" fillId="0" borderId="0" xfId="1" applyNumberFormat="1" applyFont="1" applyAlignment="1">
      <alignment horizontal="center"/>
    </xf>
    <xf numFmtId="0" fontId="4" fillId="0" borderId="13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Normal" xfId="0" builtinId="0"/>
    <cellStyle name="Normal 3" xfId="1" xr:uid="{F2BD93D7-4364-4019-846E-5B1F934D22FE}"/>
  </cellStyles>
  <dxfs count="4"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D0B2-0261-49EC-8D74-E27660585CCB}">
  <dimension ref="A1:M29"/>
  <sheetViews>
    <sheetView tabSelected="1" workbookViewId="0">
      <selection activeCell="H12" sqref="H12"/>
    </sheetView>
  </sheetViews>
  <sheetFormatPr defaultRowHeight="14.25" x14ac:dyDescent="0.45"/>
  <cols>
    <col min="1" max="1" width="12.6640625" customWidth="1"/>
    <col min="2" max="2" width="14.3984375" bestFit="1" customWidth="1"/>
    <col min="3" max="3" width="19.3984375" bestFit="1" customWidth="1"/>
    <col min="4" max="4" width="12" bestFit="1" customWidth="1"/>
    <col min="5" max="5" width="12.1328125" bestFit="1" customWidth="1"/>
    <col min="6" max="6" width="11.3984375" bestFit="1" customWidth="1"/>
    <col min="7" max="7" width="11.86328125" bestFit="1" customWidth="1"/>
    <col min="10" max="10" width="23" bestFit="1" customWidth="1"/>
    <col min="11" max="11" width="9.73046875" bestFit="1" customWidth="1"/>
  </cols>
  <sheetData>
    <row r="1" spans="1:13" ht="14.65" thickBot="1" x14ac:dyDescent="0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J1" s="1" t="s">
        <v>6</v>
      </c>
      <c r="K1" s="5" t="s">
        <v>7</v>
      </c>
      <c r="M1" s="103" t="s">
        <v>8</v>
      </c>
    </row>
    <row r="2" spans="1:13" ht="14.65" thickBot="1" x14ac:dyDescent="0.5">
      <c r="A2" s="6" t="s">
        <v>77</v>
      </c>
      <c r="B2" s="7">
        <v>43508</v>
      </c>
      <c r="C2" s="8">
        <f>B2/$B$6</f>
        <v>0.70580601203705207</v>
      </c>
      <c r="D2" s="8">
        <v>4.3299999999999998E-2</v>
      </c>
      <c r="E2" s="8">
        <f>C2*D2</f>
        <v>3.0561400321204354E-2</v>
      </c>
      <c r="F2" s="8">
        <v>0.25109999999999999</v>
      </c>
      <c r="G2" s="9">
        <f>C2*F2</f>
        <v>0.17722788962250377</v>
      </c>
      <c r="J2" s="96" t="s">
        <v>9</v>
      </c>
      <c r="K2" s="10">
        <v>1.24</v>
      </c>
      <c r="M2" s="104" t="s">
        <v>73</v>
      </c>
    </row>
    <row r="3" spans="1:13" x14ac:dyDescent="0.45">
      <c r="A3" s="11" t="s">
        <v>74</v>
      </c>
      <c r="B3" s="12">
        <v>10535</v>
      </c>
      <c r="C3" s="13">
        <f>B3/$B$6</f>
        <v>0.17090342780202131</v>
      </c>
      <c r="D3" s="13">
        <v>6.3299999999999995E-2</v>
      </c>
      <c r="E3" s="13">
        <f t="shared" ref="E3" si="0">C3*D3</f>
        <v>1.0818186979867948E-2</v>
      </c>
      <c r="F3" s="13">
        <v>0.23599999999999999</v>
      </c>
      <c r="G3" s="14">
        <f t="shared" ref="G3" si="1">C3*F3</f>
        <v>4.0333208961277026E-2</v>
      </c>
      <c r="J3" s="97" t="s">
        <v>10</v>
      </c>
      <c r="K3" s="14">
        <v>1.0683</v>
      </c>
    </row>
    <row r="4" spans="1:13" x14ac:dyDescent="0.45">
      <c r="A4" t="s">
        <v>75</v>
      </c>
      <c r="B4" s="12">
        <v>4564</v>
      </c>
      <c r="C4" s="13">
        <f>B4/$B$6</f>
        <v>7.4039225865061731E-2</v>
      </c>
      <c r="D4" s="13">
        <v>9.3200000000000005E-2</v>
      </c>
      <c r="E4" s="13">
        <f t="shared" ref="E4" si="2">C4*D4</f>
        <v>6.9004558506237535E-3</v>
      </c>
      <c r="F4" s="13">
        <v>0.31219999999999998</v>
      </c>
      <c r="G4" s="14">
        <f t="shared" ref="G4" si="3">C4*F4</f>
        <v>2.3115046315072271E-2</v>
      </c>
      <c r="J4" s="97" t="s">
        <v>11</v>
      </c>
      <c r="K4" s="15">
        <f>K2/(1+(1-G6)*K3)</f>
        <v>0.68983875590489752</v>
      </c>
    </row>
    <row r="5" spans="1:13" ht="14.65" thickBot="1" x14ac:dyDescent="0.5">
      <c r="A5" t="s">
        <v>76</v>
      </c>
      <c r="B5" s="12">
        <v>3036</v>
      </c>
      <c r="C5" s="13">
        <f>B5/$B$6</f>
        <v>4.9251334295864903E-2</v>
      </c>
      <c r="D5" s="13">
        <v>5.7799999999999997E-2</v>
      </c>
      <c r="E5" s="13">
        <f t="shared" ref="E5" si="4">C5*D5</f>
        <v>2.8467271223009912E-3</v>
      </c>
      <c r="F5" s="13">
        <v>0.25969999999999999</v>
      </c>
      <c r="G5" s="14">
        <f t="shared" ref="G5" si="5">C5*F5</f>
        <v>1.2790571516636115E-2</v>
      </c>
      <c r="J5" s="97" t="s">
        <v>12</v>
      </c>
      <c r="K5" s="14">
        <f>C9</f>
        <v>0.57127446061214249</v>
      </c>
    </row>
    <row r="6" spans="1:13" ht="14.65" thickBot="1" x14ac:dyDescent="0.5">
      <c r="A6" s="16"/>
      <c r="B6" s="17">
        <f>SUM(B2:B5)</f>
        <v>61643</v>
      </c>
      <c r="C6" s="18">
        <f>SUM(C2:C5)</f>
        <v>1</v>
      </c>
      <c r="D6" s="70"/>
      <c r="E6" s="18">
        <f>SUM(E2:E5)</f>
        <v>5.1126770273997042E-2</v>
      </c>
      <c r="F6" s="70"/>
      <c r="G6" s="19">
        <f>SUM(G2:G5)</f>
        <v>0.25346671641548918</v>
      </c>
      <c r="J6" s="97" t="s">
        <v>13</v>
      </c>
      <c r="K6" s="15">
        <f>K4*(1+(1-G6)*K5)</f>
        <v>0.98403801451215667</v>
      </c>
    </row>
    <row r="7" spans="1:13" ht="14.65" thickBot="1" x14ac:dyDescent="0.5">
      <c r="J7" s="97" t="s">
        <v>16</v>
      </c>
      <c r="K7" s="14">
        <f>E6</f>
        <v>5.1126770273997042E-2</v>
      </c>
    </row>
    <row r="8" spans="1:13" ht="14.65" thickBot="1" x14ac:dyDescent="0.5">
      <c r="A8" s="1" t="s">
        <v>14</v>
      </c>
      <c r="B8" s="2" t="s">
        <v>15</v>
      </c>
      <c r="C8" s="5" t="s">
        <v>12</v>
      </c>
      <c r="J8" s="97" t="s">
        <v>17</v>
      </c>
      <c r="K8" s="14">
        <f>A12</f>
        <v>4.2200000000000001E-2</v>
      </c>
    </row>
    <row r="9" spans="1:13" ht="14.65" thickBot="1" x14ac:dyDescent="0.5">
      <c r="A9" s="22">
        <v>39860</v>
      </c>
      <c r="B9" s="23">
        <v>22771</v>
      </c>
      <c r="C9" s="24">
        <f>B9/A9</f>
        <v>0.57127446061214249</v>
      </c>
      <c r="J9" s="1" t="s">
        <v>18</v>
      </c>
      <c r="K9" s="21">
        <f>K8+K7*K6</f>
        <v>9.2510685508843199E-2</v>
      </c>
    </row>
    <row r="10" spans="1:13" ht="14.65" thickBot="1" x14ac:dyDescent="0.5">
      <c r="B10" s="20"/>
      <c r="J10" s="20"/>
    </row>
    <row r="11" spans="1:13" ht="14.65" thickBot="1" x14ac:dyDescent="0.5">
      <c r="A11" s="1" t="s">
        <v>17</v>
      </c>
      <c r="B11" s="2" t="s">
        <v>19</v>
      </c>
      <c r="C11" s="5" t="s">
        <v>20</v>
      </c>
      <c r="J11" s="20"/>
    </row>
    <row r="12" spans="1:13" ht="14.65" thickBot="1" x14ac:dyDescent="0.5">
      <c r="A12" s="25">
        <f>Sensitive!B6</f>
        <v>4.2200000000000001E-2</v>
      </c>
      <c r="B12" s="26">
        <v>1.2E-2</v>
      </c>
      <c r="C12" s="24">
        <f>SUM(A12:B12)</f>
        <v>5.4199999999999998E-2</v>
      </c>
      <c r="J12" s="20"/>
    </row>
    <row r="13" spans="1:13" ht="14.65" thickBot="1" x14ac:dyDescent="0.5">
      <c r="B13" s="20"/>
      <c r="J13" s="20"/>
    </row>
    <row r="14" spans="1:13" ht="14.65" thickBot="1" x14ac:dyDescent="0.5">
      <c r="A14" s="1" t="s">
        <v>21</v>
      </c>
      <c r="B14" s="2" t="s">
        <v>22</v>
      </c>
      <c r="C14" s="2" t="s">
        <v>23</v>
      </c>
      <c r="D14" s="5" t="s">
        <v>24</v>
      </c>
      <c r="J14" s="1" t="s">
        <v>6</v>
      </c>
      <c r="K14" s="5" t="s">
        <v>7</v>
      </c>
    </row>
    <row r="15" spans="1:13" x14ac:dyDescent="0.45">
      <c r="A15" s="29">
        <v>1</v>
      </c>
      <c r="B15" s="7">
        <v>747</v>
      </c>
      <c r="C15" s="30">
        <f>1/((1+$C$12)^A15)</f>
        <v>0.94858660595712385</v>
      </c>
      <c r="D15" s="31">
        <f>B15*C15</f>
        <v>708.59419464997154</v>
      </c>
      <c r="J15" s="27" t="s">
        <v>25</v>
      </c>
      <c r="K15" s="28">
        <f>A9</f>
        <v>39860</v>
      </c>
    </row>
    <row r="16" spans="1:13" x14ac:dyDescent="0.45">
      <c r="A16" s="27">
        <v>2</v>
      </c>
      <c r="B16" s="12">
        <f>$B$15</f>
        <v>747</v>
      </c>
      <c r="C16" s="32">
        <f>1/((1+$C$12)^A16)</f>
        <v>0.89981654900125574</v>
      </c>
      <c r="D16" s="28">
        <f t="shared" ref="D16:D27" si="6">B16*C16</f>
        <v>672.16296210393807</v>
      </c>
      <c r="J16" s="27" t="s">
        <v>26</v>
      </c>
      <c r="K16" s="28">
        <f>D28</f>
        <v>18308.118688087841</v>
      </c>
    </row>
    <row r="17" spans="1:11" x14ac:dyDescent="0.45">
      <c r="A17" s="27">
        <v>3</v>
      </c>
      <c r="B17" s="12">
        <f>$B$15</f>
        <v>747</v>
      </c>
      <c r="C17" s="32">
        <f>1/((1+$C$12)^A17)</f>
        <v>0.85355392620115322</v>
      </c>
      <c r="D17" s="28">
        <f t="shared" si="6"/>
        <v>637.60478287226147</v>
      </c>
      <c r="J17" s="27" t="s">
        <v>27</v>
      </c>
      <c r="K17" s="28">
        <f>SUM(K15:K16)</f>
        <v>58168.118688087838</v>
      </c>
    </row>
    <row r="18" spans="1:11" x14ac:dyDescent="0.45">
      <c r="A18" s="27">
        <v>4</v>
      </c>
      <c r="B18" s="12">
        <f>$B$15</f>
        <v>747</v>
      </c>
      <c r="C18" s="32">
        <f>1/((1+$C$12)^A18)</f>
        <v>0.80966982185652914</v>
      </c>
      <c r="D18" s="28">
        <f t="shared" si="6"/>
        <v>604.82335692682727</v>
      </c>
      <c r="J18" s="27" t="s">
        <v>28</v>
      </c>
      <c r="K18" s="14">
        <f>K16/K17</f>
        <v>0.31474489980087894</v>
      </c>
    </row>
    <row r="19" spans="1:11" x14ac:dyDescent="0.45">
      <c r="A19" s="27">
        <v>5</v>
      </c>
      <c r="B19" s="12">
        <f>$B$15</f>
        <v>747</v>
      </c>
      <c r="C19" s="32">
        <f>1/((1+$C$12)^A19)</f>
        <v>0.76804194826079408</v>
      </c>
      <c r="D19" s="28">
        <f t="shared" si="6"/>
        <v>573.72733535081318</v>
      </c>
      <c r="J19" s="27" t="s">
        <v>29</v>
      </c>
      <c r="K19" s="14">
        <f>K15/K17</f>
        <v>0.68525510019912106</v>
      </c>
    </row>
    <row r="20" spans="1:11" x14ac:dyDescent="0.45">
      <c r="A20" s="27">
        <v>6</v>
      </c>
      <c r="B20" s="12">
        <f>$B$15</f>
        <v>747</v>
      </c>
      <c r="C20" s="32">
        <f>1/((1+$C$12)^A20)</f>
        <v>0.72855430493340356</v>
      </c>
      <c r="D20" s="28">
        <f t="shared" si="6"/>
        <v>544.23006578525246</v>
      </c>
      <c r="J20" s="27" t="s">
        <v>18</v>
      </c>
      <c r="K20" s="14">
        <f>K9</f>
        <v>9.2510685508843199E-2</v>
      </c>
    </row>
    <row r="21" spans="1:11" x14ac:dyDescent="0.45">
      <c r="A21" s="27">
        <v>7</v>
      </c>
      <c r="B21" s="12">
        <f>$B$15</f>
        <v>747</v>
      </c>
      <c r="C21" s="32">
        <f>1/((1+$C$12)^A21)</f>
        <v>0.69109685537222876</v>
      </c>
      <c r="D21" s="28">
        <f t="shared" si="6"/>
        <v>516.24935096305489</v>
      </c>
      <c r="J21" s="27" t="s">
        <v>20</v>
      </c>
      <c r="K21" s="14">
        <f>C12</f>
        <v>5.4199999999999998E-2</v>
      </c>
    </row>
    <row r="22" spans="1:11" ht="14.65" thickBot="1" x14ac:dyDescent="0.5">
      <c r="A22" s="27">
        <v>8</v>
      </c>
      <c r="B22" s="12">
        <f>$B$15</f>
        <v>747</v>
      </c>
      <c r="C22" s="32">
        <f>1/((1+$C$12)^A22)</f>
        <v>0.65556522042518373</v>
      </c>
      <c r="D22" s="28">
        <f t="shared" si="6"/>
        <v>489.70721965761226</v>
      </c>
      <c r="J22" s="27" t="s">
        <v>30</v>
      </c>
      <c r="K22" s="14">
        <f>G6</f>
        <v>0.25346671641548918</v>
      </c>
    </row>
    <row r="23" spans="1:11" ht="14.65" thickBot="1" x14ac:dyDescent="0.5">
      <c r="A23" s="27">
        <v>9</v>
      </c>
      <c r="B23" s="12">
        <f>$B$15</f>
        <v>747</v>
      </c>
      <c r="C23" s="32">
        <f>1/((1+$C$12)^A23)</f>
        <v>0.62186038742665872</v>
      </c>
      <c r="D23" s="28">
        <f t="shared" si="6"/>
        <v>464.52970940771405</v>
      </c>
      <c r="J23" s="1" t="s">
        <v>31</v>
      </c>
      <c r="K23" s="21">
        <f>K18*K21*(1-K22)+K19*K20</f>
        <v>7.6128659927710396E-2</v>
      </c>
    </row>
    <row r="24" spans="1:11" x14ac:dyDescent="0.45">
      <c r="A24" s="27">
        <v>10</v>
      </c>
      <c r="B24" s="12">
        <f>$B$15</f>
        <v>747</v>
      </c>
      <c r="C24" s="32">
        <f>1/((1+$C$12)^A24)</f>
        <v>0.58988843428823634</v>
      </c>
      <c r="D24" s="28">
        <f t="shared" si="6"/>
        <v>440.64666041331253</v>
      </c>
      <c r="J24" s="20"/>
    </row>
    <row r="25" spans="1:11" x14ac:dyDescent="0.45">
      <c r="A25" s="27">
        <v>11</v>
      </c>
      <c r="B25" s="12">
        <f>$B$15</f>
        <v>747</v>
      </c>
      <c r="C25" s="32">
        <f>1/((1+$C$12)^A25)</f>
        <v>0.55956026777484003</v>
      </c>
      <c r="D25" s="28">
        <f t="shared" si="6"/>
        <v>417.99152002780551</v>
      </c>
      <c r="J25" s="20"/>
    </row>
    <row r="26" spans="1:11" x14ac:dyDescent="0.45">
      <c r="A26" s="27">
        <v>12</v>
      </c>
      <c r="B26" s="12">
        <f>$B$15</f>
        <v>747</v>
      </c>
      <c r="C26" s="32">
        <f>1/((1+$C$12)^A26)</f>
        <v>0.53079137523699471</v>
      </c>
      <c r="D26" s="28">
        <f t="shared" si="6"/>
        <v>396.50115730203504</v>
      </c>
      <c r="J26" s="20"/>
    </row>
    <row r="27" spans="1:11" ht="14.65" thickBot="1" x14ac:dyDescent="0.5">
      <c r="A27" s="33">
        <v>13</v>
      </c>
      <c r="B27" s="23">
        <f>$B$9+$B$15</f>
        <v>23518</v>
      </c>
      <c r="C27" s="34">
        <f>1/((1+$C$12)^A27)</f>
        <v>0.50350158910737497</v>
      </c>
      <c r="D27" s="35">
        <f t="shared" si="6"/>
        <v>11841.350372627245</v>
      </c>
      <c r="J27" s="20"/>
    </row>
    <row r="28" spans="1:11" ht="14.65" thickBot="1" x14ac:dyDescent="0.5">
      <c r="B28" s="20"/>
      <c r="D28" s="36">
        <f>SUM(D15:D27)</f>
        <v>18308.118688087841</v>
      </c>
      <c r="J28" s="20"/>
    </row>
    <row r="29" spans="1:11" x14ac:dyDescent="0.45">
      <c r="J2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3FF3-C082-42DF-88BD-6BC5C9E9E463}">
  <dimension ref="A1:B9"/>
  <sheetViews>
    <sheetView workbookViewId="0">
      <selection activeCell="B8" sqref="B8"/>
    </sheetView>
  </sheetViews>
  <sheetFormatPr defaultRowHeight="14.25" x14ac:dyDescent="0.45"/>
  <cols>
    <col min="1" max="1" width="37.86328125" bestFit="1" customWidth="1"/>
    <col min="2" max="2" width="9.73046875" bestFit="1" customWidth="1"/>
  </cols>
  <sheetData>
    <row r="1" spans="1:2" ht="14.65" thickBot="1" x14ac:dyDescent="0.5">
      <c r="A1" s="1" t="s">
        <v>6</v>
      </c>
      <c r="B1" s="5" t="s">
        <v>7</v>
      </c>
    </row>
    <row r="2" spans="1:2" x14ac:dyDescent="0.45">
      <c r="A2" s="11" t="s">
        <v>32</v>
      </c>
      <c r="B2" s="28">
        <f>WACC!B6</f>
        <v>61643</v>
      </c>
    </row>
    <row r="3" spans="1:2" x14ac:dyDescent="0.45">
      <c r="A3" s="11" t="s">
        <v>33</v>
      </c>
      <c r="B3" s="28">
        <v>15293</v>
      </c>
    </row>
    <row r="4" spans="1:2" x14ac:dyDescent="0.45">
      <c r="A4" s="11" t="s">
        <v>34</v>
      </c>
      <c r="B4" s="28">
        <v>0</v>
      </c>
    </row>
    <row r="5" spans="1:2" x14ac:dyDescent="0.45">
      <c r="A5" s="11" t="s">
        <v>35</v>
      </c>
      <c r="B5" s="28">
        <f>SUM(B3:B4)</f>
        <v>15293</v>
      </c>
    </row>
    <row r="6" spans="1:2" x14ac:dyDescent="0.45">
      <c r="A6" s="11" t="s">
        <v>36</v>
      </c>
      <c r="B6" s="28">
        <f>WACC!B9</f>
        <v>22771</v>
      </c>
    </row>
    <row r="7" spans="1:2" x14ac:dyDescent="0.45">
      <c r="A7" s="11" t="s">
        <v>37</v>
      </c>
      <c r="B7" s="28">
        <v>3069</v>
      </c>
    </row>
    <row r="8" spans="1:2" ht="14.65" thickBot="1" x14ac:dyDescent="0.5">
      <c r="A8" s="37" t="s">
        <v>38</v>
      </c>
      <c r="B8" s="35">
        <f>B5+B6-B7</f>
        <v>34995</v>
      </c>
    </row>
    <row r="9" spans="1:2" ht="14.65" thickBot="1" x14ac:dyDescent="0.5">
      <c r="A9" s="38" t="s">
        <v>39</v>
      </c>
      <c r="B9" s="39">
        <f>B2/B8</f>
        <v>1.7614802114587798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BC3E-7110-4417-AF5D-1480074067CB}">
  <dimension ref="A1:J21"/>
  <sheetViews>
    <sheetView workbookViewId="0">
      <selection activeCell="E24" sqref="E24"/>
    </sheetView>
  </sheetViews>
  <sheetFormatPr defaultRowHeight="14.25" x14ac:dyDescent="0.45"/>
  <sheetData>
    <row r="1" spans="1:10" ht="14.65" thickBot="1" x14ac:dyDescent="0.5">
      <c r="A1" s="1" t="s">
        <v>40</v>
      </c>
      <c r="B1" s="2" t="s">
        <v>0</v>
      </c>
      <c r="C1" s="5" t="s">
        <v>41</v>
      </c>
    </row>
    <row r="2" spans="1:10" x14ac:dyDescent="0.45">
      <c r="A2" s="27">
        <v>2024</v>
      </c>
      <c r="B2" s="106">
        <v>61643</v>
      </c>
      <c r="C2" s="14">
        <f>B2/B3-1</f>
        <v>6.193150496141131E-2</v>
      </c>
    </row>
    <row r="3" spans="1:10" x14ac:dyDescent="0.45">
      <c r="A3" s="27">
        <v>2023</v>
      </c>
      <c r="B3" s="106">
        <v>58048</v>
      </c>
      <c r="C3" s="14">
        <f t="shared" ref="C3:C11" si="0">B3/B4-1</f>
        <v>0.14760191372424969</v>
      </c>
    </row>
    <row r="4" spans="1:10" x14ac:dyDescent="0.45">
      <c r="A4" s="27">
        <v>2022</v>
      </c>
      <c r="B4" s="106">
        <v>50582</v>
      </c>
      <c r="C4" s="14">
        <f t="shared" si="0"/>
        <v>0.6917622662965317</v>
      </c>
    </row>
    <row r="5" spans="1:10" x14ac:dyDescent="0.45">
      <c r="A5" s="27">
        <v>2021</v>
      </c>
      <c r="B5" s="106">
        <v>29899</v>
      </c>
      <c r="C5" s="14">
        <f t="shared" si="0"/>
        <v>0.74899093302135133</v>
      </c>
    </row>
    <row r="6" spans="1:10" x14ac:dyDescent="0.45">
      <c r="A6" s="27">
        <v>2020</v>
      </c>
      <c r="B6" s="106">
        <v>17095</v>
      </c>
      <c r="C6" s="14">
        <f t="shared" si="0"/>
        <v>-0.63633075924862248</v>
      </c>
    </row>
    <row r="7" spans="1:10" x14ac:dyDescent="0.45">
      <c r="A7" s="27">
        <v>2019</v>
      </c>
      <c r="B7" s="106">
        <v>47007</v>
      </c>
      <c r="C7" s="14">
        <f t="shared" si="0"/>
        <v>5.7810882577973732E-2</v>
      </c>
      <c r="F7" s="105"/>
    </row>
    <row r="8" spans="1:10" x14ac:dyDescent="0.45">
      <c r="A8" s="27">
        <v>2018</v>
      </c>
      <c r="B8" s="106">
        <v>44438</v>
      </c>
      <c r="C8" s="14">
        <f t="shared" si="0"/>
        <v>8.0217803490689965E-2</v>
      </c>
      <c r="F8" s="105"/>
      <c r="G8" s="105"/>
    </row>
    <row r="9" spans="1:10" x14ac:dyDescent="0.45">
      <c r="A9" s="27">
        <v>2017</v>
      </c>
      <c r="B9" s="106">
        <v>41138</v>
      </c>
      <c r="C9" s="14">
        <f>B9/B10-1</f>
        <v>3.7816292035621535E-2</v>
      </c>
      <c r="F9" s="105"/>
      <c r="G9" s="105"/>
      <c r="I9" s="105"/>
    </row>
    <row r="10" spans="1:10" x14ac:dyDescent="0.45">
      <c r="A10" s="27">
        <v>2016</v>
      </c>
      <c r="B10" s="106">
        <v>39639</v>
      </c>
      <c r="C10" s="14">
        <f t="shared" si="0"/>
        <v>-2.6164504716981174E-2</v>
      </c>
      <c r="F10" s="105"/>
      <c r="G10" s="105"/>
      <c r="I10" s="105"/>
    </row>
    <row r="11" spans="1:10" x14ac:dyDescent="0.45">
      <c r="A11" s="27">
        <v>2015</v>
      </c>
      <c r="B11" s="106">
        <v>40704</v>
      </c>
      <c r="C11" s="14">
        <f t="shared" si="0"/>
        <v>8.473316485803517E-3</v>
      </c>
      <c r="F11" s="105"/>
      <c r="G11" s="105"/>
      <c r="I11" s="105"/>
      <c r="J11" s="105"/>
    </row>
    <row r="12" spans="1:10" ht="14.65" thickBot="1" x14ac:dyDescent="0.5">
      <c r="A12" s="27">
        <v>2014</v>
      </c>
      <c r="B12" s="106">
        <v>40362</v>
      </c>
      <c r="C12" s="92"/>
      <c r="F12" s="105"/>
      <c r="G12" s="105"/>
      <c r="I12" s="105"/>
      <c r="J12" s="105"/>
    </row>
    <row r="13" spans="1:10" x14ac:dyDescent="0.45">
      <c r="A13" s="93" t="s">
        <v>42</v>
      </c>
      <c r="B13" s="94"/>
      <c r="C13" s="9">
        <f>AVERAGE(C2:C11)</f>
        <v>0.11721096486280291</v>
      </c>
      <c r="F13" s="105"/>
      <c r="G13" s="105"/>
      <c r="I13" s="105"/>
      <c r="J13" s="105"/>
    </row>
    <row r="14" spans="1:10" ht="14.65" thickBot="1" x14ac:dyDescent="0.5">
      <c r="A14" s="95" t="s">
        <v>43</v>
      </c>
      <c r="B14" s="91"/>
      <c r="C14" s="24">
        <f>MEDIAN(C2:C11)</f>
        <v>5.9871193769692521E-2</v>
      </c>
      <c r="F14" s="105"/>
      <c r="G14" s="105"/>
      <c r="I14" s="105"/>
      <c r="J14" s="105"/>
    </row>
    <row r="15" spans="1:10" x14ac:dyDescent="0.45">
      <c r="F15" s="105"/>
      <c r="G15" s="105"/>
      <c r="I15" s="105"/>
      <c r="J15" s="105"/>
    </row>
    <row r="16" spans="1:10" x14ac:dyDescent="0.45">
      <c r="F16" s="105"/>
      <c r="G16" s="105"/>
      <c r="I16" s="105"/>
      <c r="J16" s="105"/>
    </row>
    <row r="17" spans="6:10" x14ac:dyDescent="0.45">
      <c r="F17" s="105"/>
      <c r="G17" s="105"/>
      <c r="I17" s="105"/>
      <c r="J17" s="105"/>
    </row>
    <row r="18" spans="6:10" x14ac:dyDescent="0.45">
      <c r="F18" s="105"/>
      <c r="G18" s="105"/>
      <c r="I18" s="105"/>
      <c r="J18" s="105"/>
    </row>
    <row r="19" spans="6:10" x14ac:dyDescent="0.45">
      <c r="F19" s="105"/>
      <c r="I19" s="105"/>
      <c r="J19" s="105"/>
    </row>
    <row r="20" spans="6:10" x14ac:dyDescent="0.45">
      <c r="F20" s="105"/>
      <c r="J20" s="105"/>
    </row>
    <row r="21" spans="6:10" x14ac:dyDescent="0.45">
      <c r="J21" s="10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C3EC-A2AD-4692-ACDE-E3D5BD62C5BA}">
  <dimension ref="A1:P31"/>
  <sheetViews>
    <sheetView topLeftCell="C1" workbookViewId="0">
      <selection activeCell="P17" sqref="P17"/>
    </sheetView>
  </sheetViews>
  <sheetFormatPr defaultRowHeight="14.25" x14ac:dyDescent="0.45"/>
  <cols>
    <col min="1" max="1" width="25.3984375" bestFit="1" customWidth="1"/>
    <col min="2" max="9" width="9.73046875" bestFit="1" customWidth="1"/>
    <col min="10" max="10" width="11.265625" customWidth="1"/>
    <col min="11" max="11" width="13.73046875" customWidth="1"/>
    <col min="12" max="12" width="12.3984375" bestFit="1" customWidth="1"/>
    <col min="13" max="13" width="13.3984375" bestFit="1" customWidth="1"/>
    <col min="15" max="15" width="28.265625" bestFit="1" customWidth="1"/>
    <col min="16" max="16" width="10.86328125" bestFit="1" customWidth="1"/>
  </cols>
  <sheetData>
    <row r="1" spans="1:16" ht="14.65" thickBot="1" x14ac:dyDescent="0.5">
      <c r="A1" s="40" t="s">
        <v>40</v>
      </c>
      <c r="B1" s="41">
        <v>2024</v>
      </c>
      <c r="C1" s="41">
        <v>2025</v>
      </c>
      <c r="D1" s="41">
        <v>2026</v>
      </c>
      <c r="E1" s="41">
        <v>2027</v>
      </c>
      <c r="F1" s="41">
        <v>2028</v>
      </c>
      <c r="G1" s="41">
        <v>2029</v>
      </c>
      <c r="H1" s="41">
        <v>2030</v>
      </c>
      <c r="I1" s="41">
        <v>2031</v>
      </c>
      <c r="J1" s="41">
        <v>2032</v>
      </c>
      <c r="K1" s="41">
        <v>2033</v>
      </c>
      <c r="L1" s="41">
        <v>2034</v>
      </c>
      <c r="M1" s="42">
        <v>2034</v>
      </c>
      <c r="O1" s="1" t="s">
        <v>6</v>
      </c>
      <c r="P1" s="5" t="s">
        <v>7</v>
      </c>
    </row>
    <row r="2" spans="1:16" x14ac:dyDescent="0.45">
      <c r="A2" s="43" t="s">
        <v>21</v>
      </c>
      <c r="B2" s="44">
        <v>0</v>
      </c>
      <c r="C2" s="45">
        <v>1</v>
      </c>
      <c r="D2" s="45">
        <v>2</v>
      </c>
      <c r="E2" s="45">
        <v>3</v>
      </c>
      <c r="F2" s="45">
        <v>4</v>
      </c>
      <c r="G2" s="45">
        <v>5</v>
      </c>
      <c r="H2" s="45">
        <v>6</v>
      </c>
      <c r="I2" s="45">
        <v>7</v>
      </c>
      <c r="J2" s="45">
        <v>8</v>
      </c>
      <c r="K2" s="45">
        <v>9</v>
      </c>
      <c r="L2" s="45">
        <v>10</v>
      </c>
      <c r="M2" s="46" t="s">
        <v>44</v>
      </c>
      <c r="O2" s="27" t="s">
        <v>45</v>
      </c>
      <c r="P2" s="14">
        <f>B8/B10</f>
        <v>0.11463326189455636</v>
      </c>
    </row>
    <row r="3" spans="1:16" ht="14.65" thickBot="1" x14ac:dyDescent="0.5">
      <c r="A3" s="47" t="s">
        <v>46</v>
      </c>
      <c r="B3" s="48"/>
      <c r="C3" s="72">
        <f>Sensitive!B3</f>
        <v>5.9871193769692521E-2</v>
      </c>
      <c r="D3" s="72">
        <f>C3-($C$3-$M$3)/9</f>
        <v>5.7907727795282242E-2</v>
      </c>
      <c r="E3" s="72">
        <f t="shared" ref="E3:K3" si="0">D3-($C$3-$M$3)/9</f>
        <v>5.5944261820871963E-2</v>
      </c>
      <c r="F3" s="72">
        <f t="shared" si="0"/>
        <v>5.3980795846461684E-2</v>
      </c>
      <c r="G3" s="72">
        <f t="shared" si="0"/>
        <v>5.2017329872051404E-2</v>
      </c>
      <c r="H3" s="72">
        <f t="shared" si="0"/>
        <v>5.0053863897641125E-2</v>
      </c>
      <c r="I3" s="72">
        <f t="shared" si="0"/>
        <v>4.8090397923230846E-2</v>
      </c>
      <c r="J3" s="72">
        <f t="shared" si="0"/>
        <v>4.6126931948820567E-2</v>
      </c>
      <c r="K3" s="72">
        <f t="shared" si="0"/>
        <v>4.4163465974410288E-2</v>
      </c>
      <c r="L3" s="72">
        <f>WACC!A12</f>
        <v>4.2200000000000001E-2</v>
      </c>
      <c r="M3" s="50">
        <f>$L$3</f>
        <v>4.2200000000000001E-2</v>
      </c>
      <c r="O3" s="27" t="s">
        <v>47</v>
      </c>
      <c r="P3" s="14">
        <f>M3</f>
        <v>4.2200000000000001E-2</v>
      </c>
    </row>
    <row r="4" spans="1:16" ht="14.65" thickBot="1" x14ac:dyDescent="0.5">
      <c r="A4" s="47" t="s">
        <v>0</v>
      </c>
      <c r="B4" s="51">
        <f>WACC!B6</f>
        <v>61643</v>
      </c>
      <c r="C4" s="71">
        <f>B4*(1+C3)</f>
        <v>65333.639997545157</v>
      </c>
      <c r="D4" s="71">
        <f t="shared" ref="D4:K4" si="1">C4*(1+D3)</f>
        <v>69116.962638397963</v>
      </c>
      <c r="E4" s="71">
        <f t="shared" si="1"/>
        <v>72983.660092503924</v>
      </c>
      <c r="F4" s="71">
        <f t="shared" si="1"/>
        <v>76923.376148084935</v>
      </c>
      <c r="G4" s="71">
        <f t="shared" si="1"/>
        <v>80924.724780051765</v>
      </c>
      <c r="H4" s="71">
        <f t="shared" si="1"/>
        <v>84975.319940146539</v>
      </c>
      <c r="I4" s="71">
        <f t="shared" si="1"/>
        <v>89061.816889722031</v>
      </c>
      <c r="J4" s="71">
        <f t="shared" si="1"/>
        <v>93169.965256632568</v>
      </c>
      <c r="K4" s="71">
        <f t="shared" si="1"/>
        <v>97284.673847080849</v>
      </c>
      <c r="L4" s="71">
        <f>K4*(1+L3)</f>
        <v>101390.08708342766</v>
      </c>
      <c r="M4" s="52">
        <f>$L$4</f>
        <v>101390.08708342766</v>
      </c>
      <c r="O4" s="53" t="s">
        <v>48</v>
      </c>
      <c r="P4" s="21">
        <f>P3/P2</f>
        <v>0.36813049984407686</v>
      </c>
    </row>
    <row r="5" spans="1:16" x14ac:dyDescent="0.45">
      <c r="A5" s="47" t="s">
        <v>49</v>
      </c>
      <c r="B5" s="48">
        <f>Sensitive!B4</f>
        <v>8.7682299693395846E-2</v>
      </c>
      <c r="C5" s="49">
        <f>B5-($B$5-$L$5)/10</f>
        <v>9.0014069724056262E-2</v>
      </c>
      <c r="D5" s="49">
        <f t="shared" ref="D5:K5" si="2">C5-($B$5-$L$5)/10</f>
        <v>9.2345839754716677E-2</v>
      </c>
      <c r="E5" s="49">
        <f t="shared" si="2"/>
        <v>9.4677609785377093E-2</v>
      </c>
      <c r="F5" s="49">
        <f t="shared" si="2"/>
        <v>9.7009379816037508E-2</v>
      </c>
      <c r="G5" s="49">
        <f t="shared" si="2"/>
        <v>9.9341149846697924E-2</v>
      </c>
      <c r="H5" s="49">
        <f t="shared" si="2"/>
        <v>0.10167291987735834</v>
      </c>
      <c r="I5" s="49">
        <f t="shared" si="2"/>
        <v>0.10400468990801875</v>
      </c>
      <c r="J5" s="49">
        <f t="shared" si="2"/>
        <v>0.10633645993867917</v>
      </c>
      <c r="K5" s="49">
        <f t="shared" si="2"/>
        <v>0.10866822996933959</v>
      </c>
      <c r="L5" s="107">
        <v>0.111</v>
      </c>
      <c r="M5" s="73">
        <f>$L$5</f>
        <v>0.111</v>
      </c>
      <c r="O5" s="20"/>
      <c r="P5" s="20"/>
    </row>
    <row r="6" spans="1:16" x14ac:dyDescent="0.45">
      <c r="A6" s="47" t="s">
        <v>50</v>
      </c>
      <c r="B6" s="51">
        <v>5405</v>
      </c>
      <c r="C6" s="71">
        <f>C4*C5</f>
        <v>5880.9468260654203</v>
      </c>
      <c r="D6" s="71">
        <f t="shared" ref="D6:L6" si="3">D4*D5</f>
        <v>6382.6639561382381</v>
      </c>
      <c r="E6" s="71">
        <f t="shared" si="3"/>
        <v>6909.9184909466849</v>
      </c>
      <c r="F6" s="71">
        <f t="shared" si="3"/>
        <v>7462.2890134814916</v>
      </c>
      <c r="G6" s="71">
        <f t="shared" si="3"/>
        <v>8039.1552106779109</v>
      </c>
      <c r="H6" s="71">
        <f t="shared" si="3"/>
        <v>8639.6888958274103</v>
      </c>
      <c r="I6" s="71">
        <f t="shared" si="3"/>
        <v>9262.8466482602871</v>
      </c>
      <c r="J6" s="71">
        <f t="shared" si="3"/>
        <v>9907.3642780000391</v>
      </c>
      <c r="K6" s="71">
        <f t="shared" si="3"/>
        <v>10571.753310106778</v>
      </c>
      <c r="L6" s="108">
        <f t="shared" si="3"/>
        <v>11254.299666260471</v>
      </c>
      <c r="M6" s="52">
        <f>$L$6</f>
        <v>11254.299666260471</v>
      </c>
      <c r="O6" s="1" t="s">
        <v>6</v>
      </c>
      <c r="P6" s="5" t="s">
        <v>7</v>
      </c>
    </row>
    <row r="7" spans="1:16" x14ac:dyDescent="0.45">
      <c r="A7" s="47" t="s">
        <v>30</v>
      </c>
      <c r="B7" s="48">
        <v>0.25779999999999997</v>
      </c>
      <c r="C7" s="49">
        <f>B7-($B$7-$L$7)/10</f>
        <v>0.25736667164154892</v>
      </c>
      <c r="D7" s="49">
        <f t="shared" ref="D7:K7" si="4">C7-($B$7-$L$7)/10</f>
        <v>0.25693334328309786</v>
      </c>
      <c r="E7" s="49">
        <f t="shared" si="4"/>
        <v>0.2565000149246468</v>
      </c>
      <c r="F7" s="49">
        <f t="shared" si="4"/>
        <v>0.25606668656619574</v>
      </c>
      <c r="G7" s="49">
        <f t="shared" si="4"/>
        <v>0.25563335820774469</v>
      </c>
      <c r="H7" s="49">
        <f t="shared" si="4"/>
        <v>0.25520002984929363</v>
      </c>
      <c r="I7" s="49">
        <f t="shared" si="4"/>
        <v>0.25476670149084257</v>
      </c>
      <c r="J7" s="49">
        <f t="shared" si="4"/>
        <v>0.25433337313239152</v>
      </c>
      <c r="K7" s="49">
        <f t="shared" si="4"/>
        <v>0.25390004477394046</v>
      </c>
      <c r="L7" s="49">
        <f>WACC!$G$6</f>
        <v>0.25346671641548918</v>
      </c>
      <c r="M7" s="50">
        <f>$L$7</f>
        <v>0.25346671641548918</v>
      </c>
      <c r="O7" s="27" t="s">
        <v>50</v>
      </c>
      <c r="P7" s="28">
        <f>B6</f>
        <v>5405</v>
      </c>
    </row>
    <row r="8" spans="1:16" ht="14.65" thickBot="1" x14ac:dyDescent="0.5">
      <c r="A8" s="47" t="s">
        <v>51</v>
      </c>
      <c r="B8" s="51">
        <f>B6*(1-B7)</f>
        <v>4011.5909999999999</v>
      </c>
      <c r="C8" s="71">
        <f t="shared" ref="C8:L8" si="5">C6*(1-C7)</f>
        <v>4367.3871153400323</v>
      </c>
      <c r="D8" s="71">
        <f t="shared" si="5"/>
        <v>4742.7447668351169</v>
      </c>
      <c r="E8" s="71">
        <f t="shared" si="5"/>
        <v>5137.5242948907671</v>
      </c>
      <c r="F8" s="71">
        <f t="shared" si="5"/>
        <v>5551.4453915999602</v>
      </c>
      <c r="G8" s="71">
        <f t="shared" si="5"/>
        <v>5984.078967019027</v>
      </c>
      <c r="H8" s="71">
        <f t="shared" si="5"/>
        <v>6434.8400317236446</v>
      </c>
      <c r="I8" s="71">
        <f t="shared" si="5"/>
        <v>6902.981761267507</v>
      </c>
      <c r="J8" s="71">
        <f t="shared" si="5"/>
        <v>7387.5909023249278</v>
      </c>
      <c r="K8" s="71">
        <f t="shared" si="5"/>
        <v>7887.5846713316141</v>
      </c>
      <c r="L8" s="71">
        <f t="shared" si="5"/>
        <v>8401.7092842974944</v>
      </c>
      <c r="M8" s="52">
        <f>$L$8</f>
        <v>8401.7092842974944</v>
      </c>
      <c r="O8" s="27" t="s">
        <v>0</v>
      </c>
      <c r="P8" s="28">
        <f>B4</f>
        <v>61643</v>
      </c>
    </row>
    <row r="9" spans="1:16" ht="14.65" thickBot="1" x14ac:dyDescent="0.5">
      <c r="A9" s="47" t="s">
        <v>52</v>
      </c>
      <c r="B9" s="51">
        <f>Sensitive!B5</f>
        <v>1.7614802114587798</v>
      </c>
      <c r="C9" s="71">
        <f>$B$9</f>
        <v>1.7614802114587798</v>
      </c>
      <c r="D9" s="71">
        <f t="shared" ref="D9:L9" si="6">$B$9</f>
        <v>1.7614802114587798</v>
      </c>
      <c r="E9" s="71">
        <f t="shared" si="6"/>
        <v>1.7614802114587798</v>
      </c>
      <c r="F9" s="71">
        <f t="shared" si="6"/>
        <v>1.7614802114587798</v>
      </c>
      <c r="G9" s="71">
        <f t="shared" si="6"/>
        <v>1.7614802114587798</v>
      </c>
      <c r="H9" s="71">
        <f t="shared" si="6"/>
        <v>1.7614802114587798</v>
      </c>
      <c r="I9" s="71">
        <f t="shared" si="6"/>
        <v>1.7614802114587798</v>
      </c>
      <c r="J9" s="71">
        <f t="shared" si="6"/>
        <v>1.7614802114587798</v>
      </c>
      <c r="K9" s="71">
        <f t="shared" si="6"/>
        <v>1.7614802114587798</v>
      </c>
      <c r="L9" s="71">
        <f t="shared" si="6"/>
        <v>1.7614802114587798</v>
      </c>
      <c r="M9" s="52"/>
      <c r="O9" s="53" t="s">
        <v>49</v>
      </c>
      <c r="P9" s="21">
        <f>P7/P8</f>
        <v>8.7682299693395846E-2</v>
      </c>
    </row>
    <row r="10" spans="1:16" ht="14.65" thickBot="1" x14ac:dyDescent="0.5">
      <c r="A10" s="47" t="s">
        <v>53</v>
      </c>
      <c r="B10" s="51">
        <f>B4/B9</f>
        <v>34995</v>
      </c>
      <c r="C10" s="71">
        <f>C4/C9</f>
        <v>37090.192425970388</v>
      </c>
      <c r="D10" s="71">
        <f t="shared" ref="D10:L10" si="7">D4/D9</f>
        <v>39238.001192848125</v>
      </c>
      <c r="E10" s="71">
        <f t="shared" si="7"/>
        <v>41433.142204908501</v>
      </c>
      <c r="F10" s="71">
        <f t="shared" si="7"/>
        <v>43669.736195549085</v>
      </c>
      <c r="G10" s="71">
        <f t="shared" si="7"/>
        <v>45941.31926865843</v>
      </c>
      <c r="H10" s="71">
        <f t="shared" si="7"/>
        <v>48240.859810609938</v>
      </c>
      <c r="I10" s="71">
        <f t="shared" si="7"/>
        <v>50560.781955060957</v>
      </c>
      <c r="J10" s="71">
        <f t="shared" si="7"/>
        <v>52892.995703581219</v>
      </c>
      <c r="K10" s="71">
        <f t="shared" si="7"/>
        <v>55228.933719620953</v>
      </c>
      <c r="L10" s="71">
        <f t="shared" si="7"/>
        <v>57559.594722588954</v>
      </c>
      <c r="M10" s="52"/>
    </row>
    <row r="11" spans="1:16" ht="14.65" thickBot="1" x14ac:dyDescent="0.5">
      <c r="A11" s="47" t="s">
        <v>54</v>
      </c>
      <c r="B11" s="51"/>
      <c r="C11" s="71">
        <f>(C4-B4)/C9</f>
        <v>2095.1924259703901</v>
      </c>
      <c r="D11" s="71">
        <f t="shared" ref="D11:L11" si="8">(D4-C4)/D9</f>
        <v>2147.8087668777307</v>
      </c>
      <c r="E11" s="71">
        <f t="shared" si="8"/>
        <v>2195.1410120603814</v>
      </c>
      <c r="F11" s="71">
        <f t="shared" si="8"/>
        <v>2236.5939906405838</v>
      </c>
      <c r="G11" s="71">
        <f t="shared" si="8"/>
        <v>2271.5830731093429</v>
      </c>
      <c r="H11" s="71">
        <f t="shared" si="8"/>
        <v>2299.540541951505</v>
      </c>
      <c r="I11" s="71">
        <f t="shared" si="8"/>
        <v>2319.9221444510222</v>
      </c>
      <c r="J11" s="71">
        <f t="shared" si="8"/>
        <v>2332.2137485202575</v>
      </c>
      <c r="K11" s="71">
        <f t="shared" si="8"/>
        <v>2335.9380160397386</v>
      </c>
      <c r="L11" s="71">
        <f t="shared" si="8"/>
        <v>2330.6610029680028</v>
      </c>
      <c r="M11" s="52">
        <f>M8*P4</f>
        <v>3092.9254383730581</v>
      </c>
      <c r="O11" s="1" t="s">
        <v>6</v>
      </c>
      <c r="P11" s="5" t="s">
        <v>7</v>
      </c>
    </row>
    <row r="12" spans="1:16" ht="14.65" thickBot="1" x14ac:dyDescent="0.5">
      <c r="A12" s="54" t="s">
        <v>55</v>
      </c>
      <c r="B12" s="55"/>
      <c r="C12" s="56">
        <f>C8-C11</f>
        <v>2272.1946893696422</v>
      </c>
      <c r="D12" s="56">
        <f t="shared" ref="D12:L12" si="9">D8-D11</f>
        <v>2594.9359999573862</v>
      </c>
      <c r="E12" s="56">
        <f t="shared" si="9"/>
        <v>2942.3832828303857</v>
      </c>
      <c r="F12" s="56">
        <f t="shared" si="9"/>
        <v>3314.8514009593764</v>
      </c>
      <c r="G12" s="56">
        <f t="shared" si="9"/>
        <v>3712.4958939096841</v>
      </c>
      <c r="H12" s="56">
        <f t="shared" si="9"/>
        <v>4135.2994897721401</v>
      </c>
      <c r="I12" s="56">
        <f t="shared" si="9"/>
        <v>4583.0596168164848</v>
      </c>
      <c r="J12" s="56">
        <f t="shared" si="9"/>
        <v>5055.3771538046703</v>
      </c>
      <c r="K12" s="56">
        <f t="shared" si="9"/>
        <v>5551.6466552918755</v>
      </c>
      <c r="L12" s="56">
        <f t="shared" si="9"/>
        <v>6071.0482813294911</v>
      </c>
      <c r="M12" s="57">
        <f>M8-M11</f>
        <v>5308.7838459244358</v>
      </c>
      <c r="O12" s="11" t="s">
        <v>56</v>
      </c>
      <c r="P12" s="28">
        <f>SUM(C24:M24)</f>
        <v>100884.82301747277</v>
      </c>
    </row>
    <row r="13" spans="1:16" ht="14.65" thickBot="1" x14ac:dyDescent="0.5">
      <c r="A13" s="5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O13" s="11" t="s">
        <v>57</v>
      </c>
      <c r="P13" s="28">
        <f>WACC!$D$28</f>
        <v>18308.118688087841</v>
      </c>
    </row>
    <row r="14" spans="1:16" x14ac:dyDescent="0.45">
      <c r="A14" s="40" t="s">
        <v>58</v>
      </c>
      <c r="B14" s="60"/>
      <c r="C14" s="61">
        <f>WACC!$K$19</f>
        <v>0.68525510019912106</v>
      </c>
      <c r="D14" s="61">
        <f>$C$14</f>
        <v>0.68525510019912106</v>
      </c>
      <c r="E14" s="61">
        <f t="shared" ref="E14:M14" si="10">$C$14</f>
        <v>0.68525510019912106</v>
      </c>
      <c r="F14" s="61">
        <f t="shared" si="10"/>
        <v>0.68525510019912106</v>
      </c>
      <c r="G14" s="61">
        <f t="shared" si="10"/>
        <v>0.68525510019912106</v>
      </c>
      <c r="H14" s="61">
        <f t="shared" si="10"/>
        <v>0.68525510019912106</v>
      </c>
      <c r="I14" s="61">
        <f t="shared" si="10"/>
        <v>0.68525510019912106</v>
      </c>
      <c r="J14" s="61">
        <f t="shared" si="10"/>
        <v>0.68525510019912106</v>
      </c>
      <c r="K14" s="61">
        <f t="shared" si="10"/>
        <v>0.68525510019912106</v>
      </c>
      <c r="L14" s="61">
        <f t="shared" si="10"/>
        <v>0.68525510019912106</v>
      </c>
      <c r="M14" s="62">
        <f t="shared" si="10"/>
        <v>0.68525510019912106</v>
      </c>
      <c r="O14" s="11" t="s">
        <v>59</v>
      </c>
      <c r="P14" s="28">
        <f>'Sales-to-Capital'!$B$7</f>
        <v>3069</v>
      </c>
    </row>
    <row r="15" spans="1:16" x14ac:dyDescent="0.45">
      <c r="A15" s="47" t="s">
        <v>60</v>
      </c>
      <c r="B15" s="48"/>
      <c r="C15" s="49">
        <f>WACC!$K$18</f>
        <v>0.31474489980087894</v>
      </c>
      <c r="D15" s="49">
        <f>$C$15</f>
        <v>0.31474489980087894</v>
      </c>
      <c r="E15" s="49">
        <f t="shared" ref="E15:M15" si="11">$C$15</f>
        <v>0.31474489980087894</v>
      </c>
      <c r="F15" s="49">
        <f t="shared" si="11"/>
        <v>0.31474489980087894</v>
      </c>
      <c r="G15" s="49">
        <f t="shared" si="11"/>
        <v>0.31474489980087894</v>
      </c>
      <c r="H15" s="49">
        <f t="shared" si="11"/>
        <v>0.31474489980087894</v>
      </c>
      <c r="I15" s="49">
        <f t="shared" si="11"/>
        <v>0.31474489980087894</v>
      </c>
      <c r="J15" s="49">
        <f t="shared" si="11"/>
        <v>0.31474489980087894</v>
      </c>
      <c r="K15" s="49">
        <f t="shared" si="11"/>
        <v>0.31474489980087894</v>
      </c>
      <c r="L15" s="49">
        <f t="shared" si="11"/>
        <v>0.31474489980087894</v>
      </c>
      <c r="M15" s="50">
        <f t="shared" si="11"/>
        <v>0.31474489980087894</v>
      </c>
      <c r="O15" s="11" t="s">
        <v>61</v>
      </c>
      <c r="P15" s="28">
        <f>P12-P13+P14</f>
        <v>85645.704329384927</v>
      </c>
    </row>
    <row r="16" spans="1:16" x14ac:dyDescent="0.45">
      <c r="A16" s="47" t="s">
        <v>18</v>
      </c>
      <c r="B16" s="48"/>
      <c r="C16" s="49">
        <f>WACC!$K$20</f>
        <v>9.2510685508843199E-2</v>
      </c>
      <c r="D16" s="49">
        <f>$C$16</f>
        <v>9.2510685508843199E-2</v>
      </c>
      <c r="E16" s="49">
        <f t="shared" ref="E16:M16" si="12">$C$16</f>
        <v>9.2510685508843199E-2</v>
      </c>
      <c r="F16" s="49">
        <f t="shared" si="12"/>
        <v>9.2510685508843199E-2</v>
      </c>
      <c r="G16" s="49">
        <f t="shared" si="12"/>
        <v>9.2510685508843199E-2</v>
      </c>
      <c r="H16" s="49">
        <f t="shared" si="12"/>
        <v>9.2510685508843199E-2</v>
      </c>
      <c r="I16" s="49">
        <f t="shared" si="12"/>
        <v>9.2510685508843199E-2</v>
      </c>
      <c r="J16" s="49">
        <f t="shared" si="12"/>
        <v>9.2510685508843199E-2</v>
      </c>
      <c r="K16" s="49">
        <f t="shared" si="12"/>
        <v>9.2510685508843199E-2</v>
      </c>
      <c r="L16" s="49">
        <f t="shared" si="12"/>
        <v>9.2510685508843199E-2</v>
      </c>
      <c r="M16" s="50">
        <f t="shared" si="12"/>
        <v>9.2510685508843199E-2</v>
      </c>
      <c r="O16" s="11" t="s">
        <v>62</v>
      </c>
      <c r="P16" s="28">
        <f>SUM(C24:L24)-P13+P14</f>
        <v>10520.380443101189</v>
      </c>
    </row>
    <row r="17" spans="1:16" ht="14.65" thickBot="1" x14ac:dyDescent="0.5">
      <c r="A17" s="47" t="s">
        <v>63</v>
      </c>
      <c r="B17" s="48"/>
      <c r="C17" s="49">
        <f>WACC!$K$21</f>
        <v>5.4199999999999998E-2</v>
      </c>
      <c r="D17" s="49">
        <f>$C$17</f>
        <v>5.4199999999999998E-2</v>
      </c>
      <c r="E17" s="49">
        <f t="shared" ref="E17:M17" si="13">$C$17</f>
        <v>5.4199999999999998E-2</v>
      </c>
      <c r="F17" s="49">
        <f t="shared" si="13"/>
        <v>5.4199999999999998E-2</v>
      </c>
      <c r="G17" s="49">
        <f t="shared" si="13"/>
        <v>5.4199999999999998E-2</v>
      </c>
      <c r="H17" s="49">
        <f t="shared" si="13"/>
        <v>5.4199999999999998E-2</v>
      </c>
      <c r="I17" s="49">
        <f t="shared" si="13"/>
        <v>5.4199999999999998E-2</v>
      </c>
      <c r="J17" s="49">
        <f t="shared" si="13"/>
        <v>5.4199999999999998E-2</v>
      </c>
      <c r="K17" s="49">
        <f t="shared" si="13"/>
        <v>5.4199999999999998E-2</v>
      </c>
      <c r="L17" s="49">
        <f t="shared" si="13"/>
        <v>5.4199999999999998E-2</v>
      </c>
      <c r="M17" s="50">
        <f t="shared" si="13"/>
        <v>5.4199999999999998E-2</v>
      </c>
      <c r="O17" s="11" t="s">
        <v>64</v>
      </c>
      <c r="P17" s="59">
        <v>648</v>
      </c>
    </row>
    <row r="18" spans="1:16" ht="14.65" thickBot="1" x14ac:dyDescent="0.5">
      <c r="A18" s="47" t="s">
        <v>65</v>
      </c>
      <c r="B18" s="48"/>
      <c r="C18" s="49">
        <f t="shared" ref="C18:M18" si="14">C7</f>
        <v>0.25736667164154892</v>
      </c>
      <c r="D18" s="49">
        <f t="shared" si="14"/>
        <v>0.25693334328309786</v>
      </c>
      <c r="E18" s="49">
        <f t="shared" si="14"/>
        <v>0.2565000149246468</v>
      </c>
      <c r="F18" s="49">
        <f t="shared" si="14"/>
        <v>0.25606668656619574</v>
      </c>
      <c r="G18" s="49">
        <f t="shared" si="14"/>
        <v>0.25563335820774469</v>
      </c>
      <c r="H18" s="49">
        <f t="shared" si="14"/>
        <v>0.25520002984929363</v>
      </c>
      <c r="I18" s="49">
        <f t="shared" si="14"/>
        <v>0.25476670149084257</v>
      </c>
      <c r="J18" s="49">
        <f t="shared" si="14"/>
        <v>0.25433337313239152</v>
      </c>
      <c r="K18" s="49">
        <f t="shared" si="14"/>
        <v>0.25390004477394046</v>
      </c>
      <c r="L18" s="49">
        <f t="shared" si="14"/>
        <v>0.25346671641548918</v>
      </c>
      <c r="M18" s="50">
        <f t="shared" si="14"/>
        <v>0.25346671641548918</v>
      </c>
      <c r="O18" s="38" t="s">
        <v>66</v>
      </c>
      <c r="P18" s="63">
        <f>P15/P17</f>
        <v>132.16929680460638</v>
      </c>
    </row>
    <row r="19" spans="1:16" x14ac:dyDescent="0.45">
      <c r="A19" s="47" t="s">
        <v>67</v>
      </c>
      <c r="B19" s="48"/>
      <c r="C19" s="49">
        <f>C17*(1-C18)</f>
        <v>4.025072639702805E-2</v>
      </c>
      <c r="D19" s="49">
        <f t="shared" ref="D19:M19" si="15">D17*(1-D18)</f>
        <v>4.0274212794056095E-2</v>
      </c>
      <c r="E19" s="49">
        <f t="shared" si="15"/>
        <v>4.0297699191084141E-2</v>
      </c>
      <c r="F19" s="49">
        <f t="shared" si="15"/>
        <v>4.0321185588112186E-2</v>
      </c>
      <c r="G19" s="49">
        <f t="shared" si="15"/>
        <v>4.0344671985140239E-2</v>
      </c>
      <c r="H19" s="49">
        <f t="shared" si="15"/>
        <v>4.0368158382168284E-2</v>
      </c>
      <c r="I19" s="49">
        <f>I17*(1-I18)</f>
        <v>4.039164477919633E-2</v>
      </c>
      <c r="J19" s="49">
        <f t="shared" si="15"/>
        <v>4.0415131176224375E-2</v>
      </c>
      <c r="K19" s="49">
        <f t="shared" si="15"/>
        <v>4.0438617573252428E-2</v>
      </c>
      <c r="L19" s="49">
        <f t="shared" si="15"/>
        <v>4.0462103970280487E-2</v>
      </c>
      <c r="M19" s="50">
        <f t="shared" si="15"/>
        <v>4.0462103970280487E-2</v>
      </c>
    </row>
    <row r="20" spans="1:16" ht="14.65" thickBot="1" x14ac:dyDescent="0.5">
      <c r="A20" s="54" t="s">
        <v>31</v>
      </c>
      <c r="B20" s="64"/>
      <c r="C20" s="65">
        <f>C14*C16+C15*C19</f>
        <v>7.6062129914596904E-2</v>
      </c>
      <c r="D20" s="65">
        <f t="shared" ref="D20:M20" si="16">D14*D16+D15*D19</f>
        <v>7.6069522138276183E-2</v>
      </c>
      <c r="E20" s="65">
        <f t="shared" si="16"/>
        <v>7.6076914361955461E-2</v>
      </c>
      <c r="F20" s="65">
        <f t="shared" si="16"/>
        <v>7.6084306585634726E-2</v>
      </c>
      <c r="G20" s="65">
        <f t="shared" si="16"/>
        <v>7.6091698809314004E-2</v>
      </c>
      <c r="H20" s="65">
        <f t="shared" si="16"/>
        <v>7.6099091032993282E-2</v>
      </c>
      <c r="I20" s="65">
        <f t="shared" si="16"/>
        <v>7.6106483256672561E-2</v>
      </c>
      <c r="J20" s="65">
        <f t="shared" si="16"/>
        <v>7.6113875480351839E-2</v>
      </c>
      <c r="K20" s="65">
        <f t="shared" si="16"/>
        <v>7.6121267704031118E-2</v>
      </c>
      <c r="L20" s="65">
        <f t="shared" si="16"/>
        <v>7.6128659927710396E-2</v>
      </c>
      <c r="M20" s="66">
        <f t="shared" si="16"/>
        <v>7.6128659927710396E-2</v>
      </c>
    </row>
    <row r="21" spans="1:16" x14ac:dyDescent="0.45">
      <c r="A21" s="5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</row>
    <row r="22" spans="1:16" ht="14.65" thickBot="1" x14ac:dyDescent="0.5">
      <c r="A22" s="5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</row>
    <row r="23" spans="1:16" x14ac:dyDescent="0.45">
      <c r="A23" s="40" t="s">
        <v>23</v>
      </c>
      <c r="B23" s="67"/>
      <c r="C23" s="67">
        <f t="shared" ref="C23:L23" si="17">1/((1+C20)^C2)</f>
        <v>0.92931436968176395</v>
      </c>
      <c r="D23" s="67">
        <f t="shared" si="17"/>
        <v>0.86361333212777969</v>
      </c>
      <c r="E23" s="67">
        <f t="shared" si="17"/>
        <v>0.80254622627522809</v>
      </c>
      <c r="F23" s="67">
        <f t="shared" si="17"/>
        <v>0.74578700020392918</v>
      </c>
      <c r="G23" s="67">
        <f t="shared" si="17"/>
        <v>0.69303248828375663</v>
      </c>
      <c r="H23" s="67">
        <f t="shared" si="17"/>
        <v>0.64400080864098097</v>
      </c>
      <c r="I23" s="67">
        <f t="shared" si="17"/>
        <v>0.5984298725615671</v>
      </c>
      <c r="J23" s="67">
        <f t="shared" si="17"/>
        <v>0.5560759980319625</v>
      </c>
      <c r="K23" s="67">
        <f t="shared" si="17"/>
        <v>0.5167126201599791</v>
      </c>
      <c r="L23" s="67">
        <f t="shared" si="17"/>
        <v>0.48012909172288426</v>
      </c>
      <c r="M23" s="68">
        <f>(1/(M20-M3))*L23</f>
        <v>14.151136317964349</v>
      </c>
    </row>
    <row r="24" spans="1:16" ht="14.65" thickBot="1" x14ac:dyDescent="0.5">
      <c r="A24" s="54" t="s">
        <v>68</v>
      </c>
      <c r="B24" s="56"/>
      <c r="C24" s="56">
        <f t="shared" ref="C24:L24" si="18">C12*C23</f>
        <v>2111.5831755458007</v>
      </c>
      <c r="D24" s="56">
        <f t="shared" si="18"/>
        <v>2241.0213255815302</v>
      </c>
      <c r="E24" s="56">
        <f t="shared" si="18"/>
        <v>2361.3985998908433</v>
      </c>
      <c r="F24" s="56">
        <f t="shared" si="18"/>
        <v>2472.1730824432852</v>
      </c>
      <c r="G24" s="56">
        <f t="shared" si="18"/>
        <v>2572.8802670994578</v>
      </c>
      <c r="H24" s="56">
        <f t="shared" si="18"/>
        <v>2663.136215385894</v>
      </c>
      <c r="I24" s="56">
        <f t="shared" si="18"/>
        <v>2742.6397824335536</v>
      </c>
      <c r="J24" s="56">
        <f t="shared" si="18"/>
        <v>2811.1738962299141</v>
      </c>
      <c r="K24" s="56">
        <f t="shared" si="18"/>
        <v>2868.6058894582493</v>
      </c>
      <c r="L24" s="56">
        <f t="shared" si="18"/>
        <v>2914.8868971205061</v>
      </c>
      <c r="M24" s="57">
        <f>M12*M23</f>
        <v>75125.323886283732</v>
      </c>
      <c r="O24" s="20"/>
      <c r="P24" s="20"/>
    </row>
    <row r="25" spans="1:16" x14ac:dyDescent="0.45">
      <c r="O25" s="20"/>
      <c r="P25" s="20"/>
    </row>
    <row r="31" spans="1:16" x14ac:dyDescent="0.45">
      <c r="A31" s="9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F0FD-5DC7-47BC-8A5D-11CF32C6DCCF}">
  <dimension ref="A1:P36"/>
  <sheetViews>
    <sheetView workbookViewId="0">
      <selection activeCell="H22" sqref="H22"/>
    </sheetView>
  </sheetViews>
  <sheetFormatPr defaultRowHeight="14.25" x14ac:dyDescent="0.45"/>
  <cols>
    <col min="1" max="1" width="14.59765625" bestFit="1" customWidth="1"/>
    <col min="2" max="2" width="12.3984375" bestFit="1" customWidth="1"/>
    <col min="5" max="5" width="3" bestFit="1" customWidth="1"/>
    <col min="6" max="16" width="10.86328125" bestFit="1" customWidth="1"/>
  </cols>
  <sheetData>
    <row r="1" spans="1:16" ht="14.65" thickBot="1" x14ac:dyDescent="0.5">
      <c r="A1" s="1" t="s">
        <v>6</v>
      </c>
      <c r="B1" s="5" t="s">
        <v>7</v>
      </c>
      <c r="C1" s="69"/>
      <c r="D1" s="69"/>
      <c r="M1" s="69"/>
      <c r="N1" s="69"/>
      <c r="O1" s="69"/>
      <c r="P1" s="69"/>
    </row>
    <row r="2" spans="1:16" ht="14.65" thickBot="1" x14ac:dyDescent="0.5">
      <c r="A2" s="29" t="s">
        <v>14</v>
      </c>
      <c r="B2" s="31">
        <f>WACC!A9</f>
        <v>39860</v>
      </c>
      <c r="C2" s="13"/>
      <c r="D2" s="12"/>
      <c r="E2" s="6"/>
      <c r="F2" s="3"/>
      <c r="G2" s="112" t="s">
        <v>69</v>
      </c>
      <c r="H2" s="113"/>
      <c r="I2" s="113"/>
      <c r="J2" s="113"/>
      <c r="K2" s="113"/>
      <c r="L2" s="113"/>
      <c r="M2" s="113"/>
      <c r="N2" s="113"/>
      <c r="O2" s="113"/>
      <c r="P2" s="114"/>
    </row>
    <row r="3" spans="1:16" ht="14.65" thickBot="1" x14ac:dyDescent="0.5">
      <c r="A3" s="27" t="s">
        <v>70</v>
      </c>
      <c r="B3" s="14">
        <f>Growth!C14</f>
        <v>5.9871193769692521E-2</v>
      </c>
      <c r="C3" s="20"/>
      <c r="E3" s="74"/>
      <c r="F3" s="75">
        <f>Value!$P$15</f>
        <v>85645.704329384927</v>
      </c>
      <c r="G3" s="76">
        <v>0.05</v>
      </c>
      <c r="H3" s="76">
        <v>0.1</v>
      </c>
      <c r="I3" s="76">
        <v>0.15</v>
      </c>
      <c r="J3" s="76">
        <v>0.2</v>
      </c>
      <c r="K3" s="76">
        <v>0.25</v>
      </c>
      <c r="L3" s="76">
        <v>0.3</v>
      </c>
      <c r="M3" s="76">
        <v>0.35</v>
      </c>
      <c r="N3" s="76">
        <v>0.4</v>
      </c>
      <c r="O3" s="76">
        <v>0.45</v>
      </c>
      <c r="P3" s="21">
        <v>0.5</v>
      </c>
    </row>
    <row r="4" spans="1:16" x14ac:dyDescent="0.45">
      <c r="A4" s="27" t="s">
        <v>49</v>
      </c>
      <c r="B4" s="14">
        <f>Value!P9</f>
        <v>8.7682299693395846E-2</v>
      </c>
      <c r="C4" s="20"/>
      <c r="E4" s="109" t="s">
        <v>71</v>
      </c>
      <c r="F4" s="77">
        <v>0.01</v>
      </c>
      <c r="G4" s="78">
        <f t="dataTable" ref="G4:P12" dt2D="1" dtr="1" r1="B4" r2="B3"/>
        <v>65608.746894078708</v>
      </c>
      <c r="H4" s="79">
        <v>74049.214947916858</v>
      </c>
      <c r="I4" s="79">
        <v>82489.683001755024</v>
      </c>
      <c r="J4" s="79">
        <v>90930.151055593175</v>
      </c>
      <c r="K4" s="79">
        <v>99370.619109431325</v>
      </c>
      <c r="L4" s="79">
        <v>107811.08716326946</v>
      </c>
      <c r="M4" s="79">
        <v>116251.55521710763</v>
      </c>
      <c r="N4" s="79">
        <v>124692.02327094578</v>
      </c>
      <c r="O4" s="79">
        <v>133132.49132478394</v>
      </c>
      <c r="P4" s="80">
        <v>141572.95937862206</v>
      </c>
    </row>
    <row r="5" spans="1:16" x14ac:dyDescent="0.45">
      <c r="A5" s="27" t="s">
        <v>39</v>
      </c>
      <c r="B5" s="28">
        <f>'Sales-to-Capital'!B9</f>
        <v>1.7614802114587798</v>
      </c>
      <c r="C5" s="20"/>
      <c r="E5" s="110"/>
      <c r="F5" s="81">
        <v>0.02</v>
      </c>
      <c r="G5" s="82">
        <v>67966.787828890301</v>
      </c>
      <c r="H5" s="83">
        <v>76635.526770026554</v>
      </c>
      <c r="I5" s="83">
        <v>85304.265711162792</v>
      </c>
      <c r="J5" s="83">
        <v>93973.004652299031</v>
      </c>
      <c r="K5" s="83">
        <v>102641.74359343525</v>
      </c>
      <c r="L5" s="83">
        <v>111310.48253457148</v>
      </c>
      <c r="M5" s="83">
        <v>119979.22147570773</v>
      </c>
      <c r="N5" s="83">
        <v>128647.96041684398</v>
      </c>
      <c r="O5" s="83">
        <v>137316.69935798022</v>
      </c>
      <c r="P5" s="84">
        <v>145985.43829911642</v>
      </c>
    </row>
    <row r="6" spans="1:16" ht="14.65" thickBot="1" x14ac:dyDescent="0.5">
      <c r="A6" s="101" t="s">
        <v>17</v>
      </c>
      <c r="B6" s="102">
        <v>4.2200000000000001E-2</v>
      </c>
      <c r="C6" s="20"/>
      <c r="E6" s="110"/>
      <c r="F6" s="81">
        <v>0.03</v>
      </c>
      <c r="G6" s="82">
        <v>70423.407404773941</v>
      </c>
      <c r="H6" s="83">
        <v>79326.051775499524</v>
      </c>
      <c r="I6" s="83">
        <v>88228.696146225077</v>
      </c>
      <c r="J6" s="83">
        <v>97131.340516950659</v>
      </c>
      <c r="K6" s="83">
        <v>106033.98488767621</v>
      </c>
      <c r="L6" s="83">
        <v>114936.62925840178</v>
      </c>
      <c r="M6" s="83">
        <v>123839.27362912738</v>
      </c>
      <c r="N6" s="83">
        <v>132741.91799985297</v>
      </c>
      <c r="O6" s="83">
        <v>141644.56237057853</v>
      </c>
      <c r="P6" s="84">
        <v>150547.20674130408</v>
      </c>
    </row>
    <row r="7" spans="1:16" x14ac:dyDescent="0.45">
      <c r="C7" s="20"/>
      <c r="E7" s="110"/>
      <c r="F7" s="81">
        <v>0.04</v>
      </c>
      <c r="G7" s="82">
        <v>72982.066805002643</v>
      </c>
      <c r="H7" s="83">
        <v>82124.381875600098</v>
      </c>
      <c r="I7" s="83">
        <v>91266.696946197568</v>
      </c>
      <c r="J7" s="83">
        <v>100409.01201679501</v>
      </c>
      <c r="K7" s="83">
        <v>109551.32708739243</v>
      </c>
      <c r="L7" s="83">
        <v>118693.64215798989</v>
      </c>
      <c r="M7" s="83">
        <v>127835.95722858737</v>
      </c>
      <c r="N7" s="83">
        <v>136978.27229918481</v>
      </c>
      <c r="O7" s="83">
        <v>146120.58736978227</v>
      </c>
      <c r="P7" s="84">
        <v>155262.90244037972</v>
      </c>
    </row>
    <row r="8" spans="1:16" x14ac:dyDescent="0.45">
      <c r="C8" s="20"/>
      <c r="E8" s="110"/>
      <c r="F8" s="81">
        <v>0.05</v>
      </c>
      <c r="G8" s="82">
        <v>75646.326687136971</v>
      </c>
      <c r="H8" s="83">
        <v>85034.211067393335</v>
      </c>
      <c r="I8" s="83">
        <v>94422.095447649685</v>
      </c>
      <c r="J8" s="83">
        <v>103809.97982790602</v>
      </c>
      <c r="K8" s="83">
        <v>113197.86420816237</v>
      </c>
      <c r="L8" s="83">
        <v>122585.74858841869</v>
      </c>
      <c r="M8" s="83">
        <v>131973.63296867505</v>
      </c>
      <c r="N8" s="83">
        <v>141361.5173489314</v>
      </c>
      <c r="O8" s="83">
        <v>150749.40172918775</v>
      </c>
      <c r="P8" s="84">
        <v>160137.28610944407</v>
      </c>
    </row>
    <row r="9" spans="1:16" x14ac:dyDescent="0.45">
      <c r="C9" s="20"/>
      <c r="E9" s="110"/>
      <c r="F9" s="81">
        <v>0.06</v>
      </c>
      <c r="G9" s="82">
        <v>78419.849444773761</v>
      </c>
      <c r="H9" s="83">
        <v>88059.337737598733</v>
      </c>
      <c r="I9" s="83">
        <v>97698.826030423705</v>
      </c>
      <c r="J9" s="83">
        <v>107338.31432324865</v>
      </c>
      <c r="K9" s="83">
        <v>116977.80261607359</v>
      </c>
      <c r="L9" s="83">
        <v>126617.29090889853</v>
      </c>
      <c r="M9" s="83">
        <v>136256.77920172352</v>
      </c>
      <c r="N9" s="83">
        <v>145896.26749454846</v>
      </c>
      <c r="O9" s="83">
        <v>155535.75578737346</v>
      </c>
      <c r="P9" s="84">
        <v>165175.24408019838</v>
      </c>
    </row>
    <row r="10" spans="1:16" x14ac:dyDescent="0.45">
      <c r="A10" s="20"/>
      <c r="B10" s="20"/>
      <c r="C10" s="20"/>
      <c r="E10" s="110"/>
      <c r="F10" s="81">
        <v>7.0000000000000007E-2</v>
      </c>
      <c r="G10" s="82">
        <v>81306.40150807568</v>
      </c>
      <c r="H10" s="83">
        <v>91203.667005736235</v>
      </c>
      <c r="I10" s="83">
        <v>101100.93250339679</v>
      </c>
      <c r="J10" s="83">
        <v>110998.19800105733</v>
      </c>
      <c r="K10" s="83">
        <v>120895.46349871786</v>
      </c>
      <c r="L10" s="83">
        <v>130792.72899637838</v>
      </c>
      <c r="M10" s="83">
        <v>140689.99449403893</v>
      </c>
      <c r="N10" s="83">
        <v>150587.25999169948</v>
      </c>
      <c r="O10" s="83">
        <v>160484.52548936004</v>
      </c>
      <c r="P10" s="84">
        <v>170381.79098702056</v>
      </c>
    </row>
    <row r="11" spans="1:16" x14ac:dyDescent="0.45">
      <c r="A11" s="20"/>
      <c r="B11" s="20"/>
      <c r="C11" s="20"/>
      <c r="E11" s="110"/>
      <c r="F11" s="81">
        <v>0.08</v>
      </c>
      <c r="G11" s="82">
        <v>84309.855683547052</v>
      </c>
      <c r="H11" s="83">
        <v>94471.213107033764</v>
      </c>
      <c r="I11" s="83">
        <v>104632.57053052048</v>
      </c>
      <c r="J11" s="83">
        <v>114793.92795400719</v>
      </c>
      <c r="K11" s="83">
        <v>124955.2853774939</v>
      </c>
      <c r="L11" s="83">
        <v>135116.64280098057</v>
      </c>
      <c r="M11" s="83">
        <v>145278.00022446728</v>
      </c>
      <c r="N11" s="83">
        <v>155439.35764795402</v>
      </c>
      <c r="O11" s="83">
        <v>165600.71507144073</v>
      </c>
      <c r="P11" s="84">
        <v>175762.07249492739</v>
      </c>
    </row>
    <row r="12" spans="1:16" ht="14.65" thickBot="1" x14ac:dyDescent="0.5">
      <c r="A12" s="20"/>
      <c r="B12" s="20"/>
      <c r="C12" s="20"/>
      <c r="E12" s="111"/>
      <c r="F12" s="85">
        <v>0.09</v>
      </c>
      <c r="G12" s="86">
        <v>87434.193533526166</v>
      </c>
      <c r="H12" s="87">
        <v>97866.101815571208</v>
      </c>
      <c r="I12" s="87">
        <v>108298.01009761625</v>
      </c>
      <c r="J12" s="87">
        <v>118729.91837966126</v>
      </c>
      <c r="K12" s="87">
        <v>129161.82666170631</v>
      </c>
      <c r="L12" s="87">
        <v>139593.7349437513</v>
      </c>
      <c r="M12" s="87">
        <v>150025.64322579635</v>
      </c>
      <c r="N12" s="87">
        <v>160457.55150784136</v>
      </c>
      <c r="O12" s="87">
        <v>170889.45978988637</v>
      </c>
      <c r="P12" s="88">
        <v>181321.36807193141</v>
      </c>
    </row>
    <row r="13" spans="1:16" ht="14.65" thickBot="1" x14ac:dyDescent="0.5">
      <c r="A13" s="20"/>
      <c r="B13" s="20"/>
      <c r="C13" s="20"/>
    </row>
    <row r="14" spans="1:16" ht="14.65" thickBot="1" x14ac:dyDescent="0.5">
      <c r="A14" s="20"/>
      <c r="B14" s="20"/>
      <c r="C14" s="20"/>
      <c r="E14" s="6"/>
      <c r="F14" s="3"/>
      <c r="G14" s="112" t="s">
        <v>39</v>
      </c>
      <c r="H14" s="113"/>
      <c r="I14" s="113"/>
      <c r="J14" s="113"/>
      <c r="K14" s="113"/>
      <c r="L14" s="113"/>
      <c r="M14" s="113"/>
      <c r="N14" s="113"/>
      <c r="O14" s="113"/>
      <c r="P14" s="114"/>
    </row>
    <row r="15" spans="1:16" ht="14.65" thickBot="1" x14ac:dyDescent="0.5">
      <c r="A15" s="69"/>
      <c r="B15" s="20"/>
      <c r="C15" s="20"/>
      <c r="E15" s="74"/>
      <c r="F15" s="75">
        <f>Value!$P$15</f>
        <v>85645.704329384927</v>
      </c>
      <c r="G15" s="89">
        <v>0.5</v>
      </c>
      <c r="H15" s="89">
        <v>1</v>
      </c>
      <c r="I15" s="89">
        <v>1.5</v>
      </c>
      <c r="J15" s="89">
        <v>2</v>
      </c>
      <c r="K15" s="89">
        <v>2.5</v>
      </c>
      <c r="L15" s="89">
        <v>3</v>
      </c>
      <c r="M15" s="89">
        <v>3.5</v>
      </c>
      <c r="N15" s="89">
        <v>4</v>
      </c>
      <c r="O15" s="89">
        <v>4.5</v>
      </c>
      <c r="P15" s="63">
        <v>5</v>
      </c>
    </row>
    <row r="16" spans="1:16" x14ac:dyDescent="0.45">
      <c r="A16" s="90"/>
      <c r="B16" s="20"/>
      <c r="C16" s="20"/>
      <c r="E16" s="109" t="s">
        <v>71</v>
      </c>
      <c r="F16" s="77">
        <v>0.01</v>
      </c>
      <c r="G16" s="78">
        <f t="dataTable" ref="G16:P24" dt2D="1" dtr="1" r1="B5" r2="B3" ca="1"/>
        <v>-30864.950578980817</v>
      </c>
      <c r="H16" s="79">
        <v>40932.253640123818</v>
      </c>
      <c r="I16" s="79">
        <v>64864.655046492015</v>
      </c>
      <c r="J16" s="79">
        <v>76830.855749676135</v>
      </c>
      <c r="K16" s="79">
        <v>84010.576171586596</v>
      </c>
      <c r="L16" s="79">
        <v>88797.056452860226</v>
      </c>
      <c r="M16" s="79">
        <v>92215.970939484265</v>
      </c>
      <c r="N16" s="79">
        <v>94780.156804452301</v>
      </c>
      <c r="O16" s="79">
        <v>96774.523588316311</v>
      </c>
      <c r="P16" s="80">
        <v>98370.017015407517</v>
      </c>
    </row>
    <row r="17" spans="1:16" x14ac:dyDescent="0.45">
      <c r="A17" s="90"/>
      <c r="B17" s="20"/>
      <c r="C17" s="20"/>
      <c r="E17" s="110"/>
      <c r="F17" s="81">
        <v>0.02</v>
      </c>
      <c r="G17" s="82">
        <v>-36878.562156566113</v>
      </c>
      <c r="H17" s="83">
        <v>40883.67311250839</v>
      </c>
      <c r="I17" s="83">
        <v>66804.418202199886</v>
      </c>
      <c r="J17" s="83">
        <v>79764.790747045627</v>
      </c>
      <c r="K17" s="83">
        <v>87541.014273953086</v>
      </c>
      <c r="L17" s="83">
        <v>92725.163291891382</v>
      </c>
      <c r="M17" s="83">
        <v>96428.126876133028</v>
      </c>
      <c r="N17" s="83">
        <v>99205.349564314267</v>
      </c>
      <c r="O17" s="83">
        <v>101365.41165512189</v>
      </c>
      <c r="P17" s="84">
        <v>103093.461327768</v>
      </c>
    </row>
    <row r="18" spans="1:16" x14ac:dyDescent="0.45">
      <c r="A18" s="90"/>
      <c r="B18" s="20"/>
      <c r="C18" s="20"/>
      <c r="E18" s="110"/>
      <c r="F18" s="81">
        <v>0.03</v>
      </c>
      <c r="G18" s="82">
        <v>-43137.162541810874</v>
      </c>
      <c r="H18" s="83">
        <v>40832.940444315973</v>
      </c>
      <c r="I18" s="83">
        <v>68822.974773024922</v>
      </c>
      <c r="J18" s="83">
        <v>82817.991937379426</v>
      </c>
      <c r="K18" s="83">
        <v>91215.002235992084</v>
      </c>
      <c r="L18" s="83">
        <v>96813.009101733885</v>
      </c>
      <c r="M18" s="83">
        <v>100811.58543440657</v>
      </c>
      <c r="N18" s="83">
        <v>103810.51768391112</v>
      </c>
      <c r="O18" s="83">
        <v>106143.02054463686</v>
      </c>
      <c r="P18" s="84">
        <v>108009.02283321744</v>
      </c>
    </row>
    <row r="19" spans="1:16" x14ac:dyDescent="0.45">
      <c r="A19" s="90"/>
      <c r="B19" s="20"/>
      <c r="C19" s="20"/>
      <c r="E19" s="110"/>
      <c r="F19" s="81">
        <v>0.04</v>
      </c>
      <c r="G19" s="82">
        <v>-49649.268856960989</v>
      </c>
      <c r="H19" s="83">
        <v>40779.970311755766</v>
      </c>
      <c r="I19" s="83">
        <v>70923.050034661326</v>
      </c>
      <c r="J19" s="83">
        <v>85994.589896114136</v>
      </c>
      <c r="K19" s="83">
        <v>95037.51381298581</v>
      </c>
      <c r="L19" s="83">
        <v>101066.12975756692</v>
      </c>
      <c r="M19" s="83">
        <v>105372.2840036963</v>
      </c>
      <c r="N19" s="83">
        <v>108601.89968829333</v>
      </c>
      <c r="O19" s="83">
        <v>111113.82299853546</v>
      </c>
      <c r="P19" s="84">
        <v>113123.36164672917</v>
      </c>
    </row>
    <row r="20" spans="1:16" x14ac:dyDescent="0.45">
      <c r="A20" s="20"/>
      <c r="B20" s="20"/>
      <c r="C20" s="20"/>
      <c r="E20" s="110"/>
      <c r="F20" s="81">
        <v>0.05</v>
      </c>
      <c r="G20" s="82">
        <v>-56423.642032869582</v>
      </c>
      <c r="H20" s="83">
        <v>40724.674629767993</v>
      </c>
      <c r="I20" s="83">
        <v>73107.446850647175</v>
      </c>
      <c r="J20" s="83">
        <v>89298.832961086795</v>
      </c>
      <c r="K20" s="83">
        <v>99013.664627350532</v>
      </c>
      <c r="L20" s="83">
        <v>105490.21907152639</v>
      </c>
      <c r="M20" s="83">
        <v>110116.32938879484</v>
      </c>
      <c r="N20" s="83">
        <v>113585.91212674616</v>
      </c>
      <c r="O20" s="83">
        <v>116284.4764784861</v>
      </c>
      <c r="P20" s="84">
        <v>118443.32795987804</v>
      </c>
    </row>
    <row r="21" spans="1:16" x14ac:dyDescent="0.45">
      <c r="A21" s="20"/>
      <c r="B21" s="20"/>
      <c r="C21" s="20"/>
      <c r="E21" s="110"/>
      <c r="F21" s="81">
        <v>0.06</v>
      </c>
      <c r="G21" s="82">
        <v>-63469.292345787515</v>
      </c>
      <c r="H21" s="83">
        <v>40666.962482171599</v>
      </c>
      <c r="I21" s="83">
        <v>75379.047424824632</v>
      </c>
      <c r="J21" s="83">
        <v>92735.08989615117</v>
      </c>
      <c r="K21" s="83">
        <v>103148.71537894708</v>
      </c>
      <c r="L21" s="83">
        <v>110091.13236747768</v>
      </c>
      <c r="M21" s="83">
        <v>115050.00164499956</v>
      </c>
      <c r="N21" s="83">
        <v>118769.15360314095</v>
      </c>
      <c r="O21" s="83">
        <v>121661.82734836203</v>
      </c>
      <c r="P21" s="84">
        <v>123975.96634453892</v>
      </c>
    </row>
    <row r="22" spans="1:16" x14ac:dyDescent="0.45">
      <c r="A22" s="20"/>
      <c r="B22" s="20"/>
      <c r="C22" s="20"/>
      <c r="E22" s="110"/>
      <c r="F22" s="81">
        <v>7.0000000000000007E-2</v>
      </c>
      <c r="G22" s="82">
        <v>-70795.485049122246</v>
      </c>
      <c r="H22" s="83">
        <v>40606.740050493434</v>
      </c>
      <c r="I22" s="83">
        <v>77740.815083698661</v>
      </c>
      <c r="J22" s="83">
        <v>96307.852600301281</v>
      </c>
      <c r="K22" s="83">
        <v>107448.07511026284</v>
      </c>
      <c r="L22" s="83">
        <v>114874.89011690389</v>
      </c>
      <c r="M22" s="83">
        <v>120179.75797879037</v>
      </c>
      <c r="N22" s="83">
        <v>124158.40887520522</v>
      </c>
      <c r="O22" s="83">
        <v>127252.9151279723</v>
      </c>
      <c r="P22" s="84">
        <v>129728.52013018598</v>
      </c>
    </row>
    <row r="23" spans="1:16" x14ac:dyDescent="0.45">
      <c r="A23" s="20"/>
      <c r="B23" s="20"/>
      <c r="C23" s="20"/>
      <c r="E23" s="110"/>
      <c r="F23" s="81">
        <v>0.08</v>
      </c>
      <c r="G23" s="82">
        <v>-78411.746101304612</v>
      </c>
      <c r="H23" s="83">
        <v>40543.910541462305</v>
      </c>
      <c r="I23" s="83">
        <v>80195.796089051277</v>
      </c>
      <c r="J23" s="83">
        <v>100021.73886284576</v>
      </c>
      <c r="K23" s="83">
        <v>111917.30452712245</v>
      </c>
      <c r="L23" s="83">
        <v>119847.68163664026</v>
      </c>
      <c r="M23" s="83">
        <v>125512.23671486725</v>
      </c>
      <c r="N23" s="83">
        <v>129760.6530235375</v>
      </c>
      <c r="O23" s="83">
        <v>133064.97681916994</v>
      </c>
      <c r="P23" s="84">
        <v>135708.43585567584</v>
      </c>
    </row>
    <row r="24" spans="1:16" ht="14.65" thickBot="1" x14ac:dyDescent="0.5">
      <c r="A24" s="20"/>
      <c r="B24" s="20"/>
      <c r="C24" s="20"/>
      <c r="E24" s="111"/>
      <c r="F24" s="85">
        <v>0.09</v>
      </c>
      <c r="G24" s="86">
        <v>-86327.867990918006</v>
      </c>
      <c r="H24" s="87">
        <v>40478.374113150116</v>
      </c>
      <c r="I24" s="87">
        <v>82747.121481172828</v>
      </c>
      <c r="J24" s="87">
        <v>103881.49516518418</v>
      </c>
      <c r="K24" s="87">
        <v>116562.11937559101</v>
      </c>
      <c r="L24" s="87">
        <v>125015.86884919553</v>
      </c>
      <c r="M24" s="87">
        <v>131054.26133034164</v>
      </c>
      <c r="N24" s="87">
        <v>135583.05569120118</v>
      </c>
      <c r="O24" s="87">
        <v>139105.45130520311</v>
      </c>
      <c r="P24" s="88">
        <v>141923.36779640461</v>
      </c>
    </row>
    <row r="25" spans="1:16" ht="14.65" thickBot="1" x14ac:dyDescent="0.5"/>
    <row r="26" spans="1:16" ht="14.65" thickBot="1" x14ac:dyDescent="0.5">
      <c r="E26" s="6"/>
      <c r="F26" s="3"/>
      <c r="G26" s="112" t="s">
        <v>72</v>
      </c>
      <c r="H26" s="113"/>
      <c r="I26" s="113"/>
      <c r="J26" s="113"/>
      <c r="K26" s="113"/>
      <c r="L26" s="113"/>
      <c r="M26" s="113"/>
      <c r="N26" s="113"/>
      <c r="O26" s="113"/>
      <c r="P26" s="114"/>
    </row>
    <row r="27" spans="1:16" ht="14.65" thickBot="1" x14ac:dyDescent="0.5">
      <c r="E27" s="74"/>
      <c r="F27" s="75">
        <f>Value!$P$15</f>
        <v>85645.704329384927</v>
      </c>
      <c r="G27" s="99">
        <v>5.0000000000000001E-3</v>
      </c>
      <c r="H27" s="99">
        <v>0.01</v>
      </c>
      <c r="I27" s="99">
        <v>1.4999999999999999E-2</v>
      </c>
      <c r="J27" s="99">
        <v>0.02</v>
      </c>
      <c r="K27" s="99">
        <v>2.5000000000000001E-2</v>
      </c>
      <c r="L27" s="99">
        <v>0.03</v>
      </c>
      <c r="M27" s="99">
        <v>3.5000000000000003E-2</v>
      </c>
      <c r="N27" s="99">
        <v>0.04</v>
      </c>
      <c r="O27" s="99">
        <v>4.4999999999999998E-2</v>
      </c>
      <c r="P27" s="100">
        <v>0.05</v>
      </c>
    </row>
    <row r="28" spans="1:16" x14ac:dyDescent="0.45">
      <c r="E28" s="109" t="s">
        <v>71</v>
      </c>
      <c r="F28" s="77">
        <v>0.01</v>
      </c>
      <c r="G28" s="78">
        <f t="dataTable" ref="G28:P36" dt2D="1" dtr="1" r1="B6" r2="B3" ca="1"/>
        <v>122411.07128468288</v>
      </c>
      <c r="H28" s="79">
        <v>114894.49632588433</v>
      </c>
      <c r="I28" s="79">
        <v>107589.04997004371</v>
      </c>
      <c r="J28" s="79">
        <v>100507.70371570779</v>
      </c>
      <c r="K28" s="79">
        <v>93660.37458633502</v>
      </c>
      <c r="L28" s="79">
        <v>87054.156460626182</v>
      </c>
      <c r="M28" s="79">
        <v>80693.572768064798</v>
      </c>
      <c r="N28" s="79">
        <v>74580.841059430008</v>
      </c>
      <c r="O28" s="79">
        <v>68716.14109318782</v>
      </c>
      <c r="P28" s="80">
        <v>63097.879373409116</v>
      </c>
    </row>
    <row r="29" spans="1:16" x14ac:dyDescent="0.45">
      <c r="E29" s="110"/>
      <c r="F29" s="81">
        <v>0.02</v>
      </c>
      <c r="G29" s="82">
        <v>127729.4948021545</v>
      </c>
      <c r="H29" s="83">
        <v>119786.83047077965</v>
      </c>
      <c r="I29" s="83">
        <v>112070.96449662742</v>
      </c>
      <c r="J29" s="83">
        <v>104595.15288215282</v>
      </c>
      <c r="K29" s="83">
        <v>97369.465017853756</v>
      </c>
      <c r="L29" s="83">
        <v>90401.025846095843</v>
      </c>
      <c r="M29" s="83">
        <v>83694.280496970721</v>
      </c>
      <c r="N29" s="83">
        <v>77251.271408797606</v>
      </c>
      <c r="O29" s="83">
        <v>71071.919140586906</v>
      </c>
      <c r="P29" s="84">
        <v>65154.299449240803</v>
      </c>
    </row>
    <row r="30" spans="1:16" x14ac:dyDescent="0.45">
      <c r="E30" s="110"/>
      <c r="F30" s="81">
        <v>0.03</v>
      </c>
      <c r="G30" s="82">
        <v>133268.17854997882</v>
      </c>
      <c r="H30" s="83">
        <v>124881.32313648963</v>
      </c>
      <c r="I30" s="83">
        <v>116737.64989717974</v>
      </c>
      <c r="J30" s="83">
        <v>108850.70837955023</v>
      </c>
      <c r="K30" s="83">
        <v>101230.72367441274</v>
      </c>
      <c r="L30" s="83">
        <v>93884.849922208785</v>
      </c>
      <c r="M30" s="83">
        <v>86817.447440331132</v>
      </c>
      <c r="N30" s="83">
        <v>80030.372965258706</v>
      </c>
      <c r="O30" s="83">
        <v>73523.273764575148</v>
      </c>
      <c r="P30" s="84">
        <v>67293.877813361702</v>
      </c>
    </row>
    <row r="31" spans="1:16" x14ac:dyDescent="0.45">
      <c r="E31" s="110"/>
      <c r="F31" s="81">
        <v>0.04</v>
      </c>
      <c r="G31" s="82">
        <v>139034.88379340363</v>
      </c>
      <c r="H31" s="83">
        <v>130185.08234176342</v>
      </c>
      <c r="I31" s="83">
        <v>121595.588476668</v>
      </c>
      <c r="J31" s="83">
        <v>113280.25452169662</v>
      </c>
      <c r="K31" s="83">
        <v>105249.46458520999</v>
      </c>
      <c r="L31" s="83">
        <v>97510.399938190953</v>
      </c>
      <c r="M31" s="83">
        <v>90067.329205491813</v>
      </c>
      <c r="N31" s="83">
        <v>82921.912323067139</v>
      </c>
      <c r="O31" s="83">
        <v>76073.508544684359</v>
      </c>
      <c r="P31" s="84">
        <v>69519.480298362032</v>
      </c>
    </row>
    <row r="32" spans="1:16" x14ac:dyDescent="0.45">
      <c r="E32" s="110"/>
      <c r="F32" s="81">
        <v>0.05</v>
      </c>
      <c r="G32" s="82">
        <v>145037.59694926988</v>
      </c>
      <c r="H32" s="83">
        <v>135705.42184865626</v>
      </c>
      <c r="I32" s="83">
        <v>126651.44974836957</v>
      </c>
      <c r="J32" s="83">
        <v>117889.84516984306</v>
      </c>
      <c r="K32" s="83">
        <v>109431.15453499006</v>
      </c>
      <c r="L32" s="83">
        <v>101282.58396526361</v>
      </c>
      <c r="M32" s="83">
        <v>93448.303131283959</v>
      </c>
      <c r="N32" s="83">
        <v>85929.763541134307</v>
      </c>
      <c r="O32" s="83">
        <v>78726.021059223945</v>
      </c>
      <c r="P32" s="84">
        <v>71834.054045204277</v>
      </c>
    </row>
    <row r="33" spans="5:16" x14ac:dyDescent="0.45">
      <c r="E33" s="110"/>
      <c r="F33" s="81">
        <v>0.06</v>
      </c>
      <c r="G33" s="82">
        <v>151284.53477165854</v>
      </c>
      <c r="H33" s="83">
        <v>141449.86589006163</v>
      </c>
      <c r="I33" s="83">
        <v>131912.0947252964</v>
      </c>
      <c r="J33" s="83">
        <v>122685.70760990671</v>
      </c>
      <c r="K33" s="83">
        <v>113781.4165486875</v>
      </c>
      <c r="L33" s="83">
        <v>105206.45000999031</v>
      </c>
      <c r="M33" s="83">
        <v>96964.871050866379</v>
      </c>
      <c r="N33" s="83">
        <v>89057.910575590649</v>
      </c>
      <c r="O33" s="83">
        <v>81484.305007142655</v>
      </c>
      <c r="P33" s="84">
        <v>74240.629333269782</v>
      </c>
    </row>
    <row r="34" spans="5:16" x14ac:dyDescent="0.45">
      <c r="E34" s="110"/>
      <c r="F34" s="81">
        <v>7.0000000000000007E-2</v>
      </c>
      <c r="G34" s="82">
        <v>157784.1496278519</v>
      </c>
      <c r="H34" s="83">
        <v>147426.15397937322</v>
      </c>
      <c r="I34" s="83">
        <v>137384.58028598406</v>
      </c>
      <c r="J34" s="83">
        <v>127674.24649669725</v>
      </c>
      <c r="K34" s="83">
        <v>118306.03343614281</v>
      </c>
      <c r="L34" s="83">
        <v>109287.18918115196</v>
      </c>
      <c r="M34" s="83">
        <v>100621.66210194046</v>
      </c>
      <c r="N34" s="83">
        <v>92310.449753939931</v>
      </c>
      <c r="O34" s="83">
        <v>84351.952366066864</v>
      </c>
      <c r="P34" s="84">
        <v>76742.321441512002</v>
      </c>
    </row>
    <row r="35" spans="5:16" x14ac:dyDescent="0.45">
      <c r="E35" s="110"/>
      <c r="F35" s="81">
        <v>0.08</v>
      </c>
      <c r="G35" s="82">
        <v>164545.13486571639</v>
      </c>
      <c r="H35" s="83">
        <v>153642.24580327875</v>
      </c>
      <c r="I35" s="83">
        <v>143076.16361554828</v>
      </c>
      <c r="J35" s="83">
        <v>132862.04786596799</v>
      </c>
      <c r="K35" s="83">
        <v>123010.95139761505</v>
      </c>
      <c r="L35" s="83">
        <v>113530.13891079558</v>
      </c>
      <c r="M35" s="83">
        <v>104423.43558490829</v>
      </c>
      <c r="N35" s="83">
        <v>95691.592291305584</v>
      </c>
      <c r="O35" s="83">
        <v>87332.655586947527</v>
      </c>
      <c r="P35" s="84">
        <v>79342.332541086667</v>
      </c>
    </row>
    <row r="36" spans="5:16" ht="14.65" thickBot="1" x14ac:dyDescent="0.5">
      <c r="E36" s="111"/>
      <c r="F36" s="85">
        <v>0.09</v>
      </c>
      <c r="G36" s="86">
        <v>171576.43027361576</v>
      </c>
      <c r="H36" s="87">
        <v>160106.32619869363</v>
      </c>
      <c r="I36" s="87">
        <v>148994.30672292286</v>
      </c>
      <c r="J36" s="87">
        <v>138255.88321511459</v>
      </c>
      <c r="K36" s="87">
        <v>127902.28369082583</v>
      </c>
      <c r="L36" s="87">
        <v>117940.78623010805</v>
      </c>
      <c r="M36" s="87">
        <v>108375.08386954729</v>
      </c>
      <c r="N36" s="87">
        <v>99205.666849272675</v>
      </c>
      <c r="O36" s="87">
        <v>90430.209825750761</v>
      </c>
      <c r="P36" s="88">
        <v>82043.95361983242</v>
      </c>
    </row>
  </sheetData>
  <mergeCells count="6">
    <mergeCell ref="E28:E36"/>
    <mergeCell ref="G2:P2"/>
    <mergeCell ref="E4:E12"/>
    <mergeCell ref="G14:P14"/>
    <mergeCell ref="E16:E24"/>
    <mergeCell ref="G26:P26"/>
  </mergeCells>
  <conditionalFormatting sqref="G4:P12 G16:P24">
    <cfRule type="cellIs" dxfId="3" priority="3" operator="lessThan">
      <formula>$B$2</formula>
    </cfRule>
    <cfRule type="cellIs" dxfId="2" priority="4" operator="greaterThanOrEqual">
      <formula>$B$2</formula>
    </cfRule>
  </conditionalFormatting>
  <conditionalFormatting sqref="G28:P36">
    <cfRule type="cellIs" dxfId="1" priority="1" operator="lessThan">
      <formula>$B$2</formula>
    </cfRule>
    <cfRule type="cellIs" dxfId="0" priority="2" operator="greaterThanOrEqual">
      <formula>$B$2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WACC</vt:lpstr>
      <vt:lpstr>Sales-to-Capital</vt:lpstr>
      <vt:lpstr>Growth</vt:lpstr>
      <vt:lpstr>Value</vt:lpstr>
      <vt:lpstr>Sensitive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Lukasz Pietrowski</cp:lastModifiedBy>
  <cp:revision/>
  <dcterms:created xsi:type="dcterms:W3CDTF">2023-10-21T07:54:52Z</dcterms:created>
  <dcterms:modified xsi:type="dcterms:W3CDTF">2025-02-27T14:51:05Z</dcterms:modified>
  <cp:category/>
  <cp:contentStatus/>
</cp:coreProperties>
</file>