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125" yWindow="60" windowWidth="20730" windowHeight="11760" tabRatio="500"/>
  </bookViews>
  <sheets>
    <sheet name="Front Sheet" sheetId="1" r:id="rId1"/>
    <sheet name="Core Volume" sheetId="2" r:id="rId2"/>
    <sheet name="Winding Length and Weigth" sheetId="3" r:id="rId3"/>
    <sheet name="Resistance Values" sheetId="4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7" i="1" l="1"/>
  <c r="D5" i="1"/>
  <c r="J13" i="1"/>
  <c r="J21" i="1"/>
  <c r="J12" i="1"/>
  <c r="J17" i="1"/>
  <c r="J16" i="1"/>
  <c r="D8" i="1"/>
  <c r="D9" i="1"/>
  <c r="D19" i="1"/>
  <c r="J19" i="1"/>
  <c r="I8" i="2"/>
  <c r="D10" i="1"/>
  <c r="I9" i="2"/>
  <c r="E25" i="2"/>
  <c r="E26" i="2"/>
  <c r="D6" i="1"/>
  <c r="I5" i="2"/>
  <c r="D7" i="1"/>
  <c r="I6" i="2"/>
  <c r="I15" i="2"/>
  <c r="I16" i="2"/>
  <c r="I17" i="2"/>
  <c r="I25" i="2"/>
  <c r="I7" i="2"/>
  <c r="I26" i="2"/>
  <c r="D11" i="1"/>
  <c r="I10" i="2"/>
  <c r="I27" i="2"/>
  <c r="J9" i="1"/>
  <c r="D15" i="1"/>
  <c r="Q10" i="1"/>
  <c r="Q11" i="1"/>
  <c r="P12" i="1"/>
  <c r="M13" i="1"/>
  <c r="D14" i="1"/>
  <c r="D16" i="1"/>
  <c r="M12" i="1"/>
  <c r="D13" i="1"/>
  <c r="M11" i="1"/>
  <c r="M14" i="1"/>
  <c r="M15" i="1"/>
  <c r="D22" i="1"/>
  <c r="C7" i="4"/>
  <c r="F24" i="3"/>
  <c r="F22" i="3"/>
  <c r="F29" i="3"/>
  <c r="F30" i="3"/>
  <c r="F20" i="3"/>
  <c r="F21" i="3"/>
  <c r="F31" i="3"/>
  <c r="F23" i="3"/>
  <c r="F32" i="3"/>
  <c r="C8" i="4"/>
  <c r="D20" i="1"/>
  <c r="I8" i="3"/>
  <c r="I9" i="3"/>
  <c r="I10" i="3"/>
  <c r="C9" i="4"/>
  <c r="C10" i="4"/>
  <c r="J14" i="1"/>
  <c r="M10" i="1"/>
  <c r="M16" i="1"/>
  <c r="Q9" i="1"/>
  <c r="F12" i="4"/>
  <c r="I11" i="3"/>
  <c r="D21" i="1"/>
  <c r="I7" i="3"/>
  <c r="I12" i="3"/>
  <c r="D17" i="1"/>
  <c r="J10" i="1"/>
</calcChain>
</file>

<file path=xl/sharedStrings.xml><?xml version="1.0" encoding="utf-8"?>
<sst xmlns="http://schemas.openxmlformats.org/spreadsheetml/2006/main" count="143" uniqueCount="129">
  <si>
    <t>Electro Mechanical Equation Calculator</t>
  </si>
  <si>
    <t>Heigth:</t>
  </si>
  <si>
    <t>D:</t>
  </si>
  <si>
    <t>Lg:</t>
  </si>
  <si>
    <t>Eddy Current:</t>
  </si>
  <si>
    <t>Hysteresis:</t>
  </si>
  <si>
    <t>Excess Eddy:</t>
  </si>
  <si>
    <t>Density:</t>
  </si>
  <si>
    <t>Turns:</t>
  </si>
  <si>
    <t>Diameter:</t>
  </si>
  <si>
    <t>Resistivity (20°C):</t>
  </si>
  <si>
    <t>Heigth (mm):</t>
  </si>
  <si>
    <t>Width (mm):</t>
  </si>
  <si>
    <t>Length (mm):</t>
  </si>
  <si>
    <t>D (mm):</t>
  </si>
  <si>
    <t>Lg (mm):</t>
  </si>
  <si>
    <t>x</t>
  </si>
  <si>
    <t xml:space="preserve">Orange boxes are spaces where you can input your variables as </t>
  </si>
  <si>
    <t>stated on the sheet. Green boxes are automatically calculated to</t>
  </si>
  <si>
    <t>the correct dimension needed for each question.</t>
  </si>
  <si>
    <t>Enter Your Variables:</t>
  </si>
  <si>
    <t>B (T)</t>
  </si>
  <si>
    <t>Magnetic Field</t>
  </si>
  <si>
    <t>Strength H (A/m)</t>
  </si>
  <si>
    <t>Flux Density</t>
  </si>
  <si>
    <t>Stacking Factor:</t>
  </si>
  <si>
    <t>Core and Winding Answers</t>
  </si>
  <si>
    <t>Core Volume (m^3):</t>
  </si>
  <si>
    <t>Winding length (m):</t>
  </si>
  <si>
    <t>Total Volume of the core</t>
  </si>
  <si>
    <t>(assume this is 3D)</t>
  </si>
  <si>
    <t>Outer area</t>
  </si>
  <si>
    <t>(of the front face)</t>
  </si>
  <si>
    <t>H</t>
  </si>
  <si>
    <t>Width</t>
  </si>
  <si>
    <t>Length</t>
  </si>
  <si>
    <t>Outer:</t>
  </si>
  <si>
    <t>Inner:</t>
  </si>
  <si>
    <t>Total Area:</t>
  </si>
  <si>
    <t>D</t>
  </si>
  <si>
    <t>2D</t>
  </si>
  <si>
    <t>3D</t>
  </si>
  <si>
    <t>W</t>
  </si>
  <si>
    <t>3D - Lg</t>
  </si>
  <si>
    <t>Inner Stack</t>
  </si>
  <si>
    <t>Stack Heigth:</t>
  </si>
  <si>
    <t>Total Volume</t>
  </si>
  <si>
    <t>(of the 3D transformer)</t>
  </si>
  <si>
    <t>Face Area:</t>
  </si>
  <si>
    <t>True Volume:</t>
  </si>
  <si>
    <t>Face Volume:</t>
  </si>
  <si>
    <t>Length is the Mean</t>
  </si>
  <si>
    <t>winding length which</t>
  </si>
  <si>
    <t>is the mid core length</t>
  </si>
  <si>
    <t>mulitplied by the turns</t>
  </si>
  <si>
    <t>Below is the tansformer</t>
  </si>
  <si>
    <t>with copper windings</t>
  </si>
  <si>
    <t>the mean length marked</t>
  </si>
  <si>
    <t>a small air gap and</t>
  </si>
  <si>
    <t>side lengths are found</t>
  </si>
  <si>
    <t>easliy but corner radius</t>
  </si>
  <si>
    <t>requires further calculation</t>
  </si>
  <si>
    <t>as its not a straight line</t>
  </si>
  <si>
    <t>Winding Width:</t>
  </si>
  <si>
    <t>Winding Height:</t>
  </si>
  <si>
    <t>Air Gap Width:</t>
  </si>
  <si>
    <t>Corners can be considered</t>
  </si>
  <si>
    <t>as a circule</t>
  </si>
  <si>
    <t>Radius:</t>
  </si>
  <si>
    <t>Circumference:</t>
  </si>
  <si>
    <t>Winding length:</t>
  </si>
  <si>
    <t>Total Length</t>
  </si>
  <si>
    <t>Find the winding Volume</t>
  </si>
  <si>
    <t>first work out the winding</t>
  </si>
  <si>
    <t>radius from the diamiter</t>
  </si>
  <si>
    <t>to find the csa</t>
  </si>
  <si>
    <t>Total Weigth:</t>
  </si>
  <si>
    <t>Winding Radius</t>
  </si>
  <si>
    <t>Winding Diamiter</t>
  </si>
  <si>
    <t>Total Volume:</t>
  </si>
  <si>
    <t>Total Csa:</t>
  </si>
  <si>
    <t>Winding Density:</t>
  </si>
  <si>
    <t>Resistance (20°C):</t>
  </si>
  <si>
    <t>Resistance (40°C):</t>
  </si>
  <si>
    <t>Resistance (20°C)(ohm):</t>
  </si>
  <si>
    <t>Resistance can is found</t>
  </si>
  <si>
    <t>using the equation</t>
  </si>
  <si>
    <t>changes with temperature</t>
  </si>
  <si>
    <t xml:space="preserve">RL/A = resistivity, resistivity </t>
  </si>
  <si>
    <t>Air Gap (mm):</t>
  </si>
  <si>
    <t>Resistivity (ohm.m):</t>
  </si>
  <si>
    <t>Winding Csa (m^2):</t>
  </si>
  <si>
    <t>For the higher temperature</t>
  </si>
  <si>
    <t>resistance value you will</t>
  </si>
  <si>
    <t>need to find out the</t>
  </si>
  <si>
    <t xml:space="preserve">temperature coefficent at </t>
  </si>
  <si>
    <t>20°C for copper</t>
  </si>
  <si>
    <t>Temp coef:</t>
  </si>
  <si>
    <t>Using linearity equation</t>
  </si>
  <si>
    <t>R = Ro(1 + coef(T-To))</t>
  </si>
  <si>
    <t>where R is new resistance</t>
  </si>
  <si>
    <t xml:space="preserve">Ro is resistance at given </t>
  </si>
  <si>
    <t>temperature (20°C), T is</t>
  </si>
  <si>
    <t>the new temperature and</t>
  </si>
  <si>
    <t>To is the reference (20°C)</t>
  </si>
  <si>
    <t>Old Temp:</t>
  </si>
  <si>
    <t>New Temp:</t>
  </si>
  <si>
    <t>Winding mmf max (AT):</t>
  </si>
  <si>
    <t>rms current (A):</t>
  </si>
  <si>
    <t>eddy loss density (W/m^3):</t>
  </si>
  <si>
    <t>hyst loss density (W/m^3):</t>
  </si>
  <si>
    <t>excess eddy loss (W/m^3):</t>
  </si>
  <si>
    <t>total loss density (W/m^3):</t>
  </si>
  <si>
    <t>total loss in core (W):</t>
  </si>
  <si>
    <t>resistive loss in winding (W):</t>
  </si>
  <si>
    <t>rms emf induce winding (V):</t>
  </si>
  <si>
    <t>For max mmf, the H value</t>
  </si>
  <si>
    <t>need to read off graph</t>
  </si>
  <si>
    <t>Frequency (Hz):</t>
  </si>
  <si>
    <t>Bm Value (T):</t>
  </si>
  <si>
    <t>H (A/m):</t>
  </si>
  <si>
    <t>Resistance (60°C)(ohm):</t>
  </si>
  <si>
    <t>Bm</t>
  </si>
  <si>
    <t>outer</t>
  </si>
  <si>
    <t>inner</t>
  </si>
  <si>
    <t>Core Weight (Kg):</t>
  </si>
  <si>
    <t>Winding weight (Kg):</t>
  </si>
  <si>
    <t>cross sectional area</t>
  </si>
  <si>
    <t>Core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</si>
</sst>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"/>
    <numFmt numFmtId="165" formatCode="0.0000000000"/>
  </numFmts>
  <fonts count="7" x14ac:knownFonts="1">
    <font>
      <sz val="12"/>
      <color theme="1"/>
      <name val="Calibri"/>
      <family val="2"/>
      <scheme val="minor"/>
    </font>
    <font>
      <sz val="12"/>
      <color theme="1" tint="4.9989318521683403E-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FF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 style="medium">
        <color rgb="FF000000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3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4" borderId="7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2" xfId="0" applyFill="1" applyBorder="1" applyAlignment="1"/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4" xfId="0" applyFill="1" applyBorder="1" applyAlignment="1"/>
    <xf numFmtId="0" fontId="0" fillId="2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ont="1"/>
    <xf numFmtId="0" fontId="4" fillId="5" borderId="2" xfId="0" applyFont="1" applyFill="1" applyBorder="1"/>
    <xf numFmtId="0" fontId="4" fillId="5" borderId="3" xfId="0" applyFont="1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0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1" xfId="0" applyFill="1" applyBorder="1"/>
    <xf numFmtId="0" fontId="0" fillId="0" borderId="8" xfId="0" applyFill="1" applyBorder="1"/>
    <xf numFmtId="0" fontId="0" fillId="0" borderId="0" xfId="0" applyFill="1" applyBorder="1"/>
    <xf numFmtId="0" fontId="0" fillId="0" borderId="6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2" xfId="0" applyFill="1" applyBorder="1"/>
    <xf numFmtId="0" fontId="0" fillId="0" borderId="11" xfId="0" applyFill="1" applyBorder="1"/>
    <xf numFmtId="0" fontId="0" fillId="0" borderId="9" xfId="0" applyBorder="1" applyAlignment="1">
      <alignment horizontal="center" vertical="center"/>
    </xf>
    <xf numFmtId="164" fontId="0" fillId="5" borderId="4" xfId="0" applyNumberFormat="1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0" fontId="0" fillId="2" borderId="0" xfId="0" applyFill="1"/>
    <xf numFmtId="0" fontId="0" fillId="0" borderId="0" xfId="0" applyAlignment="1">
      <alignment vertical="center"/>
    </xf>
    <xf numFmtId="0" fontId="0" fillId="8" borderId="2" xfId="0" applyFill="1" applyBorder="1"/>
    <xf numFmtId="0" fontId="0" fillId="8" borderId="3" xfId="0" applyFill="1" applyBorder="1"/>
    <xf numFmtId="0" fontId="0" fillId="8" borderId="3" xfId="0" applyFill="1" applyBorder="1" applyAlignment="1">
      <alignment vertical="center"/>
    </xf>
    <xf numFmtId="0" fontId="0" fillId="8" borderId="4" xfId="0" applyFill="1" applyBorder="1" applyAlignment="1">
      <alignment vertical="center"/>
    </xf>
    <xf numFmtId="0" fontId="0" fillId="8" borderId="15" xfId="0" applyFill="1" applyBorder="1"/>
    <xf numFmtId="0" fontId="0" fillId="8" borderId="4" xfId="0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/>
    </xf>
    <xf numFmtId="0" fontId="0" fillId="5" borderId="3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165" fontId="0" fillId="5" borderId="3" xfId="0" applyNumberFormat="1" applyFill="1" applyBorder="1" applyAlignment="1">
      <alignment horizontal="center"/>
    </xf>
    <xf numFmtId="0" fontId="0" fillId="0" borderId="6" xfId="0" applyFill="1" applyBorder="1" applyAlignment="1"/>
    <xf numFmtId="0" fontId="0" fillId="0" borderId="6" xfId="0" applyBorder="1"/>
    <xf numFmtId="165" fontId="0" fillId="5" borderId="15" xfId="0" applyNumberFormat="1" applyFill="1" applyBorder="1" applyAlignment="1">
      <alignment horizontal="center"/>
    </xf>
    <xf numFmtId="0" fontId="0" fillId="4" borderId="8" xfId="0" applyFill="1" applyBorder="1"/>
    <xf numFmtId="0" fontId="0" fillId="4" borderId="9" xfId="0" applyFill="1" applyBorder="1"/>
    <xf numFmtId="0" fontId="0" fillId="8" borderId="4" xfId="0" applyFill="1" applyBorder="1"/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0" fillId="3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9" borderId="0" xfId="0" applyFont="1" applyFill="1"/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0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0" borderId="9" xfId="0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4"/>
  <colors>
    <mruColors>
      <color rgb="FFCC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175"/>
          </c:spPr>
          <c:marker>
            <c:symbol val="none"/>
          </c:marker>
          <c:xVal>
            <c:numRef>
              <c:f>'Front Sheet'!$F$9:$F$22</c:f>
              <c:numCache>
                <c:formatCode>General</c:formatCode>
                <c:ptCount val="14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250</c:v>
                </c:pt>
                <c:pt idx="4">
                  <c:v>350</c:v>
                </c:pt>
                <c:pt idx="5">
                  <c:v>450</c:v>
                </c:pt>
                <c:pt idx="6">
                  <c:v>550</c:v>
                </c:pt>
                <c:pt idx="7">
                  <c:v>650</c:v>
                </c:pt>
                <c:pt idx="8">
                  <c:v>800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</c:numCache>
            </c:numRef>
          </c:xVal>
          <c:yVal>
            <c:numRef>
              <c:f>'Front Sheet'!$G$9:$G$22</c:f>
              <c:numCache>
                <c:formatCode>General</c:formatCode>
                <c:ptCount val="14"/>
                <c:pt idx="0">
                  <c:v>0</c:v>
                </c:pt>
                <c:pt idx="1">
                  <c:v>0.41</c:v>
                </c:pt>
                <c:pt idx="2">
                  <c:v>0.71</c:v>
                </c:pt>
                <c:pt idx="3">
                  <c:v>0.99</c:v>
                </c:pt>
                <c:pt idx="4">
                  <c:v>1.18</c:v>
                </c:pt>
                <c:pt idx="5">
                  <c:v>1.31</c:v>
                </c:pt>
                <c:pt idx="6">
                  <c:v>1.4</c:v>
                </c:pt>
                <c:pt idx="7">
                  <c:v>1.46</c:v>
                </c:pt>
                <c:pt idx="8">
                  <c:v>1.51</c:v>
                </c:pt>
                <c:pt idx="9">
                  <c:v>1.55</c:v>
                </c:pt>
                <c:pt idx="10">
                  <c:v>1.6</c:v>
                </c:pt>
                <c:pt idx="11">
                  <c:v>1.63</c:v>
                </c:pt>
                <c:pt idx="12">
                  <c:v>1.65</c:v>
                </c:pt>
                <c:pt idx="13">
                  <c:v>1.68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3344"/>
        <c:axId val="46571904"/>
      </c:scatterChart>
      <c:valAx>
        <c:axId val="4655334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Magnetic Field Strength H (A/m)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571904"/>
        <c:crosses val="autoZero"/>
        <c:crossBetween val="midCat"/>
      </c:valAx>
      <c:valAx>
        <c:axId val="46571904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Flux </a:t>
                </a:r>
              </a:p>
              <a:p>
                <a:pPr>
                  <a:defRPr/>
                </a:pPr>
                <a:r>
                  <a:rPr lang="en-US"/>
                  <a:t>Density </a:t>
                </a:r>
              </a:p>
              <a:p>
                <a:pPr>
                  <a:defRPr/>
                </a:pPr>
                <a:r>
                  <a:rPr lang="en-US"/>
                  <a:t>B (T)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553344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23</xdr:row>
      <xdr:rowOff>101600</xdr:rowOff>
    </xdr:from>
    <xdr:to>
      <xdr:col>17</xdr:col>
      <xdr:colOff>25400</xdr:colOff>
      <xdr:row>52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7</xdr:row>
      <xdr:rowOff>7620</xdr:rowOff>
    </xdr:from>
    <xdr:to>
      <xdr:col>4</xdr:col>
      <xdr:colOff>520700</xdr:colOff>
      <xdr:row>16</xdr:row>
      <xdr:rowOff>0</xdr:rowOff>
    </xdr:to>
    <xdr:sp macro="" textlink="">
      <xdr:nvSpPr>
        <xdr:cNvPr id="2" name="Rounded Rectangle 1"/>
        <xdr:cNvSpPr/>
      </xdr:nvSpPr>
      <xdr:spPr>
        <a:xfrm>
          <a:off x="2153920" y="1366520"/>
          <a:ext cx="1846580" cy="1732280"/>
        </a:xfrm>
        <a:prstGeom prst="roundRect">
          <a:avLst/>
        </a:prstGeom>
        <a:noFill/>
        <a:ln w="12700" cmpd="sng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1</xdr:col>
      <xdr:colOff>444500</xdr:colOff>
      <xdr:row>26</xdr:row>
      <xdr:rowOff>88900</xdr:rowOff>
    </xdr:from>
    <xdr:to>
      <xdr:col>2</xdr:col>
      <xdr:colOff>584200</xdr:colOff>
      <xdr:row>31</xdr:row>
      <xdr:rowOff>76200</xdr:rowOff>
    </xdr:to>
    <xdr:sp macro="" textlink="">
      <xdr:nvSpPr>
        <xdr:cNvPr id="5" name="Oval 4"/>
        <xdr:cNvSpPr/>
      </xdr:nvSpPr>
      <xdr:spPr>
        <a:xfrm>
          <a:off x="1270000" y="5168900"/>
          <a:ext cx="965200" cy="9652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topLeftCell="C4" zoomScale="148" zoomScaleNormal="148" workbookViewId="0">
      <selection activeCell="M18" sqref="M18"/>
    </sheetView>
  </sheetViews>
  <sheetFormatPr defaultColWidth="11" defaultRowHeight="15.75" x14ac:dyDescent="0.25"/>
  <cols>
    <col min="2" max="2" width="15.375" bestFit="1" customWidth="1"/>
    <col min="4" max="4" width="12.5" customWidth="1"/>
    <col min="6" max="6" width="15.125" bestFit="1" customWidth="1"/>
    <col min="7" max="7" width="11.125" bestFit="1" customWidth="1"/>
    <col min="9" max="9" width="20.625" bestFit="1" customWidth="1"/>
    <col min="10" max="10" width="12.125" bestFit="1" customWidth="1"/>
    <col min="12" max="12" width="24.375" bestFit="1" customWidth="1"/>
    <col min="13" max="13" width="14.625" customWidth="1"/>
    <col min="15" max="15" width="24.625" bestFit="1" customWidth="1"/>
  </cols>
  <sheetData>
    <row r="1" spans="1:17" ht="16.5" thickBot="1" x14ac:dyDescent="0.3"/>
    <row r="2" spans="1:17" x14ac:dyDescent="0.25">
      <c r="B2" s="87" t="s">
        <v>0</v>
      </c>
      <c r="C2" s="88"/>
      <c r="D2" s="89"/>
      <c r="F2" s="90" t="s">
        <v>17</v>
      </c>
      <c r="G2" s="91"/>
      <c r="H2" s="91"/>
      <c r="I2" s="91"/>
      <c r="J2" s="92"/>
    </row>
    <row r="3" spans="1:17" ht="16.5" thickBot="1" x14ac:dyDescent="0.3">
      <c r="B3" s="99" t="s">
        <v>20</v>
      </c>
      <c r="C3" s="100"/>
      <c r="D3" s="101"/>
      <c r="F3" s="93" t="s">
        <v>18</v>
      </c>
      <c r="G3" s="94"/>
      <c r="H3" s="94"/>
      <c r="I3" s="94"/>
      <c r="J3" s="95"/>
    </row>
    <row r="4" spans="1:17" ht="16.5" thickBot="1" x14ac:dyDescent="0.3">
      <c r="B4" s="72"/>
      <c r="C4" s="72"/>
      <c r="D4" s="72"/>
      <c r="F4" s="96" t="s">
        <v>19</v>
      </c>
      <c r="G4" s="97"/>
      <c r="H4" s="97"/>
      <c r="I4" s="97"/>
      <c r="J4" s="98"/>
    </row>
    <row r="5" spans="1:17" ht="16.5" thickBot="1" x14ac:dyDescent="0.3">
      <c r="A5" s="11"/>
      <c r="B5" s="2" t="s">
        <v>89</v>
      </c>
      <c r="C5" s="21">
        <v>0.54</v>
      </c>
      <c r="D5" s="24">
        <f>C5/1000</f>
        <v>5.4000000000000001E-4</v>
      </c>
      <c r="E5" s="11"/>
      <c r="F5" s="12"/>
      <c r="G5" s="12"/>
      <c r="H5" s="12"/>
      <c r="I5" s="12"/>
      <c r="J5" s="12"/>
      <c r="K5" s="11"/>
    </row>
    <row r="6" spans="1:17" x14ac:dyDescent="0.25">
      <c r="B6" s="3" t="s">
        <v>11</v>
      </c>
      <c r="C6" s="22">
        <v>150</v>
      </c>
      <c r="D6" s="25">
        <f>C6/1000</f>
        <v>0.15</v>
      </c>
      <c r="F6" s="27" t="s">
        <v>22</v>
      </c>
      <c r="G6" s="8" t="s">
        <v>24</v>
      </c>
      <c r="I6" s="90" t="s">
        <v>26</v>
      </c>
      <c r="J6" s="92"/>
      <c r="L6" s="90" t="s">
        <v>26</v>
      </c>
      <c r="M6" s="92"/>
      <c r="O6" s="90" t="s">
        <v>116</v>
      </c>
      <c r="P6" s="92"/>
    </row>
    <row r="7" spans="1:17" ht="16.5" thickBot="1" x14ac:dyDescent="0.3">
      <c r="B7" s="3" t="s">
        <v>12</v>
      </c>
      <c r="C7" s="22">
        <v>180</v>
      </c>
      <c r="D7" s="25">
        <f>C7/1000</f>
        <v>0.18</v>
      </c>
      <c r="F7" s="29" t="s">
        <v>23</v>
      </c>
      <c r="G7" s="28" t="s">
        <v>21</v>
      </c>
      <c r="I7" s="9"/>
      <c r="J7" s="10"/>
      <c r="L7" s="96"/>
      <c r="M7" s="98"/>
      <c r="O7" s="96" t="s">
        <v>117</v>
      </c>
      <c r="P7" s="98"/>
    </row>
    <row r="8" spans="1:17" ht="16.5" thickBot="1" x14ac:dyDescent="0.3">
      <c r="B8" s="3" t="s">
        <v>13</v>
      </c>
      <c r="C8" s="22">
        <v>65</v>
      </c>
      <c r="D8" s="25">
        <f t="shared" ref="D8:D9" si="0">C8/1000</f>
        <v>6.5000000000000002E-2</v>
      </c>
      <c r="F8" s="32"/>
      <c r="G8" s="32"/>
    </row>
    <row r="9" spans="1:17" x14ac:dyDescent="0.25">
      <c r="B9" s="3" t="s">
        <v>14</v>
      </c>
      <c r="C9" s="22">
        <v>30</v>
      </c>
      <c r="D9" s="25">
        <f t="shared" si="0"/>
        <v>0.03</v>
      </c>
      <c r="F9" s="19">
        <v>0</v>
      </c>
      <c r="G9" s="30">
        <v>0</v>
      </c>
      <c r="I9" s="16" t="s">
        <v>27</v>
      </c>
      <c r="J9" s="34">
        <f>'Core Volume'!I27</f>
        <v>1.35983718E-3</v>
      </c>
      <c r="L9" s="16" t="s">
        <v>107</v>
      </c>
      <c r="M9" s="78">
        <v>819.07897490000005</v>
      </c>
      <c r="O9" s="16" t="s">
        <v>120</v>
      </c>
      <c r="P9" s="81">
        <v>575</v>
      </c>
      <c r="Q9" s="78">
        <f>P9</f>
        <v>575</v>
      </c>
    </row>
    <row r="10" spans="1:17" x14ac:dyDescent="0.25">
      <c r="B10" s="3" t="s">
        <v>15</v>
      </c>
      <c r="C10" s="22">
        <v>0.54</v>
      </c>
      <c r="D10" s="25">
        <f>C10/1000</f>
        <v>5.4000000000000001E-4</v>
      </c>
      <c r="F10" s="19">
        <v>75</v>
      </c>
      <c r="G10" s="30">
        <v>0.41</v>
      </c>
      <c r="I10" s="17" t="s">
        <v>125</v>
      </c>
      <c r="J10" s="35">
        <f>D17*J9</f>
        <v>10.9738860426</v>
      </c>
      <c r="L10" s="17" t="s">
        <v>108</v>
      </c>
      <c r="M10" s="79">
        <f>(M9/D19)/(SQRT(2))</f>
        <v>0.33517146844856249</v>
      </c>
      <c r="O10" s="17" t="s">
        <v>118</v>
      </c>
      <c r="P10" s="30">
        <v>50</v>
      </c>
      <c r="Q10" s="79">
        <f>P10</f>
        <v>50</v>
      </c>
    </row>
    <row r="11" spans="1:17" ht="16.5" thickBot="1" x14ac:dyDescent="0.3">
      <c r="B11" s="4" t="s">
        <v>25</v>
      </c>
      <c r="C11" s="23">
        <v>0.97</v>
      </c>
      <c r="D11" s="26">
        <f>C11</f>
        <v>0.97</v>
      </c>
      <c r="F11" s="19">
        <v>150</v>
      </c>
      <c r="G11" s="30">
        <v>0.71</v>
      </c>
      <c r="I11" s="17" t="s">
        <v>28</v>
      </c>
      <c r="J11" s="35">
        <v>610.64136599999995</v>
      </c>
      <c r="L11" s="17" t="s">
        <v>109</v>
      </c>
      <c r="M11" s="79">
        <f>D13*((Q10*P12)^2)</f>
        <v>9269.8480178552454</v>
      </c>
      <c r="N11" s="33"/>
      <c r="O11" s="18" t="s">
        <v>119</v>
      </c>
      <c r="P11" s="82">
        <v>1.4</v>
      </c>
      <c r="Q11" s="83">
        <f>P11</f>
        <v>1.4</v>
      </c>
    </row>
    <row r="12" spans="1:17" ht="16.5" thickBot="1" x14ac:dyDescent="0.3">
      <c r="C12" s="1"/>
      <c r="D12" s="1"/>
      <c r="F12" s="19">
        <v>250</v>
      </c>
      <c r="G12" s="30">
        <v>0.99</v>
      </c>
      <c r="I12" s="17" t="s">
        <v>126</v>
      </c>
      <c r="J12" s="35">
        <f>3.14159*((D20/2)^2)*J11*D21</f>
        <v>5.8164487400685569</v>
      </c>
      <c r="L12" s="17" t="s">
        <v>110</v>
      </c>
      <c r="M12" s="79">
        <f>D14*Q10*(P12^D16)</f>
        <v>12945.563603270233</v>
      </c>
      <c r="O12" t="s">
        <v>122</v>
      </c>
      <c r="P12">
        <f>Q11*(2*D9*D8)/(2*D9*D8*0.97)</f>
        <v>1.4432989690721649</v>
      </c>
    </row>
    <row r="13" spans="1:17" x14ac:dyDescent="0.25">
      <c r="B13" s="2" t="s">
        <v>4</v>
      </c>
      <c r="C13" s="21">
        <v>1.78</v>
      </c>
      <c r="D13" s="24">
        <f>C13</f>
        <v>1.78</v>
      </c>
      <c r="F13" s="19">
        <v>350</v>
      </c>
      <c r="G13" s="30">
        <v>1.18</v>
      </c>
      <c r="I13" s="17" t="s">
        <v>84</v>
      </c>
      <c r="J13" s="35">
        <f>D22*(J11/J21)</f>
        <v>9.6041987466829806</v>
      </c>
      <c r="L13" s="17" t="s">
        <v>111</v>
      </c>
      <c r="M13" s="79">
        <f>D15*((Q10*P12)^1.5)</f>
        <v>870.51809501566345</v>
      </c>
    </row>
    <row r="14" spans="1:17" ht="16.5" thickBot="1" x14ac:dyDescent="0.3">
      <c r="B14" s="3" t="s">
        <v>5</v>
      </c>
      <c r="C14" s="22">
        <v>145</v>
      </c>
      <c r="D14" s="25">
        <f>C14</f>
        <v>145</v>
      </c>
      <c r="F14" s="19">
        <v>450</v>
      </c>
      <c r="G14" s="30">
        <v>1.31</v>
      </c>
      <c r="I14" s="17" t="s">
        <v>121</v>
      </c>
      <c r="J14" s="86">
        <f>J13*((J11+60)/(J11+20))</f>
        <v>10.21336898285699</v>
      </c>
      <c r="L14" s="17" t="s">
        <v>112</v>
      </c>
      <c r="M14" s="79">
        <f>M13+M12+M11</f>
        <v>23085.929716141141</v>
      </c>
    </row>
    <row r="15" spans="1:17" x14ac:dyDescent="0.25">
      <c r="B15" s="3" t="s">
        <v>6</v>
      </c>
      <c r="C15" s="22">
        <v>1.42</v>
      </c>
      <c r="D15" s="25">
        <f>C15</f>
        <v>1.42</v>
      </c>
      <c r="F15" s="19">
        <v>550</v>
      </c>
      <c r="G15" s="30">
        <v>1.4</v>
      </c>
      <c r="I15" s="73"/>
      <c r="J15" s="73"/>
      <c r="L15" s="17" t="s">
        <v>113</v>
      </c>
      <c r="M15" s="79">
        <f>M14*J9</f>
        <v>31.393105562875569</v>
      </c>
    </row>
    <row r="16" spans="1:17" x14ac:dyDescent="0.25">
      <c r="B16" s="3" t="s">
        <v>16</v>
      </c>
      <c r="C16" s="22">
        <v>1.58</v>
      </c>
      <c r="D16" s="25">
        <f>C16</f>
        <v>1.58</v>
      </c>
      <c r="F16" s="19">
        <v>650</v>
      </c>
      <c r="G16" s="30">
        <v>1.46</v>
      </c>
      <c r="I16" s="84" t="s">
        <v>123</v>
      </c>
      <c r="J16">
        <f>((2*D8)+(4*D9)+(2*(D9+0.004)*3.14159)-(4*0.004))</f>
        <v>0.44762811999999996</v>
      </c>
      <c r="L16" s="17" t="s">
        <v>114</v>
      </c>
      <c r="M16" s="79">
        <f>((M10*SQRT(2))^2)*J13</f>
        <v>2.1578697083060918</v>
      </c>
    </row>
    <row r="17" spans="2:13" ht="16.5" thickBot="1" x14ac:dyDescent="0.3">
      <c r="B17" s="4" t="s">
        <v>7</v>
      </c>
      <c r="C17" s="23">
        <v>8070</v>
      </c>
      <c r="D17" s="26">
        <f>C17</f>
        <v>8070</v>
      </c>
      <c r="F17" s="19">
        <v>800</v>
      </c>
      <c r="G17" s="30">
        <v>1.51</v>
      </c>
      <c r="I17" s="85" t="s">
        <v>124</v>
      </c>
      <c r="J17">
        <f>((2*D8)+(4*D9)+(2*(0.004)*3.14159)-(4*0.004))</f>
        <v>0.25913271999999998</v>
      </c>
      <c r="L17" s="18" t="s">
        <v>115</v>
      </c>
      <c r="M17" s="80">
        <f>4.44*Q10*Q11*(2*D9)*D8*D19</f>
        <v>2094.5433600000001</v>
      </c>
    </row>
    <row r="18" spans="2:13" ht="16.5" thickBot="1" x14ac:dyDescent="0.3">
      <c r="C18" s="1"/>
      <c r="D18" s="1"/>
      <c r="F18" s="19">
        <v>1000</v>
      </c>
      <c r="G18" s="30">
        <v>1.55</v>
      </c>
      <c r="I18" s="85"/>
    </row>
    <row r="19" spans="2:13" x14ac:dyDescent="0.25">
      <c r="B19" s="2" t="s">
        <v>8</v>
      </c>
      <c r="C19" s="21">
        <v>1728</v>
      </c>
      <c r="D19" s="24">
        <f>C19</f>
        <v>1728</v>
      </c>
      <c r="F19" s="19">
        <v>1500</v>
      </c>
      <c r="G19" s="30">
        <v>1.6</v>
      </c>
      <c r="I19" t="s">
        <v>128</v>
      </c>
      <c r="J19">
        <f>((J16+J17)/2)*D19</f>
        <v>610.64136575999999</v>
      </c>
      <c r="L19" s="85"/>
    </row>
    <row r="20" spans="2:13" x14ac:dyDescent="0.25">
      <c r="B20" s="3" t="s">
        <v>9</v>
      </c>
      <c r="C20" s="22">
        <v>1.18</v>
      </c>
      <c r="D20" s="25">
        <f>C20/1000</f>
        <v>1.1799999999999998E-3</v>
      </c>
      <c r="F20" s="19">
        <v>2000</v>
      </c>
      <c r="G20" s="30">
        <v>1.63</v>
      </c>
    </row>
    <row r="21" spans="2:13" x14ac:dyDescent="0.25">
      <c r="B21" s="3" t="s">
        <v>7</v>
      </c>
      <c r="C21" s="22">
        <v>8710</v>
      </c>
      <c r="D21" s="25">
        <f>C21</f>
        <v>8710</v>
      </c>
      <c r="F21" s="19">
        <v>2500</v>
      </c>
      <c r="G21" s="30">
        <v>1.65</v>
      </c>
      <c r="I21" t="s">
        <v>127</v>
      </c>
      <c r="J21">
        <f>3.14159*((D20/2)^2)</f>
        <v>1.0935874789999996E-6</v>
      </c>
    </row>
    <row r="22" spans="2:13" ht="16.5" thickBot="1" x14ac:dyDescent="0.3">
      <c r="B22" s="4" t="s">
        <v>10</v>
      </c>
      <c r="C22" s="23">
        <v>17.2</v>
      </c>
      <c r="D22" s="26">
        <f>C22/1000000000</f>
        <v>1.7199999999999999E-8</v>
      </c>
      <c r="F22" s="20">
        <v>3000</v>
      </c>
      <c r="G22" s="31">
        <v>1.68</v>
      </c>
    </row>
    <row r="23" spans="2:13" x14ac:dyDescent="0.25">
      <c r="F23" s="12"/>
    </row>
  </sheetData>
  <mergeCells count="10">
    <mergeCell ref="O6:P6"/>
    <mergeCell ref="O7:P7"/>
    <mergeCell ref="L6:M6"/>
    <mergeCell ref="L7:M7"/>
    <mergeCell ref="I6:J6"/>
    <mergeCell ref="B2:D2"/>
    <mergeCell ref="F2:J2"/>
    <mergeCell ref="F3:J3"/>
    <mergeCell ref="F4:J4"/>
    <mergeCell ref="B3:D3"/>
  </mergeCells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F13" sqref="F13"/>
    </sheetView>
  </sheetViews>
  <sheetFormatPr defaultColWidth="11" defaultRowHeight="15.75" x14ac:dyDescent="0.25"/>
  <cols>
    <col min="8" max="8" width="14.125" bestFit="1" customWidth="1"/>
    <col min="9" max="9" width="12.875" bestFit="1" customWidth="1"/>
  </cols>
  <sheetData>
    <row r="1" spans="1:9" ht="16.5" thickBot="1" x14ac:dyDescent="0.3"/>
    <row r="2" spans="1:9" x14ac:dyDescent="0.25">
      <c r="A2" s="102" t="s">
        <v>33</v>
      </c>
      <c r="B2" s="36"/>
      <c r="C2" s="37"/>
      <c r="D2" s="37"/>
      <c r="E2" s="37"/>
      <c r="F2" s="38"/>
      <c r="G2" s="50"/>
      <c r="H2" s="90" t="s">
        <v>29</v>
      </c>
      <c r="I2" s="92"/>
    </row>
    <row r="3" spans="1:9" ht="16.5" thickBot="1" x14ac:dyDescent="0.3">
      <c r="A3" s="102"/>
      <c r="B3" s="39"/>
      <c r="C3" s="40"/>
      <c r="D3" s="40"/>
      <c r="E3" s="40"/>
      <c r="F3" s="41"/>
      <c r="G3" s="50"/>
      <c r="H3" s="96" t="s">
        <v>30</v>
      </c>
      <c r="I3" s="98"/>
    </row>
    <row r="4" spans="1:9" ht="6" customHeight="1" thickBot="1" x14ac:dyDescent="0.3">
      <c r="A4" s="102"/>
      <c r="B4" s="39"/>
      <c r="C4" s="47"/>
      <c r="D4" s="49"/>
      <c r="E4" s="48"/>
      <c r="F4" s="41"/>
      <c r="G4" s="50"/>
      <c r="H4" s="51"/>
      <c r="I4" s="51"/>
    </row>
    <row r="5" spans="1:9" x14ac:dyDescent="0.25">
      <c r="A5" s="102"/>
      <c r="B5" s="39"/>
      <c r="C5" s="45"/>
      <c r="D5" s="40"/>
      <c r="E5" s="45"/>
      <c r="F5" s="41"/>
      <c r="G5" s="50"/>
      <c r="H5" s="2" t="s">
        <v>1</v>
      </c>
      <c r="I5" s="24">
        <f>'Front Sheet'!D6</f>
        <v>0.15</v>
      </c>
    </row>
    <row r="6" spans="1:9" x14ac:dyDescent="0.25">
      <c r="A6" s="102"/>
      <c r="B6" s="39"/>
      <c r="C6" s="45"/>
      <c r="D6" s="40"/>
      <c r="E6" s="45"/>
      <c r="F6" s="41"/>
      <c r="G6" s="50"/>
      <c r="H6" s="3" t="s">
        <v>34</v>
      </c>
      <c r="I6" s="25">
        <f>'Front Sheet'!D7</f>
        <v>0.18</v>
      </c>
    </row>
    <row r="7" spans="1:9" ht="16.5" thickBot="1" x14ac:dyDescent="0.3">
      <c r="A7" s="102"/>
      <c r="B7" s="39"/>
      <c r="C7" s="46"/>
      <c r="D7" s="40"/>
      <c r="E7" s="46"/>
      <c r="F7" s="41"/>
      <c r="G7" s="50"/>
      <c r="H7" s="3" t="s">
        <v>35</v>
      </c>
      <c r="I7" s="25">
        <f>'Front Sheet'!D8</f>
        <v>6.5000000000000002E-2</v>
      </c>
    </row>
    <row r="8" spans="1:9" x14ac:dyDescent="0.25">
      <c r="A8" s="102"/>
      <c r="B8" s="39"/>
      <c r="C8" s="40"/>
      <c r="D8" s="40"/>
      <c r="E8" s="40"/>
      <c r="F8" s="41"/>
      <c r="G8" s="50"/>
      <c r="H8" s="3" t="s">
        <v>2</v>
      </c>
      <c r="I8" s="25">
        <f>'Front Sheet'!D9</f>
        <v>0.03</v>
      </c>
    </row>
    <row r="9" spans="1:9" ht="16.5" thickBot="1" x14ac:dyDescent="0.3">
      <c r="A9" s="102"/>
      <c r="B9" s="42"/>
      <c r="C9" s="43"/>
      <c r="D9" s="43"/>
      <c r="E9" s="43"/>
      <c r="F9" s="44"/>
      <c r="G9" s="50"/>
      <c r="H9" s="3" t="s">
        <v>3</v>
      </c>
      <c r="I9" s="25">
        <f>'Front Sheet'!D10</f>
        <v>5.4000000000000001E-4</v>
      </c>
    </row>
    <row r="10" spans="1:9" ht="16.5" thickBot="1" x14ac:dyDescent="0.3">
      <c r="B10" s="103" t="s">
        <v>42</v>
      </c>
      <c r="C10" s="103"/>
      <c r="D10" s="103"/>
      <c r="E10" s="103"/>
      <c r="F10" s="103"/>
      <c r="G10" s="51"/>
      <c r="H10" s="4" t="s">
        <v>25</v>
      </c>
      <c r="I10" s="26">
        <f>'Front Sheet'!D11</f>
        <v>0.97</v>
      </c>
    </row>
    <row r="11" spans="1:9" ht="16.5" thickBot="1" x14ac:dyDescent="0.3"/>
    <row r="12" spans="1:9" x14ac:dyDescent="0.25">
      <c r="A12" s="102" t="s">
        <v>39</v>
      </c>
      <c r="B12" s="36"/>
      <c r="C12" s="37"/>
      <c r="D12" s="37"/>
      <c r="E12" s="37"/>
      <c r="F12" s="38"/>
      <c r="H12" s="90" t="s">
        <v>31</v>
      </c>
      <c r="I12" s="92"/>
    </row>
    <row r="13" spans="1:9" ht="16.5" thickBot="1" x14ac:dyDescent="0.3">
      <c r="A13" s="102"/>
      <c r="B13" s="39"/>
      <c r="C13" s="40"/>
      <c r="D13" s="40"/>
      <c r="E13" s="40"/>
      <c r="F13" s="41"/>
      <c r="H13" s="96" t="s">
        <v>32</v>
      </c>
      <c r="I13" s="98"/>
    </row>
    <row r="14" spans="1:9" ht="6" customHeight="1" thickBot="1" x14ac:dyDescent="0.3">
      <c r="A14" s="102" t="s">
        <v>41</v>
      </c>
      <c r="B14" s="39"/>
      <c r="C14" s="47"/>
      <c r="D14" s="52"/>
      <c r="E14" s="48"/>
      <c r="F14" s="41"/>
    </row>
    <row r="15" spans="1:9" x14ac:dyDescent="0.25">
      <c r="A15" s="102"/>
      <c r="B15" s="39"/>
      <c r="C15" s="50"/>
      <c r="D15" s="51"/>
      <c r="E15" s="53"/>
      <c r="F15" s="41"/>
      <c r="H15" s="2" t="s">
        <v>36</v>
      </c>
      <c r="I15" s="5">
        <f>I5*I6</f>
        <v>2.7E-2</v>
      </c>
    </row>
    <row r="16" spans="1:9" x14ac:dyDescent="0.25">
      <c r="A16" s="102"/>
      <c r="B16" s="39"/>
      <c r="C16" s="50"/>
      <c r="D16" s="51"/>
      <c r="E16" s="53"/>
      <c r="F16" s="41"/>
      <c r="H16" s="3" t="s">
        <v>37</v>
      </c>
      <c r="I16" s="6">
        <f>(4*I8)*(3*I8)</f>
        <v>1.0799999999999999E-2</v>
      </c>
    </row>
    <row r="17" spans="1:9" ht="16.5" thickBot="1" x14ac:dyDescent="0.3">
      <c r="A17" s="102"/>
      <c r="B17" s="39"/>
      <c r="C17" s="54"/>
      <c r="D17" s="56"/>
      <c r="E17" s="55"/>
      <c r="F17" s="41"/>
      <c r="H17" s="4" t="s">
        <v>38</v>
      </c>
      <c r="I17" s="7">
        <f>I15-I16</f>
        <v>1.6199999999999999E-2</v>
      </c>
    </row>
    <row r="18" spans="1:9" x14ac:dyDescent="0.25">
      <c r="A18" s="102" t="s">
        <v>39</v>
      </c>
      <c r="B18" s="39"/>
      <c r="C18" s="40"/>
      <c r="D18" s="40"/>
      <c r="E18" s="40"/>
      <c r="F18" s="41"/>
    </row>
    <row r="19" spans="1:9" ht="16.5" thickBot="1" x14ac:dyDescent="0.3">
      <c r="A19" s="102"/>
      <c r="B19" s="42"/>
      <c r="C19" s="43"/>
      <c r="D19" s="43"/>
      <c r="E19" s="43"/>
      <c r="F19" s="44"/>
    </row>
    <row r="20" spans="1:9" x14ac:dyDescent="0.25">
      <c r="B20" s="1" t="s">
        <v>39</v>
      </c>
      <c r="C20" s="1" t="s">
        <v>39</v>
      </c>
      <c r="D20" s="1" t="s">
        <v>40</v>
      </c>
      <c r="E20" s="1" t="s">
        <v>39</v>
      </c>
      <c r="F20" s="1" t="s">
        <v>39</v>
      </c>
    </row>
    <row r="21" spans="1:9" ht="16.5" thickBot="1" x14ac:dyDescent="0.3"/>
    <row r="22" spans="1:9" x14ac:dyDescent="0.25">
      <c r="D22" s="90" t="s">
        <v>44</v>
      </c>
      <c r="E22" s="92"/>
      <c r="H22" s="90" t="s">
        <v>46</v>
      </c>
      <c r="I22" s="92"/>
    </row>
    <row r="23" spans="1:9" ht="16.5" thickBot="1" x14ac:dyDescent="0.3">
      <c r="C23" s="51"/>
      <c r="D23" s="96" t="s">
        <v>32</v>
      </c>
      <c r="E23" s="98"/>
      <c r="H23" s="96" t="s">
        <v>47</v>
      </c>
      <c r="I23" s="98"/>
    </row>
    <row r="24" spans="1:9" ht="6" customHeight="1" thickBot="1" x14ac:dyDescent="0.3">
      <c r="C24" s="51"/>
    </row>
    <row r="25" spans="1:9" x14ac:dyDescent="0.25">
      <c r="A25" s="57" t="s">
        <v>43</v>
      </c>
      <c r="B25" s="13"/>
      <c r="C25" s="51"/>
      <c r="D25" s="2" t="s">
        <v>45</v>
      </c>
      <c r="E25" s="24">
        <f>(3*I8)-I9</f>
        <v>8.9459999999999998E-2</v>
      </c>
      <c r="H25" s="2" t="s">
        <v>48</v>
      </c>
      <c r="I25" s="24">
        <f>E26+I17</f>
        <v>2.1567599999999999E-2</v>
      </c>
    </row>
    <row r="26" spans="1:9" ht="16.5" thickBot="1" x14ac:dyDescent="0.3">
      <c r="A26" s="57"/>
      <c r="B26" s="14"/>
      <c r="C26" s="51"/>
      <c r="D26" s="4" t="s">
        <v>38</v>
      </c>
      <c r="E26" s="26">
        <f>E25*(2*I8)</f>
        <v>5.3675999999999993E-3</v>
      </c>
      <c r="H26" s="3" t="s">
        <v>50</v>
      </c>
      <c r="I26" s="59">
        <f>I25*I7</f>
        <v>1.4018940000000001E-3</v>
      </c>
    </row>
    <row r="27" spans="1:9" ht="16.5" thickBot="1" x14ac:dyDescent="0.3">
      <c r="A27" s="57"/>
      <c r="B27" s="15"/>
      <c r="C27" s="51"/>
      <c r="D27" s="51"/>
      <c r="E27" s="51"/>
      <c r="H27" s="4" t="s">
        <v>49</v>
      </c>
      <c r="I27" s="58">
        <f>I26*I10</f>
        <v>1.35983718E-3</v>
      </c>
    </row>
    <row r="28" spans="1:9" x14ac:dyDescent="0.25">
      <c r="B28" s="1" t="s">
        <v>40</v>
      </c>
      <c r="C28" s="51"/>
      <c r="D28" s="12"/>
      <c r="E28" s="51"/>
    </row>
  </sheetData>
  <mergeCells count="13">
    <mergeCell ref="H22:I22"/>
    <mergeCell ref="H23:I23"/>
    <mergeCell ref="D22:E22"/>
    <mergeCell ref="D23:E23"/>
    <mergeCell ref="H2:I2"/>
    <mergeCell ref="H3:I3"/>
    <mergeCell ref="H12:I12"/>
    <mergeCell ref="H13:I13"/>
    <mergeCell ref="A18:A19"/>
    <mergeCell ref="A14:A17"/>
    <mergeCell ref="A12:A13"/>
    <mergeCell ref="A2:A9"/>
    <mergeCell ref="B10:F1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2"/>
  <sheetViews>
    <sheetView workbookViewId="0">
      <selection activeCell="F31" sqref="F31"/>
    </sheetView>
  </sheetViews>
  <sheetFormatPr defaultColWidth="11" defaultRowHeight="15.75" x14ac:dyDescent="0.25"/>
  <cols>
    <col min="3" max="3" width="13.125" customWidth="1"/>
    <col min="5" max="5" width="14.375" bestFit="1" customWidth="1"/>
    <col min="8" max="8" width="15.5" bestFit="1" customWidth="1"/>
    <col min="9" max="9" width="12.875" bestFit="1" customWidth="1"/>
  </cols>
  <sheetData>
    <row r="1" spans="2:9" ht="16.5" thickBot="1" x14ac:dyDescent="0.3"/>
    <row r="2" spans="2:9" x14ac:dyDescent="0.25">
      <c r="B2" s="90" t="s">
        <v>51</v>
      </c>
      <c r="C2" s="92"/>
      <c r="E2" s="90" t="s">
        <v>55</v>
      </c>
      <c r="F2" s="92"/>
      <c r="H2" s="90" t="s">
        <v>72</v>
      </c>
      <c r="I2" s="92"/>
    </row>
    <row r="3" spans="2:9" x14ac:dyDescent="0.25">
      <c r="B3" s="93" t="s">
        <v>52</v>
      </c>
      <c r="C3" s="95"/>
      <c r="E3" s="93" t="s">
        <v>56</v>
      </c>
      <c r="F3" s="95"/>
      <c r="H3" s="93" t="s">
        <v>73</v>
      </c>
      <c r="I3" s="95"/>
    </row>
    <row r="4" spans="2:9" x14ac:dyDescent="0.25">
      <c r="B4" s="104" t="s">
        <v>53</v>
      </c>
      <c r="C4" s="105"/>
      <c r="E4" s="104" t="s">
        <v>58</v>
      </c>
      <c r="F4" s="105"/>
      <c r="H4" s="104" t="s">
        <v>74</v>
      </c>
      <c r="I4" s="105"/>
    </row>
    <row r="5" spans="2:9" ht="16.5" thickBot="1" x14ac:dyDescent="0.3">
      <c r="B5" s="106" t="s">
        <v>54</v>
      </c>
      <c r="C5" s="107"/>
      <c r="E5" s="106" t="s">
        <v>57</v>
      </c>
      <c r="F5" s="107"/>
      <c r="H5" s="106" t="s">
        <v>75</v>
      </c>
      <c r="I5" s="107"/>
    </row>
    <row r="6" spans="2:9" ht="16.5" thickBot="1" x14ac:dyDescent="0.3"/>
    <row r="7" spans="2:9" x14ac:dyDescent="0.25">
      <c r="C7" s="60"/>
      <c r="D7" s="60"/>
      <c r="E7" s="60"/>
      <c r="H7" s="62" t="s">
        <v>81</v>
      </c>
      <c r="I7" s="24">
        <f>'Front Sheet'!D21</f>
        <v>8710</v>
      </c>
    </row>
    <row r="8" spans="2:9" x14ac:dyDescent="0.25">
      <c r="C8" s="60"/>
      <c r="D8" s="60"/>
      <c r="E8" s="60"/>
      <c r="H8" s="63" t="s">
        <v>78</v>
      </c>
      <c r="I8" s="25">
        <f>'Front Sheet'!D20</f>
        <v>1.1799999999999998E-3</v>
      </c>
    </row>
    <row r="9" spans="2:9" ht="16.5" thickBot="1" x14ac:dyDescent="0.3">
      <c r="C9" s="60"/>
      <c r="D9" s="11"/>
      <c r="E9" s="60"/>
      <c r="H9" s="63" t="s">
        <v>77</v>
      </c>
      <c r="I9" s="25">
        <f>I8/2</f>
        <v>5.8999999999999992E-4</v>
      </c>
    </row>
    <row r="10" spans="2:9" x14ac:dyDescent="0.25">
      <c r="B10" s="13"/>
      <c r="C10" s="60"/>
      <c r="D10" s="13"/>
      <c r="E10" s="60"/>
      <c r="F10" s="13"/>
      <c r="H10" s="63" t="s">
        <v>80</v>
      </c>
      <c r="I10" s="71">
        <f>I9*I9*PI()</f>
        <v>1.0935884027146066E-6</v>
      </c>
    </row>
    <row r="11" spans="2:9" x14ac:dyDescent="0.25">
      <c r="B11" s="14"/>
      <c r="C11" s="60"/>
      <c r="D11" s="14"/>
      <c r="E11" s="60"/>
      <c r="F11" s="14"/>
      <c r="H11" s="64" t="s">
        <v>79</v>
      </c>
      <c r="I11" s="25">
        <f>I10*F32</f>
        <v>6.5286205031475923E-4</v>
      </c>
    </row>
    <row r="12" spans="2:9" ht="16.5" thickBot="1" x14ac:dyDescent="0.3">
      <c r="B12" s="14"/>
      <c r="C12" s="60"/>
      <c r="D12" s="14"/>
      <c r="E12" s="60"/>
      <c r="F12" s="14"/>
      <c r="H12" s="65" t="s">
        <v>76</v>
      </c>
      <c r="I12" s="26">
        <f>I11*I7</f>
        <v>5.6864284582415525</v>
      </c>
    </row>
    <row r="13" spans="2:9" x14ac:dyDescent="0.25">
      <c r="B13" s="14"/>
      <c r="C13" s="60"/>
      <c r="D13" s="14"/>
      <c r="E13" s="60"/>
      <c r="F13" s="14"/>
    </row>
    <row r="14" spans="2:9" ht="16.5" thickBot="1" x14ac:dyDescent="0.3">
      <c r="B14" s="15"/>
      <c r="C14" s="60"/>
      <c r="D14" s="15"/>
      <c r="E14" s="60"/>
      <c r="F14" s="15"/>
    </row>
    <row r="15" spans="2:9" x14ac:dyDescent="0.25">
      <c r="C15" s="60"/>
      <c r="D15" s="11"/>
      <c r="E15" s="60"/>
    </row>
    <row r="16" spans="2:9" x14ac:dyDescent="0.25">
      <c r="C16" s="60"/>
      <c r="D16" s="60"/>
      <c r="E16" s="60"/>
    </row>
    <row r="17" spans="2:6" x14ac:dyDescent="0.25">
      <c r="C17" s="60"/>
      <c r="D17" s="60"/>
      <c r="E17" s="60"/>
    </row>
    <row r="19" spans="2:6" ht="16.5" thickBot="1" x14ac:dyDescent="0.3"/>
    <row r="20" spans="2:6" x14ac:dyDescent="0.25">
      <c r="B20" s="90" t="s">
        <v>59</v>
      </c>
      <c r="C20" s="92"/>
      <c r="E20" s="62" t="s">
        <v>63</v>
      </c>
      <c r="F20" s="24">
        <f>'Front Sheet'!D8</f>
        <v>6.5000000000000002E-2</v>
      </c>
    </row>
    <row r="21" spans="2:6" x14ac:dyDescent="0.25">
      <c r="B21" s="93" t="s">
        <v>60</v>
      </c>
      <c r="C21" s="95"/>
      <c r="E21" s="63" t="s">
        <v>64</v>
      </c>
      <c r="F21" s="25">
        <f>(F24*2)-(2*F22)</f>
        <v>5.892E-2</v>
      </c>
    </row>
    <row r="22" spans="2:6" x14ac:dyDescent="0.25">
      <c r="B22" s="104" t="s">
        <v>61</v>
      </c>
      <c r="C22" s="105"/>
      <c r="E22" s="64" t="s">
        <v>65</v>
      </c>
      <c r="F22" s="25">
        <f>'Front Sheet'!D5</f>
        <v>5.4000000000000001E-4</v>
      </c>
    </row>
    <row r="23" spans="2:6" ht="16.5" thickBot="1" x14ac:dyDescent="0.3">
      <c r="B23" s="106" t="s">
        <v>62</v>
      </c>
      <c r="C23" s="107"/>
      <c r="E23" s="64" t="s">
        <v>8</v>
      </c>
      <c r="F23" s="25">
        <f>'Front Sheet'!D19</f>
        <v>1728</v>
      </c>
    </row>
    <row r="24" spans="2:6" ht="16.5" thickBot="1" x14ac:dyDescent="0.3">
      <c r="E24" s="65" t="s">
        <v>2</v>
      </c>
      <c r="F24" s="26">
        <f>'Front Sheet'!D9</f>
        <v>0.03</v>
      </c>
    </row>
    <row r="25" spans="2:6" ht="16.5" thickBot="1" x14ac:dyDescent="0.3">
      <c r="C25" s="61"/>
    </row>
    <row r="26" spans="2:6" x14ac:dyDescent="0.25">
      <c r="E26" s="108" t="s">
        <v>66</v>
      </c>
      <c r="F26" s="109"/>
    </row>
    <row r="27" spans="2:6" ht="16.5" thickBot="1" x14ac:dyDescent="0.3">
      <c r="E27" s="110" t="s">
        <v>67</v>
      </c>
      <c r="F27" s="111"/>
    </row>
    <row r="28" spans="2:6" ht="16.5" thickBot="1" x14ac:dyDescent="0.3">
      <c r="E28" s="61"/>
    </row>
    <row r="29" spans="2:6" x14ac:dyDescent="0.25">
      <c r="E29" s="62" t="s">
        <v>68</v>
      </c>
      <c r="F29" s="5">
        <f>(F24/2)+F22</f>
        <v>1.554E-2</v>
      </c>
    </row>
    <row r="30" spans="2:6" x14ac:dyDescent="0.25">
      <c r="E30" s="63" t="s">
        <v>69</v>
      </c>
      <c r="F30" s="6">
        <f>2*PI()*F29</f>
        <v>9.7640699673570766E-2</v>
      </c>
    </row>
    <row r="31" spans="2:6" x14ac:dyDescent="0.25">
      <c r="E31" s="68" t="s">
        <v>70</v>
      </c>
      <c r="F31" s="69">
        <f>F30+(2*F20)+(2*F21)</f>
        <v>0.34548069967357076</v>
      </c>
    </row>
    <row r="32" spans="2:6" ht="16.5" thickBot="1" x14ac:dyDescent="0.3">
      <c r="E32" s="67" t="s">
        <v>71</v>
      </c>
      <c r="F32" s="70">
        <f>F31*F23</f>
        <v>596.99064903593023</v>
      </c>
    </row>
  </sheetData>
  <mergeCells count="18">
    <mergeCell ref="H2:I2"/>
    <mergeCell ref="H3:I3"/>
    <mergeCell ref="H4:I4"/>
    <mergeCell ref="H5:I5"/>
    <mergeCell ref="B5:C5"/>
    <mergeCell ref="B4:C4"/>
    <mergeCell ref="B3:C3"/>
    <mergeCell ref="B2:C2"/>
    <mergeCell ref="E27:F27"/>
    <mergeCell ref="E2:F2"/>
    <mergeCell ref="E3:F3"/>
    <mergeCell ref="E4:F4"/>
    <mergeCell ref="E5:F5"/>
    <mergeCell ref="B20:C20"/>
    <mergeCell ref="B21:C21"/>
    <mergeCell ref="B22:C22"/>
    <mergeCell ref="B23:C23"/>
    <mergeCell ref="E26:F26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workbookViewId="0">
      <selection activeCell="F10" sqref="F10"/>
    </sheetView>
  </sheetViews>
  <sheetFormatPr defaultColWidth="11" defaultRowHeight="15.75" x14ac:dyDescent="0.25"/>
  <cols>
    <col min="2" max="2" width="17.375" bestFit="1" customWidth="1"/>
    <col min="3" max="3" width="12.875" bestFit="1" customWidth="1"/>
    <col min="5" max="5" width="15.875" bestFit="1" customWidth="1"/>
    <col min="6" max="6" width="12.875" bestFit="1" customWidth="1"/>
    <col min="8" max="8" width="11.875" customWidth="1"/>
  </cols>
  <sheetData>
    <row r="1" spans="2:9" ht="16.5" thickBot="1" x14ac:dyDescent="0.3"/>
    <row r="2" spans="2:9" x14ac:dyDescent="0.25">
      <c r="B2" s="90" t="s">
        <v>85</v>
      </c>
      <c r="C2" s="92"/>
      <c r="E2" s="90" t="s">
        <v>92</v>
      </c>
      <c r="F2" s="92"/>
    </row>
    <row r="3" spans="2:9" x14ac:dyDescent="0.25">
      <c r="B3" s="93" t="s">
        <v>86</v>
      </c>
      <c r="C3" s="95"/>
      <c r="E3" s="93" t="s">
        <v>93</v>
      </c>
      <c r="F3" s="95"/>
    </row>
    <row r="4" spans="2:9" x14ac:dyDescent="0.25">
      <c r="B4" s="104" t="s">
        <v>88</v>
      </c>
      <c r="C4" s="105"/>
      <c r="E4" s="104" t="s">
        <v>94</v>
      </c>
      <c r="F4" s="105"/>
    </row>
    <row r="5" spans="2:9" ht="16.5" thickBot="1" x14ac:dyDescent="0.3">
      <c r="B5" s="106" t="s">
        <v>87</v>
      </c>
      <c r="C5" s="107"/>
      <c r="E5" s="104" t="s">
        <v>95</v>
      </c>
      <c r="F5" s="105"/>
    </row>
    <row r="6" spans="2:9" ht="16.5" thickBot="1" x14ac:dyDescent="0.3">
      <c r="E6" s="96" t="s">
        <v>96</v>
      </c>
      <c r="F6" s="98"/>
      <c r="H6" s="90" t="s">
        <v>98</v>
      </c>
      <c r="I6" s="92"/>
    </row>
    <row r="7" spans="2:9" ht="16.5" thickBot="1" x14ac:dyDescent="0.3">
      <c r="B7" s="62" t="s">
        <v>90</v>
      </c>
      <c r="C7" s="24">
        <f>'Front Sheet'!D22</f>
        <v>1.7199999999999999E-8</v>
      </c>
      <c r="H7" s="93" t="s">
        <v>99</v>
      </c>
      <c r="I7" s="95"/>
    </row>
    <row r="8" spans="2:9" x14ac:dyDescent="0.25">
      <c r="B8" s="63" t="s">
        <v>28</v>
      </c>
      <c r="C8" s="25">
        <f>'Winding Length and Weigth'!F32</f>
        <v>596.99064903593023</v>
      </c>
      <c r="E8" s="62" t="s">
        <v>97</v>
      </c>
      <c r="F8" s="21">
        <v>3.8600000000000001E-3</v>
      </c>
      <c r="H8" s="104" t="s">
        <v>100</v>
      </c>
      <c r="I8" s="105"/>
    </row>
    <row r="9" spans="2:9" x14ac:dyDescent="0.25">
      <c r="B9" s="63" t="s">
        <v>91</v>
      </c>
      <c r="C9" s="25">
        <f>'Winding Length and Weigth'!I10</f>
        <v>1.0935884027146066E-6</v>
      </c>
      <c r="E9" s="63" t="s">
        <v>106</v>
      </c>
      <c r="F9" s="22">
        <v>60</v>
      </c>
      <c r="H9" s="75" t="s">
        <v>101</v>
      </c>
      <c r="I9" s="76"/>
    </row>
    <row r="10" spans="2:9" ht="16.5" thickBot="1" x14ac:dyDescent="0.3">
      <c r="B10" s="63" t="s">
        <v>82</v>
      </c>
      <c r="C10" s="71">
        <f>(C7*C8)/C9</f>
        <v>9.3894916386541993</v>
      </c>
      <c r="E10" s="77" t="s">
        <v>105</v>
      </c>
      <c r="F10" s="23">
        <v>20</v>
      </c>
      <c r="H10" s="93" t="s">
        <v>102</v>
      </c>
      <c r="I10" s="95"/>
    </row>
    <row r="11" spans="2:9" ht="16.5" thickBot="1" x14ac:dyDescent="0.3">
      <c r="B11" s="73"/>
      <c r="C11" s="73"/>
      <c r="H11" s="93" t="s">
        <v>103</v>
      </c>
      <c r="I11" s="95"/>
    </row>
    <row r="12" spans="2:9" ht="16.5" thickBot="1" x14ac:dyDescent="0.3">
      <c r="E12" s="66" t="s">
        <v>83</v>
      </c>
      <c r="F12" s="74">
        <f>C10*(1+(F8*(F9-F10)))</f>
        <v>10.839229147662408</v>
      </c>
      <c r="H12" s="96" t="s">
        <v>104</v>
      </c>
      <c r="I12" s="98"/>
    </row>
    <row r="13" spans="2:9" x14ac:dyDescent="0.25">
      <c r="H13" s="103"/>
      <c r="I13" s="103"/>
    </row>
    <row r="14" spans="2:9" x14ac:dyDescent="0.25">
      <c r="H14" s="112"/>
      <c r="I14" s="112"/>
    </row>
  </sheetData>
  <mergeCells count="17">
    <mergeCell ref="H14:I14"/>
    <mergeCell ref="H11:I11"/>
    <mergeCell ref="H6:I6"/>
    <mergeCell ref="H7:I7"/>
    <mergeCell ref="E6:F6"/>
    <mergeCell ref="H8:I8"/>
    <mergeCell ref="H10:I10"/>
    <mergeCell ref="H12:I12"/>
    <mergeCell ref="H13:I13"/>
    <mergeCell ref="B2:C2"/>
    <mergeCell ref="B3:C3"/>
    <mergeCell ref="B4:C4"/>
    <mergeCell ref="B5:C5"/>
    <mergeCell ref="E2:F2"/>
    <mergeCell ref="E3:F3"/>
    <mergeCell ref="E4:F4"/>
    <mergeCell ref="E5:F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 Sheet</vt:lpstr>
      <vt:lpstr>Core Volume</vt:lpstr>
      <vt:lpstr>Winding Length and Weigth</vt:lpstr>
      <vt:lpstr>Resistance Values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Pickford</dc:creator>
  <cp:lastModifiedBy>Staff/Research Student</cp:lastModifiedBy>
  <dcterms:created xsi:type="dcterms:W3CDTF">2014-12-07T14:26:49Z</dcterms:created>
  <dcterms:modified xsi:type="dcterms:W3CDTF">2015-01-06T16:24:35Z</dcterms:modified>
</cp:coreProperties>
</file>