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jfvancampen/Tresors/30 Courses/Bachelor/AE3212-II (SVV)/2018-2019/20 Structures Assignment/"/>
    </mc:Choice>
  </mc:AlternateContent>
  <xr:revisionPtr revIDLastSave="0" documentId="13_ncr:1_{DEB9ADDD-F8AB-2542-9CDE-DF5A38252CC1}" xr6:coauthVersionLast="36" xr6:coauthVersionMax="36" xr10:uidLastSave="{00000000-0000-0000-0000-000000000000}"/>
  <bookViews>
    <workbookView xWindow="0" yWindow="0" windowWidth="28800" windowHeight="18000" xr2:uid="{BF5FB138-F2D9-0A44-8890-522C547147ED}"/>
  </bookViews>
  <sheets>
    <sheet name="Input" sheetId="1" r:id="rId1"/>
    <sheet name="Cross-sectional properties" sheetId="2" r:id="rId2"/>
    <sheet name="Aileron shear" sheetId="3" r:id="rId3"/>
    <sheet name="Aileron torsion" sheetId="4" r:id="rId4"/>
    <sheet name="Superpositioning" sheetId="6" r:id="rId5"/>
    <sheet name="Internal Force Diagrams" sheetId="7" r:id="rId6"/>
    <sheet name="V_z" sheetId="9" r:id="rId7"/>
    <sheet name="V_y" sheetId="10" r:id="rId8"/>
    <sheet name="M_z" sheetId="11" r:id="rId9"/>
    <sheet name="M_y" sheetId="12" r:id="rId10"/>
    <sheet name="Torsion" sheetId="8" r:id="rId11"/>
  </sheets>
  <definedNames>
    <definedName name="_xlchart.v1.0" hidden="1">'Internal Force Diagrams'!$B$3:$B$53</definedName>
    <definedName name="_xlchart.v1.1" hidden="1">'Internal Force Diagrams'!$C$1:$G$1</definedName>
    <definedName name="_xlchart.v1.10" hidden="1">'Internal Force Diagrams'!$H$1:$L$1</definedName>
    <definedName name="_xlchart.v1.11" hidden="1">'Internal Force Diagrams'!$L$3:$L$53</definedName>
    <definedName name="_xlchart.v1.12" hidden="1">'Internal Force Diagrams'!$M$1:$Q$1</definedName>
    <definedName name="_xlchart.v1.13" hidden="1">'Internal Force Diagrams'!$Q$3:$Q$53</definedName>
    <definedName name="_xlchart.v1.14" hidden="1">'Internal Force Diagrams'!$B$3:$B$53</definedName>
    <definedName name="_xlchart.v1.15" hidden="1">'Internal Force Diagrams'!$C$1:$G$1</definedName>
    <definedName name="_xlchart.v1.16" hidden="1">'Internal Force Diagrams'!$G$3:$G$53</definedName>
    <definedName name="_xlchart.v1.17" hidden="1">'Internal Force Diagrams'!$H$1:$L$1</definedName>
    <definedName name="_xlchart.v1.18" hidden="1">'Internal Force Diagrams'!$L$3:$L$53</definedName>
    <definedName name="_xlchart.v1.19" hidden="1">'Internal Force Diagrams'!$M$1:$Q$1</definedName>
    <definedName name="_xlchart.v1.2" hidden="1">'Internal Force Diagrams'!$G$3:$G$53</definedName>
    <definedName name="_xlchart.v1.20" hidden="1">'Internal Force Diagrams'!$Q$3:$Q$53</definedName>
    <definedName name="_xlchart.v1.21" hidden="1">'Internal Force Diagrams'!$B$3:$B$53</definedName>
    <definedName name="_xlchart.v1.22" hidden="1">'Internal Force Diagrams'!$C$1:$G$1</definedName>
    <definedName name="_xlchart.v1.23" hidden="1">'Internal Force Diagrams'!$G$3:$G$53</definedName>
    <definedName name="_xlchart.v1.24" hidden="1">'Internal Force Diagrams'!$H$1:$L$1</definedName>
    <definedName name="_xlchart.v1.25" hidden="1">'Internal Force Diagrams'!$L$3:$L$53</definedName>
    <definedName name="_xlchart.v1.26" hidden="1">'Internal Force Diagrams'!$M$1:$Q$1</definedName>
    <definedName name="_xlchart.v1.27" hidden="1">'Internal Force Diagrams'!$Q$3:$Q$53</definedName>
    <definedName name="_xlchart.v1.28" hidden="1">'Internal Force Diagrams'!$B$3:$B$53</definedName>
    <definedName name="_xlchart.v1.29" hidden="1">'Internal Force Diagrams'!$C$1:$G$1</definedName>
    <definedName name="_xlchart.v1.3" hidden="1">'Internal Force Diagrams'!$H$1:$L$1</definedName>
    <definedName name="_xlchart.v1.30" hidden="1">'Internal Force Diagrams'!$G$3:$G$53</definedName>
    <definedName name="_xlchart.v1.31" hidden="1">'Internal Force Diagrams'!$H$1:$L$1</definedName>
    <definedName name="_xlchart.v1.32" hidden="1">'Internal Force Diagrams'!$L$3:$L$53</definedName>
    <definedName name="_xlchart.v1.33" hidden="1">'Internal Force Diagrams'!$M$1:$Q$1</definedName>
    <definedName name="_xlchart.v1.34" hidden="1">'Internal Force Diagrams'!$Q$3:$Q$53</definedName>
    <definedName name="_xlchart.v1.35" hidden="1">'Internal Force Diagrams'!$B$3:$B$53</definedName>
    <definedName name="_xlchart.v1.36" hidden="1">'Internal Force Diagrams'!$C$1:$G$1</definedName>
    <definedName name="_xlchart.v1.37" hidden="1">'Internal Force Diagrams'!$G$3:$G$53</definedName>
    <definedName name="_xlchart.v1.38" hidden="1">'Internal Force Diagrams'!$H$1:$L$1</definedName>
    <definedName name="_xlchart.v1.39" hidden="1">'Internal Force Diagrams'!$L$3:$L$53</definedName>
    <definedName name="_xlchart.v1.4" hidden="1">'Internal Force Diagrams'!$L$3:$L$53</definedName>
    <definedName name="_xlchart.v1.40" hidden="1">'Internal Force Diagrams'!$M$1:$Q$1</definedName>
    <definedName name="_xlchart.v1.41" hidden="1">'Internal Force Diagrams'!$Q$3:$Q$53</definedName>
    <definedName name="_xlchart.v1.5" hidden="1">'Internal Force Diagrams'!$M$1:$Q$1</definedName>
    <definedName name="_xlchart.v1.6" hidden="1">'Internal Force Diagrams'!$Q$3:$Q$53</definedName>
    <definedName name="_xlchart.v1.7" hidden="1">'Internal Force Diagrams'!$B$3:$B$53</definedName>
    <definedName name="_xlchart.v1.8" hidden="1">'Internal Force Diagrams'!$C$1:$G$1</definedName>
    <definedName name="_xlchart.v1.9" hidden="1">'Internal Force Diagrams'!$G$3:$G$53</definedName>
    <definedName name="_xlnm.Print_Area" localSheetId="0">Input!$A$1:$D$19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6" l="1"/>
  <c r="N16" i="6"/>
  <c r="S16" i="6"/>
  <c r="O16" i="6"/>
  <c r="K16" i="6"/>
  <c r="N17" i="6"/>
  <c r="N14" i="6"/>
  <c r="R14" i="6"/>
  <c r="R19" i="6"/>
  <c r="N19" i="6"/>
  <c r="R17" i="6"/>
  <c r="O17" i="6"/>
  <c r="I16" i="6"/>
  <c r="L16" i="6"/>
  <c r="I6" i="6"/>
  <c r="J6" i="6"/>
  <c r="X13" i="6"/>
  <c r="Y13" i="6"/>
  <c r="X6" i="6"/>
  <c r="X7" i="6"/>
  <c r="X8" i="6"/>
  <c r="X9" i="6"/>
  <c r="X5" i="6"/>
  <c r="X4" i="6"/>
  <c r="Y4" i="6"/>
  <c r="Y5" i="6"/>
  <c r="X23" i="6"/>
  <c r="Y7" i="6"/>
  <c r="Y8" i="6"/>
  <c r="Y9" i="6"/>
  <c r="Y6" i="6"/>
  <c r="L6" i="6"/>
  <c r="L19" i="6"/>
  <c r="L17" i="6"/>
  <c r="L18" i="6"/>
  <c r="L15" i="6"/>
  <c r="L14" i="6"/>
  <c r="B21" i="4"/>
  <c r="B11" i="4"/>
  <c r="B13" i="4"/>
  <c r="S46" i="6"/>
  <c r="M46" i="6"/>
  <c r="K46" i="6"/>
  <c r="J5" i="6"/>
  <c r="J7" i="6"/>
  <c r="J8" i="6"/>
  <c r="J9" i="6"/>
  <c r="J4" i="6"/>
  <c r="I47" i="6"/>
  <c r="I46" i="6"/>
  <c r="I45" i="6"/>
  <c r="I44" i="6"/>
  <c r="I37" i="6"/>
  <c r="I36" i="6"/>
  <c r="I35" i="6"/>
  <c r="I34" i="6"/>
  <c r="I27" i="6"/>
  <c r="I26" i="6"/>
  <c r="I25" i="6"/>
  <c r="I24" i="6"/>
  <c r="I17" i="6"/>
  <c r="I15" i="6"/>
  <c r="I14" i="6"/>
  <c r="I7" i="6"/>
  <c r="I5" i="6"/>
  <c r="I4" i="6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G20" i="6"/>
  <c r="C21" i="6" s="1"/>
  <c r="H13" i="7" s="1"/>
  <c r="C20" i="6"/>
  <c r="C7" i="7" s="1"/>
  <c r="F23" i="6"/>
  <c r="C24" i="6" s="1"/>
  <c r="D23" i="6"/>
  <c r="D13" i="6"/>
  <c r="B4" i="3"/>
  <c r="B16" i="4"/>
  <c r="B23" i="4"/>
  <c r="B18" i="4"/>
  <c r="B3" i="4"/>
  <c r="P6" i="4"/>
  <c r="U46" i="6" s="1"/>
  <c r="O6" i="4"/>
  <c r="L6" i="4"/>
  <c r="Q46" i="6" s="1"/>
  <c r="K6" i="4"/>
  <c r="O46" i="6" s="1"/>
  <c r="G6" i="4"/>
  <c r="H6" i="4"/>
  <c r="M7" i="4"/>
  <c r="M6" i="4"/>
  <c r="M5" i="4"/>
  <c r="I7" i="4"/>
  <c r="I6" i="4"/>
  <c r="I5" i="4"/>
  <c r="E9" i="4"/>
  <c r="E7" i="4"/>
  <c r="E6" i="4"/>
  <c r="E5" i="4"/>
  <c r="B4" i="4"/>
  <c r="B2" i="4"/>
  <c r="B8" i="4"/>
  <c r="B7" i="4"/>
  <c r="I8" i="4" s="1"/>
  <c r="B6" i="4"/>
  <c r="B5" i="4"/>
  <c r="B7" i="3"/>
  <c r="L29" i="2"/>
  <c r="G6" i="2"/>
  <c r="F6" i="2"/>
  <c r="K7" i="3"/>
  <c r="H7" i="3"/>
  <c r="H9" i="3" s="1"/>
  <c r="S18" i="6" s="1"/>
  <c r="U18" i="6" s="1"/>
  <c r="K4" i="3"/>
  <c r="H4" i="3"/>
  <c r="H6" i="3" s="1"/>
  <c r="S15" i="6" s="1"/>
  <c r="B6" i="3"/>
  <c r="B5" i="3"/>
  <c r="L9" i="6" l="1"/>
  <c r="L8" i="6"/>
  <c r="L5" i="6"/>
  <c r="L7" i="6"/>
  <c r="L4" i="6"/>
  <c r="D25" i="6"/>
  <c r="Z38" i="3" s="1"/>
  <c r="C3" i="7"/>
  <c r="C10" i="7"/>
  <c r="C6" i="7"/>
  <c r="E3" i="7"/>
  <c r="C13" i="7"/>
  <c r="C9" i="7"/>
  <c r="C5" i="7"/>
  <c r="C12" i="7"/>
  <c r="C8" i="7"/>
  <c r="C4" i="7"/>
  <c r="C11" i="7"/>
  <c r="K18" i="6"/>
  <c r="U15" i="6"/>
  <c r="K15" i="6"/>
  <c r="H4" i="7"/>
  <c r="H11" i="7"/>
  <c r="H9" i="7"/>
  <c r="H7" i="7"/>
  <c r="H5" i="7"/>
  <c r="C25" i="6"/>
  <c r="Y38" i="3" s="1"/>
  <c r="H12" i="7"/>
  <c r="H10" i="7"/>
  <c r="H8" i="7"/>
  <c r="H6" i="7"/>
  <c r="D24" i="6"/>
  <c r="Z31" i="3" s="1"/>
  <c r="H3" i="7"/>
  <c r="Z36" i="3"/>
  <c r="Y37" i="3"/>
  <c r="X30" i="3"/>
  <c r="I39" i="6"/>
  <c r="I19" i="6"/>
  <c r="I49" i="6"/>
  <c r="I29" i="6"/>
  <c r="I9" i="6"/>
  <c r="E8" i="4"/>
  <c r="M9" i="4"/>
  <c r="M8" i="4"/>
  <c r="I9" i="4"/>
  <c r="Z30" i="3"/>
  <c r="Y31" i="3"/>
  <c r="U20" i="3"/>
  <c r="O23" i="3" s="1"/>
  <c r="Z32" i="3"/>
  <c r="B38" i="7"/>
  <c r="X36" i="3"/>
  <c r="E8" i="7"/>
  <c r="E13" i="7"/>
  <c r="E5" i="7"/>
  <c r="Q6" i="7"/>
  <c r="E12" i="7"/>
  <c r="E4" i="7"/>
  <c r="E9" i="7"/>
  <c r="U21" i="3"/>
  <c r="E11" i="7"/>
  <c r="E7" i="7"/>
  <c r="G4" i="7"/>
  <c r="E10" i="7"/>
  <c r="E6" i="7"/>
  <c r="C23" i="6"/>
  <c r="Y36" i="3" s="1"/>
  <c r="B17" i="4"/>
  <c r="L30" i="7" s="1"/>
  <c r="G15" i="7"/>
  <c r="G11" i="7"/>
  <c r="G23" i="7"/>
  <c r="G7" i="7"/>
  <c r="G19" i="7"/>
  <c r="Q23" i="7"/>
  <c r="G22" i="7"/>
  <c r="G14" i="7"/>
  <c r="G6" i="7"/>
  <c r="G3" i="7"/>
  <c r="G21" i="7"/>
  <c r="G17" i="7"/>
  <c r="G13" i="7"/>
  <c r="G9" i="7"/>
  <c r="G5" i="7"/>
  <c r="Q12" i="7"/>
  <c r="B12" i="4"/>
  <c r="G33" i="7" s="1"/>
  <c r="G18" i="7"/>
  <c r="G10" i="7"/>
  <c r="Q17" i="7"/>
  <c r="F4" i="4"/>
  <c r="N8" i="4" s="1"/>
  <c r="O8" i="4" s="1"/>
  <c r="S48" i="6" s="1"/>
  <c r="S8" i="6" s="1"/>
  <c r="G24" i="7"/>
  <c r="G20" i="7"/>
  <c r="G16" i="7"/>
  <c r="G12" i="7"/>
  <c r="G8" i="7"/>
  <c r="Q7" i="7"/>
  <c r="N4" i="4"/>
  <c r="Q21" i="7"/>
  <c r="Q16" i="7"/>
  <c r="Q11" i="7"/>
  <c r="Q5" i="7"/>
  <c r="B22" i="4"/>
  <c r="Q27" i="7" s="1"/>
  <c r="Q3" i="7"/>
  <c r="Q20" i="7"/>
  <c r="Q15" i="7"/>
  <c r="Q9" i="7"/>
  <c r="Q4" i="7"/>
  <c r="Q24" i="7"/>
  <c r="Q19" i="7"/>
  <c r="Q13" i="7"/>
  <c r="Q8" i="7"/>
  <c r="K11" i="7"/>
  <c r="K13" i="7"/>
  <c r="K5" i="7"/>
  <c r="K7" i="7"/>
  <c r="K9" i="7"/>
  <c r="J12" i="7"/>
  <c r="J4" i="7"/>
  <c r="J6" i="7"/>
  <c r="J8" i="7"/>
  <c r="J10" i="7"/>
  <c r="J3" i="7"/>
  <c r="K12" i="7"/>
  <c r="K4" i="7"/>
  <c r="K6" i="7"/>
  <c r="K8" i="7"/>
  <c r="K10" i="7"/>
  <c r="J11" i="7"/>
  <c r="J13" i="7"/>
  <c r="J5" i="7"/>
  <c r="J7" i="7"/>
  <c r="J9" i="7"/>
  <c r="K3" i="7"/>
  <c r="J4" i="4"/>
  <c r="L5" i="7"/>
  <c r="L22" i="7"/>
  <c r="L18" i="7"/>
  <c r="L14" i="7"/>
  <c r="L10" i="7"/>
  <c r="L32" i="7"/>
  <c r="L4" i="7"/>
  <c r="L21" i="7"/>
  <c r="L17" i="7"/>
  <c r="L13" i="7"/>
  <c r="L9" i="7"/>
  <c r="L3" i="7"/>
  <c r="L24" i="7"/>
  <c r="L20" i="7"/>
  <c r="L16" i="7"/>
  <c r="L12" i="7"/>
  <c r="L8" i="7"/>
  <c r="L6" i="7"/>
  <c r="L23" i="7"/>
  <c r="L19" i="7"/>
  <c r="L15" i="7"/>
  <c r="L11" i="7"/>
  <c r="L7" i="7"/>
  <c r="Q22" i="7"/>
  <c r="Q18" i="7"/>
  <c r="Q14" i="7"/>
  <c r="Q10" i="7"/>
  <c r="L31" i="7"/>
  <c r="G36" i="7"/>
  <c r="F7" i="4"/>
  <c r="H7" i="4" s="1"/>
  <c r="M47" i="6" s="1"/>
  <c r="C22" i="6"/>
  <c r="D20" i="6"/>
  <c r="D22" i="6"/>
  <c r="D21" i="6"/>
  <c r="G5" i="3"/>
  <c r="H8" i="3"/>
  <c r="O18" i="6" s="1"/>
  <c r="G8" i="3"/>
  <c r="H5" i="3"/>
  <c r="O15" i="6" s="1"/>
  <c r="R17" i="3"/>
  <c r="N11" i="2"/>
  <c r="B23" i="2"/>
  <c r="B24" i="2"/>
  <c r="B25" i="2"/>
  <c r="B26" i="2"/>
  <c r="N5" i="2"/>
  <c r="B10" i="2" s="1"/>
  <c r="N3" i="2"/>
  <c r="B3" i="2" s="1"/>
  <c r="N2" i="2"/>
  <c r="N9" i="2" s="1"/>
  <c r="C4" i="2" s="1"/>
  <c r="Z37" i="3" l="1"/>
  <c r="Y32" i="3"/>
  <c r="Y35" i="3" s="1"/>
  <c r="M18" i="6"/>
  <c r="Q18" i="6"/>
  <c r="G9" i="3"/>
  <c r="R18" i="6" s="1"/>
  <c r="N18" i="6"/>
  <c r="M15" i="6"/>
  <c r="Q15" i="6"/>
  <c r="G6" i="3"/>
  <c r="R15" i="6" s="1"/>
  <c r="N15" i="6"/>
  <c r="R23" i="3"/>
  <c r="Y23" i="6"/>
  <c r="Y34" i="3"/>
  <c r="X33" i="3"/>
  <c r="Z33" i="3"/>
  <c r="D6" i="7"/>
  <c r="D10" i="7"/>
  <c r="D3" i="7"/>
  <c r="D7" i="7"/>
  <c r="D4" i="7"/>
  <c r="D8" i="7"/>
  <c r="D12" i="7"/>
  <c r="D5" i="7"/>
  <c r="D9" i="7"/>
  <c r="D13" i="7"/>
  <c r="D11" i="7"/>
  <c r="Y30" i="3"/>
  <c r="Y33" i="3" s="1"/>
  <c r="M3" i="7"/>
  <c r="M11" i="7"/>
  <c r="M5" i="7"/>
  <c r="M6" i="7"/>
  <c r="M8" i="7"/>
  <c r="M10" i="7"/>
  <c r="M12" i="7"/>
  <c r="M7" i="7"/>
  <c r="M9" i="7"/>
  <c r="M13" i="7"/>
  <c r="M4" i="7"/>
  <c r="Z35" i="3"/>
  <c r="I6" i="7"/>
  <c r="I8" i="7"/>
  <c r="I10" i="7"/>
  <c r="I12" i="7"/>
  <c r="I3" i="7"/>
  <c r="I5" i="7"/>
  <c r="I7" i="7"/>
  <c r="I9" i="7"/>
  <c r="I11" i="7"/>
  <c r="I13" i="7"/>
  <c r="I4" i="7"/>
  <c r="N4" i="7"/>
  <c r="N6" i="7"/>
  <c r="N8" i="7"/>
  <c r="N10" i="7"/>
  <c r="N12" i="7"/>
  <c r="N5" i="7"/>
  <c r="N7" i="7"/>
  <c r="N9" i="7"/>
  <c r="N11" i="7"/>
  <c r="N13" i="7"/>
  <c r="N3" i="7"/>
  <c r="B39" i="7"/>
  <c r="L27" i="7"/>
  <c r="L28" i="7"/>
  <c r="I38" i="6"/>
  <c r="I18" i="6"/>
  <c r="I28" i="6"/>
  <c r="I8" i="6"/>
  <c r="I48" i="6"/>
  <c r="L29" i="7"/>
  <c r="P8" i="4"/>
  <c r="U48" i="6" s="1"/>
  <c r="U8" i="6" s="1"/>
  <c r="L25" i="7"/>
  <c r="Z34" i="3"/>
  <c r="Q29" i="7"/>
  <c r="N7" i="4"/>
  <c r="L33" i="7"/>
  <c r="L34" i="7"/>
  <c r="Q36" i="7"/>
  <c r="L35" i="7"/>
  <c r="G31" i="7"/>
  <c r="F8" i="4"/>
  <c r="H8" i="4" s="1"/>
  <c r="M48" i="6" s="1"/>
  <c r="M8" i="6" s="1"/>
  <c r="J5" i="4"/>
  <c r="L5" i="4" s="1"/>
  <c r="Q45" i="6" s="1"/>
  <c r="B14" i="4"/>
  <c r="F13" i="6" s="1"/>
  <c r="C13" i="6" s="1"/>
  <c r="Q26" i="7"/>
  <c r="N5" i="4"/>
  <c r="O5" i="4" s="1"/>
  <c r="S45" i="6" s="1"/>
  <c r="S5" i="6" s="1"/>
  <c r="Q33" i="7"/>
  <c r="Q31" i="7"/>
  <c r="G25" i="7"/>
  <c r="J8" i="4"/>
  <c r="G26" i="7"/>
  <c r="J7" i="4"/>
  <c r="L7" i="4" s="1"/>
  <c r="Q47" i="6" s="1"/>
  <c r="B24" i="4"/>
  <c r="F15" i="6" s="1"/>
  <c r="F9" i="4"/>
  <c r="H9" i="4" s="1"/>
  <c r="M49" i="6" s="1"/>
  <c r="Q30" i="7"/>
  <c r="G28" i="7"/>
  <c r="Q25" i="7"/>
  <c r="Q35" i="7"/>
  <c r="G38" i="7"/>
  <c r="G37" i="7"/>
  <c r="Q28" i="7"/>
  <c r="G30" i="7"/>
  <c r="G34" i="7"/>
  <c r="G27" i="7"/>
  <c r="G4" i="4"/>
  <c r="K44" i="6" s="1"/>
  <c r="F5" i="4"/>
  <c r="J9" i="4"/>
  <c r="L9" i="4" s="1"/>
  <c r="Q49" i="6" s="1"/>
  <c r="Q34" i="7"/>
  <c r="L37" i="7"/>
  <c r="G32" i="7"/>
  <c r="Q38" i="7"/>
  <c r="Q37" i="7"/>
  <c r="B19" i="4"/>
  <c r="F14" i="6" s="1"/>
  <c r="C14" i="6" s="1"/>
  <c r="L39" i="7"/>
  <c r="L26" i="7"/>
  <c r="G29" i="7"/>
  <c r="Q32" i="7"/>
  <c r="N9" i="4"/>
  <c r="P9" i="4" s="1"/>
  <c r="U49" i="6" s="1"/>
  <c r="L36" i="7"/>
  <c r="L38" i="7"/>
  <c r="G39" i="7"/>
  <c r="G35" i="7"/>
  <c r="V21" i="3"/>
  <c r="P21" i="3" s="1"/>
  <c r="U22" i="3"/>
  <c r="O22" i="3" s="1"/>
  <c r="V22" i="3"/>
  <c r="P22" i="3" s="1"/>
  <c r="O21" i="3"/>
  <c r="O24" i="3"/>
  <c r="AC23" i="6" s="1"/>
  <c r="V20" i="3"/>
  <c r="P20" i="3" s="1"/>
  <c r="S20" i="3" s="1"/>
  <c r="O18" i="3"/>
  <c r="AB23" i="6" s="1"/>
  <c r="H4" i="4"/>
  <c r="M44" i="6" s="1"/>
  <c r="O4" i="4"/>
  <c r="S44" i="6" s="1"/>
  <c r="P4" i="4"/>
  <c r="U44" i="6" s="1"/>
  <c r="G7" i="4"/>
  <c r="K47" i="6" s="1"/>
  <c r="O4" i="7"/>
  <c r="O6" i="7"/>
  <c r="O8" i="7"/>
  <c r="O10" i="7"/>
  <c r="O12" i="7"/>
  <c r="O3" i="7"/>
  <c r="O5" i="7"/>
  <c r="O7" i="7"/>
  <c r="O9" i="7"/>
  <c r="O11" i="7"/>
  <c r="O13" i="7"/>
  <c r="P3" i="7"/>
  <c r="P4" i="7"/>
  <c r="P6" i="7"/>
  <c r="P8" i="7"/>
  <c r="P10" i="7"/>
  <c r="P12" i="7"/>
  <c r="P5" i="7"/>
  <c r="P7" i="7"/>
  <c r="P9" i="7"/>
  <c r="P11" i="7"/>
  <c r="P13" i="7"/>
  <c r="F5" i="7"/>
  <c r="F7" i="7"/>
  <c r="F9" i="7"/>
  <c r="F11" i="7"/>
  <c r="F13" i="7"/>
  <c r="F3" i="7"/>
  <c r="F10" i="7"/>
  <c r="F8" i="7"/>
  <c r="F6" i="7"/>
  <c r="F4" i="7"/>
  <c r="F12" i="7"/>
  <c r="K4" i="4"/>
  <c r="O44" i="6" s="1"/>
  <c r="L4" i="4"/>
  <c r="Q44" i="6" s="1"/>
  <c r="H5" i="4"/>
  <c r="M45" i="6" s="1"/>
  <c r="M5" i="6" s="1"/>
  <c r="G5" i="4"/>
  <c r="K45" i="6" s="1"/>
  <c r="K5" i="6" s="1"/>
  <c r="O7" i="4"/>
  <c r="S47" i="6" s="1"/>
  <c r="P7" i="4"/>
  <c r="U47" i="6" s="1"/>
  <c r="R20" i="3"/>
  <c r="F3" i="2"/>
  <c r="C3" i="2"/>
  <c r="D3" i="2" s="1"/>
  <c r="E4" i="2"/>
  <c r="B4" i="2"/>
  <c r="B5" i="2"/>
  <c r="D5" i="2"/>
  <c r="D4" i="2"/>
  <c r="N4" i="2"/>
  <c r="D2" i="2"/>
  <c r="F4" i="2"/>
  <c r="I4" i="2" s="1"/>
  <c r="K4" i="2" s="1"/>
  <c r="B21" i="2"/>
  <c r="B17" i="2"/>
  <c r="B13" i="2"/>
  <c r="B9" i="2"/>
  <c r="B2" i="2"/>
  <c r="E2" i="2"/>
  <c r="G3" i="2"/>
  <c r="H3" i="2" s="1"/>
  <c r="B20" i="2"/>
  <c r="B16" i="2"/>
  <c r="B12" i="2"/>
  <c r="B8" i="2"/>
  <c r="N6" i="2"/>
  <c r="G4" i="2"/>
  <c r="B6" i="2"/>
  <c r="B19" i="2"/>
  <c r="B15" i="2"/>
  <c r="B11" i="2"/>
  <c r="B7" i="2"/>
  <c r="B22" i="2"/>
  <c r="B18" i="2"/>
  <c r="B14" i="2"/>
  <c r="H4" i="2"/>
  <c r="J4" i="2" s="1"/>
  <c r="I3" i="2"/>
  <c r="P18" i="6" l="1"/>
  <c r="P8" i="6" s="1"/>
  <c r="N8" i="6"/>
  <c r="T18" i="6"/>
  <c r="T8" i="6" s="1"/>
  <c r="R8" i="6"/>
  <c r="Q5" i="6"/>
  <c r="P15" i="6"/>
  <c r="P5" i="6" s="1"/>
  <c r="N5" i="6"/>
  <c r="T15" i="6"/>
  <c r="T5" i="6" s="1"/>
  <c r="R5" i="6"/>
  <c r="V33" i="3"/>
  <c r="P30" i="3" s="1"/>
  <c r="O9" i="4"/>
  <c r="S49" i="6" s="1"/>
  <c r="G9" i="4"/>
  <c r="K49" i="6" s="1"/>
  <c r="G8" i="4"/>
  <c r="K48" i="6" s="1"/>
  <c r="K8" i="6" s="1"/>
  <c r="B40" i="7"/>
  <c r="Q39" i="7"/>
  <c r="K9" i="4"/>
  <c r="O49" i="6" s="1"/>
  <c r="P24" i="3"/>
  <c r="P18" i="3"/>
  <c r="K5" i="4"/>
  <c r="O45" i="6" s="1"/>
  <c r="O5" i="6" s="1"/>
  <c r="P23" i="3"/>
  <c r="P19" i="3"/>
  <c r="AH23" i="6" s="1"/>
  <c r="D14" i="6"/>
  <c r="K7" i="4"/>
  <c r="O47" i="6" s="1"/>
  <c r="W37" i="3"/>
  <c r="W31" i="3"/>
  <c r="P5" i="4"/>
  <c r="U45" i="6" s="1"/>
  <c r="U5" i="6" s="1"/>
  <c r="C15" i="6"/>
  <c r="D15" i="6"/>
  <c r="L8" i="4"/>
  <c r="Q48" i="6" s="1"/>
  <c r="Q8" i="6" s="1"/>
  <c r="K8" i="4"/>
  <c r="O48" i="6" s="1"/>
  <c r="O8" i="6" s="1"/>
  <c r="W36" i="3"/>
  <c r="W30" i="3"/>
  <c r="O19" i="3"/>
  <c r="AF23" i="6" s="1"/>
  <c r="P17" i="3"/>
  <c r="P25" i="3"/>
  <c r="AI23" i="6" s="1"/>
  <c r="O25" i="3"/>
  <c r="AG23" i="6" s="1"/>
  <c r="S22" i="3"/>
  <c r="R22" i="3"/>
  <c r="S21" i="3"/>
  <c r="R21" i="3"/>
  <c r="E3" i="2"/>
  <c r="K3" i="2"/>
  <c r="J3" i="2"/>
  <c r="H5" i="2"/>
  <c r="J5" i="2" s="1"/>
  <c r="I5" i="2"/>
  <c r="K5" i="2" s="1"/>
  <c r="N7" i="2"/>
  <c r="B29" i="2"/>
  <c r="I2" i="2"/>
  <c r="K2" i="2" s="1"/>
  <c r="H2" i="2"/>
  <c r="J2" i="2" s="1"/>
  <c r="P36" i="3" l="1"/>
  <c r="AA33" i="6" s="1"/>
  <c r="P33" i="3"/>
  <c r="S33" i="3" s="1"/>
  <c r="S30" i="3"/>
  <c r="Z33" i="6"/>
  <c r="S36" i="3"/>
  <c r="S18" i="3"/>
  <c r="AD23" i="6"/>
  <c r="S17" i="3"/>
  <c r="Z23" i="6"/>
  <c r="S24" i="3"/>
  <c r="AE23" i="6"/>
  <c r="S23" i="3"/>
  <c r="AA23" i="6"/>
  <c r="S25" i="3"/>
  <c r="R25" i="3"/>
  <c r="R24" i="3"/>
  <c r="B41" i="7"/>
  <c r="G40" i="7"/>
  <c r="L40" i="7"/>
  <c r="Q40" i="7"/>
  <c r="R19" i="3"/>
  <c r="R18" i="3"/>
  <c r="S19" i="3"/>
  <c r="W34" i="3"/>
  <c r="U34" i="3" s="1"/>
  <c r="W33" i="3"/>
  <c r="U33" i="3" s="1"/>
  <c r="W32" i="3"/>
  <c r="W38" i="3"/>
  <c r="X37" i="3"/>
  <c r="X31" i="3"/>
  <c r="X38" i="3"/>
  <c r="X32" i="3"/>
  <c r="C16" i="2"/>
  <c r="C12" i="2"/>
  <c r="C8" i="2"/>
  <c r="C6" i="2"/>
  <c r="C17" i="2"/>
  <c r="C9" i="2"/>
  <c r="C15" i="2"/>
  <c r="C11" i="2"/>
  <c r="C7" i="2"/>
  <c r="C14" i="2"/>
  <c r="C10" i="2"/>
  <c r="C13" i="2"/>
  <c r="N8" i="2"/>
  <c r="N10" i="2"/>
  <c r="C24" i="2" s="1"/>
  <c r="B42" i="7" l="1"/>
  <c r="G41" i="7"/>
  <c r="Q41" i="7"/>
  <c r="L41" i="7"/>
  <c r="O37" i="3"/>
  <c r="AC33" i="6" s="1"/>
  <c r="O31" i="3"/>
  <c r="AB33" i="6" s="1"/>
  <c r="O34" i="3"/>
  <c r="W35" i="3"/>
  <c r="U35" i="3" s="1"/>
  <c r="X34" i="3"/>
  <c r="V34" i="3" s="1"/>
  <c r="X35" i="3"/>
  <c r="V35" i="3" s="1"/>
  <c r="O30" i="3"/>
  <c r="X33" i="6" s="1"/>
  <c r="O36" i="3"/>
  <c r="Y33" i="6" s="1"/>
  <c r="O33" i="3"/>
  <c r="G24" i="2"/>
  <c r="F24" i="2"/>
  <c r="I24" i="2" s="1"/>
  <c r="K24" i="2" s="1"/>
  <c r="C26" i="2"/>
  <c r="C18" i="2"/>
  <c r="D18" i="2" s="1"/>
  <c r="C20" i="2"/>
  <c r="C19" i="2"/>
  <c r="D19" i="2" s="1"/>
  <c r="C21" i="2"/>
  <c r="E21" i="2" s="1"/>
  <c r="D24" i="2"/>
  <c r="E24" i="2"/>
  <c r="E10" i="2"/>
  <c r="D10" i="2"/>
  <c r="D12" i="2"/>
  <c r="E12" i="2"/>
  <c r="D14" i="2"/>
  <c r="E14" i="2"/>
  <c r="D16" i="2"/>
  <c r="E16" i="2"/>
  <c r="H24" i="2"/>
  <c r="E15" i="2"/>
  <c r="D15" i="2"/>
  <c r="E17" i="2"/>
  <c r="D17" i="2"/>
  <c r="D21" i="2"/>
  <c r="E18" i="2"/>
  <c r="E7" i="2"/>
  <c r="D7" i="2"/>
  <c r="C23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E6" i="2"/>
  <c r="D6" i="2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E20" i="2"/>
  <c r="D20" i="2"/>
  <c r="E19" i="2"/>
  <c r="C25" i="2"/>
  <c r="G25" i="2" s="1"/>
  <c r="H25" i="2" s="1"/>
  <c r="D13" i="2"/>
  <c r="E13" i="2"/>
  <c r="C22" i="2"/>
  <c r="F22" i="2" s="1"/>
  <c r="I22" i="2" s="1"/>
  <c r="E11" i="2"/>
  <c r="D11" i="2"/>
  <c r="D9" i="2"/>
  <c r="E9" i="2"/>
  <c r="E8" i="2"/>
  <c r="D8" i="2"/>
  <c r="B43" i="7" l="1"/>
  <c r="L42" i="7"/>
  <c r="Q42" i="7"/>
  <c r="G42" i="7"/>
  <c r="P38" i="3"/>
  <c r="AI33" i="6" s="1"/>
  <c r="P35" i="3"/>
  <c r="P32" i="3"/>
  <c r="AH33" i="6" s="1"/>
  <c r="P34" i="3"/>
  <c r="R35" i="3" s="1"/>
  <c r="P31" i="3"/>
  <c r="AD33" i="6" s="1"/>
  <c r="P37" i="3"/>
  <c r="AE33" i="6" s="1"/>
  <c r="O32" i="3"/>
  <c r="AF33" i="6" s="1"/>
  <c r="O38" i="3"/>
  <c r="AG33" i="6" s="1"/>
  <c r="R33" i="3"/>
  <c r="O35" i="3"/>
  <c r="R30" i="3"/>
  <c r="R36" i="3"/>
  <c r="D26" i="2"/>
  <c r="E26" i="2"/>
  <c r="F23" i="2"/>
  <c r="I23" i="2" s="1"/>
  <c r="G23" i="2"/>
  <c r="H23" i="2" s="1"/>
  <c r="G26" i="2"/>
  <c r="H26" i="2" s="1"/>
  <c r="J26" i="2" s="1"/>
  <c r="G22" i="2"/>
  <c r="H22" i="2" s="1"/>
  <c r="F25" i="2"/>
  <c r="I25" i="2" s="1"/>
  <c r="F26" i="2"/>
  <c r="I26" i="2" s="1"/>
  <c r="K26" i="2" s="1"/>
  <c r="E22" i="2"/>
  <c r="K22" i="2" s="1"/>
  <c r="D22" i="2"/>
  <c r="J22" i="2" s="1"/>
  <c r="H6" i="2"/>
  <c r="J6" i="2" s="1"/>
  <c r="J24" i="2"/>
  <c r="I6" i="2"/>
  <c r="K6" i="2" s="1"/>
  <c r="D23" i="2"/>
  <c r="E23" i="2"/>
  <c r="E25" i="2"/>
  <c r="K25" i="2" s="1"/>
  <c r="D25" i="2"/>
  <c r="J25" i="2" s="1"/>
  <c r="B44" i="7" l="1"/>
  <c r="G43" i="7"/>
  <c r="Q43" i="7"/>
  <c r="L43" i="7"/>
  <c r="S38" i="3"/>
  <c r="R38" i="3"/>
  <c r="S32" i="3"/>
  <c r="S31" i="3"/>
  <c r="R32" i="3"/>
  <c r="S37" i="3"/>
  <c r="R37" i="3"/>
  <c r="R34" i="3"/>
  <c r="S34" i="3"/>
  <c r="S35" i="3"/>
  <c r="R31" i="3"/>
  <c r="K23" i="2"/>
  <c r="J23" i="2"/>
  <c r="I7" i="2"/>
  <c r="K7" i="2" s="1"/>
  <c r="H7" i="2"/>
  <c r="J7" i="2" s="1"/>
  <c r="B45" i="7" l="1"/>
  <c r="L44" i="7"/>
  <c r="Q44" i="7"/>
  <c r="G44" i="7"/>
  <c r="I8" i="2"/>
  <c r="K8" i="2" s="1"/>
  <c r="H8" i="2"/>
  <c r="J8" i="2" s="1"/>
  <c r="B46" i="7" l="1"/>
  <c r="Q45" i="7"/>
  <c r="G45" i="7"/>
  <c r="L45" i="7"/>
  <c r="H9" i="2"/>
  <c r="J9" i="2" s="1"/>
  <c r="I9" i="2"/>
  <c r="K9" i="2" s="1"/>
  <c r="B47" i="7" l="1"/>
  <c r="L46" i="7"/>
  <c r="G46" i="7"/>
  <c r="Q46" i="7"/>
  <c r="I10" i="2"/>
  <c r="K10" i="2" s="1"/>
  <c r="H10" i="2"/>
  <c r="J10" i="2" s="1"/>
  <c r="B48" i="7" l="1"/>
  <c r="L47" i="7"/>
  <c r="G47" i="7"/>
  <c r="Q47" i="7"/>
  <c r="H11" i="2"/>
  <c r="J11" i="2" s="1"/>
  <c r="I11" i="2"/>
  <c r="K11" i="2" s="1"/>
  <c r="B49" i="7" l="1"/>
  <c r="L48" i="7"/>
  <c r="G48" i="7"/>
  <c r="Q48" i="7"/>
  <c r="I12" i="2"/>
  <c r="K12" i="2" s="1"/>
  <c r="H12" i="2"/>
  <c r="J12" i="2" s="1"/>
  <c r="B50" i="7" l="1"/>
  <c r="L49" i="7"/>
  <c r="G49" i="7"/>
  <c r="Q49" i="7"/>
  <c r="H13" i="2"/>
  <c r="J13" i="2" s="1"/>
  <c r="I13" i="2"/>
  <c r="K13" i="2" s="1"/>
  <c r="B51" i="7" l="1"/>
  <c r="L50" i="7"/>
  <c r="Q50" i="7"/>
  <c r="G50" i="7"/>
  <c r="I14" i="2"/>
  <c r="K14" i="2" s="1"/>
  <c r="H14" i="2"/>
  <c r="J14" i="2" s="1"/>
  <c r="B52" i="7" l="1"/>
  <c r="L51" i="7"/>
  <c r="Q51" i="7"/>
  <c r="G51" i="7"/>
  <c r="H15" i="2"/>
  <c r="J15" i="2" s="1"/>
  <c r="I15" i="2"/>
  <c r="K15" i="2" s="1"/>
  <c r="B53" i="7" l="1"/>
  <c r="L52" i="7"/>
  <c r="G52" i="7"/>
  <c r="Q52" i="7"/>
  <c r="I16" i="2"/>
  <c r="K16" i="2" s="1"/>
  <c r="H16" i="2"/>
  <c r="J16" i="2" s="1"/>
  <c r="L53" i="7" l="1"/>
  <c r="G53" i="7"/>
  <c r="Q53" i="7"/>
  <c r="H17" i="2"/>
  <c r="J17" i="2" s="1"/>
  <c r="I17" i="2"/>
  <c r="K17" i="2" s="1"/>
  <c r="I18" i="2" l="1"/>
  <c r="K18" i="2" s="1"/>
  <c r="H18" i="2"/>
  <c r="J18" i="2" s="1"/>
  <c r="H19" i="2" l="1"/>
  <c r="J19" i="2" s="1"/>
  <c r="I19" i="2"/>
  <c r="K19" i="2" s="1"/>
  <c r="I20" i="2" l="1"/>
  <c r="K20" i="2" s="1"/>
  <c r="I21" i="2"/>
  <c r="K21" i="2" s="1"/>
  <c r="K29" i="2" s="1"/>
  <c r="B2" i="3" s="1"/>
  <c r="H20" i="2"/>
  <c r="J20" i="2" s="1"/>
  <c r="H21" i="2"/>
  <c r="J21" i="2" s="1"/>
  <c r="J29" i="2" s="1"/>
  <c r="B3" i="3" s="1"/>
  <c r="P5" i="3" l="1"/>
  <c r="AD13" i="6" s="1"/>
  <c r="P6" i="3"/>
  <c r="AH13" i="6" s="1"/>
  <c r="P4" i="3"/>
  <c r="Z13" i="6" s="1"/>
  <c r="O4" i="3"/>
  <c r="O43" i="3" s="1"/>
  <c r="C4" i="6" s="1"/>
  <c r="O5" i="3"/>
  <c r="AB13" i="6" s="1"/>
  <c r="O6" i="3"/>
  <c r="M16" i="6" l="1"/>
  <c r="M6" i="6" s="1"/>
  <c r="K6" i="6"/>
  <c r="U16" i="6"/>
  <c r="U6" i="6" s="1"/>
  <c r="S6" i="6"/>
  <c r="Q16" i="6"/>
  <c r="Q6" i="6" s="1"/>
  <c r="O6" i="6"/>
  <c r="K14" i="6"/>
  <c r="O45" i="3"/>
  <c r="C6" i="6" s="1"/>
  <c r="M16" i="7" s="1"/>
  <c r="AF13" i="6"/>
  <c r="S14" i="6"/>
  <c r="O14" i="6"/>
  <c r="C27" i="7"/>
  <c r="C25" i="7"/>
  <c r="C18" i="7"/>
  <c r="C22" i="7"/>
  <c r="C28" i="7"/>
  <c r="C15" i="7"/>
  <c r="C19" i="7"/>
  <c r="C23" i="7"/>
  <c r="C29" i="7"/>
  <c r="C16" i="7"/>
  <c r="C20" i="7"/>
  <c r="C24" i="7"/>
  <c r="E14" i="7"/>
  <c r="C30" i="7"/>
  <c r="C17" i="7"/>
  <c r="C21" i="7"/>
  <c r="C26" i="7"/>
  <c r="C14" i="7"/>
  <c r="E21" i="7"/>
  <c r="E17" i="7"/>
  <c r="E23" i="7"/>
  <c r="E27" i="7"/>
  <c r="E16" i="7"/>
  <c r="E26" i="7"/>
  <c r="E22" i="7"/>
  <c r="E25" i="7"/>
  <c r="E24" i="7"/>
  <c r="E19" i="7"/>
  <c r="E18" i="7"/>
  <c r="E29" i="7"/>
  <c r="E30" i="7"/>
  <c r="E20" i="7"/>
  <c r="E28" i="7"/>
  <c r="E15" i="7"/>
  <c r="M15" i="7"/>
  <c r="P43" i="3"/>
  <c r="D4" i="6" s="1"/>
  <c r="F19" i="7" s="1"/>
  <c r="P12" i="3"/>
  <c r="AI13" i="6" s="1"/>
  <c r="P45" i="3"/>
  <c r="D6" i="6" s="1"/>
  <c r="O26" i="7"/>
  <c r="O11" i="3"/>
  <c r="AC13" i="6" s="1"/>
  <c r="S5" i="3"/>
  <c r="S44" i="3" s="1"/>
  <c r="G5" i="6" s="1"/>
  <c r="R5" i="3"/>
  <c r="R44" i="3" s="1"/>
  <c r="F5" i="6" s="1"/>
  <c r="O44" i="3"/>
  <c r="C5" i="6" s="1"/>
  <c r="S6" i="3"/>
  <c r="S45" i="3" s="1"/>
  <c r="G6" i="6" s="1"/>
  <c r="R6" i="3"/>
  <c r="R45" i="3" s="1"/>
  <c r="F6" i="6" s="1"/>
  <c r="P11" i="3"/>
  <c r="AE13" i="6" s="1"/>
  <c r="P44" i="3"/>
  <c r="D5" i="6" s="1"/>
  <c r="O10" i="3"/>
  <c r="R4" i="3"/>
  <c r="R43" i="3" s="1"/>
  <c r="F4" i="6" s="1"/>
  <c r="S4" i="3"/>
  <c r="S43" i="3" s="1"/>
  <c r="G4" i="6" s="1"/>
  <c r="P10" i="3"/>
  <c r="AA13" i="6" s="1"/>
  <c r="O12" i="3"/>
  <c r="O25" i="7" l="1"/>
  <c r="M25" i="7"/>
  <c r="O30" i="7"/>
  <c r="M18" i="7"/>
  <c r="O19" i="7"/>
  <c r="O28" i="7"/>
  <c r="M23" i="7"/>
  <c r="O14" i="7"/>
  <c r="M30" i="7"/>
  <c r="M29" i="7"/>
  <c r="O24" i="7"/>
  <c r="O17" i="7"/>
  <c r="O15" i="7"/>
  <c r="O29" i="7"/>
  <c r="M19" i="7"/>
  <c r="M28" i="7"/>
  <c r="M22" i="7"/>
  <c r="M27" i="7"/>
  <c r="O27" i="7"/>
  <c r="O23" i="7"/>
  <c r="O21" i="7"/>
  <c r="M21" i="7"/>
  <c r="M14" i="7"/>
  <c r="P16" i="6"/>
  <c r="P6" i="6" s="1"/>
  <c r="N6" i="6"/>
  <c r="O16" i="7"/>
  <c r="O22" i="7"/>
  <c r="O20" i="7"/>
  <c r="O18" i="7"/>
  <c r="M17" i="7"/>
  <c r="M26" i="7"/>
  <c r="M20" i="7"/>
  <c r="P17" i="6"/>
  <c r="P7" i="6" s="1"/>
  <c r="N7" i="6"/>
  <c r="R9" i="6"/>
  <c r="T19" i="6"/>
  <c r="T9" i="6" s="1"/>
  <c r="S19" i="6"/>
  <c r="S17" i="6"/>
  <c r="P19" i="6"/>
  <c r="P9" i="6" s="1"/>
  <c r="N9" i="6"/>
  <c r="K17" i="6"/>
  <c r="K19" i="6"/>
  <c r="M19" i="6" s="1"/>
  <c r="M9" i="6" s="1"/>
  <c r="O19" i="6"/>
  <c r="R7" i="6"/>
  <c r="T17" i="6"/>
  <c r="T7" i="6" s="1"/>
  <c r="M24" i="7"/>
  <c r="O51" i="3"/>
  <c r="C12" i="6" s="1"/>
  <c r="AG13" i="6"/>
  <c r="Q14" i="6"/>
  <c r="Q4" i="6" s="1"/>
  <c r="O4" i="6"/>
  <c r="U14" i="6"/>
  <c r="U4" i="6" s="1"/>
  <c r="S4" i="6"/>
  <c r="F20" i="7"/>
  <c r="F21" i="7"/>
  <c r="F18" i="7"/>
  <c r="F26" i="7"/>
  <c r="F15" i="7"/>
  <c r="F24" i="7"/>
  <c r="F17" i="7"/>
  <c r="F16" i="7"/>
  <c r="F22" i="7"/>
  <c r="F29" i="7"/>
  <c r="F28" i="7"/>
  <c r="F27" i="7"/>
  <c r="F23" i="7"/>
  <c r="F30" i="7"/>
  <c r="F14" i="7"/>
  <c r="F25" i="7"/>
  <c r="H26" i="7"/>
  <c r="H28" i="7"/>
  <c r="H30" i="7"/>
  <c r="H15" i="7"/>
  <c r="H17" i="7"/>
  <c r="H19" i="7"/>
  <c r="H21" i="7"/>
  <c r="H23" i="7"/>
  <c r="H14" i="7"/>
  <c r="H25" i="7"/>
  <c r="H27" i="7"/>
  <c r="H29" i="7"/>
  <c r="H16" i="7"/>
  <c r="H18" i="7"/>
  <c r="H20" i="7"/>
  <c r="H22" i="7"/>
  <c r="H24" i="7"/>
  <c r="R10" i="3"/>
  <c r="R49" i="3" s="1"/>
  <c r="F10" i="6" s="1"/>
  <c r="O49" i="3"/>
  <c r="C10" i="6" s="1"/>
  <c r="I14" i="7"/>
  <c r="I29" i="7"/>
  <c r="I18" i="7"/>
  <c r="I26" i="7"/>
  <c r="I28" i="7"/>
  <c r="I30" i="7"/>
  <c r="I15" i="7"/>
  <c r="I17" i="7"/>
  <c r="I19" i="7"/>
  <c r="I21" i="7"/>
  <c r="I23" i="7"/>
  <c r="I20" i="7"/>
  <c r="I25" i="7"/>
  <c r="I27" i="7"/>
  <c r="I16" i="7"/>
  <c r="I22" i="7"/>
  <c r="I24" i="7"/>
  <c r="N25" i="7"/>
  <c r="N26" i="7"/>
  <c r="N15" i="7"/>
  <c r="N21" i="7"/>
  <c r="N27" i="7"/>
  <c r="N29" i="7"/>
  <c r="N16" i="7"/>
  <c r="N18" i="7"/>
  <c r="N20" i="7"/>
  <c r="N22" i="7"/>
  <c r="N24" i="7"/>
  <c r="N28" i="7"/>
  <c r="N17" i="7"/>
  <c r="N23" i="7"/>
  <c r="N14" i="7"/>
  <c r="N30" i="7"/>
  <c r="N19" i="7"/>
  <c r="M14" i="6"/>
  <c r="M4" i="6" s="1"/>
  <c r="K4" i="6"/>
  <c r="O9" i="3"/>
  <c r="O48" i="3" s="1"/>
  <c r="C9" i="6" s="1"/>
  <c r="O46" i="7" s="1"/>
  <c r="D28" i="7"/>
  <c r="D15" i="7"/>
  <c r="D19" i="7"/>
  <c r="D23" i="7"/>
  <c r="D29" i="7"/>
  <c r="D16" i="7"/>
  <c r="D20" i="7"/>
  <c r="D24" i="7"/>
  <c r="D26" i="7"/>
  <c r="D30" i="7"/>
  <c r="D17" i="7"/>
  <c r="D21" i="7"/>
  <c r="D14" i="7"/>
  <c r="D22" i="7"/>
  <c r="D27" i="7"/>
  <c r="D25" i="7"/>
  <c r="D18" i="7"/>
  <c r="O8" i="3"/>
  <c r="R12" i="3"/>
  <c r="R51" i="3" s="1"/>
  <c r="F12" i="6" s="1"/>
  <c r="S11" i="3"/>
  <c r="S50" i="3" s="1"/>
  <c r="G11" i="6" s="1"/>
  <c r="S12" i="3"/>
  <c r="S51" i="3" s="1"/>
  <c r="G12" i="6" s="1"/>
  <c r="O50" i="3"/>
  <c r="C11" i="6" s="1"/>
  <c r="R11" i="3"/>
  <c r="R50" i="3" s="1"/>
  <c r="F11" i="6" s="1"/>
  <c r="O37" i="7"/>
  <c r="K18" i="7"/>
  <c r="K14" i="7"/>
  <c r="K19" i="7"/>
  <c r="K20" i="7"/>
  <c r="K21" i="7"/>
  <c r="K22" i="7"/>
  <c r="K15" i="7"/>
  <c r="K23" i="7"/>
  <c r="K16" i="7"/>
  <c r="K24" i="7"/>
  <c r="K17" i="7"/>
  <c r="K25" i="7"/>
  <c r="K30" i="7"/>
  <c r="K28" i="7"/>
  <c r="K27" i="7"/>
  <c r="K29" i="7"/>
  <c r="K26" i="7"/>
  <c r="O31" i="7"/>
  <c r="O32" i="7"/>
  <c r="P18" i="7"/>
  <c r="P17" i="7"/>
  <c r="P14" i="7"/>
  <c r="P20" i="7"/>
  <c r="P25" i="7"/>
  <c r="P19" i="7"/>
  <c r="P30" i="7"/>
  <c r="P22" i="7"/>
  <c r="P21" i="7"/>
  <c r="P16" i="7"/>
  <c r="P24" i="7"/>
  <c r="P15" i="7"/>
  <c r="P23" i="7"/>
  <c r="P29" i="7"/>
  <c r="P28" i="7"/>
  <c r="P27" i="7"/>
  <c r="P26" i="7"/>
  <c r="S10" i="3"/>
  <c r="S49" i="3" s="1"/>
  <c r="G10" i="6" s="1"/>
  <c r="P49" i="3"/>
  <c r="D10" i="6" s="1"/>
  <c r="J16" i="7"/>
  <c r="J24" i="7"/>
  <c r="J17" i="7"/>
  <c r="J20" i="7"/>
  <c r="J14" i="7"/>
  <c r="J23" i="7"/>
  <c r="J18" i="7"/>
  <c r="J19" i="7"/>
  <c r="J21" i="7"/>
  <c r="J15" i="7"/>
  <c r="J22" i="7"/>
  <c r="J26" i="7"/>
  <c r="J29" i="7"/>
  <c r="J28" i="7"/>
  <c r="J27" i="7"/>
  <c r="J30" i="7"/>
  <c r="J25" i="7"/>
  <c r="P8" i="3"/>
  <c r="P47" i="3" s="1"/>
  <c r="D8" i="6" s="1"/>
  <c r="I32" i="7" s="1"/>
  <c r="P50" i="3"/>
  <c r="D11" i="6" s="1"/>
  <c r="O44" i="7"/>
  <c r="O34" i="7"/>
  <c r="P9" i="3"/>
  <c r="P48" i="3" s="1"/>
  <c r="D9" i="6" s="1"/>
  <c r="P47" i="7" s="1"/>
  <c r="P51" i="3"/>
  <c r="D12" i="6" s="1"/>
  <c r="P7" i="3"/>
  <c r="O7" i="3"/>
  <c r="O52" i="7" l="1"/>
  <c r="K9" i="6"/>
  <c r="T16" i="6"/>
  <c r="T6" i="6" s="1"/>
  <c r="R6" i="6"/>
  <c r="O49" i="7"/>
  <c r="O41" i="7"/>
  <c r="Q19" i="6"/>
  <c r="Q9" i="6" s="1"/>
  <c r="O9" i="6"/>
  <c r="O51" i="7"/>
  <c r="O36" i="7"/>
  <c r="O40" i="7"/>
  <c r="Q17" i="6"/>
  <c r="Q7" i="6" s="1"/>
  <c r="O7" i="6"/>
  <c r="U17" i="6"/>
  <c r="U7" i="6" s="1"/>
  <c r="S7" i="6"/>
  <c r="O35" i="7"/>
  <c r="O38" i="7"/>
  <c r="M17" i="6"/>
  <c r="M7" i="6" s="1"/>
  <c r="K7" i="6"/>
  <c r="U19" i="6"/>
  <c r="U9" i="6" s="1"/>
  <c r="S9" i="6"/>
  <c r="O45" i="7"/>
  <c r="O53" i="7"/>
  <c r="O50" i="7"/>
  <c r="N4" i="6"/>
  <c r="P14" i="6"/>
  <c r="P4" i="6" s="1"/>
  <c r="O47" i="7"/>
  <c r="O43" i="7"/>
  <c r="O33" i="7"/>
  <c r="O42" i="7"/>
  <c r="O39" i="7"/>
  <c r="O48" i="7"/>
  <c r="N53" i="7"/>
  <c r="N49" i="7"/>
  <c r="N45" i="7"/>
  <c r="N41" i="7"/>
  <c r="N32" i="7"/>
  <c r="N31" i="7"/>
  <c r="N35" i="7"/>
  <c r="N33" i="7"/>
  <c r="I53" i="7"/>
  <c r="I49" i="7"/>
  <c r="I45" i="7"/>
  <c r="I41" i="7"/>
  <c r="I33" i="7"/>
  <c r="R7" i="3"/>
  <c r="R46" i="3" s="1"/>
  <c r="F7" i="6" s="1"/>
  <c r="O46" i="3"/>
  <c r="C7" i="6" s="1"/>
  <c r="M32" i="7"/>
  <c r="M31" i="7"/>
  <c r="M38" i="7"/>
  <c r="M42" i="7"/>
  <c r="M46" i="7"/>
  <c r="M50" i="7"/>
  <c r="M36" i="7"/>
  <c r="M39" i="7"/>
  <c r="M43" i="7"/>
  <c r="M47" i="7"/>
  <c r="M51" i="7"/>
  <c r="M37" i="7"/>
  <c r="M34" i="7"/>
  <c r="M40" i="7"/>
  <c r="M44" i="7"/>
  <c r="M48" i="7"/>
  <c r="M52" i="7"/>
  <c r="M33" i="7"/>
  <c r="M35" i="7"/>
  <c r="M41" i="7"/>
  <c r="M45" i="7"/>
  <c r="M49" i="7"/>
  <c r="M53" i="7"/>
  <c r="N52" i="7"/>
  <c r="N48" i="7"/>
  <c r="N44" i="7"/>
  <c r="N40" i="7"/>
  <c r="I52" i="7"/>
  <c r="I48" i="7"/>
  <c r="I44" i="7"/>
  <c r="I40" i="7"/>
  <c r="I36" i="7"/>
  <c r="N51" i="7"/>
  <c r="N47" i="7"/>
  <c r="N43" i="7"/>
  <c r="N39" i="7"/>
  <c r="N34" i="7"/>
  <c r="I51" i="7"/>
  <c r="I47" i="7"/>
  <c r="I43" i="7"/>
  <c r="I39" i="7"/>
  <c r="I31" i="7"/>
  <c r="I34" i="7"/>
  <c r="I35" i="7"/>
  <c r="N50" i="7"/>
  <c r="N46" i="7"/>
  <c r="N42" i="7"/>
  <c r="N38" i="7"/>
  <c r="N36" i="7"/>
  <c r="N37" i="7"/>
  <c r="I50" i="7"/>
  <c r="I46" i="7"/>
  <c r="I42" i="7"/>
  <c r="I38" i="7"/>
  <c r="I37" i="7"/>
  <c r="P38" i="7"/>
  <c r="P41" i="7"/>
  <c r="P35" i="7"/>
  <c r="P44" i="7"/>
  <c r="P32" i="7"/>
  <c r="P49" i="7"/>
  <c r="K49" i="7"/>
  <c r="K53" i="7"/>
  <c r="K36" i="7"/>
  <c r="K38" i="7"/>
  <c r="K42" i="7"/>
  <c r="K46" i="7"/>
  <c r="R9" i="3"/>
  <c r="R48" i="3" s="1"/>
  <c r="F9" i="6" s="1"/>
  <c r="S8" i="3"/>
  <c r="S47" i="3" s="1"/>
  <c r="G8" i="6" s="1"/>
  <c r="S9" i="3"/>
  <c r="S48" i="3" s="1"/>
  <c r="G9" i="6" s="1"/>
  <c r="R8" i="3"/>
  <c r="R47" i="3" s="1"/>
  <c r="F8" i="6" s="1"/>
  <c r="O47" i="3"/>
  <c r="C8" i="6" s="1"/>
  <c r="P50" i="7"/>
  <c r="P43" i="7"/>
  <c r="P46" i="7"/>
  <c r="P53" i="7"/>
  <c r="P34" i="7"/>
  <c r="P33" i="7"/>
  <c r="K52" i="7"/>
  <c r="K47" i="7"/>
  <c r="K43" i="7"/>
  <c r="K39" i="7"/>
  <c r="P36" i="7"/>
  <c r="P51" i="7"/>
  <c r="P45" i="7"/>
  <c r="P52" i="7"/>
  <c r="P39" i="7"/>
  <c r="P42" i="7"/>
  <c r="K33" i="7"/>
  <c r="K51" i="7"/>
  <c r="K34" i="7"/>
  <c r="K48" i="7"/>
  <c r="K40" i="7"/>
  <c r="K44" i="7"/>
  <c r="K37" i="7"/>
  <c r="S7" i="3"/>
  <c r="S46" i="3" s="1"/>
  <c r="G7" i="6" s="1"/>
  <c r="P46" i="3"/>
  <c r="D7" i="6" s="1"/>
  <c r="P40" i="7"/>
  <c r="P48" i="7"/>
  <c r="P31" i="7"/>
  <c r="P37" i="7"/>
  <c r="K31" i="7"/>
  <c r="K32" i="7"/>
  <c r="K50" i="7"/>
  <c r="K35" i="7"/>
  <c r="K41" i="7"/>
  <c r="K45" i="7"/>
  <c r="R4" i="6" l="1"/>
  <c r="T14" i="6"/>
  <c r="T4" i="6" s="1"/>
  <c r="H32" i="7"/>
  <c r="H37" i="7"/>
  <c r="H35" i="7"/>
  <c r="H38" i="7"/>
  <c r="H42" i="7"/>
  <c r="H46" i="7"/>
  <c r="H50" i="7"/>
  <c r="H34" i="7"/>
  <c r="H31" i="7"/>
  <c r="H39" i="7"/>
  <c r="H43" i="7"/>
  <c r="H47" i="7"/>
  <c r="H51" i="7"/>
  <c r="H36" i="7"/>
  <c r="H40" i="7"/>
  <c r="H44" i="7"/>
  <c r="H48" i="7"/>
  <c r="H52" i="7"/>
  <c r="H33" i="7"/>
  <c r="H41" i="7"/>
  <c r="H45" i="7"/>
  <c r="H49" i="7"/>
  <c r="H53" i="7"/>
  <c r="C37" i="7"/>
  <c r="C33" i="7"/>
  <c r="C41" i="7"/>
  <c r="E44" i="7"/>
  <c r="E40" i="7"/>
  <c r="C43" i="7"/>
  <c r="E34" i="7"/>
  <c r="E43" i="7"/>
  <c r="C46" i="7"/>
  <c r="C48" i="7"/>
  <c r="C50" i="7"/>
  <c r="C52" i="7"/>
  <c r="C35" i="7"/>
  <c r="C31" i="7"/>
  <c r="C34" i="7"/>
  <c r="C38" i="7"/>
  <c r="C42" i="7"/>
  <c r="E41" i="7"/>
  <c r="E32" i="7"/>
  <c r="E36" i="7"/>
  <c r="E38" i="7"/>
  <c r="C44" i="7"/>
  <c r="E46" i="7"/>
  <c r="E48" i="7"/>
  <c r="E50" i="7"/>
  <c r="E52" i="7"/>
  <c r="C32" i="7"/>
  <c r="C39" i="7"/>
  <c r="E35" i="7"/>
  <c r="E42" i="7"/>
  <c r="C45" i="7"/>
  <c r="C47" i="7"/>
  <c r="E49" i="7"/>
  <c r="E51" i="7"/>
  <c r="E53" i="7"/>
  <c r="C36" i="7"/>
  <c r="C40" i="7"/>
  <c r="E39" i="7"/>
  <c r="E33" i="7"/>
  <c r="E31" i="7"/>
  <c r="E37" i="7"/>
  <c r="E45" i="7"/>
  <c r="E47" i="7"/>
  <c r="C49" i="7"/>
  <c r="C51" i="7"/>
  <c r="C53" i="7"/>
  <c r="D36" i="7"/>
  <c r="D39" i="7"/>
  <c r="D43" i="7"/>
  <c r="D47" i="7"/>
  <c r="D51" i="7"/>
  <c r="D33" i="7"/>
  <c r="D35" i="7"/>
  <c r="D37" i="7"/>
  <c r="D40" i="7"/>
  <c r="D44" i="7"/>
  <c r="D48" i="7"/>
  <c r="D52" i="7"/>
  <c r="D31" i="7"/>
  <c r="D41" i="7"/>
  <c r="D45" i="7"/>
  <c r="D49" i="7"/>
  <c r="D53" i="7"/>
  <c r="D32" i="7"/>
  <c r="D34" i="7"/>
  <c r="D38" i="7"/>
  <c r="D42" i="7"/>
  <c r="D46" i="7"/>
  <c r="D50" i="7"/>
  <c r="J42" i="7"/>
  <c r="J38" i="7"/>
  <c r="J35" i="7"/>
  <c r="J52" i="7"/>
  <c r="J47" i="7"/>
  <c r="J31" i="7"/>
  <c r="J46" i="7"/>
  <c r="J45" i="7"/>
  <c r="J37" i="7"/>
  <c r="J34" i="7"/>
  <c r="J53" i="7"/>
  <c r="J41" i="7"/>
  <c r="J49" i="7"/>
  <c r="J50" i="7"/>
  <c r="J44" i="7"/>
  <c r="J48" i="7"/>
  <c r="J51" i="7"/>
  <c r="J40" i="7"/>
  <c r="J43" i="7"/>
  <c r="J39" i="7"/>
  <c r="J36" i="7"/>
  <c r="J32" i="7"/>
  <c r="J33" i="7"/>
  <c r="F52" i="7"/>
  <c r="F37" i="7"/>
  <c r="F40" i="7"/>
  <c r="F33" i="7"/>
  <c r="F50" i="7"/>
  <c r="F45" i="7"/>
  <c r="F34" i="7"/>
  <c r="F42" i="7"/>
  <c r="F43" i="7"/>
  <c r="F31" i="7"/>
  <c r="F32" i="7"/>
  <c r="F44" i="7"/>
  <c r="F36" i="7"/>
  <c r="F38" i="7"/>
  <c r="F39" i="7"/>
  <c r="F53" i="7"/>
  <c r="F46" i="7"/>
  <c r="F48" i="7"/>
  <c r="F51" i="7"/>
  <c r="F47" i="7"/>
  <c r="F49" i="7"/>
  <c r="F41" i="7"/>
  <c r="F35" i="7"/>
</calcChain>
</file>

<file path=xl/sharedStrings.xml><?xml version="1.0" encoding="utf-8"?>
<sst xmlns="http://schemas.openxmlformats.org/spreadsheetml/2006/main" count="582" uniqueCount="182">
  <si>
    <t>Property</t>
  </si>
  <si>
    <t>Symbol</t>
  </si>
  <si>
    <t>Value</t>
  </si>
  <si>
    <t>Unit</t>
  </si>
  <si>
    <t>Chord length aileron</t>
  </si>
  <si>
    <t>m</t>
  </si>
  <si>
    <t>Span of the aileron</t>
  </si>
  <si>
    <t>x-location of hinge 1</t>
  </si>
  <si>
    <t>x-location of hinge 2</t>
  </si>
  <si>
    <t>x-location of hinge 3</t>
  </si>
  <si>
    <t>Distance between actuator 1 and 2</t>
  </si>
  <si>
    <t>cm</t>
  </si>
  <si>
    <t>Aileron height</t>
  </si>
  <si>
    <t>h</t>
  </si>
  <si>
    <t>Skin thickness</t>
  </si>
  <si>
    <t>mm</t>
  </si>
  <si>
    <t>Spar thickness</t>
  </si>
  <si>
    <t>Thickness of stiffener</t>
  </si>
  <si>
    <t>Height of stiffener</t>
  </si>
  <si>
    <t>Width of stiffener</t>
  </si>
  <si>
    <t>Number of stiffeners (equally spaced along the periphery of the cross-section)</t>
  </si>
  <si>
    <t>-</t>
  </si>
  <si>
    <t>Vertical displacement hinge 1</t>
  </si>
  <si>
    <t>Vertical displacement hinge 3</t>
  </si>
  <si>
    <t>Maximum upward deflection</t>
  </si>
  <si>
    <t>q</t>
  </si>
  <si>
    <t>deg</t>
  </si>
  <si>
    <t>Load in actuator 2</t>
  </si>
  <si>
    <t>P</t>
  </si>
  <si>
    <t>kN</t>
  </si>
  <si>
    <t>Net aerodynamic load</t>
  </si>
  <si>
    <t>kN/m</t>
  </si>
  <si>
    <r>
      <t>C</t>
    </r>
    <r>
      <rPr>
        <i/>
        <vertAlign val="subscript"/>
        <sz val="12"/>
        <color theme="1"/>
        <rFont val="Times New Roman"/>
        <family val="1"/>
      </rPr>
      <t>a</t>
    </r>
  </si>
  <si>
    <r>
      <t>l</t>
    </r>
    <r>
      <rPr>
        <i/>
        <vertAlign val="subscript"/>
        <sz val="12"/>
        <color theme="1"/>
        <rFont val="Times New Roman"/>
        <family val="1"/>
      </rPr>
      <t>a</t>
    </r>
  </si>
  <si>
    <r>
      <t>x</t>
    </r>
    <r>
      <rPr>
        <i/>
        <vertAlign val="subscript"/>
        <sz val="12"/>
        <color theme="1"/>
        <rFont val="Times New Roman"/>
        <family val="1"/>
      </rPr>
      <t>1</t>
    </r>
  </si>
  <si>
    <r>
      <t>x</t>
    </r>
    <r>
      <rPr>
        <i/>
        <vertAlign val="subscript"/>
        <sz val="12"/>
        <color theme="1"/>
        <rFont val="Times New Roman"/>
        <family val="1"/>
      </rPr>
      <t>2</t>
    </r>
  </si>
  <si>
    <r>
      <t>x</t>
    </r>
    <r>
      <rPr>
        <i/>
        <vertAlign val="subscript"/>
        <sz val="12"/>
        <color theme="1"/>
        <rFont val="Times New Roman"/>
        <family val="1"/>
      </rPr>
      <t>3</t>
    </r>
  </si>
  <si>
    <r>
      <t>x</t>
    </r>
    <r>
      <rPr>
        <i/>
        <vertAlign val="subscript"/>
        <sz val="12"/>
        <color theme="1"/>
        <rFont val="Times New Roman"/>
        <family val="1"/>
      </rPr>
      <t>a</t>
    </r>
  </si>
  <si>
    <r>
      <t>t</t>
    </r>
    <r>
      <rPr>
        <i/>
        <vertAlign val="subscript"/>
        <sz val="12"/>
        <color theme="1"/>
        <rFont val="Times New Roman"/>
        <family val="1"/>
      </rPr>
      <t>sk</t>
    </r>
  </si>
  <si>
    <r>
      <t>t</t>
    </r>
    <r>
      <rPr>
        <i/>
        <vertAlign val="subscript"/>
        <sz val="12"/>
        <color theme="1"/>
        <rFont val="Times New Roman"/>
        <family val="1"/>
      </rPr>
      <t>sp</t>
    </r>
  </si>
  <si>
    <r>
      <t>t</t>
    </r>
    <r>
      <rPr>
        <i/>
        <vertAlign val="subscript"/>
        <sz val="12"/>
        <color theme="1"/>
        <rFont val="Times New Roman"/>
        <family val="1"/>
      </rPr>
      <t>st</t>
    </r>
  </si>
  <si>
    <r>
      <t>h</t>
    </r>
    <r>
      <rPr>
        <i/>
        <vertAlign val="subscript"/>
        <sz val="12"/>
        <color theme="1"/>
        <rFont val="Times New Roman"/>
        <family val="1"/>
      </rPr>
      <t>st</t>
    </r>
  </si>
  <si>
    <r>
      <t>w</t>
    </r>
    <r>
      <rPr>
        <i/>
        <vertAlign val="subscript"/>
        <sz val="12"/>
        <color theme="1"/>
        <rFont val="Times New Roman"/>
        <family val="1"/>
      </rPr>
      <t>st</t>
    </r>
  </si>
  <si>
    <r>
      <t>n</t>
    </r>
    <r>
      <rPr>
        <i/>
        <vertAlign val="subscript"/>
        <sz val="12"/>
        <color theme="1"/>
        <rFont val="Times New Roman"/>
        <family val="1"/>
      </rPr>
      <t>st</t>
    </r>
  </si>
  <si>
    <r>
      <t>d</t>
    </r>
    <r>
      <rPr>
        <i/>
        <vertAlign val="subscript"/>
        <sz val="12"/>
        <color theme="1"/>
        <rFont val="Times New Roman"/>
        <family val="1"/>
      </rPr>
      <t>1</t>
    </r>
  </si>
  <si>
    <r>
      <t>d</t>
    </r>
    <r>
      <rPr>
        <i/>
        <vertAlign val="subscript"/>
        <sz val="12"/>
        <color theme="1"/>
        <rFont val="Times New Roman"/>
        <family val="1"/>
      </rPr>
      <t>3</t>
    </r>
  </si>
  <si>
    <t>Part</t>
  </si>
  <si>
    <t>Upper skin</t>
  </si>
  <si>
    <t>Lower skin</t>
  </si>
  <si>
    <t>Stiffener 1</t>
  </si>
  <si>
    <t>Stiffener 2</t>
  </si>
  <si>
    <t>Stiffener 3</t>
  </si>
  <si>
    <t>Stiffener 4</t>
  </si>
  <si>
    <t>Stiffener 5</t>
  </si>
  <si>
    <t>Stiffener 6</t>
  </si>
  <si>
    <t>Stiffener 7</t>
  </si>
  <si>
    <t>Stiffener 8</t>
  </si>
  <si>
    <t>Stiffener 9</t>
  </si>
  <si>
    <t>Stiffener 10</t>
  </si>
  <si>
    <t>Stiffener 11</t>
  </si>
  <si>
    <t>Stiffener 12</t>
  </si>
  <si>
    <t>Stiffener 13</t>
  </si>
  <si>
    <t>Stiffener 14</t>
  </si>
  <si>
    <t>Stiffener 15</t>
  </si>
  <si>
    <t>Stiffener 16</t>
  </si>
  <si>
    <t>Stiffener 17</t>
  </si>
  <si>
    <t>Stiffener 18</t>
  </si>
  <si>
    <t>Stiffener 19</t>
  </si>
  <si>
    <t>Stiffener 20</t>
  </si>
  <si>
    <t>Stiffener 21</t>
  </si>
  <si>
    <t>Leading edge</t>
  </si>
  <si>
    <t>Area [mm^2]</t>
  </si>
  <si>
    <t>d_y [mm]</t>
  </si>
  <si>
    <t>I_yy (centroid) [mm^4]</t>
  </si>
  <si>
    <t>A*(d_y^2)</t>
  </si>
  <si>
    <t>I_yy [mm^4]</t>
  </si>
  <si>
    <t>Total</t>
  </si>
  <si>
    <t>I_zz (centroid) [mm^4]</t>
  </si>
  <si>
    <t>d_z [mm]</t>
  </si>
  <si>
    <t>A*(d_z^2)</t>
  </si>
  <si>
    <t>I_zz [mm^4]</t>
  </si>
  <si>
    <t>Usefull measures</t>
  </si>
  <si>
    <t>Radius</t>
  </si>
  <si>
    <t>Circumference</t>
  </si>
  <si>
    <t>Length behind hinge line</t>
  </si>
  <si>
    <t>[mm]</t>
  </si>
  <si>
    <t>Area stiffener</t>
  </si>
  <si>
    <t>[mm^2]</t>
  </si>
  <si>
    <t>Stiffener Pitch</t>
  </si>
  <si>
    <t>[-]</t>
  </si>
  <si>
    <t>Stiffeners on leading edge</t>
  </si>
  <si>
    <t>Stiffeners on upper/lower skin</t>
  </si>
  <si>
    <t>Slope upper/lower skin</t>
  </si>
  <si>
    <t>[rad]</t>
  </si>
  <si>
    <t>Inclination w.r.t. z-axis [rad]</t>
  </si>
  <si>
    <t>Opening angle leading edge</t>
  </si>
  <si>
    <t>Spar</t>
  </si>
  <si>
    <t>Stiffener centroid from base</t>
  </si>
  <si>
    <t>Modulus of Elasticity Al 2024-T3</t>
  </si>
  <si>
    <t>E</t>
  </si>
  <si>
    <t>GPa</t>
  </si>
  <si>
    <t>Useful constants</t>
  </si>
  <si>
    <t>L12</t>
  </si>
  <si>
    <t>L23</t>
  </si>
  <si>
    <t>EI_zz</t>
  </si>
  <si>
    <t>EI_yy</t>
  </si>
  <si>
    <t>[kNmm^2]</t>
  </si>
  <si>
    <t>Local</t>
  </si>
  <si>
    <t>Global</t>
  </si>
  <si>
    <t>Displacements per hinge per load case</t>
  </si>
  <si>
    <t>y [mm]</t>
  </si>
  <si>
    <t>z [mm]</t>
  </si>
  <si>
    <t>Rotation</t>
  </si>
  <si>
    <t>Up</t>
  </si>
  <si>
    <t>Down</t>
  </si>
  <si>
    <t>Neutral</t>
  </si>
  <si>
    <t>Reaction loads per hinge per load case</t>
  </si>
  <si>
    <t>R_z [kN]</t>
  </si>
  <si>
    <t>R_y [kN]</t>
  </si>
  <si>
    <t>Hinge 1</t>
  </si>
  <si>
    <t>Hinge 2</t>
  </si>
  <si>
    <t>Hinge 3</t>
  </si>
  <si>
    <t>Act. 1</t>
  </si>
  <si>
    <t>Location</t>
  </si>
  <si>
    <t>Reaction loads due to boundary conditions per hinge per load case</t>
  </si>
  <si>
    <t>J [mm^4]</t>
  </si>
  <si>
    <t>L34</t>
  </si>
  <si>
    <t>L01</t>
  </si>
  <si>
    <t>Shear Modulus of Al 2024-T3</t>
  </si>
  <si>
    <t>G</t>
  </si>
  <si>
    <t>GJ</t>
  </si>
  <si>
    <t>d</t>
  </si>
  <si>
    <t>x [mm]</t>
  </si>
  <si>
    <t>theta [rad]</t>
  </si>
  <si>
    <t>Deflection</t>
  </si>
  <si>
    <t>leading edge [mm]</t>
  </si>
  <si>
    <t>trailing edge [mm]</t>
  </si>
  <si>
    <t xml:space="preserve">Up </t>
  </si>
  <si>
    <t>Distributed torque</t>
  </si>
  <si>
    <t>Torque actuator 2</t>
  </si>
  <si>
    <t>[kN]</t>
  </si>
  <si>
    <t>[kNm]</t>
  </si>
  <si>
    <t>[kNm/m]</t>
  </si>
  <si>
    <t>Torque actuator 1</t>
  </si>
  <si>
    <t>dq</t>
  </si>
  <si>
    <t>Force actuator 1</t>
  </si>
  <si>
    <t>Reaction loads due to distributed load per hinge per load case</t>
  </si>
  <si>
    <t>Reaction loads due to actuator loads per hinge per load case</t>
  </si>
  <si>
    <t>Combined reaction loads</t>
  </si>
  <si>
    <t>Act. 2</t>
  </si>
  <si>
    <t>Other loads</t>
  </si>
  <si>
    <t>M_z [kNm]</t>
  </si>
  <si>
    <t>M_y [kNm]</t>
  </si>
  <si>
    <t>Rotation up</t>
  </si>
  <si>
    <t>Rotaion down</t>
  </si>
  <si>
    <t>LE_y [mm]</t>
  </si>
  <si>
    <t>LE_z [mm]</t>
  </si>
  <si>
    <t>TE_y [mm]</t>
  </si>
  <si>
    <t>TE_z [mm]</t>
  </si>
  <si>
    <t>LE = Leading Edge</t>
  </si>
  <si>
    <t>TE = Trainling Edge</t>
  </si>
  <si>
    <t>Total displacements</t>
  </si>
  <si>
    <t>Due to Rotation</t>
  </si>
  <si>
    <t>Due to displacement of hinges 1 and 3</t>
  </si>
  <si>
    <t>Due to distributed load</t>
  </si>
  <si>
    <t>Due to actuator shear loads</t>
  </si>
  <si>
    <t>N.B.: all displacements given are in the local coordinate system of the aileron</t>
  </si>
  <si>
    <t>T [kNm]</t>
  </si>
  <si>
    <t>N.B.: twist is assumed zero at the location of actuator 1</t>
  </si>
  <si>
    <t>V_z [kN]</t>
  </si>
  <si>
    <t>V_y[kN]</t>
  </si>
  <si>
    <t>Rotation down</t>
  </si>
  <si>
    <t>in z dir</t>
  </si>
  <si>
    <t>in y dir</t>
  </si>
  <si>
    <t>R1</t>
  </si>
  <si>
    <t>R3</t>
  </si>
  <si>
    <t>Netural z</t>
  </si>
  <si>
    <t>Netural y</t>
  </si>
  <si>
    <t>Up z</t>
  </si>
  <si>
    <t>Up y</t>
  </si>
  <si>
    <t>Down z</t>
  </si>
  <si>
    <t>Down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</si>
</sst>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#,##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2"/>
      <color theme="1"/>
      <name val="Symbol"/>
      <charset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Font="1"/>
    <xf numFmtId="0" fontId="1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0" borderId="5" xfId="0" applyBorder="1"/>
    <xf numFmtId="0" fontId="6" fillId="0" borderId="6" xfId="0" applyFont="1" applyBorder="1"/>
    <xf numFmtId="0" fontId="0" fillId="0" borderId="7" xfId="0" applyBorder="1"/>
    <xf numFmtId="0" fontId="0" fillId="0" borderId="9" xfId="0" applyBorder="1"/>
    <xf numFmtId="0" fontId="0" fillId="0" borderId="8" xfId="0" applyBorder="1" applyAlignment="1">
      <alignment horizontal="right"/>
    </xf>
    <xf numFmtId="0" fontId="0" fillId="0" borderId="11" xfId="0" applyBorder="1"/>
    <xf numFmtId="0" fontId="6" fillId="0" borderId="10" xfId="0" applyFont="1" applyBorder="1" applyAlignment="1">
      <alignment horizontal="right"/>
    </xf>
    <xf numFmtId="0" fontId="0" fillId="0" borderId="13" xfId="0" applyBorder="1" applyAlignment="1">
      <alignment horizontal="right"/>
    </xf>
    <xf numFmtId="0" fontId="6" fillId="0" borderId="14" xfId="0" applyFont="1" applyBorder="1" applyAlignment="1">
      <alignment horizontal="right"/>
    </xf>
    <xf numFmtId="0" fontId="6" fillId="0" borderId="15" xfId="0" applyFont="1" applyBorder="1"/>
    <xf numFmtId="0" fontId="6" fillId="0" borderId="12" xfId="0" applyFont="1" applyBorder="1"/>
    <xf numFmtId="164" fontId="0" fillId="0" borderId="11" xfId="0" applyNumberFormat="1" applyBorder="1"/>
    <xf numFmtId="164" fontId="0" fillId="0" borderId="7" xfId="0" applyNumberFormat="1" applyBorder="1"/>
    <xf numFmtId="0" fontId="7" fillId="0" borderId="0" xfId="0" applyFont="1" applyFill="1"/>
    <xf numFmtId="0" fontId="8" fillId="0" borderId="0" xfId="0" applyFont="1" applyFill="1"/>
    <xf numFmtId="0" fontId="6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/>
    <xf numFmtId="164" fontId="0" fillId="0" borderId="0" xfId="0" applyNumberFormat="1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165" fontId="2" fillId="0" borderId="4" xfId="0" applyNumberFormat="1" applyFon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2" xfId="0" applyBorder="1"/>
    <xf numFmtId="0" fontId="0" fillId="0" borderId="3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2" xfId="0" applyBorder="1"/>
    <xf numFmtId="3" fontId="0" fillId="0" borderId="21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0" fillId="0" borderId="24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0" xfId="0" applyBorder="1"/>
    <xf numFmtId="0" fontId="0" fillId="0" borderId="49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38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3" fontId="0" fillId="0" borderId="36" xfId="0" applyNumberFormat="1" applyBorder="1" applyAlignment="1">
      <alignment horizontal="center"/>
    </xf>
    <xf numFmtId="3" fontId="0" fillId="0" borderId="37" xfId="0" applyNumberForma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1" xfId="0" applyBorder="1" applyAlignment="1">
      <alignment horizontal="center"/>
    </xf>
    <xf numFmtId="0" fontId="10" fillId="0" borderId="0" xfId="0" applyFont="1"/>
    <xf numFmtId="0" fontId="0" fillId="0" borderId="25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4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in x-z plane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15.3</c:v>
                </c:pt>
                <c:pt idx="2">
                  <c:v>30.6</c:v>
                </c:pt>
                <c:pt idx="3">
                  <c:v>45.900000000000006</c:v>
                </c:pt>
                <c:pt idx="4">
                  <c:v>61.2</c:v>
                </c:pt>
                <c:pt idx="5">
                  <c:v>76.5</c:v>
                </c:pt>
                <c:pt idx="6">
                  <c:v>91.8</c:v>
                </c:pt>
                <c:pt idx="7">
                  <c:v>107.1</c:v>
                </c:pt>
                <c:pt idx="8">
                  <c:v>122.39999999999999</c:v>
                </c:pt>
                <c:pt idx="9">
                  <c:v>137.69999999999999</c:v>
                </c:pt>
                <c:pt idx="10">
                  <c:v>153</c:v>
                </c:pt>
                <c:pt idx="11">
                  <c:v>153</c:v>
                </c:pt>
                <c:pt idx="12">
                  <c:v>251.8</c:v>
                </c:pt>
                <c:pt idx="13">
                  <c:v>350.6</c:v>
                </c:pt>
                <c:pt idx="14">
                  <c:v>449.40000000000003</c:v>
                </c:pt>
                <c:pt idx="15">
                  <c:v>548.20000000000005</c:v>
                </c:pt>
                <c:pt idx="16">
                  <c:v>647</c:v>
                </c:pt>
                <c:pt idx="17">
                  <c:v>745.8</c:v>
                </c:pt>
                <c:pt idx="18">
                  <c:v>844.59999999999991</c:v>
                </c:pt>
                <c:pt idx="19">
                  <c:v>943.39999999999986</c:v>
                </c:pt>
                <c:pt idx="20">
                  <c:v>1042.1999999999998</c:v>
                </c:pt>
                <c:pt idx="21">
                  <c:v>1140.9999999999998</c:v>
                </c:pt>
                <c:pt idx="22">
                  <c:v>1140.9999999999998</c:v>
                </c:pt>
                <c:pt idx="23">
                  <c:v>1168.9999999999998</c:v>
                </c:pt>
                <c:pt idx="24">
                  <c:v>1196.9999999999998</c:v>
                </c:pt>
                <c:pt idx="25">
                  <c:v>1224.9999999999998</c:v>
                </c:pt>
                <c:pt idx="26">
                  <c:v>1252.9999999999998</c:v>
                </c:pt>
                <c:pt idx="27">
                  <c:v>1280.9999999999998</c:v>
                </c:pt>
                <c:pt idx="28">
                  <c:v>1280.9999999999998</c:v>
                </c:pt>
                <c:pt idx="29">
                  <c:v>1308.9999999999998</c:v>
                </c:pt>
                <c:pt idx="30">
                  <c:v>1336.9999999999998</c:v>
                </c:pt>
                <c:pt idx="31">
                  <c:v>1364.9999999999998</c:v>
                </c:pt>
                <c:pt idx="32">
                  <c:v>1392.9999999999998</c:v>
                </c:pt>
                <c:pt idx="33">
                  <c:v>1420.9999999999998</c:v>
                </c:pt>
                <c:pt idx="34">
                  <c:v>1420.9999999999998</c:v>
                </c:pt>
                <c:pt idx="35">
                  <c:v>1546.9999999999998</c:v>
                </c:pt>
                <c:pt idx="36">
                  <c:v>1672.9999999999998</c:v>
                </c:pt>
                <c:pt idx="37">
                  <c:v>1798.9999999999998</c:v>
                </c:pt>
                <c:pt idx="38">
                  <c:v>1924.9999999999998</c:v>
                </c:pt>
                <c:pt idx="39">
                  <c:v>2051</c:v>
                </c:pt>
                <c:pt idx="40">
                  <c:v>2177</c:v>
                </c:pt>
                <c:pt idx="41">
                  <c:v>2303</c:v>
                </c:pt>
                <c:pt idx="42">
                  <c:v>2429</c:v>
                </c:pt>
                <c:pt idx="43">
                  <c:v>2555</c:v>
                </c:pt>
                <c:pt idx="44">
                  <c:v>2681</c:v>
                </c:pt>
                <c:pt idx="45">
                  <c:v>2681</c:v>
                </c:pt>
                <c:pt idx="46">
                  <c:v>2699</c:v>
                </c:pt>
                <c:pt idx="47">
                  <c:v>2717</c:v>
                </c:pt>
                <c:pt idx="48">
                  <c:v>2735</c:v>
                </c:pt>
                <c:pt idx="49">
                  <c:v>2753</c:v>
                </c:pt>
                <c:pt idx="50">
                  <c:v>2771</c:v>
                </c:pt>
              </c:numCache>
            </c:numRef>
          </c:xVal>
          <c:yVal>
            <c:numRef>
              <c:f>'Internal Force Diagrams'!$C$3:$C$53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-11.911124706885094</c:v>
                </c:pt>
                <c:pt idx="12">
                  <c:v>-11.911124706885094</c:v>
                </c:pt>
                <c:pt idx="13">
                  <c:v>-11.911124706885094</c:v>
                </c:pt>
                <c:pt idx="14">
                  <c:v>-11.911124706885094</c:v>
                </c:pt>
                <c:pt idx="15">
                  <c:v>-11.911124706885094</c:v>
                </c:pt>
                <c:pt idx="16">
                  <c:v>-11.911124706885094</c:v>
                </c:pt>
                <c:pt idx="17">
                  <c:v>-11.911124706885094</c:v>
                </c:pt>
                <c:pt idx="18">
                  <c:v>-11.911124706885094</c:v>
                </c:pt>
                <c:pt idx="19">
                  <c:v>-11.911124706885094</c:v>
                </c:pt>
                <c:pt idx="20">
                  <c:v>-11.911124706885094</c:v>
                </c:pt>
                <c:pt idx="21">
                  <c:v>-11.911124706885094</c:v>
                </c:pt>
                <c:pt idx="22">
                  <c:v>82.494664426448239</c:v>
                </c:pt>
                <c:pt idx="23">
                  <c:v>82.494664426448239</c:v>
                </c:pt>
                <c:pt idx="24">
                  <c:v>82.494664426448239</c:v>
                </c:pt>
                <c:pt idx="25">
                  <c:v>82.494664426448239</c:v>
                </c:pt>
                <c:pt idx="26">
                  <c:v>82.494664426448239</c:v>
                </c:pt>
                <c:pt idx="27">
                  <c:v>82.494664426448239</c:v>
                </c:pt>
                <c:pt idx="28">
                  <c:v>82.686384421928381</c:v>
                </c:pt>
                <c:pt idx="29">
                  <c:v>82.686384421928381</c:v>
                </c:pt>
                <c:pt idx="30">
                  <c:v>82.686384421928381</c:v>
                </c:pt>
                <c:pt idx="31">
                  <c:v>82.686384421928381</c:v>
                </c:pt>
                <c:pt idx="32">
                  <c:v>82.686384421928381</c:v>
                </c:pt>
                <c:pt idx="33">
                  <c:v>82.686384421928381</c:v>
                </c:pt>
                <c:pt idx="34">
                  <c:v>-9.0136155780716223</c:v>
                </c:pt>
                <c:pt idx="35">
                  <c:v>-9.0136155780716223</c:v>
                </c:pt>
                <c:pt idx="36">
                  <c:v>-9.0136155780716223</c:v>
                </c:pt>
                <c:pt idx="37">
                  <c:v>-9.0136155780716223</c:v>
                </c:pt>
                <c:pt idx="38">
                  <c:v>-9.0136155780716223</c:v>
                </c:pt>
                <c:pt idx="39">
                  <c:v>-9.0136155780716223</c:v>
                </c:pt>
                <c:pt idx="40">
                  <c:v>-9.0136155780716223</c:v>
                </c:pt>
                <c:pt idx="41">
                  <c:v>-9.0136155780716223</c:v>
                </c:pt>
                <c:pt idx="42">
                  <c:v>-9.0136155780716223</c:v>
                </c:pt>
                <c:pt idx="43">
                  <c:v>-9.0136155780716223</c:v>
                </c:pt>
                <c:pt idx="44">
                  <c:v>-9.0136155780716223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2-C94C-A788-D7E235540BA6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15.3</c:v>
                </c:pt>
                <c:pt idx="2">
                  <c:v>30.6</c:v>
                </c:pt>
                <c:pt idx="3">
                  <c:v>45.900000000000006</c:v>
                </c:pt>
                <c:pt idx="4">
                  <c:v>61.2</c:v>
                </c:pt>
                <c:pt idx="5">
                  <c:v>76.5</c:v>
                </c:pt>
                <c:pt idx="6">
                  <c:v>91.8</c:v>
                </c:pt>
                <c:pt idx="7">
                  <c:v>107.1</c:v>
                </c:pt>
                <c:pt idx="8">
                  <c:v>122.39999999999999</c:v>
                </c:pt>
                <c:pt idx="9">
                  <c:v>137.69999999999999</c:v>
                </c:pt>
                <c:pt idx="10">
                  <c:v>153</c:v>
                </c:pt>
                <c:pt idx="11">
                  <c:v>153</c:v>
                </c:pt>
                <c:pt idx="12">
                  <c:v>251.8</c:v>
                </c:pt>
                <c:pt idx="13">
                  <c:v>350.6</c:v>
                </c:pt>
                <c:pt idx="14">
                  <c:v>449.40000000000003</c:v>
                </c:pt>
                <c:pt idx="15">
                  <c:v>548.20000000000005</c:v>
                </c:pt>
                <c:pt idx="16">
                  <c:v>647</c:v>
                </c:pt>
                <c:pt idx="17">
                  <c:v>745.8</c:v>
                </c:pt>
                <c:pt idx="18">
                  <c:v>844.59999999999991</c:v>
                </c:pt>
                <c:pt idx="19">
                  <c:v>943.39999999999986</c:v>
                </c:pt>
                <c:pt idx="20">
                  <c:v>1042.1999999999998</c:v>
                </c:pt>
                <c:pt idx="21">
                  <c:v>1140.9999999999998</c:v>
                </c:pt>
                <c:pt idx="22">
                  <c:v>1140.9999999999998</c:v>
                </c:pt>
                <c:pt idx="23">
                  <c:v>1168.9999999999998</c:v>
                </c:pt>
                <c:pt idx="24">
                  <c:v>1196.9999999999998</c:v>
                </c:pt>
                <c:pt idx="25">
                  <c:v>1224.9999999999998</c:v>
                </c:pt>
                <c:pt idx="26">
                  <c:v>1252.9999999999998</c:v>
                </c:pt>
                <c:pt idx="27">
                  <c:v>1280.9999999999998</c:v>
                </c:pt>
                <c:pt idx="28">
                  <c:v>1280.9999999999998</c:v>
                </c:pt>
                <c:pt idx="29">
                  <c:v>1308.9999999999998</c:v>
                </c:pt>
                <c:pt idx="30">
                  <c:v>1336.9999999999998</c:v>
                </c:pt>
                <c:pt idx="31">
                  <c:v>1364.9999999999998</c:v>
                </c:pt>
                <c:pt idx="32">
                  <c:v>1392.9999999999998</c:v>
                </c:pt>
                <c:pt idx="33">
                  <c:v>1420.9999999999998</c:v>
                </c:pt>
                <c:pt idx="34">
                  <c:v>1420.9999999999998</c:v>
                </c:pt>
                <c:pt idx="35">
                  <c:v>1546.9999999999998</c:v>
                </c:pt>
                <c:pt idx="36">
                  <c:v>1672.9999999999998</c:v>
                </c:pt>
                <c:pt idx="37">
                  <c:v>1798.9999999999998</c:v>
                </c:pt>
                <c:pt idx="38">
                  <c:v>1924.9999999999998</c:v>
                </c:pt>
                <c:pt idx="39">
                  <c:v>2051</c:v>
                </c:pt>
                <c:pt idx="40">
                  <c:v>2177</c:v>
                </c:pt>
                <c:pt idx="41">
                  <c:v>2303</c:v>
                </c:pt>
                <c:pt idx="42">
                  <c:v>2429</c:v>
                </c:pt>
                <c:pt idx="43">
                  <c:v>2555</c:v>
                </c:pt>
                <c:pt idx="44">
                  <c:v>2681</c:v>
                </c:pt>
                <c:pt idx="45">
                  <c:v>2681</c:v>
                </c:pt>
                <c:pt idx="46">
                  <c:v>2699</c:v>
                </c:pt>
                <c:pt idx="47">
                  <c:v>2717</c:v>
                </c:pt>
                <c:pt idx="48">
                  <c:v>2735</c:v>
                </c:pt>
                <c:pt idx="49">
                  <c:v>2753</c:v>
                </c:pt>
                <c:pt idx="50">
                  <c:v>2771</c:v>
                </c:pt>
              </c:numCache>
            </c:numRef>
          </c:xVal>
          <c:yVal>
            <c:numRef>
              <c:f>'Internal Force Diagrams'!$H$3:$H$53</c:f>
              <c:numCache>
                <c:formatCode>General</c:formatCode>
                <c:ptCount val="51"/>
                <c:pt idx="0">
                  <c:v>0</c:v>
                </c:pt>
                <c:pt idx="1">
                  <c:v>3.0383065812804165E-2</c:v>
                </c:pt>
                <c:pt idx="2">
                  <c:v>6.076613162560833E-2</c:v>
                </c:pt>
                <c:pt idx="3">
                  <c:v>9.1149197438412516E-2</c:v>
                </c:pt>
                <c:pt idx="4">
                  <c:v>0.12153226325121666</c:v>
                </c:pt>
                <c:pt idx="5">
                  <c:v>0.15191532906402083</c:v>
                </c:pt>
                <c:pt idx="6">
                  <c:v>0.182298394876825</c:v>
                </c:pt>
                <c:pt idx="7">
                  <c:v>0.21268146068962915</c:v>
                </c:pt>
                <c:pt idx="8">
                  <c:v>0.24306452650243329</c:v>
                </c:pt>
                <c:pt idx="9">
                  <c:v>0.27344759231523746</c:v>
                </c:pt>
                <c:pt idx="10">
                  <c:v>0.30383065812804166</c:v>
                </c:pt>
                <c:pt idx="11">
                  <c:v>-85.005468405125526</c:v>
                </c:pt>
                <c:pt idx="12">
                  <c:v>-84.809269261184014</c:v>
                </c:pt>
                <c:pt idx="13">
                  <c:v>-84.613070117242501</c:v>
                </c:pt>
                <c:pt idx="14">
                  <c:v>-84.416870973301002</c:v>
                </c:pt>
                <c:pt idx="15">
                  <c:v>-84.220671829359489</c:v>
                </c:pt>
                <c:pt idx="16">
                  <c:v>-84.02447268541799</c:v>
                </c:pt>
                <c:pt idx="17">
                  <c:v>-83.828273541476477</c:v>
                </c:pt>
                <c:pt idx="18">
                  <c:v>-83.632074397534979</c:v>
                </c:pt>
                <c:pt idx="19">
                  <c:v>-83.435875253593466</c:v>
                </c:pt>
                <c:pt idx="20">
                  <c:v>-83.239676109651967</c:v>
                </c:pt>
                <c:pt idx="21">
                  <c:v>-83.043476965710454</c:v>
                </c:pt>
                <c:pt idx="22">
                  <c:v>1.807884243504148</c:v>
                </c:pt>
                <c:pt idx="23">
                  <c:v>1.8634872397628754</c:v>
                </c:pt>
                <c:pt idx="24">
                  <c:v>1.9190902360216029</c:v>
                </c:pt>
                <c:pt idx="25">
                  <c:v>1.9746932322803303</c:v>
                </c:pt>
                <c:pt idx="26">
                  <c:v>2.0302962285390578</c:v>
                </c:pt>
                <c:pt idx="27">
                  <c:v>2.0858992247977852</c:v>
                </c:pt>
                <c:pt idx="28">
                  <c:v>131.87912180696605</c:v>
                </c:pt>
                <c:pt idx="29">
                  <c:v>131.93472480322481</c:v>
                </c:pt>
                <c:pt idx="30">
                  <c:v>131.99032779948351</c:v>
                </c:pt>
                <c:pt idx="31">
                  <c:v>132.04593079574227</c:v>
                </c:pt>
                <c:pt idx="32">
                  <c:v>132.10153379200096</c:v>
                </c:pt>
                <c:pt idx="33">
                  <c:v>132.15713678825969</c:v>
                </c:pt>
                <c:pt idx="34">
                  <c:v>49.737722742626076</c:v>
                </c:pt>
                <c:pt idx="35">
                  <c:v>49.987936225790364</c:v>
                </c:pt>
                <c:pt idx="36">
                  <c:v>50.238149708954623</c:v>
                </c:pt>
                <c:pt idx="37">
                  <c:v>50.488363192118882</c:v>
                </c:pt>
                <c:pt idx="38">
                  <c:v>50.738576675283142</c:v>
                </c:pt>
                <c:pt idx="39">
                  <c:v>50.988790158447429</c:v>
                </c:pt>
                <c:pt idx="40">
                  <c:v>51.239003641611717</c:v>
                </c:pt>
                <c:pt idx="41">
                  <c:v>51.489217124775976</c:v>
                </c:pt>
                <c:pt idx="42">
                  <c:v>51.739430607940236</c:v>
                </c:pt>
                <c:pt idx="43">
                  <c:v>51.989644091104495</c:v>
                </c:pt>
                <c:pt idx="44">
                  <c:v>52.239857574268783</c:v>
                </c:pt>
                <c:pt idx="45">
                  <c:v>-0.17872391654591979</c:v>
                </c:pt>
                <c:pt idx="46">
                  <c:v>-0.14297913323675004</c:v>
                </c:pt>
                <c:pt idx="47">
                  <c:v>-0.10723434992756609</c:v>
                </c:pt>
                <c:pt idx="48">
                  <c:v>-7.1489566618382128E-2</c:v>
                </c:pt>
                <c:pt idx="49">
                  <c:v>-3.5744783309198169E-2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A2-C94C-A788-D7E235540BA6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15.3</c:v>
                </c:pt>
                <c:pt idx="2">
                  <c:v>30.6</c:v>
                </c:pt>
                <c:pt idx="3">
                  <c:v>45.900000000000006</c:v>
                </c:pt>
                <c:pt idx="4">
                  <c:v>61.2</c:v>
                </c:pt>
                <c:pt idx="5">
                  <c:v>76.5</c:v>
                </c:pt>
                <c:pt idx="6">
                  <c:v>91.8</c:v>
                </c:pt>
                <c:pt idx="7">
                  <c:v>107.1</c:v>
                </c:pt>
                <c:pt idx="8">
                  <c:v>122.39999999999999</c:v>
                </c:pt>
                <c:pt idx="9">
                  <c:v>137.69999999999999</c:v>
                </c:pt>
                <c:pt idx="10">
                  <c:v>153</c:v>
                </c:pt>
                <c:pt idx="11">
                  <c:v>153</c:v>
                </c:pt>
                <c:pt idx="12">
                  <c:v>251.8</c:v>
                </c:pt>
                <c:pt idx="13">
                  <c:v>350.6</c:v>
                </c:pt>
                <c:pt idx="14">
                  <c:v>449.40000000000003</c:v>
                </c:pt>
                <c:pt idx="15">
                  <c:v>548.20000000000005</c:v>
                </c:pt>
                <c:pt idx="16">
                  <c:v>647</c:v>
                </c:pt>
                <c:pt idx="17">
                  <c:v>745.8</c:v>
                </c:pt>
                <c:pt idx="18">
                  <c:v>844.59999999999991</c:v>
                </c:pt>
                <c:pt idx="19">
                  <c:v>943.39999999999986</c:v>
                </c:pt>
                <c:pt idx="20">
                  <c:v>1042.1999999999998</c:v>
                </c:pt>
                <c:pt idx="21">
                  <c:v>1140.9999999999998</c:v>
                </c:pt>
                <c:pt idx="22">
                  <c:v>1140.9999999999998</c:v>
                </c:pt>
                <c:pt idx="23">
                  <c:v>1168.9999999999998</c:v>
                </c:pt>
                <c:pt idx="24">
                  <c:v>1196.9999999999998</c:v>
                </c:pt>
                <c:pt idx="25">
                  <c:v>1224.9999999999998</c:v>
                </c:pt>
                <c:pt idx="26">
                  <c:v>1252.9999999999998</c:v>
                </c:pt>
                <c:pt idx="27">
                  <c:v>1280.9999999999998</c:v>
                </c:pt>
                <c:pt idx="28">
                  <c:v>1280.9999999999998</c:v>
                </c:pt>
                <c:pt idx="29">
                  <c:v>1308.9999999999998</c:v>
                </c:pt>
                <c:pt idx="30">
                  <c:v>1336.9999999999998</c:v>
                </c:pt>
                <c:pt idx="31">
                  <c:v>1364.9999999999998</c:v>
                </c:pt>
                <c:pt idx="32">
                  <c:v>1392.9999999999998</c:v>
                </c:pt>
                <c:pt idx="33">
                  <c:v>1420.9999999999998</c:v>
                </c:pt>
                <c:pt idx="34">
                  <c:v>1420.9999999999998</c:v>
                </c:pt>
                <c:pt idx="35">
                  <c:v>1546.9999999999998</c:v>
                </c:pt>
                <c:pt idx="36">
                  <c:v>1672.9999999999998</c:v>
                </c:pt>
                <c:pt idx="37">
                  <c:v>1798.9999999999998</c:v>
                </c:pt>
                <c:pt idx="38">
                  <c:v>1924.9999999999998</c:v>
                </c:pt>
                <c:pt idx="39">
                  <c:v>2051</c:v>
                </c:pt>
                <c:pt idx="40">
                  <c:v>2177</c:v>
                </c:pt>
                <c:pt idx="41">
                  <c:v>2303</c:v>
                </c:pt>
                <c:pt idx="42">
                  <c:v>2429</c:v>
                </c:pt>
                <c:pt idx="43">
                  <c:v>2555</c:v>
                </c:pt>
                <c:pt idx="44">
                  <c:v>2681</c:v>
                </c:pt>
                <c:pt idx="45">
                  <c:v>2681</c:v>
                </c:pt>
                <c:pt idx="46">
                  <c:v>2699</c:v>
                </c:pt>
                <c:pt idx="47">
                  <c:v>2717</c:v>
                </c:pt>
                <c:pt idx="48">
                  <c:v>2735</c:v>
                </c:pt>
                <c:pt idx="49">
                  <c:v>2753</c:v>
                </c:pt>
                <c:pt idx="50">
                  <c:v>2771</c:v>
                </c:pt>
              </c:numCache>
            </c:numRef>
          </c:xVal>
          <c:yVal>
            <c:numRef>
              <c:f>'Internal Force Diagrams'!$M$3:$M$53</c:f>
              <c:numCache>
                <c:formatCode>General</c:formatCode>
                <c:ptCount val="51"/>
                <c:pt idx="0">
                  <c:v>0</c:v>
                </c:pt>
                <c:pt idx="1">
                  <c:v>-3.0383065812804165E-2</c:v>
                </c:pt>
                <c:pt idx="2">
                  <c:v>-6.076613162560833E-2</c:v>
                </c:pt>
                <c:pt idx="3">
                  <c:v>-9.1149197438412516E-2</c:v>
                </c:pt>
                <c:pt idx="4">
                  <c:v>-0.12153226325121666</c:v>
                </c:pt>
                <c:pt idx="5">
                  <c:v>-0.15191532906402083</c:v>
                </c:pt>
                <c:pt idx="6">
                  <c:v>-0.182298394876825</c:v>
                </c:pt>
                <c:pt idx="7">
                  <c:v>-0.21268146068962915</c:v>
                </c:pt>
                <c:pt idx="8">
                  <c:v>-0.24306452650243329</c:v>
                </c:pt>
                <c:pt idx="9">
                  <c:v>-0.27344759231523746</c:v>
                </c:pt>
                <c:pt idx="10">
                  <c:v>-0.30383065812804166</c:v>
                </c:pt>
                <c:pt idx="11">
                  <c:v>63.594172462575031</c:v>
                </c:pt>
                <c:pt idx="12">
                  <c:v>63.397973318633525</c:v>
                </c:pt>
                <c:pt idx="13">
                  <c:v>63.201774174692019</c:v>
                </c:pt>
                <c:pt idx="14">
                  <c:v>63.005575030750514</c:v>
                </c:pt>
                <c:pt idx="15">
                  <c:v>62.809375886809008</c:v>
                </c:pt>
                <c:pt idx="16">
                  <c:v>62.613176742867502</c:v>
                </c:pt>
                <c:pt idx="17">
                  <c:v>62.416977598925989</c:v>
                </c:pt>
                <c:pt idx="18">
                  <c:v>62.220778454984483</c:v>
                </c:pt>
                <c:pt idx="19">
                  <c:v>62.024579311042977</c:v>
                </c:pt>
                <c:pt idx="20">
                  <c:v>61.828380167101471</c:v>
                </c:pt>
                <c:pt idx="21">
                  <c:v>61.632181023159966</c:v>
                </c:pt>
                <c:pt idx="22">
                  <c:v>146.48354223237456</c:v>
                </c:pt>
                <c:pt idx="23">
                  <c:v>146.42793923611583</c:v>
                </c:pt>
                <c:pt idx="24">
                  <c:v>146.37233623985711</c:v>
                </c:pt>
                <c:pt idx="25">
                  <c:v>146.31673324359838</c:v>
                </c:pt>
                <c:pt idx="26">
                  <c:v>146.26113024733968</c:v>
                </c:pt>
                <c:pt idx="27">
                  <c:v>146.20552725108092</c:v>
                </c:pt>
                <c:pt idx="28">
                  <c:v>16.756938249900756</c:v>
                </c:pt>
                <c:pt idx="29">
                  <c:v>16.701335253642029</c:v>
                </c:pt>
                <c:pt idx="30">
                  <c:v>16.645732257383301</c:v>
                </c:pt>
                <c:pt idx="31">
                  <c:v>16.590129261124574</c:v>
                </c:pt>
                <c:pt idx="32">
                  <c:v>16.534526264865846</c:v>
                </c:pt>
                <c:pt idx="33">
                  <c:v>16.478923268607119</c:v>
                </c:pt>
                <c:pt idx="34">
                  <c:v>-65.940490777026497</c:v>
                </c:pt>
                <c:pt idx="35">
                  <c:v>-66.190704260190756</c:v>
                </c:pt>
                <c:pt idx="36">
                  <c:v>-66.440917743355044</c:v>
                </c:pt>
                <c:pt idx="37">
                  <c:v>-66.691131226519303</c:v>
                </c:pt>
                <c:pt idx="38">
                  <c:v>-66.941344709683577</c:v>
                </c:pt>
                <c:pt idx="39">
                  <c:v>-67.19155819284785</c:v>
                </c:pt>
                <c:pt idx="40">
                  <c:v>-67.44177167601211</c:v>
                </c:pt>
                <c:pt idx="41">
                  <c:v>-67.691985159176383</c:v>
                </c:pt>
                <c:pt idx="42">
                  <c:v>-67.942198642340657</c:v>
                </c:pt>
                <c:pt idx="43">
                  <c:v>-68.192412125504916</c:v>
                </c:pt>
                <c:pt idx="44">
                  <c:v>-68.442625608669189</c:v>
                </c:pt>
                <c:pt idx="45">
                  <c:v>0.17872391654591979</c:v>
                </c:pt>
                <c:pt idx="46">
                  <c:v>0.14297913323673583</c:v>
                </c:pt>
                <c:pt idx="47">
                  <c:v>0.10723434992755188</c:v>
                </c:pt>
                <c:pt idx="48">
                  <c:v>7.1489566618382128E-2</c:v>
                </c:pt>
                <c:pt idx="49">
                  <c:v>3.5744783309198169E-2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A2-C94C-A788-D7E235540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96064"/>
        <c:axId val="309662208"/>
      </c:scatterChart>
      <c:valAx>
        <c:axId val="3081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62208"/>
        <c:crosses val="autoZero"/>
        <c:crossBetween val="midCat"/>
      </c:valAx>
      <c:valAx>
        <c:axId val="3096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V_z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9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in x-y plane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68119716782406E-2"/>
          <c:y val="7.9650818929293113E-2"/>
          <c:w val="0.78787472191047359"/>
          <c:h val="0.867642380677641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15.3</c:v>
                </c:pt>
                <c:pt idx="2">
                  <c:v>30.6</c:v>
                </c:pt>
                <c:pt idx="3">
                  <c:v>45.900000000000006</c:v>
                </c:pt>
                <c:pt idx="4">
                  <c:v>61.2</c:v>
                </c:pt>
                <c:pt idx="5">
                  <c:v>76.5</c:v>
                </c:pt>
                <c:pt idx="6">
                  <c:v>91.8</c:v>
                </c:pt>
                <c:pt idx="7">
                  <c:v>107.1</c:v>
                </c:pt>
                <c:pt idx="8">
                  <c:v>122.39999999999999</c:v>
                </c:pt>
                <c:pt idx="9">
                  <c:v>137.69999999999999</c:v>
                </c:pt>
                <c:pt idx="10">
                  <c:v>153</c:v>
                </c:pt>
                <c:pt idx="11">
                  <c:v>153</c:v>
                </c:pt>
                <c:pt idx="12">
                  <c:v>251.8</c:v>
                </c:pt>
                <c:pt idx="13">
                  <c:v>350.6</c:v>
                </c:pt>
                <c:pt idx="14">
                  <c:v>449.40000000000003</c:v>
                </c:pt>
                <c:pt idx="15">
                  <c:v>548.20000000000005</c:v>
                </c:pt>
                <c:pt idx="16">
                  <c:v>647</c:v>
                </c:pt>
                <c:pt idx="17">
                  <c:v>745.8</c:v>
                </c:pt>
                <c:pt idx="18">
                  <c:v>844.59999999999991</c:v>
                </c:pt>
                <c:pt idx="19">
                  <c:v>943.39999999999986</c:v>
                </c:pt>
                <c:pt idx="20">
                  <c:v>1042.1999999999998</c:v>
                </c:pt>
                <c:pt idx="21">
                  <c:v>1140.9999999999998</c:v>
                </c:pt>
                <c:pt idx="22">
                  <c:v>1140.9999999999998</c:v>
                </c:pt>
                <c:pt idx="23">
                  <c:v>1168.9999999999998</c:v>
                </c:pt>
                <c:pt idx="24">
                  <c:v>1196.9999999999998</c:v>
                </c:pt>
                <c:pt idx="25">
                  <c:v>1224.9999999999998</c:v>
                </c:pt>
                <c:pt idx="26">
                  <c:v>1252.9999999999998</c:v>
                </c:pt>
                <c:pt idx="27">
                  <c:v>1280.9999999999998</c:v>
                </c:pt>
                <c:pt idx="28">
                  <c:v>1280.9999999999998</c:v>
                </c:pt>
                <c:pt idx="29">
                  <c:v>1308.9999999999998</c:v>
                </c:pt>
                <c:pt idx="30">
                  <c:v>1336.9999999999998</c:v>
                </c:pt>
                <c:pt idx="31">
                  <c:v>1364.9999999999998</c:v>
                </c:pt>
                <c:pt idx="32">
                  <c:v>1392.9999999999998</c:v>
                </c:pt>
                <c:pt idx="33">
                  <c:v>1420.9999999999998</c:v>
                </c:pt>
                <c:pt idx="34">
                  <c:v>1420.9999999999998</c:v>
                </c:pt>
                <c:pt idx="35">
                  <c:v>1546.9999999999998</c:v>
                </c:pt>
                <c:pt idx="36">
                  <c:v>1672.9999999999998</c:v>
                </c:pt>
                <c:pt idx="37">
                  <c:v>1798.9999999999998</c:v>
                </c:pt>
                <c:pt idx="38">
                  <c:v>1924.9999999999998</c:v>
                </c:pt>
                <c:pt idx="39">
                  <c:v>2051</c:v>
                </c:pt>
                <c:pt idx="40">
                  <c:v>2177</c:v>
                </c:pt>
                <c:pt idx="41">
                  <c:v>2303</c:v>
                </c:pt>
                <c:pt idx="42">
                  <c:v>2429</c:v>
                </c:pt>
                <c:pt idx="43">
                  <c:v>2555</c:v>
                </c:pt>
                <c:pt idx="44">
                  <c:v>2681</c:v>
                </c:pt>
                <c:pt idx="45">
                  <c:v>2681</c:v>
                </c:pt>
                <c:pt idx="46">
                  <c:v>2699</c:v>
                </c:pt>
                <c:pt idx="47">
                  <c:v>2717</c:v>
                </c:pt>
                <c:pt idx="48">
                  <c:v>2735</c:v>
                </c:pt>
                <c:pt idx="49">
                  <c:v>2753</c:v>
                </c:pt>
                <c:pt idx="50">
                  <c:v>2771</c:v>
                </c:pt>
              </c:numCache>
            </c:numRef>
          </c:xVal>
          <c:yVal>
            <c:numRef>
              <c:f>'Internal Force Diagrams'!$D$3:$D$53</c:f>
              <c:numCache>
                <c:formatCode>General</c:formatCode>
                <c:ptCount val="51"/>
                <c:pt idx="0">
                  <c:v>0</c:v>
                </c:pt>
                <c:pt idx="1">
                  <c:v>-6.9309000000000009E-2</c:v>
                </c:pt>
                <c:pt idx="2">
                  <c:v>-0.13861800000000002</c:v>
                </c:pt>
                <c:pt idx="3">
                  <c:v>-0.20792700000000006</c:v>
                </c:pt>
                <c:pt idx="4">
                  <c:v>-0.27723600000000004</c:v>
                </c:pt>
                <c:pt idx="5">
                  <c:v>-0.34654499999999999</c:v>
                </c:pt>
                <c:pt idx="6">
                  <c:v>-0.415854</c:v>
                </c:pt>
                <c:pt idx="7">
                  <c:v>-0.48516300000000001</c:v>
                </c:pt>
                <c:pt idx="8">
                  <c:v>-0.55447199999999996</c:v>
                </c:pt>
                <c:pt idx="9">
                  <c:v>-0.62378099999999992</c:v>
                </c:pt>
                <c:pt idx="10">
                  <c:v>-0.69308999999999998</c:v>
                </c:pt>
                <c:pt idx="11">
                  <c:v>25.884503920973085</c:v>
                </c:pt>
                <c:pt idx="12">
                  <c:v>25.436939920973085</c:v>
                </c:pt>
                <c:pt idx="13">
                  <c:v>24.989375920973085</c:v>
                </c:pt>
                <c:pt idx="14">
                  <c:v>24.541811920973085</c:v>
                </c:pt>
                <c:pt idx="15">
                  <c:v>24.094247920973086</c:v>
                </c:pt>
                <c:pt idx="16">
                  <c:v>23.646683920973086</c:v>
                </c:pt>
                <c:pt idx="17">
                  <c:v>23.199119920973086</c:v>
                </c:pt>
                <c:pt idx="18">
                  <c:v>22.751555920973086</c:v>
                </c:pt>
                <c:pt idx="19">
                  <c:v>22.303991920973086</c:v>
                </c:pt>
                <c:pt idx="20">
                  <c:v>21.856427920973086</c:v>
                </c:pt>
                <c:pt idx="21">
                  <c:v>21.408863920973086</c:v>
                </c:pt>
                <c:pt idx="22">
                  <c:v>21.408863920973086</c:v>
                </c:pt>
                <c:pt idx="23">
                  <c:v>21.282023920973089</c:v>
                </c:pt>
                <c:pt idx="24">
                  <c:v>21.155183920973087</c:v>
                </c:pt>
                <c:pt idx="25">
                  <c:v>21.028343920973086</c:v>
                </c:pt>
                <c:pt idx="26">
                  <c:v>20.901503920973088</c:v>
                </c:pt>
                <c:pt idx="27">
                  <c:v>20.774663920973087</c:v>
                </c:pt>
                <c:pt idx="28">
                  <c:v>-15.601211269898311</c:v>
                </c:pt>
                <c:pt idx="29">
                  <c:v>-15.728051269898309</c:v>
                </c:pt>
                <c:pt idx="30">
                  <c:v>-15.85489126989831</c:v>
                </c:pt>
                <c:pt idx="31">
                  <c:v>-15.981731269898312</c:v>
                </c:pt>
                <c:pt idx="32">
                  <c:v>-16.108571269898309</c:v>
                </c:pt>
                <c:pt idx="33">
                  <c:v>-16.235411269898311</c:v>
                </c:pt>
                <c:pt idx="34">
                  <c:v>-16.235411269898311</c:v>
                </c:pt>
                <c:pt idx="35">
                  <c:v>-16.80619126989831</c:v>
                </c:pt>
                <c:pt idx="36">
                  <c:v>-17.376971269898313</c:v>
                </c:pt>
                <c:pt idx="37">
                  <c:v>-17.947751269898312</c:v>
                </c:pt>
                <c:pt idx="38">
                  <c:v>-18.518531269898311</c:v>
                </c:pt>
                <c:pt idx="39">
                  <c:v>-19.08931126989831</c:v>
                </c:pt>
                <c:pt idx="40">
                  <c:v>-19.660091269898313</c:v>
                </c:pt>
                <c:pt idx="41">
                  <c:v>-20.230871269898309</c:v>
                </c:pt>
                <c:pt idx="42">
                  <c:v>-20.801651269898311</c:v>
                </c:pt>
                <c:pt idx="43">
                  <c:v>-21.372431269898314</c:v>
                </c:pt>
                <c:pt idx="44">
                  <c:v>-21.943211269898313</c:v>
                </c:pt>
                <c:pt idx="45">
                  <c:v>0.4076999999999984</c:v>
                </c:pt>
                <c:pt idx="46">
                  <c:v>0.32616000000000156</c:v>
                </c:pt>
                <c:pt idx="47">
                  <c:v>0.24462000000000117</c:v>
                </c:pt>
                <c:pt idx="48">
                  <c:v>0.16308000000000078</c:v>
                </c:pt>
                <c:pt idx="49">
                  <c:v>8.154000000000039E-2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3-E941-8136-8B12487291B1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15.3</c:v>
                </c:pt>
                <c:pt idx="2">
                  <c:v>30.6</c:v>
                </c:pt>
                <c:pt idx="3">
                  <c:v>45.900000000000006</c:v>
                </c:pt>
                <c:pt idx="4">
                  <c:v>61.2</c:v>
                </c:pt>
                <c:pt idx="5">
                  <c:v>76.5</c:v>
                </c:pt>
                <c:pt idx="6">
                  <c:v>91.8</c:v>
                </c:pt>
                <c:pt idx="7">
                  <c:v>107.1</c:v>
                </c:pt>
                <c:pt idx="8">
                  <c:v>122.39999999999999</c:v>
                </c:pt>
                <c:pt idx="9">
                  <c:v>137.69999999999999</c:v>
                </c:pt>
                <c:pt idx="10">
                  <c:v>153</c:v>
                </c:pt>
                <c:pt idx="11">
                  <c:v>153</c:v>
                </c:pt>
                <c:pt idx="12">
                  <c:v>251.8</c:v>
                </c:pt>
                <c:pt idx="13">
                  <c:v>350.6</c:v>
                </c:pt>
                <c:pt idx="14">
                  <c:v>449.40000000000003</c:v>
                </c:pt>
                <c:pt idx="15">
                  <c:v>548.20000000000005</c:v>
                </c:pt>
                <c:pt idx="16">
                  <c:v>647</c:v>
                </c:pt>
                <c:pt idx="17">
                  <c:v>745.8</c:v>
                </c:pt>
                <c:pt idx="18">
                  <c:v>844.59999999999991</c:v>
                </c:pt>
                <c:pt idx="19">
                  <c:v>943.39999999999986</c:v>
                </c:pt>
                <c:pt idx="20">
                  <c:v>1042.1999999999998</c:v>
                </c:pt>
                <c:pt idx="21">
                  <c:v>1140.9999999999998</c:v>
                </c:pt>
                <c:pt idx="22">
                  <c:v>1140.9999999999998</c:v>
                </c:pt>
                <c:pt idx="23">
                  <c:v>1168.9999999999998</c:v>
                </c:pt>
                <c:pt idx="24">
                  <c:v>1196.9999999999998</c:v>
                </c:pt>
                <c:pt idx="25">
                  <c:v>1224.9999999999998</c:v>
                </c:pt>
                <c:pt idx="26">
                  <c:v>1252.9999999999998</c:v>
                </c:pt>
                <c:pt idx="27">
                  <c:v>1280.9999999999998</c:v>
                </c:pt>
                <c:pt idx="28">
                  <c:v>1280.9999999999998</c:v>
                </c:pt>
                <c:pt idx="29">
                  <c:v>1308.9999999999998</c:v>
                </c:pt>
                <c:pt idx="30">
                  <c:v>1336.9999999999998</c:v>
                </c:pt>
                <c:pt idx="31">
                  <c:v>1364.9999999999998</c:v>
                </c:pt>
                <c:pt idx="32">
                  <c:v>1392.9999999999998</c:v>
                </c:pt>
                <c:pt idx="33">
                  <c:v>1420.9999999999998</c:v>
                </c:pt>
                <c:pt idx="34">
                  <c:v>1420.9999999999998</c:v>
                </c:pt>
                <c:pt idx="35">
                  <c:v>1546.9999999999998</c:v>
                </c:pt>
                <c:pt idx="36">
                  <c:v>1672.9999999999998</c:v>
                </c:pt>
                <c:pt idx="37">
                  <c:v>1798.9999999999998</c:v>
                </c:pt>
                <c:pt idx="38">
                  <c:v>1924.9999999999998</c:v>
                </c:pt>
                <c:pt idx="39">
                  <c:v>2051</c:v>
                </c:pt>
                <c:pt idx="40">
                  <c:v>2177</c:v>
                </c:pt>
                <c:pt idx="41">
                  <c:v>2303</c:v>
                </c:pt>
                <c:pt idx="42">
                  <c:v>2429</c:v>
                </c:pt>
                <c:pt idx="43">
                  <c:v>2555</c:v>
                </c:pt>
                <c:pt idx="44">
                  <c:v>2681</c:v>
                </c:pt>
                <c:pt idx="45">
                  <c:v>2681</c:v>
                </c:pt>
                <c:pt idx="46">
                  <c:v>2699</c:v>
                </c:pt>
                <c:pt idx="47">
                  <c:v>2717</c:v>
                </c:pt>
                <c:pt idx="48">
                  <c:v>2735</c:v>
                </c:pt>
                <c:pt idx="49">
                  <c:v>2753</c:v>
                </c:pt>
                <c:pt idx="50">
                  <c:v>2771</c:v>
                </c:pt>
              </c:numCache>
            </c:numRef>
          </c:xVal>
          <c:yVal>
            <c:numRef>
              <c:f>'Internal Force Diagrams'!$I$3:$I$53</c:f>
              <c:numCache>
                <c:formatCode>General</c:formatCode>
                <c:ptCount val="51"/>
                <c:pt idx="0">
                  <c:v>0</c:v>
                </c:pt>
                <c:pt idx="1">
                  <c:v>-6.2294516554948977E-2</c:v>
                </c:pt>
                <c:pt idx="2">
                  <c:v>-0.12458903310989795</c:v>
                </c:pt>
                <c:pt idx="3">
                  <c:v>-0.18688354966484694</c:v>
                </c:pt>
                <c:pt idx="4">
                  <c:v>-0.24917806621979591</c:v>
                </c:pt>
                <c:pt idx="5">
                  <c:v>-0.31147258277474488</c:v>
                </c:pt>
                <c:pt idx="6">
                  <c:v>-0.37376709932969382</c:v>
                </c:pt>
                <c:pt idx="7">
                  <c:v>-0.43606161588464276</c:v>
                </c:pt>
                <c:pt idx="8">
                  <c:v>-0.49835613243959176</c:v>
                </c:pt>
                <c:pt idx="9">
                  <c:v>-0.56065064899454065</c:v>
                </c:pt>
                <c:pt idx="10">
                  <c:v>-0.62294516554948975</c:v>
                </c:pt>
                <c:pt idx="11">
                  <c:v>18.043344618273121</c:v>
                </c:pt>
                <c:pt idx="12">
                  <c:v>17.641076759735277</c:v>
                </c:pt>
                <c:pt idx="13">
                  <c:v>17.238808901197437</c:v>
                </c:pt>
                <c:pt idx="14">
                  <c:v>16.836541042659597</c:v>
                </c:pt>
                <c:pt idx="15">
                  <c:v>16.434273184121757</c:v>
                </c:pt>
                <c:pt idx="16">
                  <c:v>16.032005325583917</c:v>
                </c:pt>
                <c:pt idx="17">
                  <c:v>15.629737467046077</c:v>
                </c:pt>
                <c:pt idx="18">
                  <c:v>15.227469608508237</c:v>
                </c:pt>
                <c:pt idx="19">
                  <c:v>14.825201749970397</c:v>
                </c:pt>
                <c:pt idx="20">
                  <c:v>14.422933891432557</c:v>
                </c:pt>
                <c:pt idx="21">
                  <c:v>14.020666032894717</c:v>
                </c:pt>
                <c:pt idx="22">
                  <c:v>55.405440078801867</c:v>
                </c:pt>
                <c:pt idx="23">
                  <c:v>55.291437041969282</c:v>
                </c:pt>
                <c:pt idx="24">
                  <c:v>55.177434005136689</c:v>
                </c:pt>
                <c:pt idx="25">
                  <c:v>55.063430968304104</c:v>
                </c:pt>
                <c:pt idx="26">
                  <c:v>54.949427931471519</c:v>
                </c:pt>
                <c:pt idx="27">
                  <c:v>54.835424894638933</c:v>
                </c:pt>
                <c:pt idx="28">
                  <c:v>22.225049358443172</c:v>
                </c:pt>
                <c:pt idx="29">
                  <c:v>22.111046321610587</c:v>
                </c:pt>
                <c:pt idx="30">
                  <c:v>21.997043284778002</c:v>
                </c:pt>
                <c:pt idx="31">
                  <c:v>21.883040247945416</c:v>
                </c:pt>
                <c:pt idx="32">
                  <c:v>21.769037211112828</c:v>
                </c:pt>
                <c:pt idx="33">
                  <c:v>21.655034174280242</c:v>
                </c:pt>
                <c:pt idx="34">
                  <c:v>-18.543599986278156</c:v>
                </c:pt>
                <c:pt idx="35">
                  <c:v>-19.056613652024794</c:v>
                </c:pt>
                <c:pt idx="36">
                  <c:v>-19.569627317771435</c:v>
                </c:pt>
                <c:pt idx="37">
                  <c:v>-20.082640983518072</c:v>
                </c:pt>
                <c:pt idx="38">
                  <c:v>-20.595654649264709</c:v>
                </c:pt>
                <c:pt idx="39">
                  <c:v>-21.10866831501135</c:v>
                </c:pt>
                <c:pt idx="40">
                  <c:v>-21.621681980757991</c:v>
                </c:pt>
                <c:pt idx="41">
                  <c:v>-22.134695646504628</c:v>
                </c:pt>
                <c:pt idx="42">
                  <c:v>-22.647709312251266</c:v>
                </c:pt>
                <c:pt idx="43">
                  <c:v>-23.160722977997906</c:v>
                </c:pt>
                <c:pt idx="44">
                  <c:v>-23.673736643744544</c:v>
                </c:pt>
                <c:pt idx="45">
                  <c:v>0.36643833267616799</c:v>
                </c:pt>
                <c:pt idx="46">
                  <c:v>0.29315066614093155</c:v>
                </c:pt>
                <c:pt idx="47">
                  <c:v>0.21986299960569511</c:v>
                </c:pt>
                <c:pt idx="48">
                  <c:v>0.14657533307045867</c:v>
                </c:pt>
                <c:pt idx="49">
                  <c:v>7.3287666535229334E-2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3-E941-8136-8B12487291B1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15.3</c:v>
                </c:pt>
                <c:pt idx="2">
                  <c:v>30.6</c:v>
                </c:pt>
                <c:pt idx="3">
                  <c:v>45.900000000000006</c:v>
                </c:pt>
                <c:pt idx="4">
                  <c:v>61.2</c:v>
                </c:pt>
                <c:pt idx="5">
                  <c:v>76.5</c:v>
                </c:pt>
                <c:pt idx="6">
                  <c:v>91.8</c:v>
                </c:pt>
                <c:pt idx="7">
                  <c:v>107.1</c:v>
                </c:pt>
                <c:pt idx="8">
                  <c:v>122.39999999999999</c:v>
                </c:pt>
                <c:pt idx="9">
                  <c:v>137.69999999999999</c:v>
                </c:pt>
                <c:pt idx="10">
                  <c:v>153</c:v>
                </c:pt>
                <c:pt idx="11">
                  <c:v>153</c:v>
                </c:pt>
                <c:pt idx="12">
                  <c:v>251.8</c:v>
                </c:pt>
                <c:pt idx="13">
                  <c:v>350.6</c:v>
                </c:pt>
                <c:pt idx="14">
                  <c:v>449.40000000000003</c:v>
                </c:pt>
                <c:pt idx="15">
                  <c:v>548.20000000000005</c:v>
                </c:pt>
                <c:pt idx="16">
                  <c:v>647</c:v>
                </c:pt>
                <c:pt idx="17">
                  <c:v>745.8</c:v>
                </c:pt>
                <c:pt idx="18">
                  <c:v>844.59999999999991</c:v>
                </c:pt>
                <c:pt idx="19">
                  <c:v>943.39999999999986</c:v>
                </c:pt>
                <c:pt idx="20">
                  <c:v>1042.1999999999998</c:v>
                </c:pt>
                <c:pt idx="21">
                  <c:v>1140.9999999999998</c:v>
                </c:pt>
                <c:pt idx="22">
                  <c:v>1140.9999999999998</c:v>
                </c:pt>
                <c:pt idx="23">
                  <c:v>1168.9999999999998</c:v>
                </c:pt>
                <c:pt idx="24">
                  <c:v>1196.9999999999998</c:v>
                </c:pt>
                <c:pt idx="25">
                  <c:v>1224.9999999999998</c:v>
                </c:pt>
                <c:pt idx="26">
                  <c:v>1252.9999999999998</c:v>
                </c:pt>
                <c:pt idx="27">
                  <c:v>1280.9999999999998</c:v>
                </c:pt>
                <c:pt idx="28">
                  <c:v>1280.9999999999998</c:v>
                </c:pt>
                <c:pt idx="29">
                  <c:v>1308.9999999999998</c:v>
                </c:pt>
                <c:pt idx="30">
                  <c:v>1336.9999999999998</c:v>
                </c:pt>
                <c:pt idx="31">
                  <c:v>1364.9999999999998</c:v>
                </c:pt>
                <c:pt idx="32">
                  <c:v>1392.9999999999998</c:v>
                </c:pt>
                <c:pt idx="33">
                  <c:v>1420.9999999999998</c:v>
                </c:pt>
                <c:pt idx="34">
                  <c:v>1420.9999999999998</c:v>
                </c:pt>
                <c:pt idx="35">
                  <c:v>1546.9999999999998</c:v>
                </c:pt>
                <c:pt idx="36">
                  <c:v>1672.9999999999998</c:v>
                </c:pt>
                <c:pt idx="37">
                  <c:v>1798.9999999999998</c:v>
                </c:pt>
                <c:pt idx="38">
                  <c:v>1924.9999999999998</c:v>
                </c:pt>
                <c:pt idx="39">
                  <c:v>2051</c:v>
                </c:pt>
                <c:pt idx="40">
                  <c:v>2177</c:v>
                </c:pt>
                <c:pt idx="41">
                  <c:v>2303</c:v>
                </c:pt>
                <c:pt idx="42">
                  <c:v>2429</c:v>
                </c:pt>
                <c:pt idx="43">
                  <c:v>2555</c:v>
                </c:pt>
                <c:pt idx="44">
                  <c:v>2681</c:v>
                </c:pt>
                <c:pt idx="45">
                  <c:v>2681</c:v>
                </c:pt>
                <c:pt idx="46">
                  <c:v>2699</c:v>
                </c:pt>
                <c:pt idx="47">
                  <c:v>2717</c:v>
                </c:pt>
                <c:pt idx="48">
                  <c:v>2735</c:v>
                </c:pt>
                <c:pt idx="49">
                  <c:v>2753</c:v>
                </c:pt>
                <c:pt idx="50">
                  <c:v>2771</c:v>
                </c:pt>
              </c:numCache>
            </c:numRef>
          </c:xVal>
          <c:yVal>
            <c:numRef>
              <c:f>'Internal Force Diagrams'!$N$3:$N$53</c:f>
              <c:numCache>
                <c:formatCode>General</c:formatCode>
                <c:ptCount val="51"/>
                <c:pt idx="0">
                  <c:v>0</c:v>
                </c:pt>
                <c:pt idx="1">
                  <c:v>-6.2294516554948977E-2</c:v>
                </c:pt>
                <c:pt idx="2">
                  <c:v>-0.12458903310989795</c:v>
                </c:pt>
                <c:pt idx="3">
                  <c:v>-0.18688354966484694</c:v>
                </c:pt>
                <c:pt idx="4">
                  <c:v>-0.24917806621979591</c:v>
                </c:pt>
                <c:pt idx="5">
                  <c:v>-0.31147258277474488</c:v>
                </c:pt>
                <c:pt idx="6">
                  <c:v>-0.37376709932969382</c:v>
                </c:pt>
                <c:pt idx="7">
                  <c:v>-0.43606161588464276</c:v>
                </c:pt>
                <c:pt idx="8">
                  <c:v>-0.49835613243959176</c:v>
                </c:pt>
                <c:pt idx="9">
                  <c:v>-0.56065064899454065</c:v>
                </c:pt>
                <c:pt idx="10">
                  <c:v>-0.62294516554948975</c:v>
                </c:pt>
                <c:pt idx="11">
                  <c:v>28.486331412882986</c:v>
                </c:pt>
                <c:pt idx="12">
                  <c:v>28.084063554345143</c:v>
                </c:pt>
                <c:pt idx="13">
                  <c:v>27.681795695807303</c:v>
                </c:pt>
                <c:pt idx="14">
                  <c:v>27.279527837269463</c:v>
                </c:pt>
                <c:pt idx="15">
                  <c:v>26.877259978731622</c:v>
                </c:pt>
                <c:pt idx="16">
                  <c:v>26.474992120193782</c:v>
                </c:pt>
                <c:pt idx="17">
                  <c:v>26.072724261655942</c:v>
                </c:pt>
                <c:pt idx="18">
                  <c:v>25.670456403118102</c:v>
                </c:pt>
                <c:pt idx="19">
                  <c:v>25.268188544580262</c:v>
                </c:pt>
                <c:pt idx="20">
                  <c:v>24.865920686042422</c:v>
                </c:pt>
                <c:pt idx="21">
                  <c:v>24.463652827504582</c:v>
                </c:pt>
                <c:pt idx="22">
                  <c:v>-16.921121218402568</c:v>
                </c:pt>
                <c:pt idx="23">
                  <c:v>-17.035124255235154</c:v>
                </c:pt>
                <c:pt idx="24">
                  <c:v>-17.149127292067742</c:v>
                </c:pt>
                <c:pt idx="25">
                  <c:v>-17.263130328900328</c:v>
                </c:pt>
                <c:pt idx="26">
                  <c:v>-17.377133365732913</c:v>
                </c:pt>
                <c:pt idx="27">
                  <c:v>-17.491136402565502</c:v>
                </c:pt>
                <c:pt idx="28">
                  <c:v>-50.269600967323314</c:v>
                </c:pt>
                <c:pt idx="29">
                  <c:v>-50.383604004155899</c:v>
                </c:pt>
                <c:pt idx="30">
                  <c:v>-50.497607040988484</c:v>
                </c:pt>
                <c:pt idx="31">
                  <c:v>-50.611610077821069</c:v>
                </c:pt>
                <c:pt idx="32">
                  <c:v>-50.725613114653655</c:v>
                </c:pt>
                <c:pt idx="33">
                  <c:v>-50.83961615148624</c:v>
                </c:pt>
                <c:pt idx="34">
                  <c:v>-10.640981990927841</c:v>
                </c:pt>
                <c:pt idx="35">
                  <c:v>-11.153995656674482</c:v>
                </c:pt>
                <c:pt idx="36">
                  <c:v>-11.667009322421123</c:v>
                </c:pt>
                <c:pt idx="37">
                  <c:v>-12.180022988167764</c:v>
                </c:pt>
                <c:pt idx="38">
                  <c:v>-12.693036653914398</c:v>
                </c:pt>
                <c:pt idx="39">
                  <c:v>-13.206050319661038</c:v>
                </c:pt>
                <c:pt idx="40">
                  <c:v>-13.719063985407679</c:v>
                </c:pt>
                <c:pt idx="41">
                  <c:v>-14.232077651154313</c:v>
                </c:pt>
                <c:pt idx="42">
                  <c:v>-14.745091316900954</c:v>
                </c:pt>
                <c:pt idx="43">
                  <c:v>-15.258104982647595</c:v>
                </c:pt>
                <c:pt idx="44">
                  <c:v>-15.771118648394236</c:v>
                </c:pt>
                <c:pt idx="45">
                  <c:v>0.36643833267616799</c:v>
                </c:pt>
                <c:pt idx="46">
                  <c:v>0.29315066614093865</c:v>
                </c:pt>
                <c:pt idx="47">
                  <c:v>0.21986299960570221</c:v>
                </c:pt>
                <c:pt idx="48">
                  <c:v>0.14657533307047288</c:v>
                </c:pt>
                <c:pt idx="49">
                  <c:v>7.328766653523644E-2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93-E941-8136-8B124872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96064"/>
        <c:axId val="309662208"/>
      </c:scatterChart>
      <c:valAx>
        <c:axId val="3081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62208"/>
        <c:crosses val="autoZero"/>
        <c:crossBetween val="midCat"/>
      </c:valAx>
      <c:valAx>
        <c:axId val="3096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V_y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9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Bending</a:t>
            </a:r>
            <a:r>
              <a:rPr lang="en-US" baseline="0"/>
              <a:t> moment about z-axis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15.3</c:v>
                </c:pt>
                <c:pt idx="2">
                  <c:v>30.6</c:v>
                </c:pt>
                <c:pt idx="3">
                  <c:v>45.900000000000006</c:v>
                </c:pt>
                <c:pt idx="4">
                  <c:v>61.2</c:v>
                </c:pt>
                <c:pt idx="5">
                  <c:v>76.5</c:v>
                </c:pt>
                <c:pt idx="6">
                  <c:v>91.8</c:v>
                </c:pt>
                <c:pt idx="7">
                  <c:v>107.1</c:v>
                </c:pt>
                <c:pt idx="8">
                  <c:v>122.39999999999999</c:v>
                </c:pt>
                <c:pt idx="9">
                  <c:v>137.69999999999999</c:v>
                </c:pt>
                <c:pt idx="10">
                  <c:v>153</c:v>
                </c:pt>
                <c:pt idx="11">
                  <c:v>153</c:v>
                </c:pt>
                <c:pt idx="12">
                  <c:v>251.8</c:v>
                </c:pt>
                <c:pt idx="13">
                  <c:v>350.6</c:v>
                </c:pt>
                <c:pt idx="14">
                  <c:v>449.40000000000003</c:v>
                </c:pt>
                <c:pt idx="15">
                  <c:v>548.20000000000005</c:v>
                </c:pt>
                <c:pt idx="16">
                  <c:v>647</c:v>
                </c:pt>
                <c:pt idx="17">
                  <c:v>745.8</c:v>
                </c:pt>
                <c:pt idx="18">
                  <c:v>844.59999999999991</c:v>
                </c:pt>
                <c:pt idx="19">
                  <c:v>943.39999999999986</c:v>
                </c:pt>
                <c:pt idx="20">
                  <c:v>1042.1999999999998</c:v>
                </c:pt>
                <c:pt idx="21">
                  <c:v>1140.9999999999998</c:v>
                </c:pt>
                <c:pt idx="22">
                  <c:v>1140.9999999999998</c:v>
                </c:pt>
                <c:pt idx="23">
                  <c:v>1168.9999999999998</c:v>
                </c:pt>
                <c:pt idx="24">
                  <c:v>1196.9999999999998</c:v>
                </c:pt>
                <c:pt idx="25">
                  <c:v>1224.9999999999998</c:v>
                </c:pt>
                <c:pt idx="26">
                  <c:v>1252.9999999999998</c:v>
                </c:pt>
                <c:pt idx="27">
                  <c:v>1280.9999999999998</c:v>
                </c:pt>
                <c:pt idx="28">
                  <c:v>1280.9999999999998</c:v>
                </c:pt>
                <c:pt idx="29">
                  <c:v>1308.9999999999998</c:v>
                </c:pt>
                <c:pt idx="30">
                  <c:v>1336.9999999999998</c:v>
                </c:pt>
                <c:pt idx="31">
                  <c:v>1364.9999999999998</c:v>
                </c:pt>
                <c:pt idx="32">
                  <c:v>1392.9999999999998</c:v>
                </c:pt>
                <c:pt idx="33">
                  <c:v>1420.9999999999998</c:v>
                </c:pt>
                <c:pt idx="34">
                  <c:v>1420.9999999999998</c:v>
                </c:pt>
                <c:pt idx="35">
                  <c:v>1546.9999999999998</c:v>
                </c:pt>
                <c:pt idx="36">
                  <c:v>1672.9999999999998</c:v>
                </c:pt>
                <c:pt idx="37">
                  <c:v>1798.9999999999998</c:v>
                </c:pt>
                <c:pt idx="38">
                  <c:v>1924.9999999999998</c:v>
                </c:pt>
                <c:pt idx="39">
                  <c:v>2051</c:v>
                </c:pt>
                <c:pt idx="40">
                  <c:v>2177</c:v>
                </c:pt>
                <c:pt idx="41">
                  <c:v>2303</c:v>
                </c:pt>
                <c:pt idx="42">
                  <c:v>2429</c:v>
                </c:pt>
                <c:pt idx="43">
                  <c:v>2555</c:v>
                </c:pt>
                <c:pt idx="44">
                  <c:v>2681</c:v>
                </c:pt>
                <c:pt idx="45">
                  <c:v>2681</c:v>
                </c:pt>
                <c:pt idx="46">
                  <c:v>2699</c:v>
                </c:pt>
                <c:pt idx="47">
                  <c:v>2717</c:v>
                </c:pt>
                <c:pt idx="48">
                  <c:v>2735</c:v>
                </c:pt>
                <c:pt idx="49">
                  <c:v>2753</c:v>
                </c:pt>
                <c:pt idx="50">
                  <c:v>2771</c:v>
                </c:pt>
              </c:numCache>
            </c:numRef>
          </c:xVal>
          <c:yVal>
            <c:numRef>
              <c:f>'Internal Force Diagrams'!$E$3:$E$53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-1.1768191210402474</c:v>
                </c:pt>
                <c:pt idx="13">
                  <c:v>-2.3536382420804949</c:v>
                </c:pt>
                <c:pt idx="14">
                  <c:v>-3.5304573631207425</c:v>
                </c:pt>
                <c:pt idx="15">
                  <c:v>-4.7072764841609898</c:v>
                </c:pt>
                <c:pt idx="16">
                  <c:v>-5.8840956052012361</c:v>
                </c:pt>
                <c:pt idx="17">
                  <c:v>-7.0609147262414833</c:v>
                </c:pt>
                <c:pt idx="18">
                  <c:v>-8.2377338472817296</c:v>
                </c:pt>
                <c:pt idx="19">
                  <c:v>-9.414552968321976</c:v>
                </c:pt>
                <c:pt idx="20">
                  <c:v>-10.591372089362222</c:v>
                </c:pt>
                <c:pt idx="21">
                  <c:v>-11.76819121040247</c:v>
                </c:pt>
                <c:pt idx="22">
                  <c:v>-11.76819121040247</c:v>
                </c:pt>
                <c:pt idx="23">
                  <c:v>-9.4583406064619187</c:v>
                </c:pt>
                <c:pt idx="24">
                  <c:v>-7.1484900025213678</c:v>
                </c:pt>
                <c:pt idx="25">
                  <c:v>-4.8386393985808187</c:v>
                </c:pt>
                <c:pt idx="26">
                  <c:v>-2.528788794640267</c:v>
                </c:pt>
                <c:pt idx="27">
                  <c:v>-0.21893819069971343</c:v>
                </c:pt>
                <c:pt idx="28">
                  <c:v>-0.21893819069971343</c:v>
                </c:pt>
                <c:pt idx="29">
                  <c:v>2.0962805731142788</c:v>
                </c:pt>
                <c:pt idx="30">
                  <c:v>4.4114993369282747</c:v>
                </c:pt>
                <c:pt idx="31">
                  <c:v>6.7267181007422687</c:v>
                </c:pt>
                <c:pt idx="32">
                  <c:v>9.041936864556261</c:v>
                </c:pt>
                <c:pt idx="33">
                  <c:v>11.357155628370259</c:v>
                </c:pt>
                <c:pt idx="34">
                  <c:v>11.357155628370259</c:v>
                </c:pt>
                <c:pt idx="35">
                  <c:v>10.221440065533239</c:v>
                </c:pt>
                <c:pt idx="36">
                  <c:v>9.0857245026962055</c:v>
                </c:pt>
                <c:pt idx="37">
                  <c:v>7.9500089398591811</c:v>
                </c:pt>
                <c:pt idx="38">
                  <c:v>6.8142933770221674</c:v>
                </c:pt>
                <c:pt idx="39">
                  <c:v>5.6785778141851324</c:v>
                </c:pt>
                <c:pt idx="40">
                  <c:v>4.5428622513481116</c:v>
                </c:pt>
                <c:pt idx="41">
                  <c:v>3.4071466885110766</c:v>
                </c:pt>
                <c:pt idx="42">
                  <c:v>2.27143112567407</c:v>
                </c:pt>
                <c:pt idx="43">
                  <c:v>1.135715562837035</c:v>
                </c:pt>
                <c:pt idx="44">
                  <c:v>0</c:v>
                </c:pt>
                <c:pt idx="45">
                  <c:v>0</c:v>
                </c:pt>
                <c:pt idx="46">
                  <c:v>4.6074255521943996E-15</c:v>
                </c:pt>
                <c:pt idx="47">
                  <c:v>2.3425705819590803E-14</c:v>
                </c:pt>
                <c:pt idx="48">
                  <c:v>0</c:v>
                </c:pt>
                <c:pt idx="49">
                  <c:v>4.2188474935755949E-15</c:v>
                </c:pt>
                <c:pt idx="50">
                  <c:v>-5.440092820663267E-15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1-2C4B-82D6-A7B18FB30DC0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15.3</c:v>
                </c:pt>
                <c:pt idx="2">
                  <c:v>30.6</c:v>
                </c:pt>
                <c:pt idx="3">
                  <c:v>45.900000000000006</c:v>
                </c:pt>
                <c:pt idx="4">
                  <c:v>61.2</c:v>
                </c:pt>
                <c:pt idx="5">
                  <c:v>76.5</c:v>
                </c:pt>
                <c:pt idx="6">
                  <c:v>91.8</c:v>
                </c:pt>
                <c:pt idx="7">
                  <c:v>107.1</c:v>
                </c:pt>
                <c:pt idx="8">
                  <c:v>122.39999999999999</c:v>
                </c:pt>
                <c:pt idx="9">
                  <c:v>137.69999999999999</c:v>
                </c:pt>
                <c:pt idx="10">
                  <c:v>153</c:v>
                </c:pt>
                <c:pt idx="11">
                  <c:v>153</c:v>
                </c:pt>
                <c:pt idx="12">
                  <c:v>251.8</c:v>
                </c:pt>
                <c:pt idx="13">
                  <c:v>350.6</c:v>
                </c:pt>
                <c:pt idx="14">
                  <c:v>449.40000000000003</c:v>
                </c:pt>
                <c:pt idx="15">
                  <c:v>548.20000000000005</c:v>
                </c:pt>
                <c:pt idx="16">
                  <c:v>647</c:v>
                </c:pt>
                <c:pt idx="17">
                  <c:v>745.8</c:v>
                </c:pt>
                <c:pt idx="18">
                  <c:v>844.59999999999991</c:v>
                </c:pt>
                <c:pt idx="19">
                  <c:v>943.39999999999986</c:v>
                </c:pt>
                <c:pt idx="20">
                  <c:v>1042.1999999999998</c:v>
                </c:pt>
                <c:pt idx="21">
                  <c:v>1140.9999999999998</c:v>
                </c:pt>
                <c:pt idx="22">
                  <c:v>1140.9999999999998</c:v>
                </c:pt>
                <c:pt idx="23">
                  <c:v>1168.9999999999998</c:v>
                </c:pt>
                <c:pt idx="24">
                  <c:v>1196.9999999999998</c:v>
                </c:pt>
                <c:pt idx="25">
                  <c:v>1224.9999999999998</c:v>
                </c:pt>
                <c:pt idx="26">
                  <c:v>1252.9999999999998</c:v>
                </c:pt>
                <c:pt idx="27">
                  <c:v>1280.9999999999998</c:v>
                </c:pt>
                <c:pt idx="28">
                  <c:v>1280.9999999999998</c:v>
                </c:pt>
                <c:pt idx="29">
                  <c:v>1308.9999999999998</c:v>
                </c:pt>
                <c:pt idx="30">
                  <c:v>1336.9999999999998</c:v>
                </c:pt>
                <c:pt idx="31">
                  <c:v>1364.9999999999998</c:v>
                </c:pt>
                <c:pt idx="32">
                  <c:v>1392.9999999999998</c:v>
                </c:pt>
                <c:pt idx="33">
                  <c:v>1420.9999999999998</c:v>
                </c:pt>
                <c:pt idx="34">
                  <c:v>1420.9999999999998</c:v>
                </c:pt>
                <c:pt idx="35">
                  <c:v>1546.9999999999998</c:v>
                </c:pt>
                <c:pt idx="36">
                  <c:v>1672.9999999999998</c:v>
                </c:pt>
                <c:pt idx="37">
                  <c:v>1798.9999999999998</c:v>
                </c:pt>
                <c:pt idx="38">
                  <c:v>1924.9999999999998</c:v>
                </c:pt>
                <c:pt idx="39">
                  <c:v>2051</c:v>
                </c:pt>
                <c:pt idx="40">
                  <c:v>2177</c:v>
                </c:pt>
                <c:pt idx="41">
                  <c:v>2303</c:v>
                </c:pt>
                <c:pt idx="42">
                  <c:v>2429</c:v>
                </c:pt>
                <c:pt idx="43">
                  <c:v>2555</c:v>
                </c:pt>
                <c:pt idx="44">
                  <c:v>2681</c:v>
                </c:pt>
                <c:pt idx="45">
                  <c:v>2681</c:v>
                </c:pt>
                <c:pt idx="46">
                  <c:v>2699</c:v>
                </c:pt>
                <c:pt idx="47">
                  <c:v>2717</c:v>
                </c:pt>
                <c:pt idx="48">
                  <c:v>2735</c:v>
                </c:pt>
                <c:pt idx="49">
                  <c:v>2753</c:v>
                </c:pt>
                <c:pt idx="50">
                  <c:v>2771</c:v>
                </c:pt>
              </c:numCache>
            </c:numRef>
          </c:xVal>
          <c:yVal>
            <c:numRef>
              <c:f>'Internal Force Diagrams'!$J$3:$J$53</c:f>
              <c:numCache>
                <c:formatCode>General</c:formatCode>
                <c:ptCount val="51"/>
                <c:pt idx="0">
                  <c:v>0</c:v>
                </c:pt>
                <c:pt idx="1">
                  <c:v>2.324304534679519E-4</c:v>
                </c:pt>
                <c:pt idx="2">
                  <c:v>9.2972181387180762E-4</c:v>
                </c:pt>
                <c:pt idx="3">
                  <c:v>2.0918740812115671E-3</c:v>
                </c:pt>
                <c:pt idx="4">
                  <c:v>3.7188872554872305E-3</c:v>
                </c:pt>
                <c:pt idx="5">
                  <c:v>5.8107613366987967E-3</c:v>
                </c:pt>
                <c:pt idx="6">
                  <c:v>8.3674963248462665E-3</c:v>
                </c:pt>
                <c:pt idx="7">
                  <c:v>1.1389092219929642E-2</c:v>
                </c:pt>
                <c:pt idx="8">
                  <c:v>1.4875549021948918E-2</c:v>
                </c:pt>
                <c:pt idx="9">
                  <c:v>1.8826866730904099E-2</c:v>
                </c:pt>
                <c:pt idx="10">
                  <c:v>2.3243045346795187E-2</c:v>
                </c:pt>
                <c:pt idx="11">
                  <c:v>2.3243045346795187E-2</c:v>
                </c:pt>
                <c:pt idx="12">
                  <c:v>-8.365604995368896</c:v>
                </c:pt>
                <c:pt idx="13">
                  <c:v>-16.735068560663166</c:v>
                </c:pt>
                <c:pt idx="14">
                  <c:v>-25.085147650536019</c:v>
                </c:pt>
                <c:pt idx="15">
                  <c:v>-33.415842264987447</c:v>
                </c:pt>
                <c:pt idx="16">
                  <c:v>-41.727152404017453</c:v>
                </c:pt>
                <c:pt idx="17">
                  <c:v>-50.01907806762604</c:v>
                </c:pt>
                <c:pt idx="18">
                  <c:v>-58.291619255813195</c:v>
                </c:pt>
                <c:pt idx="19">
                  <c:v>-66.544775968578932</c:v>
                </c:pt>
                <c:pt idx="20">
                  <c:v>-74.778548205923258</c:v>
                </c:pt>
                <c:pt idx="21">
                  <c:v>-82.992935967846165</c:v>
                </c:pt>
                <c:pt idx="22">
                  <c:v>-82.992935967846165</c:v>
                </c:pt>
                <c:pt idx="23">
                  <c:v>-82.941536767080407</c:v>
                </c:pt>
                <c:pt idx="24">
                  <c:v>-82.88858068241943</c:v>
                </c:pt>
                <c:pt idx="25">
                  <c:v>-82.834067713863206</c:v>
                </c:pt>
                <c:pt idx="26">
                  <c:v>-82.777997861411734</c:v>
                </c:pt>
                <c:pt idx="27">
                  <c:v>-82.720371125065014</c:v>
                </c:pt>
                <c:pt idx="28">
                  <c:v>-82.720371125065014</c:v>
                </c:pt>
                <c:pt idx="29">
                  <c:v>-79.026977272522345</c:v>
                </c:pt>
                <c:pt idx="30">
                  <c:v>-75.332026536084442</c:v>
                </c:pt>
                <c:pt idx="31">
                  <c:v>-71.635518915751277</c:v>
                </c:pt>
                <c:pt idx="32">
                  <c:v>-67.937454411522864</c:v>
                </c:pt>
                <c:pt idx="33">
                  <c:v>-64.237833023399219</c:v>
                </c:pt>
                <c:pt idx="34">
                  <c:v>-64.237833023399219</c:v>
                </c:pt>
                <c:pt idx="35">
                  <c:v>-57.955116508388969</c:v>
                </c:pt>
                <c:pt idx="36">
                  <c:v>-51.64087309450003</c:v>
                </c:pt>
                <c:pt idx="37">
                  <c:v>-45.29510278173241</c:v>
                </c:pt>
                <c:pt idx="38">
                  <c:v>-38.917805570086074</c:v>
                </c:pt>
                <c:pt idx="39">
                  <c:v>-32.508981459561049</c:v>
                </c:pt>
                <c:pt idx="40">
                  <c:v>-26.068630450157308</c:v>
                </c:pt>
                <c:pt idx="41">
                  <c:v>-19.59675254187492</c:v>
                </c:pt>
                <c:pt idx="42">
                  <c:v>-13.093347734713788</c:v>
                </c:pt>
                <c:pt idx="43">
                  <c:v>-6.5584160286739746</c:v>
                </c:pt>
                <c:pt idx="44">
                  <c:v>8.0425762445486271E-3</c:v>
                </c:pt>
                <c:pt idx="45">
                  <c:v>8.0425762445486271E-3</c:v>
                </c:pt>
                <c:pt idx="46">
                  <c:v>5.1472487965027458E-3</c:v>
                </c:pt>
                <c:pt idx="47">
                  <c:v>2.8953274480127966E-3</c:v>
                </c:pt>
                <c:pt idx="48">
                  <c:v>1.2868121991354009E-3</c:v>
                </c:pt>
                <c:pt idx="49">
                  <c:v>3.2170304977174879E-4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1-2C4B-82D6-A7B18FB30DC0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15.3</c:v>
                </c:pt>
                <c:pt idx="2">
                  <c:v>30.6</c:v>
                </c:pt>
                <c:pt idx="3">
                  <c:v>45.900000000000006</c:v>
                </c:pt>
                <c:pt idx="4">
                  <c:v>61.2</c:v>
                </c:pt>
                <c:pt idx="5">
                  <c:v>76.5</c:v>
                </c:pt>
                <c:pt idx="6">
                  <c:v>91.8</c:v>
                </c:pt>
                <c:pt idx="7">
                  <c:v>107.1</c:v>
                </c:pt>
                <c:pt idx="8">
                  <c:v>122.39999999999999</c:v>
                </c:pt>
                <c:pt idx="9">
                  <c:v>137.69999999999999</c:v>
                </c:pt>
                <c:pt idx="10">
                  <c:v>153</c:v>
                </c:pt>
                <c:pt idx="11">
                  <c:v>153</c:v>
                </c:pt>
                <c:pt idx="12">
                  <c:v>251.8</c:v>
                </c:pt>
                <c:pt idx="13">
                  <c:v>350.6</c:v>
                </c:pt>
                <c:pt idx="14">
                  <c:v>449.40000000000003</c:v>
                </c:pt>
                <c:pt idx="15">
                  <c:v>548.20000000000005</c:v>
                </c:pt>
                <c:pt idx="16">
                  <c:v>647</c:v>
                </c:pt>
                <c:pt idx="17">
                  <c:v>745.8</c:v>
                </c:pt>
                <c:pt idx="18">
                  <c:v>844.59999999999991</c:v>
                </c:pt>
                <c:pt idx="19">
                  <c:v>943.39999999999986</c:v>
                </c:pt>
                <c:pt idx="20">
                  <c:v>1042.1999999999998</c:v>
                </c:pt>
                <c:pt idx="21">
                  <c:v>1140.9999999999998</c:v>
                </c:pt>
                <c:pt idx="22">
                  <c:v>1140.9999999999998</c:v>
                </c:pt>
                <c:pt idx="23">
                  <c:v>1168.9999999999998</c:v>
                </c:pt>
                <c:pt idx="24">
                  <c:v>1196.9999999999998</c:v>
                </c:pt>
                <c:pt idx="25">
                  <c:v>1224.9999999999998</c:v>
                </c:pt>
                <c:pt idx="26">
                  <c:v>1252.9999999999998</c:v>
                </c:pt>
                <c:pt idx="27">
                  <c:v>1280.9999999999998</c:v>
                </c:pt>
                <c:pt idx="28">
                  <c:v>1280.9999999999998</c:v>
                </c:pt>
                <c:pt idx="29">
                  <c:v>1308.9999999999998</c:v>
                </c:pt>
                <c:pt idx="30">
                  <c:v>1336.9999999999998</c:v>
                </c:pt>
                <c:pt idx="31">
                  <c:v>1364.9999999999998</c:v>
                </c:pt>
                <c:pt idx="32">
                  <c:v>1392.9999999999998</c:v>
                </c:pt>
                <c:pt idx="33">
                  <c:v>1420.9999999999998</c:v>
                </c:pt>
                <c:pt idx="34">
                  <c:v>1420.9999999999998</c:v>
                </c:pt>
                <c:pt idx="35">
                  <c:v>1546.9999999999998</c:v>
                </c:pt>
                <c:pt idx="36">
                  <c:v>1672.9999999999998</c:v>
                </c:pt>
                <c:pt idx="37">
                  <c:v>1798.9999999999998</c:v>
                </c:pt>
                <c:pt idx="38">
                  <c:v>1924.9999999999998</c:v>
                </c:pt>
                <c:pt idx="39">
                  <c:v>2051</c:v>
                </c:pt>
                <c:pt idx="40">
                  <c:v>2177</c:v>
                </c:pt>
                <c:pt idx="41">
                  <c:v>2303</c:v>
                </c:pt>
                <c:pt idx="42">
                  <c:v>2429</c:v>
                </c:pt>
                <c:pt idx="43">
                  <c:v>2555</c:v>
                </c:pt>
                <c:pt idx="44">
                  <c:v>2681</c:v>
                </c:pt>
                <c:pt idx="45">
                  <c:v>2681</c:v>
                </c:pt>
                <c:pt idx="46">
                  <c:v>2699</c:v>
                </c:pt>
                <c:pt idx="47">
                  <c:v>2717</c:v>
                </c:pt>
                <c:pt idx="48">
                  <c:v>2735</c:v>
                </c:pt>
                <c:pt idx="49">
                  <c:v>2753</c:v>
                </c:pt>
                <c:pt idx="50">
                  <c:v>2771</c:v>
                </c:pt>
              </c:numCache>
            </c:numRef>
          </c:xVal>
          <c:yVal>
            <c:numRef>
              <c:f>'Internal Force Diagrams'!$O$3:$O$53</c:f>
              <c:numCache>
                <c:formatCode>General</c:formatCode>
                <c:ptCount val="51"/>
                <c:pt idx="0">
                  <c:v>0</c:v>
                </c:pt>
                <c:pt idx="1">
                  <c:v>-2.324304534679519E-4</c:v>
                </c:pt>
                <c:pt idx="2">
                  <c:v>-9.2972181387180762E-4</c:v>
                </c:pt>
                <c:pt idx="3">
                  <c:v>-2.0918740812115671E-3</c:v>
                </c:pt>
                <c:pt idx="4">
                  <c:v>-3.7188872554872305E-3</c:v>
                </c:pt>
                <c:pt idx="5">
                  <c:v>-5.8107613366987967E-3</c:v>
                </c:pt>
                <c:pt idx="6">
                  <c:v>-8.3674963248462665E-3</c:v>
                </c:pt>
                <c:pt idx="7">
                  <c:v>-1.1389092219929642E-2</c:v>
                </c:pt>
                <c:pt idx="8">
                  <c:v>-1.4875549021948918E-2</c:v>
                </c:pt>
                <c:pt idx="9">
                  <c:v>-1.8826866730904099E-2</c:v>
                </c:pt>
                <c:pt idx="10">
                  <c:v>-2.3243045346795187E-2</c:v>
                </c:pt>
                <c:pt idx="11">
                  <c:v>-2.3243045346795187E-2</c:v>
                </c:pt>
                <c:pt idx="12">
                  <c:v>6.2501689562449085</c:v>
                </c:pt>
                <c:pt idx="13">
                  <c:v>12.504196482415193</c:v>
                </c:pt>
                <c:pt idx="14">
                  <c:v>18.738839533164054</c:v>
                </c:pt>
                <c:pt idx="15">
                  <c:v>24.954098108491497</c:v>
                </c:pt>
                <c:pt idx="16">
                  <c:v>31.149972208397511</c:v>
                </c:pt>
                <c:pt idx="17">
                  <c:v>37.32646183288211</c:v>
                </c:pt>
                <c:pt idx="18">
                  <c:v>43.48356698194528</c:v>
                </c:pt>
                <c:pt idx="19">
                  <c:v>49.621287655587039</c:v>
                </c:pt>
                <c:pt idx="20">
                  <c:v>55.739623853807359</c:v>
                </c:pt>
                <c:pt idx="21">
                  <c:v>61.838575576606281</c:v>
                </c:pt>
                <c:pt idx="22">
                  <c:v>61.838575576606281</c:v>
                </c:pt>
                <c:pt idx="23">
                  <c:v>65.939336317165143</c:v>
                </c:pt>
                <c:pt idx="24">
                  <c:v>70.038540173828764</c:v>
                </c:pt>
                <c:pt idx="25">
                  <c:v>74.136187146597152</c:v>
                </c:pt>
                <c:pt idx="26">
                  <c:v>78.232277235470278</c:v>
                </c:pt>
                <c:pt idx="27">
                  <c:v>82.326810440448156</c:v>
                </c:pt>
                <c:pt idx="28">
                  <c:v>82.326810440448156</c:v>
                </c:pt>
                <c:pt idx="29">
                  <c:v>82.795226269497775</c:v>
                </c:pt>
                <c:pt idx="30">
                  <c:v>83.262085214652117</c:v>
                </c:pt>
                <c:pt idx="31">
                  <c:v>83.727387275911227</c:v>
                </c:pt>
                <c:pt idx="32">
                  <c:v>84.191132453275102</c:v>
                </c:pt>
                <c:pt idx="33">
                  <c:v>84.653320746743717</c:v>
                </c:pt>
                <c:pt idx="34">
                  <c:v>84.653320746743717</c:v>
                </c:pt>
                <c:pt idx="35">
                  <c:v>76.329055459399029</c:v>
                </c:pt>
                <c:pt idx="36">
                  <c:v>67.973263273175661</c:v>
                </c:pt>
                <c:pt idx="37">
                  <c:v>59.585944188073569</c:v>
                </c:pt>
                <c:pt idx="38">
                  <c:v>51.16709820409281</c:v>
                </c:pt>
                <c:pt idx="39">
                  <c:v>42.716725321233277</c:v>
                </c:pt>
                <c:pt idx="40">
                  <c:v>34.234825539495127</c:v>
                </c:pt>
                <c:pt idx="41">
                  <c:v>25.721398858878189</c:v>
                </c:pt>
                <c:pt idx="42">
                  <c:v>17.176445279382676</c:v>
                </c:pt>
                <c:pt idx="43">
                  <c:v>8.5999648010083973</c:v>
                </c:pt>
                <c:pt idx="44">
                  <c:v>-8.0425762445770488E-3</c:v>
                </c:pt>
                <c:pt idx="45">
                  <c:v>-8.0425762445770488E-3</c:v>
                </c:pt>
                <c:pt idx="46">
                  <c:v>-5.1472487965942282E-3</c:v>
                </c:pt>
                <c:pt idx="47">
                  <c:v>-2.8953274480536528E-3</c:v>
                </c:pt>
                <c:pt idx="48">
                  <c:v>-1.2868121991251869E-3</c:v>
                </c:pt>
                <c:pt idx="49">
                  <c:v>-3.2170304976819608E-4</c:v>
                </c:pt>
                <c:pt idx="50">
                  <c:v>2.042810365310288E-14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1-2C4B-82D6-A7B18FB3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96064"/>
        <c:axId val="309662208"/>
      </c:scatterChart>
      <c:valAx>
        <c:axId val="3081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62208"/>
        <c:crosses val="autoZero"/>
        <c:crossBetween val="midCat"/>
      </c:valAx>
      <c:valAx>
        <c:axId val="3096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M_z [kN]m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9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Bending monent about</a:t>
            </a:r>
            <a:r>
              <a:rPr lang="en-US" baseline="0"/>
              <a:t> y-axis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15.3</c:v>
                </c:pt>
                <c:pt idx="2">
                  <c:v>30.6</c:v>
                </c:pt>
                <c:pt idx="3">
                  <c:v>45.900000000000006</c:v>
                </c:pt>
                <c:pt idx="4">
                  <c:v>61.2</c:v>
                </c:pt>
                <c:pt idx="5">
                  <c:v>76.5</c:v>
                </c:pt>
                <c:pt idx="6">
                  <c:v>91.8</c:v>
                </c:pt>
                <c:pt idx="7">
                  <c:v>107.1</c:v>
                </c:pt>
                <c:pt idx="8">
                  <c:v>122.39999999999999</c:v>
                </c:pt>
                <c:pt idx="9">
                  <c:v>137.69999999999999</c:v>
                </c:pt>
                <c:pt idx="10">
                  <c:v>153</c:v>
                </c:pt>
                <c:pt idx="11">
                  <c:v>153</c:v>
                </c:pt>
                <c:pt idx="12">
                  <c:v>251.8</c:v>
                </c:pt>
                <c:pt idx="13">
                  <c:v>350.6</c:v>
                </c:pt>
                <c:pt idx="14">
                  <c:v>449.40000000000003</c:v>
                </c:pt>
                <c:pt idx="15">
                  <c:v>548.20000000000005</c:v>
                </c:pt>
                <c:pt idx="16">
                  <c:v>647</c:v>
                </c:pt>
                <c:pt idx="17">
                  <c:v>745.8</c:v>
                </c:pt>
                <c:pt idx="18">
                  <c:v>844.59999999999991</c:v>
                </c:pt>
                <c:pt idx="19">
                  <c:v>943.39999999999986</c:v>
                </c:pt>
                <c:pt idx="20">
                  <c:v>1042.1999999999998</c:v>
                </c:pt>
                <c:pt idx="21">
                  <c:v>1140.9999999999998</c:v>
                </c:pt>
                <c:pt idx="22">
                  <c:v>1140.9999999999998</c:v>
                </c:pt>
                <c:pt idx="23">
                  <c:v>1168.9999999999998</c:v>
                </c:pt>
                <c:pt idx="24">
                  <c:v>1196.9999999999998</c:v>
                </c:pt>
                <c:pt idx="25">
                  <c:v>1224.9999999999998</c:v>
                </c:pt>
                <c:pt idx="26">
                  <c:v>1252.9999999999998</c:v>
                </c:pt>
                <c:pt idx="27">
                  <c:v>1280.9999999999998</c:v>
                </c:pt>
                <c:pt idx="28">
                  <c:v>1280.9999999999998</c:v>
                </c:pt>
                <c:pt idx="29">
                  <c:v>1308.9999999999998</c:v>
                </c:pt>
                <c:pt idx="30">
                  <c:v>1336.9999999999998</c:v>
                </c:pt>
                <c:pt idx="31">
                  <c:v>1364.9999999999998</c:v>
                </c:pt>
                <c:pt idx="32">
                  <c:v>1392.9999999999998</c:v>
                </c:pt>
                <c:pt idx="33">
                  <c:v>1420.9999999999998</c:v>
                </c:pt>
                <c:pt idx="34">
                  <c:v>1420.9999999999998</c:v>
                </c:pt>
                <c:pt idx="35">
                  <c:v>1546.9999999999998</c:v>
                </c:pt>
                <c:pt idx="36">
                  <c:v>1672.9999999999998</c:v>
                </c:pt>
                <c:pt idx="37">
                  <c:v>1798.9999999999998</c:v>
                </c:pt>
                <c:pt idx="38">
                  <c:v>1924.9999999999998</c:v>
                </c:pt>
                <c:pt idx="39">
                  <c:v>2051</c:v>
                </c:pt>
                <c:pt idx="40">
                  <c:v>2177</c:v>
                </c:pt>
                <c:pt idx="41">
                  <c:v>2303</c:v>
                </c:pt>
                <c:pt idx="42">
                  <c:v>2429</c:v>
                </c:pt>
                <c:pt idx="43">
                  <c:v>2555</c:v>
                </c:pt>
                <c:pt idx="44">
                  <c:v>2681</c:v>
                </c:pt>
                <c:pt idx="45">
                  <c:v>2681</c:v>
                </c:pt>
                <c:pt idx="46">
                  <c:v>2699</c:v>
                </c:pt>
                <c:pt idx="47">
                  <c:v>2717</c:v>
                </c:pt>
                <c:pt idx="48">
                  <c:v>2735</c:v>
                </c:pt>
                <c:pt idx="49">
                  <c:v>2753</c:v>
                </c:pt>
                <c:pt idx="50">
                  <c:v>2771</c:v>
                </c:pt>
              </c:numCache>
            </c:numRef>
          </c:xVal>
          <c:yVal>
            <c:numRef>
              <c:f>'Internal Force Diagrams'!$F$3:$F$53</c:f>
              <c:numCache>
                <c:formatCode>General</c:formatCode>
                <c:ptCount val="51"/>
                <c:pt idx="0">
                  <c:v>0</c:v>
                </c:pt>
                <c:pt idx="1">
                  <c:v>-5.3021385000000005E-4</c:v>
                </c:pt>
                <c:pt idx="2">
                  <c:v>-2.1208554000000002E-3</c:v>
                </c:pt>
                <c:pt idx="3">
                  <c:v>-4.7719246500000003E-3</c:v>
                </c:pt>
                <c:pt idx="4">
                  <c:v>-8.4834216000000007E-3</c:v>
                </c:pt>
                <c:pt idx="5">
                  <c:v>-1.3255346250000001E-2</c:v>
                </c:pt>
                <c:pt idx="6">
                  <c:v>-1.9087698599999998E-2</c:v>
                </c:pt>
                <c:pt idx="7">
                  <c:v>-2.5980478650000003E-2</c:v>
                </c:pt>
                <c:pt idx="8">
                  <c:v>-3.3933686399999996E-2</c:v>
                </c:pt>
                <c:pt idx="9">
                  <c:v>-4.2947321849999998E-2</c:v>
                </c:pt>
                <c:pt idx="10">
                  <c:v>-5.3021385000000004E-2</c:v>
                </c:pt>
                <c:pt idx="11">
                  <c:v>-5.3021385000000004E-2</c:v>
                </c:pt>
                <c:pt idx="12">
                  <c:v>2.4822579407921412</c:v>
                </c:pt>
                <c:pt idx="13">
                  <c:v>4.9733179433842825</c:v>
                </c:pt>
                <c:pt idx="14">
                  <c:v>7.420158622776424</c:v>
                </c:pt>
                <c:pt idx="15">
                  <c:v>9.8227799789685655</c:v>
                </c:pt>
                <c:pt idx="16">
                  <c:v>12.181182011960704</c:v>
                </c:pt>
                <c:pt idx="17">
                  <c:v>14.495364721752845</c:v>
                </c:pt>
                <c:pt idx="18">
                  <c:v>16.765328108344985</c:v>
                </c:pt>
                <c:pt idx="19">
                  <c:v>18.991072171737123</c:v>
                </c:pt>
                <c:pt idx="20">
                  <c:v>21.172596911929261</c:v>
                </c:pt>
                <c:pt idx="21">
                  <c:v>23.309902328921403</c:v>
                </c:pt>
                <c:pt idx="22">
                  <c:v>23.309902328921403</c:v>
                </c:pt>
                <c:pt idx="23">
                  <c:v>23.907574758708652</c:v>
                </c:pt>
                <c:pt idx="24">
                  <c:v>24.501695668495898</c:v>
                </c:pt>
                <c:pt idx="25">
                  <c:v>25.092265058283143</c:v>
                </c:pt>
                <c:pt idx="26">
                  <c:v>25.679282928070393</c:v>
                </c:pt>
                <c:pt idx="27">
                  <c:v>26.262749277857637</c:v>
                </c:pt>
                <c:pt idx="28">
                  <c:v>26.262749277857637</c:v>
                </c:pt>
                <c:pt idx="29">
                  <c:v>25.824139602300484</c:v>
                </c:pt>
                <c:pt idx="30">
                  <c:v>25.381978406743332</c:v>
                </c:pt>
                <c:pt idx="31">
                  <c:v>24.936265691186172</c:v>
                </c:pt>
                <c:pt idx="32">
                  <c:v>24.487001455629027</c:v>
                </c:pt>
                <c:pt idx="33">
                  <c:v>24.03418570007187</c:v>
                </c:pt>
                <c:pt idx="34">
                  <c:v>24.03418570007187</c:v>
                </c:pt>
                <c:pt idx="35">
                  <c:v>21.952564740064687</c:v>
                </c:pt>
                <c:pt idx="36">
                  <c:v>19.799025500057503</c:v>
                </c:pt>
                <c:pt idx="37">
                  <c:v>17.573567980050303</c:v>
                </c:pt>
                <c:pt idx="38">
                  <c:v>15.276192180043129</c:v>
                </c:pt>
                <c:pt idx="39">
                  <c:v>12.906898100035932</c:v>
                </c:pt>
                <c:pt idx="40">
                  <c:v>10.465685740028746</c:v>
                </c:pt>
                <c:pt idx="41">
                  <c:v>7.9525551000215629</c:v>
                </c:pt>
                <c:pt idx="42">
                  <c:v>5.3675061800143737</c:v>
                </c:pt>
                <c:pt idx="43">
                  <c:v>2.7105389800071862</c:v>
                </c:pt>
                <c:pt idx="44">
                  <c:v>-1.8346499999992716E-2</c:v>
                </c:pt>
                <c:pt idx="45">
                  <c:v>-1.8346499999992716E-2</c:v>
                </c:pt>
                <c:pt idx="46">
                  <c:v>-1.1741759999998991E-2</c:v>
                </c:pt>
                <c:pt idx="47">
                  <c:v>-6.6047400000061041E-3</c:v>
                </c:pt>
                <c:pt idx="48">
                  <c:v>-2.9354400000067837E-3</c:v>
                </c:pt>
                <c:pt idx="49">
                  <c:v>-7.338600000015294E-4</c:v>
                </c:pt>
                <c:pt idx="50">
                  <c:v>-3.9968028886505635E-15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A-B94A-97E1-8D69C40B9E46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15.3</c:v>
                </c:pt>
                <c:pt idx="2">
                  <c:v>30.6</c:v>
                </c:pt>
                <c:pt idx="3">
                  <c:v>45.900000000000006</c:v>
                </c:pt>
                <c:pt idx="4">
                  <c:v>61.2</c:v>
                </c:pt>
                <c:pt idx="5">
                  <c:v>76.5</c:v>
                </c:pt>
                <c:pt idx="6">
                  <c:v>91.8</c:v>
                </c:pt>
                <c:pt idx="7">
                  <c:v>107.1</c:v>
                </c:pt>
                <c:pt idx="8">
                  <c:v>122.39999999999999</c:v>
                </c:pt>
                <c:pt idx="9">
                  <c:v>137.69999999999999</c:v>
                </c:pt>
                <c:pt idx="10">
                  <c:v>153</c:v>
                </c:pt>
                <c:pt idx="11">
                  <c:v>153</c:v>
                </c:pt>
                <c:pt idx="12">
                  <c:v>251.8</c:v>
                </c:pt>
                <c:pt idx="13">
                  <c:v>350.6</c:v>
                </c:pt>
                <c:pt idx="14">
                  <c:v>449.40000000000003</c:v>
                </c:pt>
                <c:pt idx="15">
                  <c:v>548.20000000000005</c:v>
                </c:pt>
                <c:pt idx="16">
                  <c:v>647</c:v>
                </c:pt>
                <c:pt idx="17">
                  <c:v>745.8</c:v>
                </c:pt>
                <c:pt idx="18">
                  <c:v>844.59999999999991</c:v>
                </c:pt>
                <c:pt idx="19">
                  <c:v>943.39999999999986</c:v>
                </c:pt>
                <c:pt idx="20">
                  <c:v>1042.1999999999998</c:v>
                </c:pt>
                <c:pt idx="21">
                  <c:v>1140.9999999999998</c:v>
                </c:pt>
                <c:pt idx="22">
                  <c:v>1140.9999999999998</c:v>
                </c:pt>
                <c:pt idx="23">
                  <c:v>1168.9999999999998</c:v>
                </c:pt>
                <c:pt idx="24">
                  <c:v>1196.9999999999998</c:v>
                </c:pt>
                <c:pt idx="25">
                  <c:v>1224.9999999999998</c:v>
                </c:pt>
                <c:pt idx="26">
                  <c:v>1252.9999999999998</c:v>
                </c:pt>
                <c:pt idx="27">
                  <c:v>1280.9999999999998</c:v>
                </c:pt>
                <c:pt idx="28">
                  <c:v>1280.9999999999998</c:v>
                </c:pt>
                <c:pt idx="29">
                  <c:v>1308.9999999999998</c:v>
                </c:pt>
                <c:pt idx="30">
                  <c:v>1336.9999999999998</c:v>
                </c:pt>
                <c:pt idx="31">
                  <c:v>1364.9999999999998</c:v>
                </c:pt>
                <c:pt idx="32">
                  <c:v>1392.9999999999998</c:v>
                </c:pt>
                <c:pt idx="33">
                  <c:v>1420.9999999999998</c:v>
                </c:pt>
                <c:pt idx="34">
                  <c:v>1420.9999999999998</c:v>
                </c:pt>
                <c:pt idx="35">
                  <c:v>1546.9999999999998</c:v>
                </c:pt>
                <c:pt idx="36">
                  <c:v>1672.9999999999998</c:v>
                </c:pt>
                <c:pt idx="37">
                  <c:v>1798.9999999999998</c:v>
                </c:pt>
                <c:pt idx="38">
                  <c:v>1924.9999999999998</c:v>
                </c:pt>
                <c:pt idx="39">
                  <c:v>2051</c:v>
                </c:pt>
                <c:pt idx="40">
                  <c:v>2177</c:v>
                </c:pt>
                <c:pt idx="41">
                  <c:v>2303</c:v>
                </c:pt>
                <c:pt idx="42">
                  <c:v>2429</c:v>
                </c:pt>
                <c:pt idx="43">
                  <c:v>2555</c:v>
                </c:pt>
                <c:pt idx="44">
                  <c:v>2681</c:v>
                </c:pt>
                <c:pt idx="45">
                  <c:v>2681</c:v>
                </c:pt>
                <c:pt idx="46">
                  <c:v>2699</c:v>
                </c:pt>
                <c:pt idx="47">
                  <c:v>2717</c:v>
                </c:pt>
                <c:pt idx="48">
                  <c:v>2735</c:v>
                </c:pt>
                <c:pt idx="49">
                  <c:v>2753</c:v>
                </c:pt>
                <c:pt idx="50">
                  <c:v>2771</c:v>
                </c:pt>
              </c:numCache>
            </c:numRef>
          </c:xVal>
          <c:yVal>
            <c:numRef>
              <c:f>'Internal Force Diagrams'!$K$3:$K$53</c:f>
              <c:numCache>
                <c:formatCode>General</c:formatCode>
                <c:ptCount val="51"/>
                <c:pt idx="0">
                  <c:v>0</c:v>
                </c:pt>
                <c:pt idx="1">
                  <c:v>2.324304534679519E-4</c:v>
                </c:pt>
                <c:pt idx="2">
                  <c:v>9.2972181387180762E-4</c:v>
                </c:pt>
                <c:pt idx="3">
                  <c:v>2.0918740812115671E-3</c:v>
                </c:pt>
                <c:pt idx="4">
                  <c:v>3.7188872554872305E-3</c:v>
                </c:pt>
                <c:pt idx="5">
                  <c:v>5.8107613366987967E-3</c:v>
                </c:pt>
                <c:pt idx="6">
                  <c:v>8.3674963248462665E-3</c:v>
                </c:pt>
                <c:pt idx="7">
                  <c:v>1.1389092219929642E-2</c:v>
                </c:pt>
                <c:pt idx="8">
                  <c:v>1.4875549021948918E-2</c:v>
                </c:pt>
                <c:pt idx="9">
                  <c:v>1.8826866730904099E-2</c:v>
                </c:pt>
                <c:pt idx="10">
                  <c:v>2.3243045346795187E-2</c:v>
                </c:pt>
                <c:pt idx="11">
                  <c:v>-4.7655305164535963E-2</c:v>
                </c:pt>
                <c:pt idx="12">
                  <c:v>1.715155110909079</c:v>
                </c:pt>
                <c:pt idx="13">
                  <c:v>3.4382214625591554</c:v>
                </c:pt>
                <c:pt idx="14">
                  <c:v>5.1215437497856939</c:v>
                </c:pt>
                <c:pt idx="15">
                  <c:v>6.7651219725886929</c:v>
                </c:pt>
                <c:pt idx="16">
                  <c:v>8.3689561309681526</c:v>
                </c:pt>
                <c:pt idx="17">
                  <c:v>9.9330462249240732</c:v>
                </c:pt>
                <c:pt idx="18">
                  <c:v>11.457392254456455</c:v>
                </c:pt>
                <c:pt idx="19">
                  <c:v>12.9419942195653</c:v>
                </c:pt>
                <c:pt idx="20">
                  <c:v>14.386852120250603</c:v>
                </c:pt>
                <c:pt idx="21">
                  <c:v>15.791965956512371</c:v>
                </c:pt>
                <c:pt idx="22">
                  <c:v>15.791965956512371</c:v>
                </c:pt>
                <c:pt idx="23">
                  <c:v>17.341722236203164</c:v>
                </c:pt>
                <c:pt idx="24">
                  <c:v>18.888286430862653</c:v>
                </c:pt>
                <c:pt idx="25">
                  <c:v>20.431658540490826</c:v>
                </c:pt>
                <c:pt idx="26">
                  <c:v>21.971838565087683</c:v>
                </c:pt>
                <c:pt idx="27">
                  <c:v>23.508826504653229</c:v>
                </c:pt>
                <c:pt idx="28">
                  <c:v>23.508826504653229</c:v>
                </c:pt>
                <c:pt idx="29">
                  <c:v>24.129531844173979</c:v>
                </c:pt>
                <c:pt idx="30">
                  <c:v>24.747045098663417</c:v>
                </c:pt>
                <c:pt idx="31">
                  <c:v>25.36136626812155</c:v>
                </c:pt>
                <c:pt idx="32">
                  <c:v>25.972495352548364</c:v>
                </c:pt>
                <c:pt idx="33">
                  <c:v>26.580432351943866</c:v>
                </c:pt>
                <c:pt idx="34">
                  <c:v>26.580432351943866</c:v>
                </c:pt>
                <c:pt idx="35">
                  <c:v>24.211618892730773</c:v>
                </c:pt>
                <c:pt idx="36">
                  <c:v>21.778165711633619</c:v>
                </c:pt>
                <c:pt idx="37">
                  <c:v>19.280072808652378</c:v>
                </c:pt>
                <c:pt idx="38">
                  <c:v>16.717340183787062</c:v>
                </c:pt>
                <c:pt idx="39">
                  <c:v>14.089967837037658</c:v>
                </c:pt>
                <c:pt idx="40">
                  <c:v>11.397955768404188</c:v>
                </c:pt>
                <c:pt idx="41">
                  <c:v>8.6413039778866576</c:v>
                </c:pt>
                <c:pt idx="42">
                  <c:v>5.8200124654850285</c:v>
                </c:pt>
                <c:pt idx="43">
                  <c:v>2.934081231199329</c:v>
                </c:pt>
                <c:pt idx="44">
                  <c:v>-1.6489724970440989E-2</c:v>
                </c:pt>
                <c:pt idx="45">
                  <c:v>-1.6489724970440989E-2</c:v>
                </c:pt>
                <c:pt idx="46">
                  <c:v>-1.0553423981072119E-2</c:v>
                </c:pt>
                <c:pt idx="47">
                  <c:v>-5.936300989361265E-3</c:v>
                </c:pt>
                <c:pt idx="48">
                  <c:v>-2.6383559952729563E-3</c:v>
                </c:pt>
                <c:pt idx="49">
                  <c:v>-6.595889988283421E-4</c:v>
                </c:pt>
                <c:pt idx="50">
                  <c:v>-2.042810365310288E-14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A-B94A-97E1-8D69C40B9E46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15.3</c:v>
                </c:pt>
                <c:pt idx="2">
                  <c:v>30.6</c:v>
                </c:pt>
                <c:pt idx="3">
                  <c:v>45.900000000000006</c:v>
                </c:pt>
                <c:pt idx="4">
                  <c:v>61.2</c:v>
                </c:pt>
                <c:pt idx="5">
                  <c:v>76.5</c:v>
                </c:pt>
                <c:pt idx="6">
                  <c:v>91.8</c:v>
                </c:pt>
                <c:pt idx="7">
                  <c:v>107.1</c:v>
                </c:pt>
                <c:pt idx="8">
                  <c:v>122.39999999999999</c:v>
                </c:pt>
                <c:pt idx="9">
                  <c:v>137.69999999999999</c:v>
                </c:pt>
                <c:pt idx="10">
                  <c:v>153</c:v>
                </c:pt>
                <c:pt idx="11">
                  <c:v>153</c:v>
                </c:pt>
                <c:pt idx="12">
                  <c:v>251.8</c:v>
                </c:pt>
                <c:pt idx="13">
                  <c:v>350.6</c:v>
                </c:pt>
                <c:pt idx="14">
                  <c:v>449.40000000000003</c:v>
                </c:pt>
                <c:pt idx="15">
                  <c:v>548.20000000000005</c:v>
                </c:pt>
                <c:pt idx="16">
                  <c:v>647</c:v>
                </c:pt>
                <c:pt idx="17">
                  <c:v>745.8</c:v>
                </c:pt>
                <c:pt idx="18">
                  <c:v>844.59999999999991</c:v>
                </c:pt>
                <c:pt idx="19">
                  <c:v>943.39999999999986</c:v>
                </c:pt>
                <c:pt idx="20">
                  <c:v>1042.1999999999998</c:v>
                </c:pt>
                <c:pt idx="21">
                  <c:v>1140.9999999999998</c:v>
                </c:pt>
                <c:pt idx="22">
                  <c:v>1140.9999999999998</c:v>
                </c:pt>
                <c:pt idx="23">
                  <c:v>1168.9999999999998</c:v>
                </c:pt>
                <c:pt idx="24">
                  <c:v>1196.9999999999998</c:v>
                </c:pt>
                <c:pt idx="25">
                  <c:v>1224.9999999999998</c:v>
                </c:pt>
                <c:pt idx="26">
                  <c:v>1252.9999999999998</c:v>
                </c:pt>
                <c:pt idx="27">
                  <c:v>1280.9999999999998</c:v>
                </c:pt>
                <c:pt idx="28">
                  <c:v>1280.9999999999998</c:v>
                </c:pt>
                <c:pt idx="29">
                  <c:v>1308.9999999999998</c:v>
                </c:pt>
                <c:pt idx="30">
                  <c:v>1336.9999999999998</c:v>
                </c:pt>
                <c:pt idx="31">
                  <c:v>1364.9999999999998</c:v>
                </c:pt>
                <c:pt idx="32">
                  <c:v>1392.9999999999998</c:v>
                </c:pt>
                <c:pt idx="33">
                  <c:v>1420.9999999999998</c:v>
                </c:pt>
                <c:pt idx="34">
                  <c:v>1420.9999999999998</c:v>
                </c:pt>
                <c:pt idx="35">
                  <c:v>1546.9999999999998</c:v>
                </c:pt>
                <c:pt idx="36">
                  <c:v>1672.9999999999998</c:v>
                </c:pt>
                <c:pt idx="37">
                  <c:v>1798.9999999999998</c:v>
                </c:pt>
                <c:pt idx="38">
                  <c:v>1924.9999999999998</c:v>
                </c:pt>
                <c:pt idx="39">
                  <c:v>2051</c:v>
                </c:pt>
                <c:pt idx="40">
                  <c:v>2177</c:v>
                </c:pt>
                <c:pt idx="41">
                  <c:v>2303</c:v>
                </c:pt>
                <c:pt idx="42">
                  <c:v>2429</c:v>
                </c:pt>
                <c:pt idx="43">
                  <c:v>2555</c:v>
                </c:pt>
                <c:pt idx="44">
                  <c:v>2681</c:v>
                </c:pt>
                <c:pt idx="45">
                  <c:v>2681</c:v>
                </c:pt>
                <c:pt idx="46">
                  <c:v>2699</c:v>
                </c:pt>
                <c:pt idx="47">
                  <c:v>2717</c:v>
                </c:pt>
                <c:pt idx="48">
                  <c:v>2735</c:v>
                </c:pt>
                <c:pt idx="49">
                  <c:v>2753</c:v>
                </c:pt>
                <c:pt idx="50">
                  <c:v>2771</c:v>
                </c:pt>
              </c:numCache>
            </c:numRef>
          </c:xVal>
          <c:yVal>
            <c:numRef>
              <c:f>'Internal Force Diagrams'!$P$3:$P$53</c:f>
              <c:numCache>
                <c:formatCode>General</c:formatCode>
                <c:ptCount val="51"/>
                <c:pt idx="0">
                  <c:v>0</c:v>
                </c:pt>
                <c:pt idx="1">
                  <c:v>-4.765530516453597E-4</c:v>
                </c:pt>
                <c:pt idx="2">
                  <c:v>-1.9062122065814388E-3</c:v>
                </c:pt>
                <c:pt idx="3">
                  <c:v>-4.2889774648082373E-3</c:v>
                </c:pt>
                <c:pt idx="4">
                  <c:v>-7.6248488263257553E-3</c:v>
                </c:pt>
                <c:pt idx="5">
                  <c:v>-1.1913826291133991E-2</c:v>
                </c:pt>
                <c:pt idx="6">
                  <c:v>-1.7155909859232946E-2</c:v>
                </c:pt>
                <c:pt idx="7">
                  <c:v>-2.3351099530622622E-2</c:v>
                </c:pt>
                <c:pt idx="8">
                  <c:v>-3.0499395305303014E-2</c:v>
                </c:pt>
                <c:pt idx="9">
                  <c:v>-3.8600797183274124E-2</c:v>
                </c:pt>
                <c:pt idx="10">
                  <c:v>-4.7655305164535963E-2</c:v>
                </c:pt>
                <c:pt idx="11">
                  <c:v>-4.7655305164535963E-2</c:v>
                </c:pt>
                <c:pt idx="12">
                  <c:v>2.7469222062165342</c:v>
                </c:pt>
                <c:pt idx="13">
                  <c:v>5.5017556531740652</c:v>
                </c:pt>
                <c:pt idx="14">
                  <c:v>8.216845035708058</c:v>
                </c:pt>
                <c:pt idx="15">
                  <c:v>10.892190353818512</c:v>
                </c:pt>
                <c:pt idx="16">
                  <c:v>13.527791607505426</c:v>
                </c:pt>
                <c:pt idx="17">
                  <c:v>16.123648796768801</c:v>
                </c:pt>
                <c:pt idx="18">
                  <c:v>18.679761921608637</c:v>
                </c:pt>
                <c:pt idx="19">
                  <c:v>21.196130982024936</c:v>
                </c:pt>
                <c:pt idx="20">
                  <c:v>23.672755978017694</c:v>
                </c:pt>
                <c:pt idx="21">
                  <c:v>26.109636909586914</c:v>
                </c:pt>
                <c:pt idx="22">
                  <c:v>26.109636909586914</c:v>
                </c:pt>
                <c:pt idx="23">
                  <c:v>25.63424947295599</c:v>
                </c:pt>
                <c:pt idx="24">
                  <c:v>25.155669951293749</c:v>
                </c:pt>
                <c:pt idx="25">
                  <c:v>24.673898344600197</c:v>
                </c:pt>
                <c:pt idx="26">
                  <c:v>24.188934652875332</c:v>
                </c:pt>
                <c:pt idx="27">
                  <c:v>23.700778876119148</c:v>
                </c:pt>
                <c:pt idx="28">
                  <c:v>23.700778876119148</c:v>
                </c:pt>
                <c:pt idx="29">
                  <c:v>22.291634006518443</c:v>
                </c:pt>
                <c:pt idx="30">
                  <c:v>20.879297051886414</c:v>
                </c:pt>
                <c:pt idx="31">
                  <c:v>19.463768012223092</c:v>
                </c:pt>
                <c:pt idx="32">
                  <c:v>18.045046887528443</c:v>
                </c:pt>
                <c:pt idx="33">
                  <c:v>16.623133677802478</c:v>
                </c:pt>
                <c:pt idx="34">
                  <c:v>16.623133677802478</c:v>
                </c:pt>
                <c:pt idx="35">
                  <c:v>15.25005008600353</c:v>
                </c:pt>
                <c:pt idx="36">
                  <c:v>13.812326772320512</c:v>
                </c:pt>
                <c:pt idx="37">
                  <c:v>12.309963736753408</c:v>
                </c:pt>
                <c:pt idx="38">
                  <c:v>10.742960979302232</c:v>
                </c:pt>
                <c:pt idx="39">
                  <c:v>9.111318499966977</c:v>
                </c:pt>
                <c:pt idx="40">
                  <c:v>7.4150362987476512</c:v>
                </c:pt>
                <c:pt idx="41">
                  <c:v>5.654114375644248</c:v>
                </c:pt>
                <c:pt idx="42">
                  <c:v>3.8285527306567744</c:v>
                </c:pt>
                <c:pt idx="43">
                  <c:v>1.9383513637852019</c:v>
                </c:pt>
                <c:pt idx="44">
                  <c:v>-1.6489724970426778E-2</c:v>
                </c:pt>
                <c:pt idx="45">
                  <c:v>-1.6489724970426778E-2</c:v>
                </c:pt>
                <c:pt idx="46">
                  <c:v>-1.0553423981093046E-2</c:v>
                </c:pt>
                <c:pt idx="47">
                  <c:v>-5.9363009893533825E-3</c:v>
                </c:pt>
                <c:pt idx="48">
                  <c:v>-2.6383559952787294E-3</c:v>
                </c:pt>
                <c:pt idx="49">
                  <c:v>-6.5958899882678779E-4</c:v>
                </c:pt>
                <c:pt idx="50">
                  <c:v>-4.2188474935755949E-15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BA-B94A-97E1-8D69C40B9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96064"/>
        <c:axId val="309662208"/>
      </c:scatterChart>
      <c:valAx>
        <c:axId val="3081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62208"/>
        <c:crosses val="autoZero"/>
        <c:crossBetween val="midCat"/>
      </c:valAx>
      <c:valAx>
        <c:axId val="3096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M_y [kN]m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9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15.3</c:v>
                </c:pt>
                <c:pt idx="2">
                  <c:v>30.6</c:v>
                </c:pt>
                <c:pt idx="3">
                  <c:v>45.900000000000006</c:v>
                </c:pt>
                <c:pt idx="4">
                  <c:v>61.2</c:v>
                </c:pt>
                <c:pt idx="5">
                  <c:v>76.5</c:v>
                </c:pt>
                <c:pt idx="6">
                  <c:v>91.8</c:v>
                </c:pt>
                <c:pt idx="7">
                  <c:v>107.1</c:v>
                </c:pt>
                <c:pt idx="8">
                  <c:v>122.39999999999999</c:v>
                </c:pt>
                <c:pt idx="9">
                  <c:v>137.69999999999999</c:v>
                </c:pt>
                <c:pt idx="10">
                  <c:v>153</c:v>
                </c:pt>
                <c:pt idx="11">
                  <c:v>153</c:v>
                </c:pt>
                <c:pt idx="12">
                  <c:v>251.8</c:v>
                </c:pt>
                <c:pt idx="13">
                  <c:v>350.6</c:v>
                </c:pt>
                <c:pt idx="14">
                  <c:v>449.40000000000003</c:v>
                </c:pt>
                <c:pt idx="15">
                  <c:v>548.20000000000005</c:v>
                </c:pt>
                <c:pt idx="16">
                  <c:v>647</c:v>
                </c:pt>
                <c:pt idx="17">
                  <c:v>745.8</c:v>
                </c:pt>
                <c:pt idx="18">
                  <c:v>844.59999999999991</c:v>
                </c:pt>
                <c:pt idx="19">
                  <c:v>943.39999999999986</c:v>
                </c:pt>
                <c:pt idx="20">
                  <c:v>1042.1999999999998</c:v>
                </c:pt>
                <c:pt idx="21">
                  <c:v>1140.9999999999998</c:v>
                </c:pt>
                <c:pt idx="22">
                  <c:v>1140.9999999999998</c:v>
                </c:pt>
                <c:pt idx="23">
                  <c:v>1168.9999999999998</c:v>
                </c:pt>
                <c:pt idx="24">
                  <c:v>1196.9999999999998</c:v>
                </c:pt>
                <c:pt idx="25">
                  <c:v>1224.9999999999998</c:v>
                </c:pt>
                <c:pt idx="26">
                  <c:v>1252.9999999999998</c:v>
                </c:pt>
                <c:pt idx="27">
                  <c:v>1280.9999999999998</c:v>
                </c:pt>
                <c:pt idx="28">
                  <c:v>1280.9999999999998</c:v>
                </c:pt>
                <c:pt idx="29">
                  <c:v>1308.9999999999998</c:v>
                </c:pt>
                <c:pt idx="30">
                  <c:v>1336.9999999999998</c:v>
                </c:pt>
                <c:pt idx="31">
                  <c:v>1364.9999999999998</c:v>
                </c:pt>
                <c:pt idx="32">
                  <c:v>1392.9999999999998</c:v>
                </c:pt>
                <c:pt idx="33">
                  <c:v>1420.9999999999998</c:v>
                </c:pt>
                <c:pt idx="34">
                  <c:v>1420.9999999999998</c:v>
                </c:pt>
                <c:pt idx="35">
                  <c:v>1546.9999999999998</c:v>
                </c:pt>
                <c:pt idx="36">
                  <c:v>1672.9999999999998</c:v>
                </c:pt>
                <c:pt idx="37">
                  <c:v>1798.9999999999998</c:v>
                </c:pt>
                <c:pt idx="38">
                  <c:v>1924.9999999999998</c:v>
                </c:pt>
                <c:pt idx="39">
                  <c:v>2051</c:v>
                </c:pt>
                <c:pt idx="40">
                  <c:v>2177</c:v>
                </c:pt>
                <c:pt idx="41">
                  <c:v>2303</c:v>
                </c:pt>
                <c:pt idx="42">
                  <c:v>2429</c:v>
                </c:pt>
                <c:pt idx="43">
                  <c:v>2555</c:v>
                </c:pt>
                <c:pt idx="44">
                  <c:v>2681</c:v>
                </c:pt>
                <c:pt idx="45">
                  <c:v>2681</c:v>
                </c:pt>
                <c:pt idx="46">
                  <c:v>2699</c:v>
                </c:pt>
                <c:pt idx="47">
                  <c:v>2717</c:v>
                </c:pt>
                <c:pt idx="48">
                  <c:v>2735</c:v>
                </c:pt>
                <c:pt idx="49">
                  <c:v>2753</c:v>
                </c:pt>
                <c:pt idx="50">
                  <c:v>2771</c:v>
                </c:pt>
              </c:numCache>
            </c:numRef>
          </c:xVal>
          <c:yVal>
            <c:numRef>
              <c:f>'Internal Force Diagrams'!$G$3:$G$53</c:f>
              <c:numCache>
                <c:formatCode>General</c:formatCode>
                <c:ptCount val="51"/>
                <c:pt idx="0">
                  <c:v>0</c:v>
                </c:pt>
                <c:pt idx="1">
                  <c:v>-1.68074325E-3</c:v>
                </c:pt>
                <c:pt idx="2">
                  <c:v>-3.3614865000000001E-3</c:v>
                </c:pt>
                <c:pt idx="3">
                  <c:v>-5.042229750000001E-3</c:v>
                </c:pt>
                <c:pt idx="4">
                  <c:v>-6.7229730000000001E-3</c:v>
                </c:pt>
                <c:pt idx="5">
                  <c:v>-8.4037162500000002E-3</c:v>
                </c:pt>
                <c:pt idx="6">
                  <c:v>-1.00844595E-2</c:v>
                </c:pt>
                <c:pt idx="7">
                  <c:v>-1.176520275E-2</c:v>
                </c:pt>
                <c:pt idx="8">
                  <c:v>-1.3445945999999999E-2</c:v>
                </c:pt>
                <c:pt idx="9">
                  <c:v>-1.512668925E-2</c:v>
                </c:pt>
                <c:pt idx="10">
                  <c:v>-1.68074325E-2</c:v>
                </c:pt>
                <c:pt idx="11">
                  <c:v>-1.68074325E-2</c:v>
                </c:pt>
                <c:pt idx="12">
                  <c:v>-2.7660859500000003E-2</c:v>
                </c:pt>
                <c:pt idx="13">
                  <c:v>-3.8514286500000001E-2</c:v>
                </c:pt>
                <c:pt idx="14">
                  <c:v>-4.9367713500000007E-2</c:v>
                </c:pt>
                <c:pt idx="15">
                  <c:v>-6.0221140500000013E-2</c:v>
                </c:pt>
                <c:pt idx="16">
                  <c:v>-7.1074567500000005E-2</c:v>
                </c:pt>
                <c:pt idx="17">
                  <c:v>-8.1927994500000004E-2</c:v>
                </c:pt>
                <c:pt idx="18">
                  <c:v>-9.2781421499999989E-2</c:v>
                </c:pt>
                <c:pt idx="19">
                  <c:v>-0.10363484849999999</c:v>
                </c:pt>
                <c:pt idx="20">
                  <c:v>-0.11448827549999999</c:v>
                </c:pt>
                <c:pt idx="21">
                  <c:v>-0.12534170249999999</c:v>
                </c:pt>
                <c:pt idx="22">
                  <c:v>10.495309575</c:v>
                </c:pt>
                <c:pt idx="23">
                  <c:v>10.492233705</c:v>
                </c:pt>
                <c:pt idx="24">
                  <c:v>10.489157835</c:v>
                </c:pt>
                <c:pt idx="25">
                  <c:v>10.486081965</c:v>
                </c:pt>
                <c:pt idx="26">
                  <c:v>10.483006095</c:v>
                </c:pt>
                <c:pt idx="27">
                  <c:v>10.479930225</c:v>
                </c:pt>
                <c:pt idx="28">
                  <c:v>10.479930225</c:v>
                </c:pt>
                <c:pt idx="29">
                  <c:v>10.476854355</c:v>
                </c:pt>
                <c:pt idx="30">
                  <c:v>10.473778485</c:v>
                </c:pt>
                <c:pt idx="31">
                  <c:v>10.470702615</c:v>
                </c:pt>
                <c:pt idx="32">
                  <c:v>10.467626745</c:v>
                </c:pt>
                <c:pt idx="33">
                  <c:v>10.464550875</c:v>
                </c:pt>
                <c:pt idx="34">
                  <c:v>0.14830087500000033</c:v>
                </c:pt>
                <c:pt idx="35">
                  <c:v>0.13445946000000042</c:v>
                </c:pt>
                <c:pt idx="36">
                  <c:v>0.12061804500000051</c:v>
                </c:pt>
                <c:pt idx="37">
                  <c:v>0.10677663000000059</c:v>
                </c:pt>
                <c:pt idx="38">
                  <c:v>9.2935215000000682E-2</c:v>
                </c:pt>
                <c:pt idx="39">
                  <c:v>7.9093800000000769E-2</c:v>
                </c:pt>
                <c:pt idx="40">
                  <c:v>6.5252385000000857E-2</c:v>
                </c:pt>
                <c:pt idx="41">
                  <c:v>5.1410970000000944E-2</c:v>
                </c:pt>
                <c:pt idx="42">
                  <c:v>3.7569555000001031E-2</c:v>
                </c:pt>
                <c:pt idx="43">
                  <c:v>2.3728139999999343E-2</c:v>
                </c:pt>
                <c:pt idx="44">
                  <c:v>9.88672499999943E-3</c:v>
                </c:pt>
                <c:pt idx="45">
                  <c:v>9.88672499999943E-3</c:v>
                </c:pt>
                <c:pt idx="46">
                  <c:v>7.9093800000009651E-3</c:v>
                </c:pt>
                <c:pt idx="47">
                  <c:v>5.9320350000007238E-3</c:v>
                </c:pt>
                <c:pt idx="48">
                  <c:v>3.9546900000004825E-3</c:v>
                </c:pt>
                <c:pt idx="49">
                  <c:v>1.9773450000002413E-3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7-6D46-9109-745CF1C03CA6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15.3</c:v>
                </c:pt>
                <c:pt idx="2">
                  <c:v>30.6</c:v>
                </c:pt>
                <c:pt idx="3">
                  <c:v>45.900000000000006</c:v>
                </c:pt>
                <c:pt idx="4">
                  <c:v>61.2</c:v>
                </c:pt>
                <c:pt idx="5">
                  <c:v>76.5</c:v>
                </c:pt>
                <c:pt idx="6">
                  <c:v>91.8</c:v>
                </c:pt>
                <c:pt idx="7">
                  <c:v>107.1</c:v>
                </c:pt>
                <c:pt idx="8">
                  <c:v>122.39999999999999</c:v>
                </c:pt>
                <c:pt idx="9">
                  <c:v>137.69999999999999</c:v>
                </c:pt>
                <c:pt idx="10">
                  <c:v>153</c:v>
                </c:pt>
                <c:pt idx="11">
                  <c:v>153</c:v>
                </c:pt>
                <c:pt idx="12">
                  <c:v>251.8</c:v>
                </c:pt>
                <c:pt idx="13">
                  <c:v>350.6</c:v>
                </c:pt>
                <c:pt idx="14">
                  <c:v>449.40000000000003</c:v>
                </c:pt>
                <c:pt idx="15">
                  <c:v>548.20000000000005</c:v>
                </c:pt>
                <c:pt idx="16">
                  <c:v>647</c:v>
                </c:pt>
                <c:pt idx="17">
                  <c:v>745.8</c:v>
                </c:pt>
                <c:pt idx="18">
                  <c:v>844.59999999999991</c:v>
                </c:pt>
                <c:pt idx="19">
                  <c:v>943.39999999999986</c:v>
                </c:pt>
                <c:pt idx="20">
                  <c:v>1042.1999999999998</c:v>
                </c:pt>
                <c:pt idx="21">
                  <c:v>1140.9999999999998</c:v>
                </c:pt>
                <c:pt idx="22">
                  <c:v>1140.9999999999998</c:v>
                </c:pt>
                <c:pt idx="23">
                  <c:v>1168.9999999999998</c:v>
                </c:pt>
                <c:pt idx="24">
                  <c:v>1196.9999999999998</c:v>
                </c:pt>
                <c:pt idx="25">
                  <c:v>1224.9999999999998</c:v>
                </c:pt>
                <c:pt idx="26">
                  <c:v>1252.9999999999998</c:v>
                </c:pt>
                <c:pt idx="27">
                  <c:v>1280.9999999999998</c:v>
                </c:pt>
                <c:pt idx="28">
                  <c:v>1280.9999999999998</c:v>
                </c:pt>
                <c:pt idx="29">
                  <c:v>1308.9999999999998</c:v>
                </c:pt>
                <c:pt idx="30">
                  <c:v>1336.9999999999998</c:v>
                </c:pt>
                <c:pt idx="31">
                  <c:v>1364.9999999999998</c:v>
                </c:pt>
                <c:pt idx="32">
                  <c:v>1392.9999999999998</c:v>
                </c:pt>
                <c:pt idx="33">
                  <c:v>1420.9999999999998</c:v>
                </c:pt>
                <c:pt idx="34">
                  <c:v>1420.9999999999998</c:v>
                </c:pt>
                <c:pt idx="35">
                  <c:v>1546.9999999999998</c:v>
                </c:pt>
                <c:pt idx="36">
                  <c:v>1672.9999999999998</c:v>
                </c:pt>
                <c:pt idx="37">
                  <c:v>1798.9999999999998</c:v>
                </c:pt>
                <c:pt idx="38">
                  <c:v>1924.9999999999998</c:v>
                </c:pt>
                <c:pt idx="39">
                  <c:v>2051</c:v>
                </c:pt>
                <c:pt idx="40">
                  <c:v>2177</c:v>
                </c:pt>
                <c:pt idx="41">
                  <c:v>2303</c:v>
                </c:pt>
                <c:pt idx="42">
                  <c:v>2429</c:v>
                </c:pt>
                <c:pt idx="43">
                  <c:v>2555</c:v>
                </c:pt>
                <c:pt idx="44">
                  <c:v>2681</c:v>
                </c:pt>
                <c:pt idx="45">
                  <c:v>2681</c:v>
                </c:pt>
                <c:pt idx="46">
                  <c:v>2699</c:v>
                </c:pt>
                <c:pt idx="47">
                  <c:v>2717</c:v>
                </c:pt>
                <c:pt idx="48">
                  <c:v>2735</c:v>
                </c:pt>
                <c:pt idx="49">
                  <c:v>2753</c:v>
                </c:pt>
                <c:pt idx="50">
                  <c:v>2771</c:v>
                </c:pt>
              </c:numCache>
            </c:numRef>
          </c:xVal>
          <c:yVal>
            <c:numRef>
              <c:f>'Internal Force Diagrams'!$L$3:$L$53</c:f>
              <c:numCache>
                <c:formatCode>General</c:formatCode>
                <c:ptCount val="51"/>
                <c:pt idx="0">
                  <c:v>0</c:v>
                </c:pt>
                <c:pt idx="1">
                  <c:v>-1.5106420264575126E-3</c:v>
                </c:pt>
                <c:pt idx="2">
                  <c:v>-3.0212840529150252E-3</c:v>
                </c:pt>
                <c:pt idx="3">
                  <c:v>-4.5319260793725384E-3</c:v>
                </c:pt>
                <c:pt idx="4">
                  <c:v>-6.0425681058300503E-3</c:v>
                </c:pt>
                <c:pt idx="5">
                  <c:v>-7.5532101322875632E-3</c:v>
                </c:pt>
                <c:pt idx="6">
                  <c:v>-9.0638521587450751E-3</c:v>
                </c:pt>
                <c:pt idx="7">
                  <c:v>-1.0574494185202588E-2</c:v>
                </c:pt>
                <c:pt idx="8">
                  <c:v>-1.2085136211660099E-2</c:v>
                </c:pt>
                <c:pt idx="9">
                  <c:v>-1.3595778238117612E-2</c:v>
                </c:pt>
                <c:pt idx="10">
                  <c:v>-1.5106420264575126E-2</c:v>
                </c:pt>
                <c:pt idx="11">
                  <c:v>-1.5106420264575126E-2</c:v>
                </c:pt>
                <c:pt idx="12">
                  <c:v>-2.4861415834117759E-2</c:v>
                </c:pt>
                <c:pt idx="13">
                  <c:v>-3.461641140366039E-2</c:v>
                </c:pt>
                <c:pt idx="14">
                  <c:v>-4.437140697320302E-2</c:v>
                </c:pt>
                <c:pt idx="15">
                  <c:v>-5.4126402542745651E-2</c:v>
                </c:pt>
                <c:pt idx="16">
                  <c:v>-6.3881398112288282E-2</c:v>
                </c:pt>
                <c:pt idx="17">
                  <c:v>-7.3636393681830906E-2</c:v>
                </c:pt>
                <c:pt idx="18">
                  <c:v>-8.3391389251373529E-2</c:v>
                </c:pt>
                <c:pt idx="19">
                  <c:v>-9.3146384820916153E-2</c:v>
                </c:pt>
                <c:pt idx="20">
                  <c:v>-0.10290138039045878</c:v>
                </c:pt>
                <c:pt idx="21">
                  <c:v>-0.11265637596000141</c:v>
                </c:pt>
                <c:pt idx="22">
                  <c:v>9.4331217600766397</c:v>
                </c:pt>
                <c:pt idx="23">
                  <c:v>9.4303571864334508</c:v>
                </c:pt>
                <c:pt idx="24">
                  <c:v>9.4275926127902601</c:v>
                </c:pt>
                <c:pt idx="25">
                  <c:v>9.4248280391470693</c:v>
                </c:pt>
                <c:pt idx="26">
                  <c:v>9.4220634655038804</c:v>
                </c:pt>
                <c:pt idx="27">
                  <c:v>9.4192988918606897</c:v>
                </c:pt>
                <c:pt idx="28">
                  <c:v>9.4192988918606897</c:v>
                </c:pt>
                <c:pt idx="29">
                  <c:v>9.416534318217499</c:v>
                </c:pt>
                <c:pt idx="30">
                  <c:v>9.4137697445743083</c:v>
                </c:pt>
                <c:pt idx="31">
                  <c:v>9.4110051709311193</c:v>
                </c:pt>
                <c:pt idx="32">
                  <c:v>9.4082405972879286</c:v>
                </c:pt>
                <c:pt idx="33">
                  <c:v>9.4054760236447379</c:v>
                </c:pt>
                <c:pt idx="34">
                  <c:v>0.1332919435109563</c:v>
                </c:pt>
                <c:pt idx="35">
                  <c:v>0.12085136211659986</c:v>
                </c:pt>
                <c:pt idx="36">
                  <c:v>0.10841078072224519</c:v>
                </c:pt>
                <c:pt idx="37">
                  <c:v>9.597019932788875E-2</c:v>
                </c:pt>
                <c:pt idx="38">
                  <c:v>8.3529617933532307E-2</c:v>
                </c:pt>
                <c:pt idx="39">
                  <c:v>7.1089036539175865E-2</c:v>
                </c:pt>
                <c:pt idx="40">
                  <c:v>5.8648455144821199E-2</c:v>
                </c:pt>
                <c:pt idx="41">
                  <c:v>4.6207873750464756E-2</c:v>
                </c:pt>
                <c:pt idx="42">
                  <c:v>3.3767292356108314E-2</c:v>
                </c:pt>
                <c:pt idx="43">
                  <c:v>2.1326710961753648E-2</c:v>
                </c:pt>
                <c:pt idx="44">
                  <c:v>8.8861295673972052E-3</c:v>
                </c:pt>
                <c:pt idx="45">
                  <c:v>8.8861295673972052E-3</c:v>
                </c:pt>
                <c:pt idx="46">
                  <c:v>7.1089036539166983E-3</c:v>
                </c:pt>
                <c:pt idx="47">
                  <c:v>5.3316777404379678E-3</c:v>
                </c:pt>
                <c:pt idx="48">
                  <c:v>3.5544518269592373E-3</c:v>
                </c:pt>
                <c:pt idx="49">
                  <c:v>1.7772259134787305E-3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A7-6D46-9109-745CF1C03CA6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15.3</c:v>
                </c:pt>
                <c:pt idx="2">
                  <c:v>30.6</c:v>
                </c:pt>
                <c:pt idx="3">
                  <c:v>45.900000000000006</c:v>
                </c:pt>
                <c:pt idx="4">
                  <c:v>61.2</c:v>
                </c:pt>
                <c:pt idx="5">
                  <c:v>76.5</c:v>
                </c:pt>
                <c:pt idx="6">
                  <c:v>91.8</c:v>
                </c:pt>
                <c:pt idx="7">
                  <c:v>107.1</c:v>
                </c:pt>
                <c:pt idx="8">
                  <c:v>122.39999999999999</c:v>
                </c:pt>
                <c:pt idx="9">
                  <c:v>137.69999999999999</c:v>
                </c:pt>
                <c:pt idx="10">
                  <c:v>153</c:v>
                </c:pt>
                <c:pt idx="11">
                  <c:v>153</c:v>
                </c:pt>
                <c:pt idx="12">
                  <c:v>251.8</c:v>
                </c:pt>
                <c:pt idx="13">
                  <c:v>350.6</c:v>
                </c:pt>
                <c:pt idx="14">
                  <c:v>449.40000000000003</c:v>
                </c:pt>
                <c:pt idx="15">
                  <c:v>548.20000000000005</c:v>
                </c:pt>
                <c:pt idx="16">
                  <c:v>647</c:v>
                </c:pt>
                <c:pt idx="17">
                  <c:v>745.8</c:v>
                </c:pt>
                <c:pt idx="18">
                  <c:v>844.59999999999991</c:v>
                </c:pt>
                <c:pt idx="19">
                  <c:v>943.39999999999986</c:v>
                </c:pt>
                <c:pt idx="20">
                  <c:v>1042.1999999999998</c:v>
                </c:pt>
                <c:pt idx="21">
                  <c:v>1140.9999999999998</c:v>
                </c:pt>
                <c:pt idx="22">
                  <c:v>1140.9999999999998</c:v>
                </c:pt>
                <c:pt idx="23">
                  <c:v>1168.9999999999998</c:v>
                </c:pt>
                <c:pt idx="24">
                  <c:v>1196.9999999999998</c:v>
                </c:pt>
                <c:pt idx="25">
                  <c:v>1224.9999999999998</c:v>
                </c:pt>
                <c:pt idx="26">
                  <c:v>1252.9999999999998</c:v>
                </c:pt>
                <c:pt idx="27">
                  <c:v>1280.9999999999998</c:v>
                </c:pt>
                <c:pt idx="28">
                  <c:v>1280.9999999999998</c:v>
                </c:pt>
                <c:pt idx="29">
                  <c:v>1308.9999999999998</c:v>
                </c:pt>
                <c:pt idx="30">
                  <c:v>1336.9999999999998</c:v>
                </c:pt>
                <c:pt idx="31">
                  <c:v>1364.9999999999998</c:v>
                </c:pt>
                <c:pt idx="32">
                  <c:v>1392.9999999999998</c:v>
                </c:pt>
                <c:pt idx="33">
                  <c:v>1420.9999999999998</c:v>
                </c:pt>
                <c:pt idx="34">
                  <c:v>1420.9999999999998</c:v>
                </c:pt>
                <c:pt idx="35">
                  <c:v>1546.9999999999998</c:v>
                </c:pt>
                <c:pt idx="36">
                  <c:v>1672.9999999999998</c:v>
                </c:pt>
                <c:pt idx="37">
                  <c:v>1798.9999999999998</c:v>
                </c:pt>
                <c:pt idx="38">
                  <c:v>1924.9999999999998</c:v>
                </c:pt>
                <c:pt idx="39">
                  <c:v>2051</c:v>
                </c:pt>
                <c:pt idx="40">
                  <c:v>2177</c:v>
                </c:pt>
                <c:pt idx="41">
                  <c:v>2303</c:v>
                </c:pt>
                <c:pt idx="42">
                  <c:v>2429</c:v>
                </c:pt>
                <c:pt idx="43">
                  <c:v>2555</c:v>
                </c:pt>
                <c:pt idx="44">
                  <c:v>2681</c:v>
                </c:pt>
                <c:pt idx="45">
                  <c:v>2681</c:v>
                </c:pt>
                <c:pt idx="46">
                  <c:v>2699</c:v>
                </c:pt>
                <c:pt idx="47">
                  <c:v>2717</c:v>
                </c:pt>
                <c:pt idx="48">
                  <c:v>2735</c:v>
                </c:pt>
                <c:pt idx="49">
                  <c:v>2753</c:v>
                </c:pt>
                <c:pt idx="50">
                  <c:v>2771</c:v>
                </c:pt>
              </c:numCache>
            </c:numRef>
          </c:xVal>
          <c:yVal>
            <c:numRef>
              <c:f>'Internal Force Diagrams'!$Q$3:$Q$53</c:f>
              <c:numCache>
                <c:formatCode>General</c:formatCode>
                <c:ptCount val="51"/>
                <c:pt idx="0">
                  <c:v>0</c:v>
                </c:pt>
                <c:pt idx="1">
                  <c:v>-1.5106420264575126E-3</c:v>
                </c:pt>
                <c:pt idx="2">
                  <c:v>-3.0212840529150252E-3</c:v>
                </c:pt>
                <c:pt idx="3">
                  <c:v>-4.5319260793725384E-3</c:v>
                </c:pt>
                <c:pt idx="4">
                  <c:v>-6.0425681058300503E-3</c:v>
                </c:pt>
                <c:pt idx="5">
                  <c:v>-7.5532101322875632E-3</c:v>
                </c:pt>
                <c:pt idx="6">
                  <c:v>-9.0638521587450751E-3</c:v>
                </c:pt>
                <c:pt idx="7">
                  <c:v>-1.0574494185202588E-2</c:v>
                </c:pt>
                <c:pt idx="8">
                  <c:v>-1.2085136211660099E-2</c:v>
                </c:pt>
                <c:pt idx="9">
                  <c:v>-1.3595778238117612E-2</c:v>
                </c:pt>
                <c:pt idx="10">
                  <c:v>-1.5106420264575126E-2</c:v>
                </c:pt>
                <c:pt idx="11">
                  <c:v>-1.5106420264575126E-2</c:v>
                </c:pt>
                <c:pt idx="12">
                  <c:v>-2.4861415834117759E-2</c:v>
                </c:pt>
                <c:pt idx="13">
                  <c:v>-3.461641140366039E-2</c:v>
                </c:pt>
                <c:pt idx="14">
                  <c:v>-4.437140697320302E-2</c:v>
                </c:pt>
                <c:pt idx="15">
                  <c:v>-5.4126402542745651E-2</c:v>
                </c:pt>
                <c:pt idx="16">
                  <c:v>-6.3881398112288282E-2</c:v>
                </c:pt>
                <c:pt idx="17">
                  <c:v>-7.3636393681830906E-2</c:v>
                </c:pt>
                <c:pt idx="18">
                  <c:v>-8.3391389251373529E-2</c:v>
                </c:pt>
                <c:pt idx="19">
                  <c:v>-9.3146384820916153E-2</c:v>
                </c:pt>
                <c:pt idx="20">
                  <c:v>-0.10290138039045878</c:v>
                </c:pt>
                <c:pt idx="21">
                  <c:v>-0.11265637596000141</c:v>
                </c:pt>
                <c:pt idx="22">
                  <c:v>9.4331217600766397</c:v>
                </c:pt>
                <c:pt idx="23">
                  <c:v>9.4303571864334508</c:v>
                </c:pt>
                <c:pt idx="24">
                  <c:v>9.4275926127902601</c:v>
                </c:pt>
                <c:pt idx="25">
                  <c:v>9.4248280391470693</c:v>
                </c:pt>
                <c:pt idx="26">
                  <c:v>9.4220634655038804</c:v>
                </c:pt>
                <c:pt idx="27">
                  <c:v>9.4192988918606897</c:v>
                </c:pt>
                <c:pt idx="28">
                  <c:v>9.4192988918606897</c:v>
                </c:pt>
                <c:pt idx="29">
                  <c:v>9.416534318217499</c:v>
                </c:pt>
                <c:pt idx="30">
                  <c:v>9.4137697445743083</c:v>
                </c:pt>
                <c:pt idx="31">
                  <c:v>9.4110051709311193</c:v>
                </c:pt>
                <c:pt idx="32">
                  <c:v>9.4082405972879286</c:v>
                </c:pt>
                <c:pt idx="33">
                  <c:v>9.4054760236447379</c:v>
                </c:pt>
                <c:pt idx="34">
                  <c:v>0.1332919435109563</c:v>
                </c:pt>
                <c:pt idx="35">
                  <c:v>0.12085136211659986</c:v>
                </c:pt>
                <c:pt idx="36">
                  <c:v>0.10841078072224519</c:v>
                </c:pt>
                <c:pt idx="37">
                  <c:v>9.597019932788875E-2</c:v>
                </c:pt>
                <c:pt idx="38">
                  <c:v>8.3529617933532307E-2</c:v>
                </c:pt>
                <c:pt idx="39">
                  <c:v>7.1089036539175865E-2</c:v>
                </c:pt>
                <c:pt idx="40">
                  <c:v>5.8648455144821199E-2</c:v>
                </c:pt>
                <c:pt idx="41">
                  <c:v>4.6207873750464756E-2</c:v>
                </c:pt>
                <c:pt idx="42">
                  <c:v>3.3767292356108314E-2</c:v>
                </c:pt>
                <c:pt idx="43">
                  <c:v>2.1326710961753648E-2</c:v>
                </c:pt>
                <c:pt idx="44">
                  <c:v>8.8861295673972052E-3</c:v>
                </c:pt>
                <c:pt idx="45">
                  <c:v>8.8861295673972052E-3</c:v>
                </c:pt>
                <c:pt idx="46">
                  <c:v>7.1089036539166983E-3</c:v>
                </c:pt>
                <c:pt idx="47">
                  <c:v>5.3316777404379678E-3</c:v>
                </c:pt>
                <c:pt idx="48">
                  <c:v>3.5544518269592373E-3</c:v>
                </c:pt>
                <c:pt idx="49">
                  <c:v>1.7772259134787305E-3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A7-6D46-9109-745CF1C03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96064"/>
        <c:axId val="309662208"/>
      </c:scatterChart>
      <c:valAx>
        <c:axId val="3081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62208"/>
        <c:crosses val="autoZero"/>
        <c:crossBetween val="midCat"/>
      </c:valAx>
      <c:valAx>
        <c:axId val="3096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[kN]m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9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6B0441-A85C-9A43-B0DD-9A9D9471CAF3}">
  <sheetPr/>
  <sheetViews>
    <sheetView zoomScale="1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0B27A9-990B-FA40-98E1-0FA7A6EB5C8C}">
  <sheetPr/>
  <sheetViews>
    <sheetView zoomScale="17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AF1824-0261-F348-B04B-874379B3562E}">
  <sheetPr/>
  <sheetViews>
    <sheetView zoomScale="17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B304B3-0832-0745-98D4-1F5129EC8C7C}">
  <sheetPr/>
  <sheetViews>
    <sheetView zoomScale="17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123D03-7BF4-6543-8BBC-CDC530A025C8}">
  <sheetPr/>
  <sheetViews>
    <sheetView zoomScale="1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603" cy="60732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BC4C7-472D-3E4B-9933-A6677CF1B4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603" cy="60732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A342C-C4A4-8943-A548-B10AD8F4F6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603" cy="60732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47263-DE93-5A41-BDB4-F912F61106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603" cy="60732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843FD-8AFC-D543-9722-1E564CD7CF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603" cy="60732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57833-F082-5F48-AC50-90C12C5AD3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1F1C-63E9-8745-A134-813A3309BB21}">
  <dimension ref="A1:D21"/>
  <sheetViews>
    <sheetView showGridLines="0" tabSelected="1" workbookViewId="0">
      <selection activeCell="C15" sqref="C15"/>
    </sheetView>
  </sheetViews>
  <sheetFormatPr baseColWidth="10" defaultRowHeight="34" customHeight="1" x14ac:dyDescent="0.2"/>
  <cols>
    <col min="1" max="1" width="32.83203125" style="3" customWidth="1"/>
    <col min="2" max="4" width="10.83203125" style="3"/>
  </cols>
  <sheetData>
    <row r="1" spans="1:4" ht="34" customHeight="1" thickBot="1" x14ac:dyDescent="0.25">
      <c r="A1" s="1" t="s">
        <v>0</v>
      </c>
      <c r="B1" s="4" t="s">
        <v>1</v>
      </c>
      <c r="C1" s="4" t="s">
        <v>2</v>
      </c>
      <c r="D1" s="4" t="s">
        <v>3</v>
      </c>
    </row>
    <row r="2" spans="1:4" ht="34" customHeight="1" thickBot="1" x14ac:dyDescent="0.25">
      <c r="A2" s="2" t="s">
        <v>4</v>
      </c>
      <c r="B2" s="5" t="s">
        <v>32</v>
      </c>
      <c r="C2" s="7">
        <v>0.54700000000000004</v>
      </c>
      <c r="D2" s="7" t="s">
        <v>5</v>
      </c>
    </row>
    <row r="3" spans="1:4" ht="34" customHeight="1" thickBot="1" x14ac:dyDescent="0.25">
      <c r="A3" s="2" t="s">
        <v>6</v>
      </c>
      <c r="B3" s="5" t="s">
        <v>33</v>
      </c>
      <c r="C3" s="41">
        <v>2.7709999999999999</v>
      </c>
      <c r="D3" s="7" t="s">
        <v>5</v>
      </c>
    </row>
    <row r="4" spans="1:4" ht="34" customHeight="1" thickBot="1" x14ac:dyDescent="0.25">
      <c r="A4" s="2" t="s">
        <v>7</v>
      </c>
      <c r="B4" s="5" t="s">
        <v>34</v>
      </c>
      <c r="C4" s="7">
        <v>0.153</v>
      </c>
      <c r="D4" s="7" t="s">
        <v>5</v>
      </c>
    </row>
    <row r="5" spans="1:4" ht="34" customHeight="1" thickBot="1" x14ac:dyDescent="0.25">
      <c r="A5" s="2" t="s">
        <v>8</v>
      </c>
      <c r="B5" s="5" t="s">
        <v>35</v>
      </c>
      <c r="C5" s="41">
        <v>1.2809999999999999</v>
      </c>
      <c r="D5" s="7" t="s">
        <v>5</v>
      </c>
    </row>
    <row r="6" spans="1:4" ht="34" customHeight="1" thickBot="1" x14ac:dyDescent="0.25">
      <c r="A6" s="2" t="s">
        <v>9</v>
      </c>
      <c r="B6" s="5" t="s">
        <v>36</v>
      </c>
      <c r="C6" s="41">
        <v>2.681</v>
      </c>
      <c r="D6" s="7" t="s">
        <v>5</v>
      </c>
    </row>
    <row r="7" spans="1:4" ht="34" customHeight="1" thickBot="1" x14ac:dyDescent="0.25">
      <c r="A7" s="2" t="s">
        <v>10</v>
      </c>
      <c r="B7" s="5" t="s">
        <v>37</v>
      </c>
      <c r="C7" s="7">
        <v>28</v>
      </c>
      <c r="D7" s="7" t="s">
        <v>11</v>
      </c>
    </row>
    <row r="8" spans="1:4" ht="34" customHeight="1" thickBot="1" x14ac:dyDescent="0.25">
      <c r="A8" s="2" t="s">
        <v>12</v>
      </c>
      <c r="B8" s="5" t="s">
        <v>13</v>
      </c>
      <c r="C8" s="7">
        <v>22.5</v>
      </c>
      <c r="D8" s="7" t="s">
        <v>11</v>
      </c>
    </row>
    <row r="9" spans="1:4" ht="34" customHeight="1" thickBot="1" x14ac:dyDescent="0.25">
      <c r="A9" s="2" t="s">
        <v>14</v>
      </c>
      <c r="B9" s="5" t="s">
        <v>38</v>
      </c>
      <c r="C9" s="7">
        <v>1.1000000000000001</v>
      </c>
      <c r="D9" s="7" t="s">
        <v>15</v>
      </c>
    </row>
    <row r="10" spans="1:4" ht="34" customHeight="1" thickBot="1" x14ac:dyDescent="0.25">
      <c r="A10" s="2" t="s">
        <v>16</v>
      </c>
      <c r="B10" s="5" t="s">
        <v>39</v>
      </c>
      <c r="C10" s="7">
        <v>2.9</v>
      </c>
      <c r="D10" s="7" t="s">
        <v>15</v>
      </c>
    </row>
    <row r="11" spans="1:4" ht="34" customHeight="1" thickBot="1" x14ac:dyDescent="0.25">
      <c r="A11" s="2" t="s">
        <v>17</v>
      </c>
      <c r="B11" s="5" t="s">
        <v>40</v>
      </c>
      <c r="C11" s="7">
        <v>1.2</v>
      </c>
      <c r="D11" s="7" t="s">
        <v>15</v>
      </c>
    </row>
    <row r="12" spans="1:4" ht="34" customHeight="1" thickBot="1" x14ac:dyDescent="0.25">
      <c r="A12" s="2" t="s">
        <v>18</v>
      </c>
      <c r="B12" s="5" t="s">
        <v>41</v>
      </c>
      <c r="C12" s="7">
        <v>1.5</v>
      </c>
      <c r="D12" s="7" t="s">
        <v>11</v>
      </c>
    </row>
    <row r="13" spans="1:4" ht="34" customHeight="1" thickBot="1" x14ac:dyDescent="0.25">
      <c r="A13" s="2" t="s">
        <v>19</v>
      </c>
      <c r="B13" s="5" t="s">
        <v>42</v>
      </c>
      <c r="C13" s="7">
        <v>2</v>
      </c>
      <c r="D13" s="7" t="s">
        <v>11</v>
      </c>
    </row>
    <row r="14" spans="1:4" ht="34" customHeight="1" thickBot="1" x14ac:dyDescent="0.25">
      <c r="A14" s="2" t="s">
        <v>20</v>
      </c>
      <c r="B14" s="5" t="s">
        <v>43</v>
      </c>
      <c r="C14" s="7">
        <v>17</v>
      </c>
      <c r="D14" s="7" t="s">
        <v>21</v>
      </c>
    </row>
    <row r="15" spans="1:4" ht="34" customHeight="1" thickBot="1" x14ac:dyDescent="0.25">
      <c r="A15" s="2" t="s">
        <v>22</v>
      </c>
      <c r="B15" s="5" t="s">
        <v>44</v>
      </c>
      <c r="C15" s="7">
        <v>1.103</v>
      </c>
      <c r="D15" s="7" t="s">
        <v>11</v>
      </c>
    </row>
    <row r="16" spans="1:4" ht="34" customHeight="1" thickBot="1" x14ac:dyDescent="0.25">
      <c r="A16" s="2" t="s">
        <v>23</v>
      </c>
      <c r="B16" s="5" t="s">
        <v>45</v>
      </c>
      <c r="C16" s="7">
        <v>1.6419999999999999</v>
      </c>
      <c r="D16" s="7" t="s">
        <v>11</v>
      </c>
    </row>
    <row r="17" spans="1:4" ht="34" customHeight="1" thickBot="1" x14ac:dyDescent="0.25">
      <c r="A17" s="2" t="s">
        <v>24</v>
      </c>
      <c r="B17" s="6" t="s">
        <v>25</v>
      </c>
      <c r="C17" s="7">
        <v>26</v>
      </c>
      <c r="D17" s="7" t="s">
        <v>26</v>
      </c>
    </row>
    <row r="18" spans="1:4" ht="34" customHeight="1" thickBot="1" x14ac:dyDescent="0.25">
      <c r="A18" s="2" t="s">
        <v>27</v>
      </c>
      <c r="B18" s="7" t="s">
        <v>28</v>
      </c>
      <c r="C18" s="7">
        <v>91.7</v>
      </c>
      <c r="D18" s="7" t="s">
        <v>29</v>
      </c>
    </row>
    <row r="19" spans="1:4" ht="34" customHeight="1" thickBot="1" x14ac:dyDescent="0.25">
      <c r="A19" s="2" t="s">
        <v>30</v>
      </c>
      <c r="B19" s="7" t="s">
        <v>25</v>
      </c>
      <c r="C19" s="7">
        <v>4.53</v>
      </c>
      <c r="D19" s="7" t="s">
        <v>31</v>
      </c>
    </row>
    <row r="20" spans="1:4" ht="34" customHeight="1" thickBot="1" x14ac:dyDescent="0.25">
      <c r="A20" s="2" t="s">
        <v>98</v>
      </c>
      <c r="B20" s="7" t="s">
        <v>99</v>
      </c>
      <c r="C20" s="7">
        <v>73.099999999999994</v>
      </c>
      <c r="D20" s="7" t="s">
        <v>100</v>
      </c>
    </row>
    <row r="21" spans="1:4" ht="34" customHeight="1" thickBot="1" x14ac:dyDescent="0.25">
      <c r="A21" s="2" t="s">
        <v>128</v>
      </c>
      <c r="B21" s="7" t="s">
        <v>129</v>
      </c>
      <c r="C21" s="7">
        <v>28</v>
      </c>
      <c r="D21" s="7" t="s">
        <v>100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ED725-CD01-A74B-B2CA-BA97B88A53C9}">
  <dimension ref="A1:O29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9" sqref="L29"/>
    </sheetView>
  </sheetViews>
  <sheetFormatPr baseColWidth="10" defaultRowHeight="16" x14ac:dyDescent="0.2"/>
  <cols>
    <col min="1" max="1" width="12" style="9" bestFit="1" customWidth="1"/>
    <col min="2" max="2" width="12.1640625" bestFit="1" customWidth="1"/>
    <col min="3" max="3" width="24.6640625" bestFit="1" customWidth="1"/>
    <col min="4" max="5" width="20.5" bestFit="1" customWidth="1"/>
    <col min="10" max="11" width="11.83203125" bestFit="1" customWidth="1"/>
    <col min="12" max="12" width="10.83203125" style="24"/>
    <col min="13" max="13" width="26.33203125" style="29" bestFit="1" customWidth="1"/>
    <col min="14" max="14" width="10.83203125" style="29"/>
    <col min="15" max="15" width="7.83203125" style="29" bestFit="1" customWidth="1"/>
  </cols>
  <sheetData>
    <row r="1" spans="1:15" s="8" customFormat="1" ht="17" thickBot="1" x14ac:dyDescent="0.25">
      <c r="A1" s="18" t="s">
        <v>46</v>
      </c>
      <c r="B1" s="19" t="s">
        <v>71</v>
      </c>
      <c r="C1" s="19" t="s">
        <v>94</v>
      </c>
      <c r="D1" s="20" t="s">
        <v>77</v>
      </c>
      <c r="E1" s="20" t="s">
        <v>73</v>
      </c>
      <c r="F1" s="20" t="s">
        <v>72</v>
      </c>
      <c r="G1" s="20" t="s">
        <v>78</v>
      </c>
      <c r="H1" s="20" t="s">
        <v>79</v>
      </c>
      <c r="I1" s="20" t="s">
        <v>74</v>
      </c>
      <c r="J1" s="20" t="s">
        <v>80</v>
      </c>
      <c r="K1" s="20" t="s">
        <v>75</v>
      </c>
      <c r="L1" s="23"/>
      <c r="M1" s="25" t="s">
        <v>81</v>
      </c>
      <c r="N1" s="25"/>
      <c r="O1" s="25"/>
    </row>
    <row r="2" spans="1:15" x14ac:dyDescent="0.2">
      <c r="A2" s="17" t="s">
        <v>70</v>
      </c>
      <c r="B2" s="15">
        <f>PI()*N2*Input!C9</f>
        <v>388.77209088173691</v>
      </c>
      <c r="C2" s="15">
        <v>0</v>
      </c>
      <c r="D2" s="12">
        <f>PI()*N2^3*Input!C9/2</f>
        <v>2460198.3876109915</v>
      </c>
      <c r="E2" s="12">
        <f>PI()*N2^3*Input!C9/2</f>
        <v>2460198.3876109915</v>
      </c>
      <c r="F2" s="12">
        <v>0</v>
      </c>
      <c r="G2" s="12">
        <v>0</v>
      </c>
      <c r="H2" s="12">
        <f>$B2*G2^2</f>
        <v>0</v>
      </c>
      <c r="I2" s="12">
        <f>$B2*F2^2</f>
        <v>0</v>
      </c>
      <c r="J2" s="12">
        <f>D2+H2</f>
        <v>2460198.3876109915</v>
      </c>
      <c r="K2" s="12">
        <f>E2+I2</f>
        <v>2460198.3876109915</v>
      </c>
      <c r="M2" s="26" t="s">
        <v>82</v>
      </c>
      <c r="N2" s="26">
        <f>Input!C8*10/2</f>
        <v>112.5</v>
      </c>
      <c r="O2" s="26" t="s">
        <v>85</v>
      </c>
    </row>
    <row r="3" spans="1:15" x14ac:dyDescent="0.2">
      <c r="A3" s="14" t="s">
        <v>47</v>
      </c>
      <c r="B3" s="13">
        <f>SQRT((Input!C8*10/2)^2+N3^2)*Input!C9</f>
        <v>493.71070982914688</v>
      </c>
      <c r="C3" s="13">
        <f>-N9</f>
        <v>-0.25335458181130982</v>
      </c>
      <c r="D3" s="10">
        <f>(SQRT(N$2^2+N$3^2))^3*Input!C$9*(SIN(C3))^2/12</f>
        <v>520710.51427292853</v>
      </c>
      <c r="E3" s="10">
        <f>(SQRT(N$2^2+N$3^2))^3*Input!C$9*(COS(C3))^2/12</f>
        <v>7767314.0280268416</v>
      </c>
      <c r="F3" s="10">
        <f>-N3/2</f>
        <v>-217.25</v>
      </c>
      <c r="G3" s="10">
        <f>N2/2</f>
        <v>56.25</v>
      </c>
      <c r="H3" s="12">
        <f t="shared" ref="H3:H4" si="0">$B3*G3^2</f>
        <v>1562131.5428187849</v>
      </c>
      <c r="I3" s="12">
        <f>$B3*F3^2</f>
        <v>23301942.084080525</v>
      </c>
      <c r="J3" s="12">
        <f t="shared" ref="J3:J26" si="1">D3+H3</f>
        <v>2082842.0570917134</v>
      </c>
      <c r="K3" s="12">
        <f t="shared" ref="K3:K26" si="2">E3+I3</f>
        <v>31069256.112107366</v>
      </c>
      <c r="M3" s="27" t="s">
        <v>84</v>
      </c>
      <c r="N3" s="27">
        <f>Input!C2*1000-Input!C8*10/2</f>
        <v>434.5</v>
      </c>
      <c r="O3" s="27" t="s">
        <v>85</v>
      </c>
    </row>
    <row r="4" spans="1:15" x14ac:dyDescent="0.2">
      <c r="A4" s="14" t="s">
        <v>48</v>
      </c>
      <c r="B4" s="13">
        <f>SQRT((Input!C8*10/2)^2+N3^2)*Input!C9</f>
        <v>493.71070982914688</v>
      </c>
      <c r="C4" s="13">
        <f>N9</f>
        <v>0.25335458181130982</v>
      </c>
      <c r="D4" s="10">
        <f>(SQRT(N$2^2+N$3^2))^3*Input!C$9*(SIN(C4))^2/12</f>
        <v>520710.51427292853</v>
      </c>
      <c r="E4" s="10">
        <f>(SQRT(N$2^2+N$3^2))^3*Input!C$9*(COS(C4))^2/12</f>
        <v>7767314.0280268416</v>
      </c>
      <c r="F4" s="10">
        <f>-N3/2</f>
        <v>-217.25</v>
      </c>
      <c r="G4" s="10">
        <f>-N2/2</f>
        <v>-56.25</v>
      </c>
      <c r="H4" s="12">
        <f t="shared" si="0"/>
        <v>1562131.5428187849</v>
      </c>
      <c r="I4" s="12">
        <f>$B4*F4^2</f>
        <v>23301942.084080525</v>
      </c>
      <c r="J4" s="12">
        <f t="shared" si="1"/>
        <v>2082842.0570917134</v>
      </c>
      <c r="K4" s="12">
        <f t="shared" si="2"/>
        <v>31069256.112107366</v>
      </c>
      <c r="M4" s="27" t="s">
        <v>83</v>
      </c>
      <c r="N4" s="27">
        <f>PI()*N2+2*(SQRT(N2^2+N3^2))</f>
        <v>1251.085009581846</v>
      </c>
      <c r="O4" s="27" t="s">
        <v>85</v>
      </c>
    </row>
    <row r="5" spans="1:15" x14ac:dyDescent="0.2">
      <c r="A5" s="14" t="s">
        <v>96</v>
      </c>
      <c r="B5" s="13">
        <f>2*N2*Input!C10</f>
        <v>652.5</v>
      </c>
      <c r="C5" s="13">
        <v>0</v>
      </c>
      <c r="D5" s="10">
        <f>1/12*(2*N2)^3*Input!C10</f>
        <v>2752734.375</v>
      </c>
      <c r="E5" s="10">
        <v>0</v>
      </c>
      <c r="F5" s="10">
        <v>0</v>
      </c>
      <c r="G5" s="10">
        <v>0</v>
      </c>
      <c r="H5" s="12">
        <f t="shared" ref="H5" si="3">$B5*G5^2</f>
        <v>0</v>
      </c>
      <c r="I5" s="12">
        <f>$B5*F5^2</f>
        <v>0</v>
      </c>
      <c r="J5" s="12">
        <f t="shared" ref="J5" si="4">D5+H5</f>
        <v>2752734.375</v>
      </c>
      <c r="K5" s="12">
        <f t="shared" ref="K5" si="5">E5+I5</f>
        <v>0</v>
      </c>
      <c r="M5" s="28" t="s">
        <v>86</v>
      </c>
      <c r="N5" s="27">
        <f>(Input!C12*10+Input!C13*10)*Input!C11</f>
        <v>42</v>
      </c>
      <c r="O5" s="28" t="s">
        <v>87</v>
      </c>
    </row>
    <row r="6" spans="1:15" x14ac:dyDescent="0.2">
      <c r="A6" s="14" t="s">
        <v>49</v>
      </c>
      <c r="B6" s="13">
        <f>IF(L6&gt;Input!C$14,0,N$5)</f>
        <v>42</v>
      </c>
      <c r="C6" s="13">
        <f>IF(L6&lt;=N$7,PI()+N$9,IF(L6&lt;=2*N$7,N$9,IF(L6&lt;=Input!C$14,(PI()-N$10)/2+N$10/(N$8-1)*(L6-2*N$7-1),0)))</f>
        <v>3.3949472354011028</v>
      </c>
      <c r="D6" s="10">
        <f>IF(B6=0,0,(Input!C$13*10)^3*Input!C$11*(SIN(C6))^2/12+(Input!C$13*10*Input!C$11)*(N$11*COS(C6))^2+(Input!C$12*10)^3*Input!C$11*(COS(C6))^2/12+(Input!C$12*10*Input!C$11)*((0.5*Input!C$12-N$11)*SIN(C6))^2)</f>
        <v>605.80562853714082</v>
      </c>
      <c r="E6" s="10">
        <f>IF(B6=0,0,(Input!C$13*10)^3*Input!C$11*(COS(C6))^2/12+(Input!C$13*10*Input!C$11)*(N$11*SIN(C6))^2+(Input!C$12*10)^3*Input!C$11*(SIN(C6))^2/12+(Input!C$12*10*Input!C$11)*((0.5*Input!C$12-N$11)*COS(C6))^2)</f>
        <v>888.9622286057164</v>
      </c>
      <c r="F6" s="10">
        <f>-N3+N6*COS(N9)/2-(N$11+Input!C9/2)*SIN(C6)</f>
        <v>-399.91350807779736</v>
      </c>
      <c r="G6" s="10">
        <f>N6*SIN(N9)/2+(N$11+Input!C9/2)*COS(C6)</f>
        <v>5.0666601179471975</v>
      </c>
      <c r="H6" s="12">
        <f t="shared" ref="H6:H26" si="6">$B6*G6^2</f>
        <v>1078.1838795334618</v>
      </c>
      <c r="I6" s="12">
        <f t="shared" ref="I6:I26" si="7">$B6*F6^2</f>
        <v>6717094.1856098007</v>
      </c>
      <c r="J6" s="12">
        <f t="shared" si="1"/>
        <v>1683.9895080706026</v>
      </c>
      <c r="K6" s="12">
        <f t="shared" si="2"/>
        <v>6717983.1478384063</v>
      </c>
      <c r="L6" s="24">
        <v>1</v>
      </c>
      <c r="M6" s="28" t="s">
        <v>88</v>
      </c>
      <c r="N6" s="27">
        <f>N4/(Input!C14+1)</f>
        <v>69.504722754547004</v>
      </c>
      <c r="O6" s="28" t="s">
        <v>85</v>
      </c>
    </row>
    <row r="7" spans="1:15" x14ac:dyDescent="0.2">
      <c r="A7" s="14" t="s">
        <v>50</v>
      </c>
      <c r="B7" s="13">
        <f>IF(L7&gt;Input!C$14,0,N$5)</f>
        <v>42</v>
      </c>
      <c r="C7" s="13">
        <f>IF(L7&lt;=N$7,PI()+N$9,IF(L7&lt;=2*N$7,N$9,IF(L7&lt;=Input!C$14,(PI()-N$10)/2+N$10/(N$8-1)*(L7-2*N$7-1),0)))</f>
        <v>3.3949472354011028</v>
      </c>
      <c r="D7" s="10">
        <f>IF(B7=0,0,(Input!C$13*10)^3*Input!C$11*(SIN(C7))^2/12+(Input!C$13*10*Input!C$11)*(N$11*COS(C7))^2+(Input!C$12*10)^3*Input!C$11*(COS(C7))^2/12+(Input!C$12*10*Input!C$11)*((0.5*Input!C$12-N$11)*SIN(C7))^2)</f>
        <v>605.80562853714082</v>
      </c>
      <c r="E7" s="10">
        <f>IF(B7=0,0,(Input!C$13*10)^3*Input!C$11*(COS(C7))^2/12+(Input!C$13*10*Input!C$11)*(N$11*SIN(C7))^2+(Input!C$12*10)^3*Input!C$11*(SIN(C7))^2/12+(Input!C$12*10*Input!C$11)*((0.5*Input!C$12-N$11)*COS(C7))^2)</f>
        <v>888.9622286057164</v>
      </c>
      <c r="F7" s="10">
        <f>IF(L7&lt;=N$7,F6+N$6*COS(N$9),IF(L7=N$7+1,F$6,IF(L7&lt;=2*N$7,F6+N$6*COS(N$9),IF(L7&lt;=(N$7*2+N$8),(N$2-N$11)*SIN(C7),0))))</f>
        <v>-332.62758217185183</v>
      </c>
      <c r="G7" s="10">
        <f>IF(L7&lt;=N$7,G6+N$6*SIN(N$9),IF(L7=N$7+1,-G$6,IF(L7&lt;=2*N$7,G6-(N$6*SIN(N$9)),IF(L7&lt;=(N$7*2+N$8),-(N$2-N$11)*COS(C7),0))))</f>
        <v>22.488217458381886</v>
      </c>
      <c r="H7" s="12">
        <f t="shared" si="6"/>
        <v>21240.236827129818</v>
      </c>
      <c r="I7" s="12">
        <f t="shared" si="7"/>
        <v>4646926.5537026655</v>
      </c>
      <c r="J7" s="12">
        <f t="shared" si="1"/>
        <v>21846.04245566696</v>
      </c>
      <c r="K7" s="12">
        <f t="shared" si="2"/>
        <v>4647815.515931271</v>
      </c>
      <c r="L7" s="24">
        <v>2</v>
      </c>
      <c r="M7" s="28" t="s">
        <v>91</v>
      </c>
      <c r="N7" s="27">
        <f>ROUND(SQRT(N2^2+N3^2)/N6,0)</f>
        <v>6</v>
      </c>
      <c r="O7" s="28" t="s">
        <v>89</v>
      </c>
    </row>
    <row r="8" spans="1:15" x14ac:dyDescent="0.2">
      <c r="A8" s="14" t="s">
        <v>51</v>
      </c>
      <c r="B8" s="13">
        <f>IF(L8&gt;Input!C$14,0,N$5)</f>
        <v>42</v>
      </c>
      <c r="C8" s="13">
        <f>IF(L8&lt;=N$7,PI()+N$9,IF(L8&lt;=2*N$7,N$9,IF(L8&lt;=Input!C$14,(PI()-N$10)/2+N$10/(N$8-1)*(L8-2*N$7-1),0)))</f>
        <v>3.3949472354011028</v>
      </c>
      <c r="D8" s="10">
        <f>IF(B8=0,0,(Input!C$13*10)^3*Input!C$11*(SIN(C8))^2/12+(Input!C$13*10*Input!C$11)*(N$11*COS(C8))^2+(Input!C$12*10)^3*Input!C$11*(COS(C8))^2/12+(Input!C$12*10*Input!C$11)*((0.5*Input!C$12-N$11)*SIN(C8))^2)</f>
        <v>605.80562853714082</v>
      </c>
      <c r="E8" s="10">
        <f>IF(B8=0,0,(Input!C$13*10)^3*Input!C$11*(COS(C8))^2/12+(Input!C$13*10*Input!C$11)*(N$11*SIN(C8))^2+(Input!C$12*10)^3*Input!C$11*(SIN(C8))^2/12+(Input!C$12*10*Input!C$11)*((0.5*Input!C$12-N$11)*COS(C8))^2)</f>
        <v>888.9622286057164</v>
      </c>
      <c r="F8" s="10">
        <f t="shared" ref="F8:F26" si="8">IF(L8&lt;=N$7,F7+N$6*COS(N$9),IF(L8=N$7+1,F$6,IF(L8&lt;=2*N$7,F7+N$6*COS(N$9),IF(L8&lt;=(N$7*2+N$8),(N$2-N$11)*SIN(C8),0))))</f>
        <v>-265.34165626590629</v>
      </c>
      <c r="G8" s="10">
        <f t="shared" ref="G8:G26" si="9">IF(L8&lt;=N$7,G7+N$6*SIN(N$9),IF(L8=N$7+1,-G$6,IF(L8&lt;=2*N$7,G7-(N$6*SIN(N$9)),IF(L8&lt;=(N$7*2+N$8),-(N$2-N$11)*COS(C8),0))))</f>
        <v>39.909774798816571</v>
      </c>
      <c r="H8" s="12">
        <f t="shared" si="6"/>
        <v>66897.185228674687</v>
      </c>
      <c r="I8" s="12">
        <f t="shared" si="7"/>
        <v>2957060.1710972437</v>
      </c>
      <c r="J8" s="12">
        <f t="shared" si="1"/>
        <v>67502.990857211829</v>
      </c>
      <c r="K8" s="12">
        <f t="shared" si="2"/>
        <v>2957949.1333258492</v>
      </c>
      <c r="L8" s="24">
        <v>3</v>
      </c>
      <c r="M8" s="28" t="s">
        <v>90</v>
      </c>
      <c r="N8" s="27">
        <f>Input!C14-2*'Cross-sectional properties'!N7</f>
        <v>5</v>
      </c>
      <c r="O8" s="28" t="s">
        <v>89</v>
      </c>
    </row>
    <row r="9" spans="1:15" x14ac:dyDescent="0.2">
      <c r="A9" s="14" t="s">
        <v>52</v>
      </c>
      <c r="B9" s="13">
        <f>IF(L9&gt;Input!C$14,0,N$5)</f>
        <v>42</v>
      </c>
      <c r="C9" s="13">
        <f>IF(L9&lt;=N$7,PI()+N$9,IF(L9&lt;=2*N$7,N$9,IF(L9&lt;=Input!C$14,(PI()-N$10)/2+N$10/(N$8-1)*(L9-2*N$7-1),0)))</f>
        <v>3.3949472354011028</v>
      </c>
      <c r="D9" s="10">
        <f>IF(B9=0,0,(Input!C$13*10)^3*Input!C$11*(SIN(C9))^2/12+(Input!C$13*10*Input!C$11)*(N$11*COS(C9))^2+(Input!C$12*10)^3*Input!C$11*(COS(C9))^2/12+(Input!C$12*10*Input!C$11)*((0.5*Input!C$12-N$11)*SIN(C9))^2)</f>
        <v>605.80562853714082</v>
      </c>
      <c r="E9" s="10">
        <f>IF(B9=0,0,(Input!C$13*10)^3*Input!C$11*(COS(C9))^2/12+(Input!C$13*10*Input!C$11)*(N$11*SIN(C9))^2+(Input!C$12*10)^3*Input!C$11*(SIN(C9))^2/12+(Input!C$12*10*Input!C$11)*((0.5*Input!C$12-N$11)*COS(C9))^2)</f>
        <v>888.9622286057164</v>
      </c>
      <c r="F9" s="10">
        <f t="shared" si="8"/>
        <v>-198.05573035996076</v>
      </c>
      <c r="G9" s="10">
        <f t="shared" si="9"/>
        <v>57.331332139251259</v>
      </c>
      <c r="H9" s="12">
        <f t="shared" si="6"/>
        <v>138049.02908416805</v>
      </c>
      <c r="I9" s="12">
        <f t="shared" si="7"/>
        <v>1647495.0377935343</v>
      </c>
      <c r="J9" s="12">
        <f t="shared" si="1"/>
        <v>138654.8347127052</v>
      </c>
      <c r="K9" s="12">
        <f t="shared" si="2"/>
        <v>1648384.0000221401</v>
      </c>
      <c r="L9" s="24">
        <v>4</v>
      </c>
      <c r="M9" s="27" t="s">
        <v>92</v>
      </c>
      <c r="N9" s="27">
        <f>ATAN(N2/N3)</f>
        <v>0.25335458181130982</v>
      </c>
      <c r="O9" s="27" t="s">
        <v>93</v>
      </c>
    </row>
    <row r="10" spans="1:15" ht="17" x14ac:dyDescent="0.2">
      <c r="A10" s="14" t="s">
        <v>53</v>
      </c>
      <c r="B10" s="13">
        <f>IF(L10&gt;Input!C$14,0,N$5)</f>
        <v>42</v>
      </c>
      <c r="C10" s="13">
        <f>IF(L10&lt;=N$7,PI()+N$9,IF(L10&lt;=2*N$7,N$9,IF(L10&lt;=Input!C$14,(PI()-N$10)/2+N$10/(N$8-1)*(L10-2*N$7-1),0)))</f>
        <v>3.3949472354011028</v>
      </c>
      <c r="D10" s="10">
        <f>IF(B10=0,0,(Input!C$13*10)^3*Input!C$11*(SIN(C10))^2/12+(Input!C$13*10*Input!C$11)*(N$11*COS(C10))^2+(Input!C$12*10)^3*Input!C$11*(COS(C10))^2/12+(Input!C$12*10*Input!C$11)*((0.5*Input!C$12-N$11)*SIN(C10))^2)</f>
        <v>605.80562853714082</v>
      </c>
      <c r="E10" s="10">
        <f>IF(B10=0,0,(Input!C$13*10)^3*Input!C$11*(COS(C10))^2/12+(Input!C$13*10*Input!C$11)*(N$11*SIN(C10))^2+(Input!C$12*10)^3*Input!C$11*(SIN(C10))^2/12+(Input!C$12*10*Input!C$11)*((0.5*Input!C$12-N$11)*COS(C10))^2)</f>
        <v>888.9622286057164</v>
      </c>
      <c r="F10" s="10">
        <f t="shared" si="8"/>
        <v>-130.76980445401523</v>
      </c>
      <c r="G10" s="10">
        <f t="shared" si="9"/>
        <v>74.752889479685948</v>
      </c>
      <c r="H10" s="12">
        <f t="shared" si="6"/>
        <v>234695.76839360993</v>
      </c>
      <c r="I10" s="12">
        <f t="shared" si="7"/>
        <v>718231.15379153797</v>
      </c>
      <c r="J10" s="12">
        <f t="shared" si="1"/>
        <v>235301.57402214708</v>
      </c>
      <c r="K10" s="12">
        <f t="shared" si="2"/>
        <v>719120.11602014373</v>
      </c>
      <c r="L10" s="24">
        <v>5</v>
      </c>
      <c r="M10" s="38" t="s">
        <v>95</v>
      </c>
      <c r="N10" s="32">
        <f>(PI()*N2+(SQRT(N2^2+N3^2)-(N7+0.5)*N6)*2)/N2</f>
        <v>3.0890987890909773</v>
      </c>
      <c r="O10" s="32" t="s">
        <v>93</v>
      </c>
    </row>
    <row r="11" spans="1:15" s="39" customFormat="1" x14ac:dyDescent="0.2">
      <c r="A11" s="33" t="s">
        <v>54</v>
      </c>
      <c r="B11" s="34">
        <f>IF(L11&gt;Input!C$14,0,N$5)</f>
        <v>42</v>
      </c>
      <c r="C11" s="13">
        <f>IF(L11&lt;=N$7,PI()+N$9,IF(L11&lt;=2*N$7,N$9,IF(L11&lt;=Input!C$14,(PI()-N$10)/2+N$10/(N$8-1)*(L11-2*N$7-1),0)))</f>
        <v>3.3949472354011028</v>
      </c>
      <c r="D11" s="10">
        <f>IF(B11=0,0,(Input!C$13*10)^3*Input!C$11*(SIN(C11))^2/12+(Input!C$13*10*Input!C$11)*(N$11*COS(C11))^2+(Input!C$12*10)^3*Input!C$11*(COS(C11))^2/12+(Input!C$12*10*Input!C$11)*((0.5*Input!C$12-N$11)*SIN(C11))^2)</f>
        <v>605.80562853714082</v>
      </c>
      <c r="E11" s="10">
        <f>IF(B11=0,0,(Input!C$13*10)^3*Input!C$11*(COS(C11))^2/12+(Input!C$13*10*Input!C$11)*(N$11*SIN(C11))^2+(Input!C$12*10)^3*Input!C$11*(SIN(C11))^2/12+(Input!C$12*10*Input!C$11)*((0.5*Input!C$12-N$11)*COS(C11))^2)</f>
        <v>888.9622286057164</v>
      </c>
      <c r="F11" s="10">
        <f t="shared" si="8"/>
        <v>-63.483878548069711</v>
      </c>
      <c r="G11" s="10">
        <f t="shared" si="9"/>
        <v>92.174446820120636</v>
      </c>
      <c r="H11" s="36">
        <f t="shared" si="6"/>
        <v>356837.40315700037</v>
      </c>
      <c r="I11" s="36">
        <f t="shared" si="7"/>
        <v>169268.51909125477</v>
      </c>
      <c r="J11" s="36">
        <f t="shared" si="1"/>
        <v>357443.20878553751</v>
      </c>
      <c r="K11" s="36">
        <f t="shared" si="2"/>
        <v>170157.4813198605</v>
      </c>
      <c r="L11" s="37">
        <v>6</v>
      </c>
      <c r="M11" s="35" t="s">
        <v>97</v>
      </c>
      <c r="N11" s="35">
        <f>0.5*(Input!C12*10)^2/(Input!C12*10+Input!C13*10)</f>
        <v>3.2142857142857144</v>
      </c>
      <c r="O11" s="35" t="s">
        <v>85</v>
      </c>
    </row>
    <row r="12" spans="1:15" x14ac:dyDescent="0.2">
      <c r="A12" s="14" t="s">
        <v>55</v>
      </c>
      <c r="B12" s="13">
        <f>IF(L12&gt;Input!C$14,0,N$5)</f>
        <v>42</v>
      </c>
      <c r="C12" s="13">
        <f>IF(L12&lt;=N$7,PI()+N$9,IF(L12&lt;=2*N$7,N$9,IF(L12&lt;=Input!C$14,(PI()-N$10)/2+N$10/(N$8-1)*(L12-2*N$7-1),0)))</f>
        <v>0.25335458181130982</v>
      </c>
      <c r="D12" s="10">
        <f>IF(B12=0,0,(Input!C$13*10)^3*Input!C$11*(SIN(C12))^2/12+(Input!C$13*10*Input!C$11)*(N$11*COS(C12))^2+(Input!C$12*10)^3*Input!C$11*(COS(C12))^2/12+(Input!C$12*10*Input!C$11)*((0.5*Input!C$12-N$11)*SIN(C12))^2)</f>
        <v>605.80562853714082</v>
      </c>
      <c r="E12" s="10">
        <f>IF(B12=0,0,(Input!C$13*10)^3*Input!C$11*(COS(C12))^2/12+(Input!C$13*10*Input!C$11)*(N$11*SIN(C12))^2+(Input!C$12*10)^3*Input!C$11*(SIN(C12))^2/12+(Input!C$12*10*Input!C$11)*((0.5*Input!C$12-N$11)*COS(C12))^2)</f>
        <v>888.96222860571629</v>
      </c>
      <c r="F12" s="10">
        <f t="shared" si="8"/>
        <v>-399.91350807779736</v>
      </c>
      <c r="G12" s="10">
        <f t="shared" si="9"/>
        <v>-5.0666601179471975</v>
      </c>
      <c r="H12" s="12">
        <f t="shared" si="6"/>
        <v>1078.1838795334618</v>
      </c>
      <c r="I12" s="12">
        <f t="shared" si="7"/>
        <v>6717094.1856098007</v>
      </c>
      <c r="J12" s="12">
        <f t="shared" si="1"/>
        <v>1683.9895080706026</v>
      </c>
      <c r="K12" s="12">
        <f t="shared" si="2"/>
        <v>6717983.1478384063</v>
      </c>
      <c r="L12" s="24">
        <v>7</v>
      </c>
    </row>
    <row r="13" spans="1:15" x14ac:dyDescent="0.2">
      <c r="A13" s="14" t="s">
        <v>56</v>
      </c>
      <c r="B13" s="13">
        <f>IF(L13&gt;Input!C$14,0,N$5)</f>
        <v>42</v>
      </c>
      <c r="C13" s="13">
        <f>IF(L13&lt;=N$7,PI()+N$9,IF(L13&lt;=2*N$7,N$9,IF(L13&lt;=Input!C$14,(PI()-N$10)/2+N$10/(N$8-1)*(L13-2*N$7-1),0)))</f>
        <v>0.25335458181130982</v>
      </c>
      <c r="D13" s="10">
        <f>IF(B13=0,0,(Input!C$13*10)^3*Input!C$11*(SIN(C13))^2/12+(Input!C$13*10*Input!C$11)*(N$11*COS(C13))^2+(Input!C$12*10)^3*Input!C$11*(COS(C13))^2/12+(Input!C$12*10*Input!C$11)*((0.5*Input!C$12-N$11)*SIN(C13))^2)</f>
        <v>605.80562853714082</v>
      </c>
      <c r="E13" s="10">
        <f>IF(B13=0,0,(Input!C$13*10)^3*Input!C$11*(COS(C13))^2/12+(Input!C$13*10*Input!C$11)*(N$11*SIN(C13))^2+(Input!C$12*10)^3*Input!C$11*(SIN(C13))^2/12+(Input!C$12*10*Input!C$11)*((0.5*Input!C$12-N$11)*COS(C13))^2)</f>
        <v>888.96222860571629</v>
      </c>
      <c r="F13" s="10">
        <f t="shared" si="8"/>
        <v>-332.62758217185183</v>
      </c>
      <c r="G13" s="10">
        <f t="shared" si="9"/>
        <v>-22.488217458381886</v>
      </c>
      <c r="H13" s="12">
        <f t="shared" si="6"/>
        <v>21240.236827129818</v>
      </c>
      <c r="I13" s="12">
        <f t="shared" si="7"/>
        <v>4646926.5537026655</v>
      </c>
      <c r="J13" s="12">
        <f t="shared" si="1"/>
        <v>21846.04245566696</v>
      </c>
      <c r="K13" s="12">
        <f t="shared" si="2"/>
        <v>4647815.515931271</v>
      </c>
      <c r="L13" s="24">
        <v>8</v>
      </c>
    </row>
    <row r="14" spans="1:15" x14ac:dyDescent="0.2">
      <c r="A14" s="14" t="s">
        <v>57</v>
      </c>
      <c r="B14" s="13">
        <f>IF(L14&gt;Input!C$14,0,N$5)</f>
        <v>42</v>
      </c>
      <c r="C14" s="13">
        <f>IF(L14&lt;=N$7,PI()+N$9,IF(L14&lt;=2*N$7,N$9,IF(L14&lt;=Input!C$14,(PI()-N$10)/2+N$10/(N$8-1)*(L14-2*N$7-1),0)))</f>
        <v>0.25335458181130982</v>
      </c>
      <c r="D14" s="10">
        <f>IF(B14=0,0,(Input!C$13*10)^3*Input!C$11*(SIN(C14))^2/12+(Input!C$13*10*Input!C$11)*(N$11*COS(C14))^2+(Input!C$12*10)^3*Input!C$11*(COS(C14))^2/12+(Input!C$12*10*Input!C$11)*((0.5*Input!C$12-N$11)*SIN(C14))^2)</f>
        <v>605.80562853714082</v>
      </c>
      <c r="E14" s="10">
        <f>IF(B14=0,0,(Input!C$13*10)^3*Input!C$11*(COS(C14))^2/12+(Input!C$13*10*Input!C$11)*(N$11*SIN(C14))^2+(Input!C$12*10)^3*Input!C$11*(SIN(C14))^2/12+(Input!C$12*10*Input!C$11)*((0.5*Input!C$12-N$11)*COS(C14))^2)</f>
        <v>888.96222860571629</v>
      </c>
      <c r="F14" s="10">
        <f t="shared" si="8"/>
        <v>-265.34165626590629</v>
      </c>
      <c r="G14" s="10">
        <f t="shared" si="9"/>
        <v>-39.909774798816571</v>
      </c>
      <c r="H14" s="12">
        <f t="shared" si="6"/>
        <v>66897.185228674687</v>
      </c>
      <c r="I14" s="12">
        <f t="shared" si="7"/>
        <v>2957060.1710972437</v>
      </c>
      <c r="J14" s="12">
        <f t="shared" si="1"/>
        <v>67502.990857211829</v>
      </c>
      <c r="K14" s="12">
        <f t="shared" si="2"/>
        <v>2957949.1333258492</v>
      </c>
      <c r="L14" s="24">
        <v>9</v>
      </c>
    </row>
    <row r="15" spans="1:15" x14ac:dyDescent="0.2">
      <c r="A15" s="14" t="s">
        <v>58</v>
      </c>
      <c r="B15" s="13">
        <f>IF(L15&gt;Input!C$14,0,N$5)</f>
        <v>42</v>
      </c>
      <c r="C15" s="13">
        <f>IF(L15&lt;=N$7,PI()+N$9,IF(L15&lt;=2*N$7,N$9,IF(L15&lt;=Input!C$14,(PI()-N$10)/2+N$10/(N$8-1)*(L15-2*N$7-1),0)))</f>
        <v>0.25335458181130982</v>
      </c>
      <c r="D15" s="10">
        <f>IF(B15=0,0,(Input!C$13*10)^3*Input!C$11*(SIN(C15))^2/12+(Input!C$13*10*Input!C$11)*(N$11*COS(C15))^2+(Input!C$12*10)^3*Input!C$11*(COS(C15))^2/12+(Input!C$12*10*Input!C$11)*((0.5*Input!C$12-N$11)*SIN(C15))^2)</f>
        <v>605.80562853714082</v>
      </c>
      <c r="E15" s="10">
        <f>IF(B15=0,0,(Input!C$13*10)^3*Input!C$11*(COS(C15))^2/12+(Input!C$13*10*Input!C$11)*(N$11*SIN(C15))^2+(Input!C$12*10)^3*Input!C$11*(SIN(C15))^2/12+(Input!C$12*10*Input!C$11)*((0.5*Input!C$12-N$11)*COS(C15))^2)</f>
        <v>888.96222860571629</v>
      </c>
      <c r="F15" s="10">
        <f t="shared" si="8"/>
        <v>-198.05573035996076</v>
      </c>
      <c r="G15" s="10">
        <f t="shared" si="9"/>
        <v>-57.331332139251259</v>
      </c>
      <c r="H15" s="12">
        <f t="shared" si="6"/>
        <v>138049.02908416805</v>
      </c>
      <c r="I15" s="12">
        <f t="shared" si="7"/>
        <v>1647495.0377935343</v>
      </c>
      <c r="J15" s="12">
        <f t="shared" si="1"/>
        <v>138654.8347127052</v>
      </c>
      <c r="K15" s="12">
        <f t="shared" si="2"/>
        <v>1648384.0000221401</v>
      </c>
      <c r="L15" s="24">
        <v>10</v>
      </c>
    </row>
    <row r="16" spans="1:15" x14ac:dyDescent="0.2">
      <c r="A16" s="14" t="s">
        <v>59</v>
      </c>
      <c r="B16" s="13">
        <f>IF(L16&gt;Input!C$14,0,N$5)</f>
        <v>42</v>
      </c>
      <c r="C16" s="13">
        <f>IF(L16&lt;=N$7,PI()+N$9,IF(L16&lt;=2*N$7,N$9,IF(L16&lt;=Input!C$14,(PI()-N$10)/2+N$10/(N$8-1)*(L16-2*N$7-1),0)))</f>
        <v>0.25335458181130982</v>
      </c>
      <c r="D16" s="10">
        <f>IF(B16=0,0,(Input!C$13*10)^3*Input!C$11*(SIN(C16))^2/12+(Input!C$13*10*Input!C$11)*(N$11*COS(C16))^2+(Input!C$12*10)^3*Input!C$11*(COS(C16))^2/12+(Input!C$12*10*Input!C$11)*((0.5*Input!C$12-N$11)*SIN(C16))^2)</f>
        <v>605.80562853714082</v>
      </c>
      <c r="E16" s="10">
        <f>IF(B16=0,0,(Input!C$13*10)^3*Input!C$11*(COS(C16))^2/12+(Input!C$13*10*Input!C$11)*(N$11*SIN(C16))^2+(Input!C$12*10)^3*Input!C$11*(SIN(C16))^2/12+(Input!C$12*10*Input!C$11)*((0.5*Input!C$12-N$11)*COS(C16))^2)</f>
        <v>888.96222860571629</v>
      </c>
      <c r="F16" s="10">
        <f t="shared" si="8"/>
        <v>-130.76980445401523</v>
      </c>
      <c r="G16" s="10">
        <f t="shared" si="9"/>
        <v>-74.752889479685948</v>
      </c>
      <c r="H16" s="12">
        <f t="shared" si="6"/>
        <v>234695.76839360993</v>
      </c>
      <c r="I16" s="12">
        <f t="shared" si="7"/>
        <v>718231.15379153797</v>
      </c>
      <c r="J16" s="12">
        <f t="shared" si="1"/>
        <v>235301.57402214708</v>
      </c>
      <c r="K16" s="12">
        <f t="shared" si="2"/>
        <v>719120.11602014373</v>
      </c>
      <c r="L16" s="24">
        <v>11</v>
      </c>
    </row>
    <row r="17" spans="1:15" x14ac:dyDescent="0.2">
      <c r="A17" s="14" t="s">
        <v>60</v>
      </c>
      <c r="B17" s="13">
        <f>IF(L17&gt;Input!C$14,0,N$5)</f>
        <v>42</v>
      </c>
      <c r="C17" s="13">
        <f>IF(L17&lt;=N$7,PI()+N$9,IF(L17&lt;=2*N$7,N$9,IF(L17&lt;=Input!C$14,(PI()-N$10)/2+N$10/(N$8-1)*(L17-2*N$7-1),0)))</f>
        <v>0.25335458181130982</v>
      </c>
      <c r="D17" s="10">
        <f>IF(B17=0,0,(Input!C$13*10)^3*Input!C$11*(SIN(C17))^2/12+(Input!C$13*10*Input!C$11)*(N$11*COS(C17))^2+(Input!C$12*10)^3*Input!C$11*(COS(C17))^2/12+(Input!C$12*10*Input!C$11)*((0.5*Input!C$12-N$11)*SIN(C17))^2)</f>
        <v>605.80562853714082</v>
      </c>
      <c r="E17" s="10">
        <f>IF(B17=0,0,(Input!C$13*10)^3*Input!C$11*(COS(C17))^2/12+(Input!C$13*10*Input!C$11)*(N$11*SIN(C17))^2+(Input!C$12*10)^3*Input!C$11*(SIN(C17))^2/12+(Input!C$12*10*Input!C$11)*((0.5*Input!C$12-N$11)*COS(C17))^2)</f>
        <v>888.96222860571629</v>
      </c>
      <c r="F17" s="10">
        <f t="shared" si="8"/>
        <v>-63.483878548069711</v>
      </c>
      <c r="G17" s="10">
        <f t="shared" si="9"/>
        <v>-92.174446820120636</v>
      </c>
      <c r="H17" s="12">
        <f t="shared" si="6"/>
        <v>356837.40315700037</v>
      </c>
      <c r="I17" s="12">
        <f t="shared" si="7"/>
        <v>169268.51909125477</v>
      </c>
      <c r="J17" s="12">
        <f t="shared" si="1"/>
        <v>357443.20878553751</v>
      </c>
      <c r="K17" s="12">
        <f t="shared" si="2"/>
        <v>170157.4813198605</v>
      </c>
      <c r="L17" s="24">
        <v>12</v>
      </c>
      <c r="O17"/>
    </row>
    <row r="18" spans="1:15" x14ac:dyDescent="0.2">
      <c r="A18" s="14" t="s">
        <v>61</v>
      </c>
      <c r="B18" s="13">
        <f>IF(L18&gt;Input!C$14,0,N$5)</f>
        <v>42</v>
      </c>
      <c r="C18" s="13">
        <f>IF(L18&lt;=N$7,PI()+N$9,IF(L18&lt;=2*N$7,N$9,IF(L18&lt;=Input!C$14,(PI()-N$10)/2+N$10/(N$8-1)*(L18-2*N$7-1),0)))</f>
        <v>2.6246932249407884E-2</v>
      </c>
      <c r="D18" s="10">
        <f>IF(B18=0,0,(Input!C$13*10)^3*Input!C$11*(SIN(C18))^2/12+(Input!C$13*10*Input!C$11)*(N$11*COS(C18))^2+(Input!C$12*10)^3*Input!C$11*(COS(C18))^2/12+(Input!C$12*10*Input!C$11)*((0.5*Input!C$12-N$11)*SIN(C18))^2)</f>
        <v>585.68223283069551</v>
      </c>
      <c r="E18" s="10">
        <f>IF(B18=0,0,(Input!C$13*10)^3*Input!C$11*(COS(C18))^2/12+(Input!C$13*10*Input!C$11)*(N$11*SIN(C18))^2+(Input!C$12*10)^3*Input!C$11*(SIN(C18))^2/12+(Input!C$12*10*Input!C$11)*((0.5*Input!C$12-N$11)*COS(C18))^2)</f>
        <v>909.08562431216183</v>
      </c>
      <c r="F18" s="10">
        <f t="shared" si="8"/>
        <v>2.8680854075160198</v>
      </c>
      <c r="G18" s="10">
        <f t="shared" si="9"/>
        <v>-109.24807290306759</v>
      </c>
      <c r="H18" s="12">
        <f t="shared" si="6"/>
        <v>501275.94018742681</v>
      </c>
      <c r="I18" s="12">
        <f t="shared" si="7"/>
        <v>345.488384001866</v>
      </c>
      <c r="J18" s="12">
        <f t="shared" si="1"/>
        <v>501861.62242025748</v>
      </c>
      <c r="K18" s="12">
        <f t="shared" si="2"/>
        <v>1254.5740083140279</v>
      </c>
      <c r="L18" s="24">
        <v>13</v>
      </c>
      <c r="O18"/>
    </row>
    <row r="19" spans="1:15" x14ac:dyDescent="0.2">
      <c r="A19" s="14" t="s">
        <v>62</v>
      </c>
      <c r="B19" s="13">
        <f>IF(L19&gt;Input!C$14,0,N$5)</f>
        <v>42</v>
      </c>
      <c r="C19" s="13">
        <f>IF(L19&lt;=N$7,PI()+N$9,IF(L19&lt;=2*N$7,N$9,IF(L19&lt;=Input!C$14,(PI()-N$10)/2+N$10/(N$8-1)*(L19-2*N$7-1),0)))</f>
        <v>0.79852162952215222</v>
      </c>
      <c r="D19" s="10">
        <f>IF(B19=0,0,(Input!C$13*10)^3*Input!C$11*(SIN(C19))^2/12+(Input!C$13*10*Input!C$11)*(N$11*COS(C19))^2+(Input!C$12*10)^3*Input!C$11*(COS(C19))^2/12+(Input!C$12*10*Input!C$11)*((0.5*Input!C$12-N$11)*SIN(C19))^2)</f>
        <v>751.63346842202077</v>
      </c>
      <c r="E19" s="10">
        <f>IF(B19=0,0,(Input!C$13*10)^3*Input!C$11*(COS(C19))^2/12+(Input!C$13*10*Input!C$11)*(N$11*SIN(C19))^2+(Input!C$12*10)^3*Input!C$11*(SIN(C19))^2/12+(Input!C$12*10*Input!C$11)*((0.5*Input!C$12-N$11)*COS(C19))^2)</f>
        <v>743.13438872083634</v>
      </c>
      <c r="F19" s="10">
        <f t="shared" si="8"/>
        <v>78.284123899203209</v>
      </c>
      <c r="G19" s="10">
        <f t="shared" si="9"/>
        <v>-76.255906605803176</v>
      </c>
      <c r="H19" s="12">
        <f t="shared" si="6"/>
        <v>244228.458275465</v>
      </c>
      <c r="I19" s="12">
        <f t="shared" si="7"/>
        <v>257392.97029596355</v>
      </c>
      <c r="J19" s="12">
        <f t="shared" si="1"/>
        <v>244980.09174388702</v>
      </c>
      <c r="K19" s="12">
        <f t="shared" si="2"/>
        <v>258136.1046846844</v>
      </c>
      <c r="L19" s="24">
        <v>14</v>
      </c>
    </row>
    <row r="20" spans="1:15" x14ac:dyDescent="0.2">
      <c r="A20" s="14" t="s">
        <v>63</v>
      </c>
      <c r="B20" s="13">
        <f>IF(L20&gt;Input!C$14,0,N$5)</f>
        <v>42</v>
      </c>
      <c r="C20" s="13">
        <f>IF(L20&lt;=N$7,PI()+N$9,IF(L20&lt;=2*N$7,N$9,IF(L20&lt;=Input!C$14,(PI()-N$10)/2+N$10/(N$8-1)*(L20-2*N$7-1),0)))</f>
        <v>1.5707963267948966</v>
      </c>
      <c r="D20" s="10">
        <f>IF(B20=0,0,(Input!C$13*10)^3*Input!C$11*(SIN(C20))^2/12+(Input!C$13*10*Input!C$11)*(N$11*COS(C20))^2+(Input!C$12*10)^3*Input!C$11*(COS(C20))^2/12+(Input!C$12*10*Input!C$11)*((0.5*Input!C$12-N$11)*SIN(C20))^2)</f>
        <v>909.30867346938771</v>
      </c>
      <c r="E20" s="10">
        <f>IF(B20=0,0,(Input!C$13*10)^3*Input!C$11*(COS(C20))^2/12+(Input!C$13*10*Input!C$11)*(N$11*SIN(C20))^2+(Input!C$12*10)^3*Input!C$11*(SIN(C20))^2/12+(Input!C$12*10*Input!C$11)*((0.5*Input!C$12-N$11)*COS(C20))^2)</f>
        <v>585.4591836734694</v>
      </c>
      <c r="F20" s="10">
        <f t="shared" si="8"/>
        <v>109.28571428571429</v>
      </c>
      <c r="G20" s="10">
        <f t="shared" si="9"/>
        <v>-6.694561200036388E-15</v>
      </c>
      <c r="H20" s="12">
        <f t="shared" si="6"/>
        <v>1.8823202857633711E-27</v>
      </c>
      <c r="I20" s="12">
        <f t="shared" si="7"/>
        <v>501621.42857142864</v>
      </c>
      <c r="J20" s="12">
        <f t="shared" si="1"/>
        <v>909.30867346938771</v>
      </c>
      <c r="K20" s="12">
        <f t="shared" si="2"/>
        <v>502206.88775510213</v>
      </c>
      <c r="L20" s="24">
        <v>15</v>
      </c>
    </row>
    <row r="21" spans="1:15" x14ac:dyDescent="0.2">
      <c r="A21" s="14" t="s">
        <v>64</v>
      </c>
      <c r="B21" s="13">
        <f>IF(L21&gt;Input!C$14,0,N$5)</f>
        <v>42</v>
      </c>
      <c r="C21" s="13">
        <f>IF(L21&lt;=N$7,PI()+N$9,IF(L21&lt;=2*N$7,N$9,IF(L21&lt;=Input!C$14,(PI()-N$10)/2+N$10/(N$8-1)*(L21-2*N$7-1),0)))</f>
        <v>2.3430710240676409</v>
      </c>
      <c r="D21" s="10">
        <f>IF(B21=0,0,(Input!C$13*10)^3*Input!C$11*(SIN(C21))^2/12+(Input!C$13*10*Input!C$11)*(N$11*COS(C21))^2+(Input!C$12*10)^3*Input!C$11*(COS(C21))^2/12+(Input!C$12*10*Input!C$11)*((0.5*Input!C$12-N$11)*SIN(C21))^2)</f>
        <v>751.633468422021</v>
      </c>
      <c r="E21" s="10">
        <f>IF(B21=0,0,(Input!C$13*10)^3*Input!C$11*(COS(C21))^2/12+(Input!C$13*10*Input!C$11)*(N$11*SIN(C21))^2+(Input!C$12*10)^3*Input!C$11*(SIN(C21))^2/12+(Input!C$12*10*Input!C$11)*((0.5*Input!C$12-N$11)*COS(C21))^2)</f>
        <v>743.13438872083611</v>
      </c>
      <c r="F21" s="10">
        <f t="shared" si="8"/>
        <v>78.284123899203223</v>
      </c>
      <c r="G21" s="10">
        <f t="shared" si="9"/>
        <v>76.255906605803176</v>
      </c>
      <c r="H21" s="12">
        <f t="shared" si="6"/>
        <v>244228.458275465</v>
      </c>
      <c r="I21" s="12">
        <f t="shared" si="7"/>
        <v>257392.97029596366</v>
      </c>
      <c r="J21" s="12">
        <f t="shared" si="1"/>
        <v>244980.09174388702</v>
      </c>
      <c r="K21" s="12">
        <f t="shared" si="2"/>
        <v>258136.10468468451</v>
      </c>
      <c r="L21" s="24">
        <v>16</v>
      </c>
    </row>
    <row r="22" spans="1:15" x14ac:dyDescent="0.2">
      <c r="A22" s="14" t="s">
        <v>65</v>
      </c>
      <c r="B22" s="13">
        <f>IF(L22&gt;Input!C$14,0,N$5)</f>
        <v>42</v>
      </c>
      <c r="C22" s="13">
        <f>IF(L22&lt;=N$7,PI()+N$9,IF(L22&lt;=2*N$7,N$9,IF(L22&lt;=Input!C$14,(PI()-N$10)/2+N$10/(N$8-1)*(L22-2*N$7-1),0)))</f>
        <v>3.1153457213403852</v>
      </c>
      <c r="D22" s="10">
        <f>IF(B22=0,0,(Input!C$13*10)^3*Input!C$11*(SIN(C22))^2/12+(Input!C$13*10*Input!C$11)*(N$11*COS(C22))^2+(Input!C$12*10)^3*Input!C$11*(COS(C22))^2/12+(Input!C$12*10*Input!C$11)*((0.5*Input!C$12-N$11)*SIN(C22))^2)</f>
        <v>585.6822328306954</v>
      </c>
      <c r="E22" s="10">
        <f>IF(B22=0,0,(Input!C$13*10)^3*Input!C$11*(COS(C22))^2/12+(Input!C$13*10*Input!C$11)*(N$11*SIN(C22))^2+(Input!C$12*10)^3*Input!C$11*(SIN(C22))^2/12+(Input!C$12*10*Input!C$11)*((0.5*Input!C$12-N$11)*COS(C22))^2)</f>
        <v>909.0856243121616</v>
      </c>
      <c r="F22" s="10">
        <f t="shared" si="8"/>
        <v>2.8680854075160331</v>
      </c>
      <c r="G22" s="10">
        <f t="shared" si="9"/>
        <v>109.24807290306758</v>
      </c>
      <c r="H22" s="12">
        <f t="shared" si="6"/>
        <v>501275.94018742669</v>
      </c>
      <c r="I22" s="12">
        <f t="shared" si="7"/>
        <v>345.48838400186918</v>
      </c>
      <c r="J22" s="12">
        <f t="shared" si="1"/>
        <v>501861.62242025736</v>
      </c>
      <c r="K22" s="12">
        <f t="shared" si="2"/>
        <v>1254.5740083140308</v>
      </c>
      <c r="L22" s="24">
        <v>17</v>
      </c>
    </row>
    <row r="23" spans="1:15" x14ac:dyDescent="0.2">
      <c r="A23" s="14" t="s">
        <v>66</v>
      </c>
      <c r="B23" s="13">
        <f>IF(L23&gt;Input!C$14,0,N$5)</f>
        <v>0</v>
      </c>
      <c r="C23" s="13">
        <f>IF(L23&lt;=N$7,PI()+N$9,IF(L23&lt;=2*N$7,N$9,IF(L23&lt;=Input!C$14,(PI()-N$10)/2+N$10/(N$8-1)*(L23-2*N$7-1),0)))</f>
        <v>0</v>
      </c>
      <c r="D23" s="10">
        <f>IF(B23=0,0,(Input!C$13*10)^3*Input!C$11*(SIN(C23))^2/12+(Input!C$13*10*Input!C$11)*(N$11*COS(C23))^2+(Input!C$12*10)^3*Input!C$11*(COS(C23))^2/12+(Input!C$12*10*Input!C$11)*((0.5*Input!C$12-N$11)*SIN(C23))^2)</f>
        <v>0</v>
      </c>
      <c r="E23" s="10">
        <f>IF(B23=0,0,(Input!C$13*10)^3*Input!C$11*(COS(C23))^2/12+(Input!C$13*10*Input!C$11)*(N$11*SIN(C23))^2+(Input!C$12*10)^3*Input!C$11*(SIN(C23))^2/12+(Input!C$12*10*Input!C$11)*((0.5*Input!C$12-N$11)*COS(C23))^2)</f>
        <v>0</v>
      </c>
      <c r="F23" s="10">
        <f t="shared" si="8"/>
        <v>0</v>
      </c>
      <c r="G23" s="10">
        <f t="shared" si="9"/>
        <v>0</v>
      </c>
      <c r="H23" s="12">
        <f t="shared" si="6"/>
        <v>0</v>
      </c>
      <c r="I23" s="12">
        <f t="shared" si="7"/>
        <v>0</v>
      </c>
      <c r="J23" s="12">
        <f t="shared" si="1"/>
        <v>0</v>
      </c>
      <c r="K23" s="12">
        <f t="shared" si="2"/>
        <v>0</v>
      </c>
      <c r="L23" s="24">
        <v>18</v>
      </c>
    </row>
    <row r="24" spans="1:15" x14ac:dyDescent="0.2">
      <c r="A24" s="14" t="s">
        <v>67</v>
      </c>
      <c r="B24" s="13">
        <f>IF(L24&gt;Input!C$14,0,N$5)</f>
        <v>0</v>
      </c>
      <c r="C24" s="13">
        <f>IF(L24&lt;=N$7,PI()+N$9,IF(L24&lt;=2*N$7,N$9,IF(L24&lt;=Input!C$14,(PI()-N$10)/2+N$10/(N$8-1)*(L24-2*N$7-1),0)))</f>
        <v>0</v>
      </c>
      <c r="D24" s="10">
        <f>IF(B24=0,0,(Input!C$13*10)^3*Input!C$11*(SIN(C24))^2/12+(Input!C$13*10*Input!C$11)*(N$11*COS(C24))^2+(Input!C$12*10)^3*Input!C$11*(COS(C24))^2/12+(Input!C$12*10*Input!C$11)*((0.5*Input!C$12-N$11)*SIN(C24))^2)</f>
        <v>0</v>
      </c>
      <c r="E24" s="10">
        <f>IF(B24=0,0,(Input!C$13*10)^3*Input!C$11*(COS(C24))^2/12+(Input!C$13*10*Input!C$11)*(N$11*SIN(C24))^2+(Input!C$12*10)^3*Input!C$11*(SIN(C24))^2/12+(Input!C$12*10*Input!C$11)*((0.5*Input!C$12-N$11)*COS(C24))^2)</f>
        <v>0</v>
      </c>
      <c r="F24" s="10">
        <f t="shared" si="8"/>
        <v>0</v>
      </c>
      <c r="G24" s="10">
        <f t="shared" si="9"/>
        <v>0</v>
      </c>
      <c r="H24" s="12">
        <f t="shared" si="6"/>
        <v>0</v>
      </c>
      <c r="I24" s="12">
        <f t="shared" si="7"/>
        <v>0</v>
      </c>
      <c r="J24" s="12">
        <f t="shared" si="1"/>
        <v>0</v>
      </c>
      <c r="K24" s="12">
        <f t="shared" si="2"/>
        <v>0</v>
      </c>
      <c r="L24" s="24">
        <v>19</v>
      </c>
    </row>
    <row r="25" spans="1:15" x14ac:dyDescent="0.2">
      <c r="A25" s="14" t="s">
        <v>68</v>
      </c>
      <c r="B25" s="13">
        <f>IF(L25&gt;Input!C$14,0,N$5)</f>
        <v>0</v>
      </c>
      <c r="C25" s="13">
        <f>IF(L25&lt;=N$7,PI()+N$9,IF(L25&lt;=2*N$7,N$9,IF(L25&lt;=Input!C$14,(PI()-N$10)/2+N$10/(N$8-1)*(L25-2*N$7-1),0)))</f>
        <v>0</v>
      </c>
      <c r="D25" s="10">
        <f>IF(B25=0,0,(Input!C$13*10)^3*Input!C$11*(SIN(C25))^2/12+(Input!C$13*10*Input!C$11)*(N$11*COS(C25))^2+(Input!C$12*10)^3*Input!C$11*(COS(C25))^2/12+(Input!C$12*10*Input!C$11)*((0.5*Input!C$12-N$11)*SIN(C25))^2)</f>
        <v>0</v>
      </c>
      <c r="E25" s="10">
        <f>IF(B25=0,0,(Input!C$13*10)^3*Input!C$11*(COS(C25))^2/12+(Input!C$13*10*Input!C$11)*(N$11*SIN(C25))^2+(Input!C$12*10)^3*Input!C$11*(SIN(C25))^2/12+(Input!C$12*10*Input!C$11)*((0.5*Input!C$12-N$11)*COS(C25))^2)</f>
        <v>0</v>
      </c>
      <c r="F25" s="10">
        <f t="shared" si="8"/>
        <v>0</v>
      </c>
      <c r="G25" s="10">
        <f t="shared" si="9"/>
        <v>0</v>
      </c>
      <c r="H25" s="12">
        <f t="shared" si="6"/>
        <v>0</v>
      </c>
      <c r="I25" s="12">
        <f t="shared" si="7"/>
        <v>0</v>
      </c>
      <c r="J25" s="12">
        <f t="shared" si="1"/>
        <v>0</v>
      </c>
      <c r="K25" s="12">
        <f t="shared" si="2"/>
        <v>0</v>
      </c>
      <c r="L25" s="24">
        <v>20</v>
      </c>
    </row>
    <row r="26" spans="1:15" x14ac:dyDescent="0.2">
      <c r="A26" s="14" t="s">
        <v>69</v>
      </c>
      <c r="B26" s="13">
        <f>IF(L26&gt;Input!C$14,0,N$5)</f>
        <v>0</v>
      </c>
      <c r="C26" s="13">
        <f>IF(L26&lt;=N$7,PI()+N$9,IF(L26&lt;=2*N$7,N$9,IF(L26&lt;=Input!C$14,(PI()-N$10)/2+N$10/(N$8-1)*(L26-2*N$7-1),0)))</f>
        <v>0</v>
      </c>
      <c r="D26" s="10">
        <f>IF(B26=0,0,(Input!C$13*10)^3*Input!C$11*(SIN(C26))^2/12+(Input!C$13*10*Input!C$11)*(N$11*COS(C26))^2+(Input!C$12*10)^3*Input!C$11*(COS(C26))^2/12+(Input!C$12*10*Input!C$11)*((0.5*Input!C$12-N$11)*SIN(C26))^2)</f>
        <v>0</v>
      </c>
      <c r="E26" s="10">
        <f>IF(B26=0,0,(Input!C$13*10)^3*Input!C$11*(COS(C26))^2/12+(Input!C$13*10*Input!C$11)*(N$11*SIN(C26))^2+(Input!C$12*10)^3*Input!C$11*(SIN(C26))^2/12+(Input!C$12*10*Input!C$11)*((0.5*Input!C$12-N$11)*COS(C26))^2)</f>
        <v>0</v>
      </c>
      <c r="F26" s="10">
        <f t="shared" si="8"/>
        <v>0</v>
      </c>
      <c r="G26" s="10">
        <f t="shared" si="9"/>
        <v>0</v>
      </c>
      <c r="H26" s="12">
        <f t="shared" si="6"/>
        <v>0</v>
      </c>
      <c r="I26" s="12">
        <f t="shared" si="7"/>
        <v>0</v>
      </c>
      <c r="J26" s="12">
        <f t="shared" si="1"/>
        <v>0</v>
      </c>
      <c r="K26" s="12">
        <f t="shared" si="2"/>
        <v>0</v>
      </c>
      <c r="L26" s="24">
        <v>21</v>
      </c>
    </row>
    <row r="28" spans="1:15" ht="17" thickBot="1" x14ac:dyDescent="0.25">
      <c r="B28" s="11" t="s">
        <v>71</v>
      </c>
      <c r="C28" s="30"/>
      <c r="D28" s="8"/>
      <c r="E28" s="8"/>
      <c r="F28" s="8"/>
      <c r="G28" s="8"/>
      <c r="H28" s="8"/>
      <c r="I28" s="8"/>
      <c r="J28" s="11" t="s">
        <v>80</v>
      </c>
      <c r="K28" s="11" t="s">
        <v>75</v>
      </c>
      <c r="L28" s="11" t="s">
        <v>125</v>
      </c>
    </row>
    <row r="29" spans="1:15" x14ac:dyDescent="0.2">
      <c r="A29" s="16" t="s">
        <v>76</v>
      </c>
      <c r="B29" s="21">
        <f>SUM(B2:B26)</f>
        <v>2742.6935105400307</v>
      </c>
      <c r="C29" s="31"/>
      <c r="J29" s="22">
        <f>SUM(J2:J26)</f>
        <v>12518074.894478854</v>
      </c>
      <c r="K29" s="22">
        <f>SUM(K2:K26)</f>
        <v>99342517.645882145</v>
      </c>
      <c r="L29" s="22">
        <f>(4*(0.5*PI()*N2^2+0.5*N3*N2*2)^2)/(N4/Input!C9+2*N2/Input!C10)</f>
        <v>15566786.844564812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476E-1FCD-C449-BE10-D682C08D5733}">
  <dimension ref="A1:Z51"/>
  <sheetViews>
    <sheetView showGridLines="0" workbookViewId="0">
      <selection activeCell="N1" sqref="N1:S1"/>
    </sheetView>
  </sheetViews>
  <sheetFormatPr baseColWidth="10" defaultRowHeight="16" x14ac:dyDescent="0.2"/>
  <cols>
    <col min="1" max="1" width="10.83203125" style="29"/>
    <col min="2" max="2" width="11.1640625" style="29" bestFit="1" customWidth="1"/>
    <col min="3" max="3" width="10.83203125" style="29"/>
    <col min="5" max="5" width="8" bestFit="1" customWidth="1"/>
    <col min="8" max="8" width="12.83203125" bestFit="1" customWidth="1"/>
    <col min="21" max="21" width="12.83203125" hidden="1" customWidth="1"/>
    <col min="22" max="22" width="0" hidden="1" customWidth="1"/>
    <col min="23" max="23" width="12.83203125" hidden="1" customWidth="1"/>
    <col min="24" max="26" width="0" hidden="1" customWidth="1"/>
  </cols>
  <sheetData>
    <row r="1" spans="1:19" ht="17" thickBot="1" x14ac:dyDescent="0.25">
      <c r="A1" s="50" t="s">
        <v>101</v>
      </c>
      <c r="B1" s="51"/>
      <c r="C1" s="52"/>
      <c r="F1" s="53" t="s">
        <v>109</v>
      </c>
      <c r="G1" s="54"/>
      <c r="H1" s="54"/>
      <c r="I1" s="54"/>
      <c r="J1" s="54"/>
      <c r="K1" s="55"/>
      <c r="N1" s="86" t="s">
        <v>124</v>
      </c>
      <c r="O1" s="87"/>
      <c r="P1" s="87"/>
      <c r="Q1" s="87"/>
      <c r="R1" s="87"/>
      <c r="S1" s="88"/>
    </row>
    <row r="2" spans="1:19" ht="17" thickBot="1" x14ac:dyDescent="0.25">
      <c r="A2" s="45" t="s">
        <v>105</v>
      </c>
      <c r="B2" s="27">
        <f>'Cross-sectional properties'!K29*Input!C20</f>
        <v>7261938039.9139843</v>
      </c>
      <c r="C2" s="46" t="s">
        <v>106</v>
      </c>
      <c r="F2" s="61" t="s">
        <v>107</v>
      </c>
      <c r="G2" s="62"/>
      <c r="H2" s="73"/>
      <c r="I2" s="61" t="s">
        <v>108</v>
      </c>
      <c r="J2" s="62"/>
      <c r="K2" s="63"/>
      <c r="N2" s="61" t="s">
        <v>107</v>
      </c>
      <c r="O2" s="62"/>
      <c r="P2" s="63"/>
      <c r="Q2" s="61" t="s">
        <v>108</v>
      </c>
      <c r="R2" s="62"/>
      <c r="S2" s="63"/>
    </row>
    <row r="3" spans="1:19" ht="17" thickBot="1" x14ac:dyDescent="0.25">
      <c r="A3" s="45" t="s">
        <v>104</v>
      </c>
      <c r="B3" s="27">
        <f>Input!C20*'Cross-sectional properties'!J29</f>
        <v>915071274.78640413</v>
      </c>
      <c r="C3" s="46" t="s">
        <v>106</v>
      </c>
      <c r="E3" s="69" t="s">
        <v>123</v>
      </c>
      <c r="F3" s="70" t="s">
        <v>112</v>
      </c>
      <c r="G3" s="71" t="s">
        <v>111</v>
      </c>
      <c r="H3" s="74" t="s">
        <v>110</v>
      </c>
      <c r="I3" s="70" t="s">
        <v>112</v>
      </c>
      <c r="J3" s="71" t="s">
        <v>111</v>
      </c>
      <c r="K3" s="72" t="s">
        <v>110</v>
      </c>
      <c r="M3" s="69" t="s">
        <v>123</v>
      </c>
      <c r="N3" s="70" t="s">
        <v>112</v>
      </c>
      <c r="O3" s="71" t="s">
        <v>117</v>
      </c>
      <c r="P3" s="72" t="s">
        <v>118</v>
      </c>
      <c r="Q3" s="70" t="s">
        <v>112</v>
      </c>
      <c r="R3" s="71" t="s">
        <v>117</v>
      </c>
      <c r="S3" s="72" t="s">
        <v>118</v>
      </c>
    </row>
    <row r="4" spans="1:19" x14ac:dyDescent="0.2">
      <c r="A4" s="45" t="s">
        <v>127</v>
      </c>
      <c r="B4" s="27">
        <f>Input!C4*1000</f>
        <v>153</v>
      </c>
      <c r="C4" s="46" t="s">
        <v>85</v>
      </c>
      <c r="E4" s="68" t="s">
        <v>119</v>
      </c>
      <c r="F4" s="58" t="s">
        <v>115</v>
      </c>
      <c r="G4" s="26">
        <v>0</v>
      </c>
      <c r="H4" s="75">
        <f>Input!C15*10</f>
        <v>11.03</v>
      </c>
      <c r="I4" s="58" t="s">
        <v>115</v>
      </c>
      <c r="J4" s="80">
        <v>0</v>
      </c>
      <c r="K4" s="81">
        <f>Input!C15*10</f>
        <v>11.03</v>
      </c>
      <c r="M4" s="60" t="s">
        <v>119</v>
      </c>
      <c r="N4" s="58" t="s">
        <v>115</v>
      </c>
      <c r="O4" s="26">
        <f>3*$B$2*(G4/$B$5+G7/$B$6)/($B$5^2+$B$5*$B$6)</f>
        <v>0</v>
      </c>
      <c r="P4" s="57">
        <f>3*$B$3*(H4/$B$5+H7/$B$6)/($B$5^2+$B$5*$B$6)</f>
        <v>20.704685402767684</v>
      </c>
      <c r="Q4" s="58" t="s">
        <v>115</v>
      </c>
      <c r="R4" s="26">
        <f>O4</f>
        <v>0</v>
      </c>
      <c r="S4" s="57">
        <f>P4</f>
        <v>20.704685402767684</v>
      </c>
    </row>
    <row r="5" spans="1:19" x14ac:dyDescent="0.2">
      <c r="A5" s="45" t="s">
        <v>102</v>
      </c>
      <c r="B5" s="42">
        <f>(Input!C5-Input!C4)*1000</f>
        <v>1128</v>
      </c>
      <c r="C5" s="46" t="s">
        <v>85</v>
      </c>
      <c r="E5" s="68"/>
      <c r="F5" s="45" t="s">
        <v>113</v>
      </c>
      <c r="G5" s="27">
        <f>-H4*SIN(PI()/180*Input!C17)</f>
        <v>-4.8352337490835238</v>
      </c>
      <c r="H5" s="76">
        <f>H4*COS(PI()/180*Input!C17)</f>
        <v>9.9136983306798125</v>
      </c>
      <c r="I5" s="45" t="s">
        <v>113</v>
      </c>
      <c r="J5" s="82"/>
      <c r="K5" s="83"/>
      <c r="M5" s="68"/>
      <c r="N5" s="45" t="s">
        <v>113</v>
      </c>
      <c r="O5" s="27">
        <f>3*$B$2*(G5/$B$5+G8/$B$6)/($B$5^2+$B$5*$B$6)</f>
        <v>-72.029137449865274</v>
      </c>
      <c r="P5" s="46">
        <f>3*$B$3*(H5/$B$5+H8/$B$6)/($B$5^2+$B$5*$B$6)</f>
        <v>18.60924797050486</v>
      </c>
      <c r="Q5" s="45" t="s">
        <v>113</v>
      </c>
      <c r="R5" s="27">
        <f>O5*COS(PI()/180*Input!C17)+P5*SIN(PI()/180*Input!C17)</f>
        <v>-56.581602526290752</v>
      </c>
      <c r="S5" s="46">
        <f>O5*SIN(PI()/180*Input!C17)+P5*COS(PI()/180*Input!C17)</f>
        <v>-14.849614304130899</v>
      </c>
    </row>
    <row r="6" spans="1:19" ht="17" thickBot="1" x14ac:dyDescent="0.25">
      <c r="A6" s="45" t="s">
        <v>103</v>
      </c>
      <c r="B6" s="42">
        <f>(Input!C6-Input!C5)*1000</f>
        <v>1400.0000000000002</v>
      </c>
      <c r="C6" s="46" t="s">
        <v>85</v>
      </c>
      <c r="E6" s="59"/>
      <c r="F6" s="47" t="s">
        <v>114</v>
      </c>
      <c r="G6" s="48">
        <f>-G5</f>
        <v>4.8352337490835238</v>
      </c>
      <c r="H6" s="77">
        <f>H4*COS(PI()/180*Input!C17)</f>
        <v>9.9136983306798125</v>
      </c>
      <c r="I6" s="47" t="s">
        <v>114</v>
      </c>
      <c r="J6" s="84"/>
      <c r="K6" s="85"/>
      <c r="M6" s="59"/>
      <c r="N6" s="47" t="s">
        <v>114</v>
      </c>
      <c r="O6" s="48">
        <f>3*$B$2*(G6/$B$5+G9/$B$6)/($B$5^2+$B$5*$B$6)</f>
        <v>72.029137449865274</v>
      </c>
      <c r="P6" s="49">
        <f>3*$B$3*(H6/$B$5+H9/$B$6)/($B$5^2+$B$5*$B$6)</f>
        <v>18.60924797050486</v>
      </c>
      <c r="Q6" s="47" t="s">
        <v>114</v>
      </c>
      <c r="R6" s="48">
        <f>O5*COS(-PI()/180*Input!C17)+P5*SIN(-PI()/180*Input!C17)</f>
        <v>-72.897117273715807</v>
      </c>
      <c r="S6" s="49">
        <f>O5*SIN(-PI()/180*Input!C17)+P5*COS(-PI()/180*Input!C17)</f>
        <v>48.301376868120144</v>
      </c>
    </row>
    <row r="7" spans="1:19" ht="17" thickBot="1" x14ac:dyDescent="0.25">
      <c r="A7" s="89" t="s">
        <v>126</v>
      </c>
      <c r="B7" s="48">
        <f>Input!C3*1000-Input!C6*1000</f>
        <v>90</v>
      </c>
      <c r="C7" s="49" t="s">
        <v>85</v>
      </c>
      <c r="E7" s="68" t="s">
        <v>121</v>
      </c>
      <c r="F7" s="58" t="s">
        <v>115</v>
      </c>
      <c r="G7" s="26">
        <v>0</v>
      </c>
      <c r="H7" s="75">
        <f>Input!C16*10</f>
        <v>16.419999999999998</v>
      </c>
      <c r="I7" s="58" t="s">
        <v>115</v>
      </c>
      <c r="J7" s="80">
        <v>0</v>
      </c>
      <c r="K7" s="81">
        <f>Input!C16*10</f>
        <v>16.419999999999998</v>
      </c>
      <c r="M7" s="60" t="s">
        <v>120</v>
      </c>
      <c r="N7" s="58" t="s">
        <v>115</v>
      </c>
      <c r="O7" s="26">
        <f>-O4-O10</f>
        <v>0</v>
      </c>
      <c r="P7" s="57">
        <f>-P4-P10</f>
        <v>-37.386746212997643</v>
      </c>
      <c r="Q7" s="58" t="s">
        <v>115</v>
      </c>
      <c r="R7" s="26">
        <f>O7</f>
        <v>0</v>
      </c>
      <c r="S7" s="57">
        <f>P7</f>
        <v>-37.386746212997643</v>
      </c>
    </row>
    <row r="8" spans="1:19" x14ac:dyDescent="0.2">
      <c r="E8" s="68"/>
      <c r="F8" s="45" t="s">
        <v>113</v>
      </c>
      <c r="G8" s="27">
        <f>-H7*SIN(PI()/180*Input!C17)</f>
        <v>-7.1980542302766501</v>
      </c>
      <c r="H8" s="76">
        <f>H7*COS(PI()/180*Input!C17)</f>
        <v>14.758198240232321</v>
      </c>
      <c r="I8" s="45" t="s">
        <v>113</v>
      </c>
      <c r="J8" s="82"/>
      <c r="K8" s="83"/>
      <c r="M8" s="68"/>
      <c r="N8" s="45" t="s">
        <v>113</v>
      </c>
      <c r="O8" s="27">
        <f t="shared" ref="O8:O9" si="0">-O5-O11</f>
        <v>130.06404248089956</v>
      </c>
      <c r="P8" s="46">
        <f t="shared" ref="P8:P9" si="1">-P5-P11</f>
        <v>-33.602984906740204</v>
      </c>
      <c r="Q8" s="45" t="s">
        <v>113</v>
      </c>
      <c r="R8" s="27">
        <f>O8*COS(PI()/180*Input!C20)+P8*SIN(PI()/180*Input!C20)</f>
        <v>5.658110033802032</v>
      </c>
      <c r="S8" s="46">
        <f>O8*SIN(PI()/180*Input!C20)+P8*COS(PI()/180*Input!C20)</f>
        <v>114.67858121933206</v>
      </c>
    </row>
    <row r="9" spans="1:19" ht="17" thickBot="1" x14ac:dyDescent="0.25">
      <c r="E9" s="59"/>
      <c r="F9" s="47" t="s">
        <v>114</v>
      </c>
      <c r="G9" s="48">
        <f>-G8</f>
        <v>7.1980542302766501</v>
      </c>
      <c r="H9" s="77">
        <f>H7*COS(PI()/180*Input!C17)</f>
        <v>14.758198240232321</v>
      </c>
      <c r="I9" s="47" t="s">
        <v>114</v>
      </c>
      <c r="J9" s="84"/>
      <c r="K9" s="85"/>
      <c r="M9" s="59"/>
      <c r="N9" s="47" t="s">
        <v>114</v>
      </c>
      <c r="O9" s="48">
        <f t="shared" si="0"/>
        <v>-130.06404248089956</v>
      </c>
      <c r="P9" s="49">
        <f t="shared" si="1"/>
        <v>-33.602984906740204</v>
      </c>
      <c r="Q9" s="47" t="s">
        <v>114</v>
      </c>
      <c r="R9" s="48">
        <f>O8*COS(-PI()/180*Input!C20)+P8*SIN(-PI()/180*Input!C20)</f>
        <v>69.961694881105601</v>
      </c>
      <c r="S9" s="49">
        <f>O8*SIN(-PI()/180*Input!C20)+P8*COS(-PI()/180*Input!C20)</f>
        <v>-134.21550406700877</v>
      </c>
    </row>
    <row r="10" spans="1:19" x14ac:dyDescent="0.2">
      <c r="M10" s="60" t="s">
        <v>121</v>
      </c>
      <c r="N10" s="58" t="s">
        <v>115</v>
      </c>
      <c r="O10" s="26">
        <f>O4*$B$5/$B$6</f>
        <v>0</v>
      </c>
      <c r="P10" s="57">
        <f>P4*$B$5/$B$6</f>
        <v>16.682060810229959</v>
      </c>
      <c r="Q10" s="58" t="s">
        <v>115</v>
      </c>
      <c r="R10" s="26">
        <f>O10</f>
        <v>0</v>
      </c>
      <c r="S10" s="57">
        <f>P10</f>
        <v>16.682060810229959</v>
      </c>
    </row>
    <row r="11" spans="1:19" x14ac:dyDescent="0.2">
      <c r="M11" s="68"/>
      <c r="N11" s="45" t="s">
        <v>113</v>
      </c>
      <c r="O11" s="27">
        <f t="shared" ref="O11:O12" si="2">O5*$B$5/$B$6</f>
        <v>-58.034905031034299</v>
      </c>
      <c r="P11" s="46">
        <f t="shared" ref="P11:P12" si="3">P5*$B$5/$B$6</f>
        <v>14.993736936235344</v>
      </c>
      <c r="Q11" s="45" t="s">
        <v>113</v>
      </c>
      <c r="R11" s="27">
        <f>O11*COS(PI()/180*Input!C23)+P11*SIN(PI()/180*Input!C23)</f>
        <v>-58.034905031034299</v>
      </c>
      <c r="S11" s="46">
        <f>O11*SIN(PI()/180*Input!C23)+P11*COS(PI()/180*Input!C23)</f>
        <v>14.993736936235344</v>
      </c>
    </row>
    <row r="12" spans="1:19" ht="17" thickBot="1" x14ac:dyDescent="0.25">
      <c r="M12" s="59"/>
      <c r="N12" s="47" t="s">
        <v>114</v>
      </c>
      <c r="O12" s="48">
        <f t="shared" si="2"/>
        <v>58.034905031034299</v>
      </c>
      <c r="P12" s="49">
        <f t="shared" si="3"/>
        <v>14.993736936235344</v>
      </c>
      <c r="Q12" s="47" t="s">
        <v>114</v>
      </c>
      <c r="R12" s="48">
        <f>O11*COS(-PI()/180*Input!C23)+P11*SIN(-PI()/180*Input!C23)</f>
        <v>-58.034905031034299</v>
      </c>
      <c r="S12" s="49">
        <f>O11*SIN(-PI()/180*Input!C23)+P11*COS(-PI()/180*Input!C23)</f>
        <v>14.993736936235344</v>
      </c>
    </row>
    <row r="13" spans="1:19" ht="17" thickBot="1" x14ac:dyDescent="0.25"/>
    <row r="14" spans="1:19" ht="17" thickBot="1" x14ac:dyDescent="0.25">
      <c r="N14" s="86" t="s">
        <v>146</v>
      </c>
      <c r="O14" s="87"/>
      <c r="P14" s="87"/>
      <c r="Q14" s="87"/>
      <c r="R14" s="87"/>
      <c r="S14" s="88"/>
    </row>
    <row r="15" spans="1:19" ht="17" thickBot="1" x14ac:dyDescent="0.25">
      <c r="N15" s="61" t="s">
        <v>107</v>
      </c>
      <c r="O15" s="62"/>
      <c r="P15" s="63"/>
      <c r="Q15" s="61" t="s">
        <v>108</v>
      </c>
      <c r="R15" s="62"/>
      <c r="S15" s="63"/>
    </row>
    <row r="16" spans="1:19" ht="17" thickBot="1" x14ac:dyDescent="0.25">
      <c r="M16" s="69" t="s">
        <v>123</v>
      </c>
      <c r="N16" s="70" t="s">
        <v>112</v>
      </c>
      <c r="O16" s="71" t="s">
        <v>117</v>
      </c>
      <c r="P16" s="72" t="s">
        <v>118</v>
      </c>
      <c r="Q16" s="70" t="s">
        <v>112</v>
      </c>
      <c r="R16" s="71" t="s">
        <v>117</v>
      </c>
      <c r="S16" s="72" t="s">
        <v>118</v>
      </c>
    </row>
    <row r="17" spans="13:26" x14ac:dyDescent="0.2">
      <c r="M17" s="60" t="s">
        <v>119</v>
      </c>
      <c r="N17" s="58" t="s">
        <v>115</v>
      </c>
      <c r="O17" s="26">
        <v>0</v>
      </c>
      <c r="P17" s="57">
        <f>-Superpositioning!D20/1000*(SUM($B$4:$B$7) - (($B$5+$B$6+$B$7)^2-$B$4^2)/(2*($B$5+$B$6)))+3*V20*($B$5-$B$6)/($B$5^3*$B$6+$B$5^2*$B$6^2)</f>
        <v>5.8729085182054037</v>
      </c>
      <c r="Q17" s="58" t="s">
        <v>115</v>
      </c>
      <c r="R17" s="26">
        <f>O17</f>
        <v>0</v>
      </c>
      <c r="S17" s="57">
        <f>P17</f>
        <v>5.8729085182054037</v>
      </c>
    </row>
    <row r="18" spans="13:26" x14ac:dyDescent="0.2">
      <c r="M18" s="68"/>
      <c r="N18" s="45" t="s">
        <v>113</v>
      </c>
      <c r="O18" s="27">
        <f>-Superpositioning!C21/1000*(SUM($B$4:$B$7) - (($B$5+$B$6+$B$7)^2-$B$4^2)/(2*($B$5+$B$6)))+3*U21*($B$5-$B$6)/($B$5^3*$B$6+$B$5^2*$B$6^2)</f>
        <v>-2.5745136421130441</v>
      </c>
      <c r="P18" s="46">
        <f>-Superpositioning!D21/1000*(SUM($B$4:$B$7) - (($B$5+$B$6+$B$7)^2-$B$4^2)/(2*($B$5+$B$6)))+3*V21*($B$5-$B$6)/($B$5^3*$B$6+$B$5^2*$B$6^2)</f>
        <v>5.2785352106226808</v>
      </c>
      <c r="Q18" s="45" t="s">
        <v>113</v>
      </c>
      <c r="R18" s="27">
        <f>O18*COS(PI()/180*Input!C30)+P18*SIN(PI()/180*Input!C30)</f>
        <v>-2.5745136421130441</v>
      </c>
      <c r="S18" s="46">
        <f>O18*SIN(PI()/180*Input!C30)+P18*COS(PI()/180*Input!C30)</f>
        <v>5.2785352106226808</v>
      </c>
    </row>
    <row r="19" spans="13:26" ht="17" thickBot="1" x14ac:dyDescent="0.25">
      <c r="M19" s="59"/>
      <c r="N19" s="47" t="s">
        <v>114</v>
      </c>
      <c r="O19" s="48">
        <f>-Superpositioning!C22/1000*(SUM($B$4:$B$7) - (($B$5+$B$6+$B$7)^2-$B$4^2)/(2*($B$5+$B$6)))+3*U22*($B$5-$B$6)/($B$5^3*$B$6+$B$5^2*$B$6^2)</f>
        <v>2.5745136421130441</v>
      </c>
      <c r="P19" s="49">
        <f>-Superpositioning!D22/1000*(SUM($B$4:$B$7) - (($B$5+$B$6+$B$7)^2-$B$4^2)/(2*($B$5+$B$6)))+3*V22*($B$5-$B$6)/($B$5^3*$B$6+$B$5^2*$B$6^2)</f>
        <v>5.2785352106226808</v>
      </c>
      <c r="Q19" s="47" t="s">
        <v>114</v>
      </c>
      <c r="R19" s="48">
        <f>O18*COS(-PI()/180*Input!C30)+P18*SIN(-PI()/180*Input!C30)</f>
        <v>-2.5745136421130441</v>
      </c>
      <c r="S19" s="49">
        <f>O18*SIN(-PI()/180*Input!C30)+P18*COS(-PI()/180*Input!C30)</f>
        <v>5.2785352106226808</v>
      </c>
    </row>
    <row r="20" spans="13:26" x14ac:dyDescent="0.2">
      <c r="M20" s="60" t="s">
        <v>120</v>
      </c>
      <c r="N20" s="58" t="s">
        <v>115</v>
      </c>
      <c r="O20" s="26">
        <v>0</v>
      </c>
      <c r="P20" s="57">
        <f>-3*V20*($B$5-$B$6)/($B$5^3*$B$6+$B$5^2*$B$6^2)-3*V20*($B$5-$B$6)/($B$5^2*$B$6^2+$B$5*$B$6^3)</f>
        <v>1.0108710221262422</v>
      </c>
      <c r="Q20" s="58" t="s">
        <v>115</v>
      </c>
      <c r="R20" s="26">
        <f>O20</f>
        <v>0</v>
      </c>
      <c r="S20" s="57">
        <f>P20</f>
        <v>1.0108710221262422</v>
      </c>
      <c r="U20">
        <f>Superpositioning!C20/1000*(-1/24*($B$5^4-$B$5*($B$5+$B$6)^3)+1/6*(SUM($B$4:$B$7)-(($B$5+$B$6+$B$7)^2-$B$4^2)/(2*($B$5+$B$6)))*($B$5^3-$B$5*($B$5+$B$6)^2)-1/4*$B$4^2*($B$5^2-($B$5+$B$6)))</f>
        <v>0</v>
      </c>
      <c r="V20">
        <f>Superpositioning!D20/1000*(-1/24*($B$5^4-$B$5*($B$5+$B$6)^3)+1/6*(SUM($B$4:$B$7)-(($B$5+$B$6+$B$7)^2-$B$4^2)/(2*($B$5+$B$6)))*($B$5^3-$B$5*($B$5+$B$6)^2)-1/4*$B$4^2*($B$5^2-($B$5+$B$6)))</f>
        <v>3089440667.4625845</v>
      </c>
    </row>
    <row r="21" spans="13:26" x14ac:dyDescent="0.2">
      <c r="M21" s="68"/>
      <c r="N21" s="45" t="s">
        <v>113</v>
      </c>
      <c r="O21" s="27">
        <f t="shared" ref="O21:P22" si="4">-3*U21*($B$5-$B$6)/($B$5^3*$B$6+$B$5^2*$B$6^2)-3*U21*($B$5-$B$6)/($B$5^2*$B$6^2+$B$5*$B$6^3)</f>
        <v>-0.44313668922532756</v>
      </c>
      <c r="P21" s="46">
        <f t="shared" si="4"/>
        <v>0.9085648562634201</v>
      </c>
      <c r="Q21" s="45" t="s">
        <v>113</v>
      </c>
      <c r="R21" s="27">
        <f>O21*COS(PI()/180*Input!C33)+P21*SIN(PI()/180*Input!C33)</f>
        <v>-0.44313668922532756</v>
      </c>
      <c r="S21" s="46">
        <f>O21*SIN(PI()/180*Input!C33)+P21*COS(PI()/180*Input!C33)</f>
        <v>0.9085648562634201</v>
      </c>
      <c r="U21">
        <f>Superpositioning!C21/1000*(-1/24*($B$5^4-$B$5*($B$5+$B$6)^3)+1/6*(SUM($B$4:$B$7)-(($B$5+$B$6+$B$7)^2-$B$4^2)/(2*($B$5+$B$6)))*($B$5^3-$B$5*($B$5+$B$6)^2)-1/4*$B$4^2*($B$5^2-($B$5+$B$6)))</f>
        <v>-1354321648.3323855</v>
      </c>
      <c r="V21">
        <f>Superpositioning!D21/1000*(-1/24*($B$5^4-$B$5*($B$5+$B$6)^3)+1/6*(SUM($B$4:$B$7)-(($B$5+$B$6+$B$7)^2-$B$4^2)/(2*($B$5+$B$6)))*($B$5^3-$B$5*($B$5+$B$6)^2)-1/4*$B$4^2*($B$5^2-($B$5+$B$6)))</f>
        <v>2776770878.3098955</v>
      </c>
    </row>
    <row r="22" spans="13:26" ht="17" thickBot="1" x14ac:dyDescent="0.25">
      <c r="M22" s="59"/>
      <c r="N22" s="47" t="s">
        <v>114</v>
      </c>
      <c r="O22" s="48">
        <f t="shared" si="4"/>
        <v>0.44313668922532756</v>
      </c>
      <c r="P22" s="49">
        <f t="shared" si="4"/>
        <v>0.9085648562634201</v>
      </c>
      <c r="Q22" s="47" t="s">
        <v>114</v>
      </c>
      <c r="R22" s="48">
        <f>O21*COS(-PI()/180*Input!C33)+P21*SIN(-PI()/180*Input!C33)</f>
        <v>-0.44313668922532756</v>
      </c>
      <c r="S22" s="49">
        <f>O21*SIN(-PI()/180*Input!C33)+P21*COS(-PI()/180*Input!C33)</f>
        <v>0.9085648562634201</v>
      </c>
      <c r="U22">
        <f>Superpositioning!C22/1000*(-1/24*($B$5^4-$B$5*($B$5+$B$6)^3)+1/6*(SUM($B$4:$B$7)-(($B$5+$B$6+$B$7)^2-$B$4^2)/(2*($B$5+$B$6)))*($B$5^3-$B$5*($B$5+$B$6)^2)-1/4*$B$4^2*($B$5^2-($B$5+$B$6)))</f>
        <v>1354321648.3323855</v>
      </c>
      <c r="V22">
        <f>Superpositioning!D22/1000*(-1/24*($B$5^4-$B$5*($B$5+$B$6)^3)+1/6*(SUM($B$4:$B$7)-(($B$5+$B$6+$B$7)^2-$B$4^2)/(2*($B$5+$B$6)))*($B$5^3-$B$5*($B$5+$B$6)^2)-1/4*$B$4^2*($B$5^2-($B$5+$B$6)))</f>
        <v>2776770878.3098955</v>
      </c>
    </row>
    <row r="23" spans="13:26" x14ac:dyDescent="0.2">
      <c r="M23" s="60" t="s">
        <v>121</v>
      </c>
      <c r="N23" s="58" t="s">
        <v>115</v>
      </c>
      <c r="O23" s="26">
        <f>-Superpositioning!C20/1000*(($B$5+$B$6+$B$7)^2-$B$4^2)/(2*($B$5+$B$6))+3*U20*($B$5-$B$6)/($B$5^2*$B$6^2+$B$5*$B$6^3)</f>
        <v>0</v>
      </c>
      <c r="P23" s="57">
        <f>-Superpositioning!D20/1000*(($B$5+$B$6+$B$7)^2-$B$4^2)/(2*($B$5+$B$6))+3*V20*($B$5-$B$6)/($B$5^2*$B$6^2+$B$5*$B$6^3)</f>
        <v>5.668850459668354</v>
      </c>
      <c r="Q23" s="58" t="s">
        <v>115</v>
      </c>
      <c r="R23" s="26">
        <f>O23</f>
        <v>0</v>
      </c>
      <c r="S23" s="57">
        <f>P23</f>
        <v>5.668850459668354</v>
      </c>
    </row>
    <row r="24" spans="13:26" x14ac:dyDescent="0.2">
      <c r="M24" s="68"/>
      <c r="N24" s="45" t="s">
        <v>113</v>
      </c>
      <c r="O24" s="27">
        <f>-Superpositioning!C21/1000*(($B$5+$B$6+$B$7)^2-$B$4^2)/(2*($B$5+$B$6))+3*U21*($B$5-$B$6)/($B$5^2*$B$6^2+$B$5*$B$6^3)</f>
        <v>-2.4850604769806046</v>
      </c>
      <c r="P24" s="46">
        <f>-Superpositioning!D21/1000*(($B$5+$B$6+$B$7)^2-$B$4^2)/(2*($B$5+$B$6))+3*V21*($B$5-$B$6)/($B$5^2*$B$6^2+$B$5*$B$6^3)</f>
        <v>5.0951290425102131</v>
      </c>
      <c r="Q24" s="45" t="s">
        <v>113</v>
      </c>
      <c r="R24" s="27">
        <f>O24*COS(PI()/180*Input!C36)+P24*SIN(PI()/180*Input!C36)</f>
        <v>-2.4850604769806046</v>
      </c>
      <c r="S24" s="46">
        <f>O24*SIN(PI()/180*Input!C36)+P24*COS(PI()/180*Input!C36)</f>
        <v>5.0951290425102131</v>
      </c>
    </row>
    <row r="25" spans="13:26" ht="17" thickBot="1" x14ac:dyDescent="0.25">
      <c r="M25" s="59"/>
      <c r="N25" s="47" t="s">
        <v>114</v>
      </c>
      <c r="O25" s="48">
        <f>-Superpositioning!C22/1000*(($B$5+$B$6+$B$7)^2-$B$4^2)/(2*($B$5+$B$6))+3*U22*($B$5-$B$6)/($B$5^2*$B$6^2+$B$5*$B$6^3)</f>
        <v>2.4850604769806046</v>
      </c>
      <c r="P25" s="49">
        <f>-Superpositioning!D22/1000*(($B$5+$B$6+$B$7)^2-$B$4^2)/(2*($B$5+$B$6))+3*V22*($B$5-$B$6)/($B$5^2*$B$6^2+$B$5*$B$6^3)</f>
        <v>5.0951290425102131</v>
      </c>
      <c r="Q25" s="47" t="s">
        <v>114</v>
      </c>
      <c r="R25" s="48">
        <f>O24*COS(-PI()/180*Input!C36)+P24*SIN(-PI()/180*Input!C36)</f>
        <v>-2.4850604769806046</v>
      </c>
      <c r="S25" s="49">
        <f>O24*SIN(-PI()/180*Input!C36)+P24*COS(-PI()/180*Input!C36)</f>
        <v>5.0951290425102131</v>
      </c>
    </row>
    <row r="26" spans="13:26" ht="17" thickBot="1" x14ac:dyDescent="0.25"/>
    <row r="27" spans="13:26" ht="17" thickBot="1" x14ac:dyDescent="0.25">
      <c r="N27" s="86" t="s">
        <v>147</v>
      </c>
      <c r="O27" s="87"/>
      <c r="P27" s="87"/>
      <c r="Q27" s="87"/>
      <c r="R27" s="87"/>
      <c r="S27" s="88"/>
    </row>
    <row r="28" spans="13:26" ht="17" thickBot="1" x14ac:dyDescent="0.25">
      <c r="N28" s="61" t="s">
        <v>107</v>
      </c>
      <c r="O28" s="62"/>
      <c r="P28" s="63"/>
      <c r="Q28" s="61" t="s">
        <v>108</v>
      </c>
      <c r="R28" s="62"/>
      <c r="S28" s="63"/>
    </row>
    <row r="29" spans="13:26" ht="17" thickBot="1" x14ac:dyDescent="0.25">
      <c r="M29" s="69" t="s">
        <v>123</v>
      </c>
      <c r="N29" s="70" t="s">
        <v>112</v>
      </c>
      <c r="O29" s="71" t="s">
        <v>117</v>
      </c>
      <c r="P29" s="72" t="s">
        <v>118</v>
      </c>
      <c r="Q29" s="70" t="s">
        <v>112</v>
      </c>
      <c r="R29" s="71" t="s">
        <v>117</v>
      </c>
      <c r="S29" s="72" t="s">
        <v>118</v>
      </c>
    </row>
    <row r="30" spans="13:26" x14ac:dyDescent="0.2">
      <c r="M30" s="60" t="s">
        <v>119</v>
      </c>
      <c r="N30" s="64" t="s">
        <v>115</v>
      </c>
      <c r="O30" s="65">
        <f>-W30-Y30+3*U33*($B$5-$B$6)/($B$5^3*$B$6+$B$5^2*$B$6^2)</f>
        <v>-11.911124706885094</v>
      </c>
      <c r="P30" s="65">
        <f>-X30-Z30+3*V33*($B$5-$B$6)/($B$5^3*$B$6+$B$5^2*$B$6^2)</f>
        <v>0</v>
      </c>
      <c r="Q30" s="64" t="s">
        <v>115</v>
      </c>
      <c r="R30" s="65">
        <f>O30</f>
        <v>-11.911124706885094</v>
      </c>
      <c r="S30" s="66">
        <f>P30</f>
        <v>0</v>
      </c>
      <c r="W30">
        <f>Superpositioning!C13*(1-(Superpositioning!$I$6-Superpositioning!$I$5)/($B$5+$B$6))</f>
        <v>57.50985572204641</v>
      </c>
      <c r="X30">
        <f>Superpositioning!D13*(1-(Superpositioning!$I$6-Superpositioning!$I$5)/($B$5+$B$6))</f>
        <v>0</v>
      </c>
      <c r="Y30">
        <f>Superpositioning!C23*(1-(Superpositioning!$I$7-Superpositioning!$I$5)/($B$5+$B$6))</f>
        <v>-45.704905063291143</v>
      </c>
      <c r="Z30">
        <f>Superpositioning!D23*(1-(Superpositioning!$I$7-Superpositioning!$I$5)/($B$5+$B$6))</f>
        <v>0</v>
      </c>
    </row>
    <row r="31" spans="13:26" x14ac:dyDescent="0.2">
      <c r="M31" s="68"/>
      <c r="N31" s="45" t="s">
        <v>113</v>
      </c>
      <c r="O31" s="26">
        <f t="shared" ref="O31:P32" si="5">-W31-Y31+3*U34*($B$5-$B$6)/($B$5^3*$B$6+$B$5^2*$B$6^2)</f>
        <v>-10.705647971275246</v>
      </c>
      <c r="P31" s="26">
        <f t="shared" si="5"/>
        <v>-5.2214933973049336</v>
      </c>
      <c r="Q31" s="45" t="s">
        <v>113</v>
      </c>
      <c r="R31" s="27">
        <f>O31*COS(PI()/180*Input!C43)+P31*SIN(PI()/180*Input!C43)</f>
        <v>-10.705647971275246</v>
      </c>
      <c r="S31" s="46">
        <f>O31*SIN(PI()/180*Input!C43)+P31*COS(PI()/180*Input!C43)</f>
        <v>-5.2214933973049336</v>
      </c>
      <c r="W31">
        <f>Superpositioning!C14*(1-(Superpositioning!$I$6-Superpositioning!$I$5)/($B$5+$B$6))</f>
        <v>51.689515926499404</v>
      </c>
      <c r="X31">
        <f>Superpositioning!D14*(1-(Superpositioning!$I$6-Superpositioning!$I$5)/($B$5+$B$6))</f>
        <v>25.210661404547871</v>
      </c>
      <c r="Y31">
        <f>Superpositioning!C24*(1-(Superpositioning!$I$7-Superpositioning!$I$5)/($B$5+$B$6))</f>
        <v>-41.079296557554727</v>
      </c>
      <c r="Z31">
        <f>Superpositioning!D24*(1-(Superpositioning!$I$7-Superpositioning!$I$5)/($B$5+$B$6))</f>
        <v>-20.035711646480848</v>
      </c>
    </row>
    <row r="32" spans="13:26" ht="17" thickBot="1" x14ac:dyDescent="0.25">
      <c r="M32" s="59"/>
      <c r="N32" s="47" t="s">
        <v>114</v>
      </c>
      <c r="O32" s="26">
        <f t="shared" si="5"/>
        <v>-10.705647971275246</v>
      </c>
      <c r="P32" s="26">
        <f t="shared" si="5"/>
        <v>5.2214933973049336</v>
      </c>
      <c r="Q32" s="47" t="s">
        <v>114</v>
      </c>
      <c r="R32" s="48">
        <f>O31*COS(-PI()/180*Input!C43)+P31*SIN(-PI()/180*Input!C43)</f>
        <v>-10.705647971275246</v>
      </c>
      <c r="S32" s="49">
        <f>O31*SIN(-PI()/180*Input!C43)+P31*COS(-PI()/180*Input!C43)</f>
        <v>-5.2214933973049336</v>
      </c>
      <c r="W32">
        <f>Superpositioning!C15*(1-(Superpositioning!$I$6-Superpositioning!$I$5)/($B$5+$B$6))</f>
        <v>51.689515926499404</v>
      </c>
      <c r="X32">
        <f>Superpositioning!D15*(1-(Superpositioning!$I$6-Superpositioning!$I$5)/($B$5+$B$6))</f>
        <v>-25.210661404547871</v>
      </c>
      <c r="Y32">
        <f>Superpositioning!C25*(1-(Superpositioning!$I$7-Superpositioning!$I$5)/($B$5+$B$6))</f>
        <v>-41.079296557554727</v>
      </c>
      <c r="Z32">
        <f>Superpositioning!D25*(1-(Superpositioning!$I$7-Superpositioning!$I$5)/($B$5+$B$6))</f>
        <v>20.035711646480848</v>
      </c>
    </row>
    <row r="33" spans="13:26" x14ac:dyDescent="0.2">
      <c r="M33" s="60" t="s">
        <v>120</v>
      </c>
      <c r="N33" s="58" t="s">
        <v>115</v>
      </c>
      <c r="O33" s="26">
        <f>-3*U33*($B$5-$B$6)/($B$5^3*$B$6+$B$5^2*$B$6^2)-3*U33*($B$5-$B$6)/($B$5^2*$B$6^2+$B$5*$B$6^3)</f>
        <v>0.19171999548014498</v>
      </c>
      <c r="P33" s="57">
        <f>-3*V33*($B$5-$B$6)/($B$5^3*$B$6+$B$5^2*$B$6^2)-3*V33*($B$5-$B$6)/($B$5^2*$B$6^2+$B$5*$B$6^3)</f>
        <v>0</v>
      </c>
      <c r="Q33" s="58" t="s">
        <v>115</v>
      </c>
      <c r="R33" s="26">
        <f>O33</f>
        <v>0.19171999548014498</v>
      </c>
      <c r="S33" s="57">
        <f>P33</f>
        <v>0</v>
      </c>
      <c r="U33">
        <f>W33+Y33</f>
        <v>585937807.92752075</v>
      </c>
      <c r="V33">
        <f>X33+Z33</f>
        <v>0</v>
      </c>
      <c r="W33">
        <f>-((W30*((1/2*$B$5^2*$B$6+1/6*$B$5^3))+1/3*W36*$B$6^3)/($B$5+$B$6)*$B$5-1/6*W30*$B$5^3)</f>
        <v>-30295204916.123123</v>
      </c>
      <c r="X33">
        <f t="shared" ref="X33:Z33" si="6">-((X30*((1/2*$B$5^2*$B$6+1/6*$B$5^3))+1/3*X36*$B$6^3)/($B$5+$B$6)*$B$5-1/6*X30*$B$5^3)</f>
        <v>0</v>
      </c>
      <c r="Y33">
        <f t="shared" si="6"/>
        <v>30881142724.050644</v>
      </c>
      <c r="Z33">
        <f t="shared" si="6"/>
        <v>0</v>
      </c>
    </row>
    <row r="34" spans="13:26" x14ac:dyDescent="0.2">
      <c r="M34" s="68"/>
      <c r="N34" s="45" t="s">
        <v>113</v>
      </c>
      <c r="O34" s="27">
        <f t="shared" ref="O34:O35" si="7">-3*U34*($B$5-$B$6)/($B$5^3*$B$6+$B$5^2*$B$6^2)-3*U34*($B$5-$B$6)/($B$5^2*$B$6^2+$B$5*$B$6^3)</f>
        <v>0.17231679049405674</v>
      </c>
      <c r="P34" s="46">
        <f t="shared" ref="P34:P35" si="8">-3*V34*($B$5-$B$6)/($B$5^3*$B$6+$B$5^2*$B$6^2)-3*V34*($B$5-$B$6)/($B$5^2*$B$6^2+$B$5*$B$6^3)</f>
        <v>8.4044514281027966E-2</v>
      </c>
      <c r="Q34" s="45" t="s">
        <v>113</v>
      </c>
      <c r="R34" s="27">
        <f>O34*COS(PI()/180*Input!C46)+P34*SIN(PI()/180*Input!C46)</f>
        <v>0.17231679049405674</v>
      </c>
      <c r="S34" s="46">
        <f>O34*SIN(PI()/180*Input!C46)+P34*COS(PI()/180*Input!C46)</f>
        <v>8.4044514281027966E-2</v>
      </c>
      <c r="U34">
        <f t="shared" ref="U34:U35" si="9">W34+Y34</f>
        <v>526637413.26683807</v>
      </c>
      <c r="V34">
        <f t="shared" ref="V34:V35" si="10">X34+Z34</f>
        <v>256858228.80826569</v>
      </c>
      <c r="W34">
        <f t="shared" ref="W34:Z35" si="11">-((W31*((1/2*$B$5^2*$B$6+1/6*$B$5^3))+1/3*W37*$B$6^3)/($B$5+$B$6)*$B$5-1/6*W31*$B$5^3)</f>
        <v>-27229149810.024719</v>
      </c>
      <c r="X34">
        <f t="shared" si="11"/>
        <v>-13280543721.290985</v>
      </c>
      <c r="Y34">
        <f t="shared" si="11"/>
        <v>27755787223.291557</v>
      </c>
      <c r="Z34">
        <f t="shared" si="11"/>
        <v>13537401950.099251</v>
      </c>
    </row>
    <row r="35" spans="13:26" ht="17" thickBot="1" x14ac:dyDescent="0.25">
      <c r="M35" s="59"/>
      <c r="N35" s="47" t="s">
        <v>114</v>
      </c>
      <c r="O35" s="48">
        <f t="shared" si="7"/>
        <v>0.17231679049405674</v>
      </c>
      <c r="P35" s="49">
        <f t="shared" si="8"/>
        <v>-8.4044514281027966E-2</v>
      </c>
      <c r="Q35" s="47" t="s">
        <v>114</v>
      </c>
      <c r="R35" s="48">
        <f>O34*COS(-PI()/180*Input!C46)+P34*SIN(-PI()/180*Input!C46)</f>
        <v>0.17231679049405674</v>
      </c>
      <c r="S35" s="49">
        <f>O34*SIN(-PI()/180*Input!C46)+P34*COS(-PI()/180*Input!C46)</f>
        <v>8.4044514281027966E-2</v>
      </c>
      <c r="U35">
        <f t="shared" si="9"/>
        <v>526637413.26683807</v>
      </c>
      <c r="V35">
        <f t="shared" si="10"/>
        <v>-256858228.80826569</v>
      </c>
      <c r="W35">
        <f t="shared" si="11"/>
        <v>-27229149810.024719</v>
      </c>
      <c r="X35">
        <f t="shared" si="11"/>
        <v>13280543721.290985</v>
      </c>
      <c r="Y35">
        <f t="shared" si="11"/>
        <v>27755787223.291557</v>
      </c>
      <c r="Z35">
        <f t="shared" si="11"/>
        <v>-13537401950.099251</v>
      </c>
    </row>
    <row r="36" spans="13:26" x14ac:dyDescent="0.2">
      <c r="M36" s="60" t="s">
        <v>121</v>
      </c>
      <c r="N36" s="58" t="s">
        <v>115</v>
      </c>
      <c r="O36" s="26">
        <f>-W36-Y36+3*U33*($B$5-$B$6)/($B$5^2*$B$6^2+$B$5*$B$6^3)</f>
        <v>9.0136155780716241</v>
      </c>
      <c r="P36" s="26">
        <f>-X36-Z36+3*V33*($B$5-$B$6)/($B$5^2*$B$6^2+$B$5*$B$6^3)</f>
        <v>0</v>
      </c>
      <c r="Q36" s="58" t="s">
        <v>115</v>
      </c>
      <c r="R36" s="26">
        <f>O36</f>
        <v>9.0136155780716241</v>
      </c>
      <c r="S36" s="57">
        <f>P36</f>
        <v>0</v>
      </c>
      <c r="W36">
        <f>Superpositioning!C13*(Superpositioning!$I$6-Superpositioning!$I$5)/($B$5+$B$6)</f>
        <v>36.895933411286919</v>
      </c>
      <c r="X36">
        <f>Superpositioning!D13*(Superpositioning!$I$6-Superpositioning!$I$5)/($B$5+$B$6)</f>
        <v>0</v>
      </c>
      <c r="Y36">
        <f>Superpositioning!C23*(Superpositioning!$I$7-Superpositioning!$I$5)/($B$5+$B$6)</f>
        <v>-45.99509493670886</v>
      </c>
      <c r="Z36">
        <f>Superpositioning!D23*(Superpositioning!$I$7-Superpositioning!$I$5)/($B$5+$B$6)</f>
        <v>0</v>
      </c>
    </row>
    <row r="37" spans="13:26" x14ac:dyDescent="0.2">
      <c r="M37" s="68"/>
      <c r="N37" s="45" t="s">
        <v>113</v>
      </c>
      <c r="O37" s="26">
        <f t="shared" ref="O37:P38" si="12">-W37-Y37+3*U34*($B$5-$B$6)/($B$5^2*$B$6^2+$B$5*$B$6^3)</f>
        <v>8.1013840172002034</v>
      </c>
      <c r="P37" s="26">
        <f t="shared" si="12"/>
        <v>3.9513089976751505</v>
      </c>
      <c r="Q37" s="45" t="s">
        <v>113</v>
      </c>
      <c r="R37" s="27">
        <f>O37*COS(PI()/180*Input!C49)+P37*SIN(PI()/180*Input!C49)</f>
        <v>8.1013840172002034</v>
      </c>
      <c r="S37" s="46">
        <f>O37*SIN(PI()/180*Input!C49)+P37*COS(PI()/180*Input!C49)</f>
        <v>3.9513089976751505</v>
      </c>
      <c r="W37">
        <f>Superpositioning!C14*(Superpositioning!$I$6-Superpositioning!$I$5)/($B$5+$B$6)</f>
        <v>33.161845282715198</v>
      </c>
      <c r="X37">
        <f>Superpositioning!D14*(Superpositioning!$I$6-Superpositioning!$I$5)/($B$5+$B$6)</f>
        <v>16.174112641359283</v>
      </c>
      <c r="Y37">
        <f>Superpositioning!C24*(Superpositioning!$I$7-Superpositioning!$I$5)/($B$5+$B$6)</f>
        <v>-41.340117488078889</v>
      </c>
      <c r="Z37">
        <f>Superpositioning!D24*(Superpositioning!$I$7-Superpositioning!$I$5)/($B$5+$B$6)</f>
        <v>-20.16292251407755</v>
      </c>
    </row>
    <row r="38" spans="13:26" ht="17" thickBot="1" x14ac:dyDescent="0.25">
      <c r="M38" s="59"/>
      <c r="N38" s="47" t="s">
        <v>114</v>
      </c>
      <c r="O38" s="140">
        <f t="shared" si="12"/>
        <v>8.1013840172002034</v>
      </c>
      <c r="P38" s="140">
        <f t="shared" si="12"/>
        <v>-3.9513089976751505</v>
      </c>
      <c r="Q38" s="47" t="s">
        <v>114</v>
      </c>
      <c r="R38" s="48">
        <f>O37*COS(-PI()/180*Input!C49)+P37*SIN(-PI()/180*Input!C49)</f>
        <v>8.1013840172002034</v>
      </c>
      <c r="S38" s="49">
        <f>O37*SIN(-PI()/180*Input!C49)+P37*COS(-PI()/180*Input!C49)</f>
        <v>3.9513089976751505</v>
      </c>
      <c r="W38">
        <f>Superpositioning!C15*(Superpositioning!$I$6-Superpositioning!$I$5)/($B$5+$B$6)</f>
        <v>33.161845282715198</v>
      </c>
      <c r="X38">
        <f>Superpositioning!D15*(Superpositioning!$I$6-Superpositioning!$I$5)/($B$5+$B$6)</f>
        <v>-16.174112641359283</v>
      </c>
      <c r="Y38">
        <f>Superpositioning!C25*(Superpositioning!$I$7-Superpositioning!$I$5)/($B$5+$B$6)</f>
        <v>-41.340117488078889</v>
      </c>
      <c r="Z38">
        <f>Superpositioning!D25*(Superpositioning!$I$7-Superpositioning!$I$5)/($B$5+$B$6)</f>
        <v>20.16292251407755</v>
      </c>
    </row>
    <row r="39" spans="13:26" ht="17" thickBot="1" x14ac:dyDescent="0.25"/>
    <row r="40" spans="13:26" ht="17" thickBot="1" x14ac:dyDescent="0.25">
      <c r="N40" s="86" t="s">
        <v>148</v>
      </c>
      <c r="O40" s="87"/>
      <c r="P40" s="87"/>
      <c r="Q40" s="87"/>
      <c r="R40" s="87"/>
      <c r="S40" s="88"/>
    </row>
    <row r="41" spans="13:26" ht="17" thickBot="1" x14ac:dyDescent="0.25">
      <c r="N41" s="61" t="s">
        <v>107</v>
      </c>
      <c r="O41" s="62"/>
      <c r="P41" s="63"/>
      <c r="Q41" s="61" t="s">
        <v>108</v>
      </c>
      <c r="R41" s="62"/>
      <c r="S41" s="63"/>
    </row>
    <row r="42" spans="13:26" ht="17" thickBot="1" x14ac:dyDescent="0.25">
      <c r="M42" s="69" t="s">
        <v>123</v>
      </c>
      <c r="N42" s="70" t="s">
        <v>112</v>
      </c>
      <c r="O42" s="71" t="s">
        <v>117</v>
      </c>
      <c r="P42" s="72" t="s">
        <v>118</v>
      </c>
      <c r="Q42" s="70" t="s">
        <v>112</v>
      </c>
      <c r="R42" s="71" t="s">
        <v>117</v>
      </c>
      <c r="S42" s="72" t="s">
        <v>118</v>
      </c>
    </row>
    <row r="43" spans="13:26" x14ac:dyDescent="0.2">
      <c r="M43" s="60" t="s">
        <v>119</v>
      </c>
      <c r="N43" s="58" t="s">
        <v>115</v>
      </c>
      <c r="O43" s="26">
        <f>O4+O17+O30</f>
        <v>-11.911124706885094</v>
      </c>
      <c r="P43" s="57">
        <f>P4+P17+P30</f>
        <v>26.577593920973086</v>
      </c>
      <c r="Q43" s="58" t="s">
        <v>115</v>
      </c>
      <c r="R43" s="26">
        <f>R4+R17+R30</f>
        <v>-11.911124706885094</v>
      </c>
      <c r="S43" s="57">
        <f>S4+S17+S30</f>
        <v>26.577593920973086</v>
      </c>
    </row>
    <row r="44" spans="13:26" x14ac:dyDescent="0.2">
      <c r="M44" s="68"/>
      <c r="N44" s="45" t="s">
        <v>113</v>
      </c>
      <c r="O44" s="27">
        <f t="shared" ref="O44:P44" si="13">O5+O18+O31</f>
        <v>-85.309299063253562</v>
      </c>
      <c r="P44" s="46">
        <f t="shared" si="13"/>
        <v>18.666289783822609</v>
      </c>
      <c r="Q44" s="45" t="s">
        <v>113</v>
      </c>
      <c r="R44" s="27">
        <f t="shared" ref="R44:S44" si="14">R5+R18+R31</f>
        <v>-69.861764139679039</v>
      </c>
      <c r="S44" s="46">
        <f t="shared" si="14"/>
        <v>-14.79257249081315</v>
      </c>
    </row>
    <row r="45" spans="13:26" ht="17" thickBot="1" x14ac:dyDescent="0.25">
      <c r="M45" s="59"/>
      <c r="N45" s="47" t="s">
        <v>114</v>
      </c>
      <c r="O45" s="48">
        <f t="shared" ref="O45:P45" si="15">O6+O19+O32</f>
        <v>63.898003120703073</v>
      </c>
      <c r="P45" s="49">
        <f t="shared" si="15"/>
        <v>29.109276578432475</v>
      </c>
      <c r="Q45" s="47" t="s">
        <v>114</v>
      </c>
      <c r="R45" s="48">
        <f t="shared" ref="R45:S45" si="16">R6+R19+R32</f>
        <v>-86.177278887104094</v>
      </c>
      <c r="S45" s="49">
        <f t="shared" si="16"/>
        <v>48.35841868143789</v>
      </c>
    </row>
    <row r="46" spans="13:26" x14ac:dyDescent="0.2">
      <c r="M46" s="60" t="s">
        <v>120</v>
      </c>
      <c r="N46" s="58" t="s">
        <v>115</v>
      </c>
      <c r="O46" s="26">
        <f t="shared" ref="O46:P46" si="17">O7+O20+O33</f>
        <v>0.19171999548014498</v>
      </c>
      <c r="P46" s="57">
        <f t="shared" si="17"/>
        <v>-36.375875190871398</v>
      </c>
      <c r="Q46" s="58" t="s">
        <v>115</v>
      </c>
      <c r="R46" s="26">
        <f t="shared" ref="R46:S46" si="18">R7+R20+R33</f>
        <v>0.19171999548014498</v>
      </c>
      <c r="S46" s="57">
        <f t="shared" si="18"/>
        <v>-36.375875190871398</v>
      </c>
    </row>
    <row r="47" spans="13:26" x14ac:dyDescent="0.2">
      <c r="M47" s="68"/>
      <c r="N47" s="45" t="s">
        <v>113</v>
      </c>
      <c r="O47" s="27">
        <f t="shared" ref="O47:P47" si="19">O8+O21+O34</f>
        <v>129.79322258216828</v>
      </c>
      <c r="P47" s="46">
        <f t="shared" si="19"/>
        <v>-32.610375536195761</v>
      </c>
      <c r="Q47" s="45" t="s">
        <v>113</v>
      </c>
      <c r="R47" s="27">
        <f t="shared" ref="R47:S47" si="20">R8+R21+R34</f>
        <v>5.3872901350707609</v>
      </c>
      <c r="S47" s="46">
        <f t="shared" si="20"/>
        <v>115.67119058987652</v>
      </c>
    </row>
    <row r="48" spans="13:26" ht="17" thickBot="1" x14ac:dyDescent="0.25">
      <c r="M48" s="59"/>
      <c r="N48" s="47" t="s">
        <v>114</v>
      </c>
      <c r="O48" s="48">
        <f t="shared" ref="O48:P48" si="21">O9+O22+O35</f>
        <v>-129.44858900118018</v>
      </c>
      <c r="P48" s="49">
        <f t="shared" si="21"/>
        <v>-32.778464564757812</v>
      </c>
      <c r="Q48" s="47" t="s">
        <v>114</v>
      </c>
      <c r="R48" s="48">
        <f t="shared" ref="R48:S48" si="22">R9+R22+R35</f>
        <v>69.690874982374325</v>
      </c>
      <c r="S48" s="49">
        <f t="shared" si="22"/>
        <v>-133.22289469646432</v>
      </c>
    </row>
    <row r="49" spans="13:19" x14ac:dyDescent="0.2">
      <c r="M49" s="60" t="s">
        <v>121</v>
      </c>
      <c r="N49" s="58" t="s">
        <v>115</v>
      </c>
      <c r="O49" s="26">
        <f t="shared" ref="O49:P49" si="23">O10+O23+O36</f>
        <v>9.0136155780716241</v>
      </c>
      <c r="P49" s="57">
        <f t="shared" si="23"/>
        <v>22.350911269898312</v>
      </c>
      <c r="Q49" s="58" t="s">
        <v>115</v>
      </c>
      <c r="R49" s="26">
        <f t="shared" ref="R49:S49" si="24">R10+R23+R36</f>
        <v>9.0136155780716241</v>
      </c>
      <c r="S49" s="57">
        <f t="shared" si="24"/>
        <v>22.350911269898312</v>
      </c>
    </row>
    <row r="50" spans="13:19" x14ac:dyDescent="0.2">
      <c r="M50" s="68"/>
      <c r="N50" s="45" t="s">
        <v>113</v>
      </c>
      <c r="O50" s="27">
        <f t="shared" ref="O50:P50" si="25">O11+O24+O37</f>
        <v>-52.418581490814702</v>
      </c>
      <c r="P50" s="46">
        <f t="shared" si="25"/>
        <v>24.040174976420708</v>
      </c>
      <c r="Q50" s="45" t="s">
        <v>113</v>
      </c>
      <c r="R50" s="27">
        <f t="shared" ref="R50:S50" si="26">R11+R24+R37</f>
        <v>-52.418581490814702</v>
      </c>
      <c r="S50" s="46">
        <f t="shared" si="26"/>
        <v>24.040174976420708</v>
      </c>
    </row>
    <row r="51" spans="13:19" ht="17" thickBot="1" x14ac:dyDescent="0.25">
      <c r="M51" s="59"/>
      <c r="N51" s="47" t="s">
        <v>114</v>
      </c>
      <c r="O51" s="48">
        <f t="shared" ref="O51:P51" si="27">O12+O25+O38</f>
        <v>68.621349525215109</v>
      </c>
      <c r="P51" s="49">
        <f t="shared" si="27"/>
        <v>16.137556981070404</v>
      </c>
      <c r="Q51" s="47" t="s">
        <v>114</v>
      </c>
      <c r="R51" s="48">
        <f t="shared" ref="R51:S51" si="28">R12+R25+R38</f>
        <v>-52.418581490814702</v>
      </c>
      <c r="S51" s="49">
        <f t="shared" si="28"/>
        <v>24.040174976420708</v>
      </c>
    </row>
  </sheetData>
  <mergeCells count="34">
    <mergeCell ref="M43:M45"/>
    <mergeCell ref="M46:M48"/>
    <mergeCell ref="M49:M51"/>
    <mergeCell ref="M30:M32"/>
    <mergeCell ref="M33:M35"/>
    <mergeCell ref="M36:M38"/>
    <mergeCell ref="N40:S40"/>
    <mergeCell ref="N41:P41"/>
    <mergeCell ref="Q41:S41"/>
    <mergeCell ref="M17:M19"/>
    <mergeCell ref="M20:M22"/>
    <mergeCell ref="M23:M25"/>
    <mergeCell ref="N27:S27"/>
    <mergeCell ref="N28:P28"/>
    <mergeCell ref="Q28:S28"/>
    <mergeCell ref="N14:S14"/>
    <mergeCell ref="N15:P15"/>
    <mergeCell ref="Q15:S15"/>
    <mergeCell ref="N1:S1"/>
    <mergeCell ref="N2:P2"/>
    <mergeCell ref="M4:M6"/>
    <mergeCell ref="M7:M9"/>
    <mergeCell ref="M10:M12"/>
    <mergeCell ref="Q2:S2"/>
    <mergeCell ref="F1:K1"/>
    <mergeCell ref="E4:E6"/>
    <mergeCell ref="E7:E9"/>
    <mergeCell ref="J4:J6"/>
    <mergeCell ref="K4:K6"/>
    <mergeCell ref="J7:J9"/>
    <mergeCell ref="K7:K9"/>
    <mergeCell ref="A1:C1"/>
    <mergeCell ref="F2:H2"/>
    <mergeCell ref="I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F61B0-AD91-544A-9E26-4CB6E5232360}">
  <dimension ref="A1:P24"/>
  <sheetViews>
    <sheetView showGridLines="0" workbookViewId="0">
      <selection activeCell="B23" sqref="B23"/>
    </sheetView>
  </sheetViews>
  <sheetFormatPr baseColWidth="10" defaultRowHeight="16" x14ac:dyDescent="0.2"/>
  <cols>
    <col min="1" max="1" width="16" bestFit="1" customWidth="1"/>
    <col min="5" max="5" width="7.1640625" style="29" bestFit="1" customWidth="1"/>
    <col min="6" max="6" width="12.83203125" style="29" bestFit="1" customWidth="1"/>
    <col min="7" max="7" width="17" bestFit="1" customWidth="1"/>
    <col min="8" max="8" width="16.83203125" bestFit="1" customWidth="1"/>
    <col min="9" max="9" width="7.1640625" bestFit="1" customWidth="1"/>
    <col min="10" max="10" width="10" bestFit="1" customWidth="1"/>
    <col min="11" max="11" width="17" bestFit="1" customWidth="1"/>
    <col min="12" max="12" width="16.83203125" bestFit="1" customWidth="1"/>
    <col min="13" max="13" width="7.1640625" bestFit="1" customWidth="1"/>
    <col min="14" max="14" width="10" bestFit="1" customWidth="1"/>
    <col min="15" max="15" width="17" bestFit="1" customWidth="1"/>
    <col min="16" max="16" width="16.83203125" bestFit="1" customWidth="1"/>
  </cols>
  <sheetData>
    <row r="1" spans="1:16" ht="17" thickBot="1" x14ac:dyDescent="0.25">
      <c r="A1" s="50" t="s">
        <v>101</v>
      </c>
      <c r="B1" s="51"/>
      <c r="C1" s="52"/>
      <c r="E1" s="122" t="s">
        <v>115</v>
      </c>
      <c r="F1" s="78"/>
      <c r="G1" s="78"/>
      <c r="H1" s="79"/>
      <c r="I1" s="122" t="s">
        <v>137</v>
      </c>
      <c r="J1" s="78"/>
      <c r="K1" s="78"/>
      <c r="L1" s="79"/>
      <c r="M1" s="122" t="s">
        <v>114</v>
      </c>
      <c r="N1" s="78"/>
      <c r="O1" s="78"/>
      <c r="P1" s="79"/>
    </row>
    <row r="2" spans="1:16" ht="17" thickBot="1" x14ac:dyDescent="0.25">
      <c r="A2" s="45" t="s">
        <v>130</v>
      </c>
      <c r="B2" s="27">
        <f>'Cross-sectional properties'!L29*Input!C21</f>
        <v>435870031.64781475</v>
      </c>
      <c r="C2" s="46" t="s">
        <v>106</v>
      </c>
      <c r="E2" s="123" t="s">
        <v>112</v>
      </c>
      <c r="F2" s="124"/>
      <c r="G2" s="124" t="s">
        <v>134</v>
      </c>
      <c r="H2" s="125"/>
      <c r="I2" s="123" t="s">
        <v>112</v>
      </c>
      <c r="J2" s="124"/>
      <c r="K2" s="124" t="s">
        <v>134</v>
      </c>
      <c r="L2" s="125"/>
      <c r="M2" s="126" t="s">
        <v>112</v>
      </c>
      <c r="N2" s="127"/>
      <c r="O2" s="127" t="s">
        <v>134</v>
      </c>
      <c r="P2" s="128"/>
    </row>
    <row r="3" spans="1:16" ht="17" thickBot="1" x14ac:dyDescent="0.25">
      <c r="A3" s="45" t="s">
        <v>144</v>
      </c>
      <c r="B3" s="27">
        <f>0.25*Input!C2*1000-'Cross-sectional properties'!N2</f>
        <v>24.25</v>
      </c>
      <c r="C3" s="46" t="s">
        <v>85</v>
      </c>
      <c r="E3" s="70" t="s">
        <v>132</v>
      </c>
      <c r="F3" s="129" t="s">
        <v>133</v>
      </c>
      <c r="G3" s="129" t="s">
        <v>135</v>
      </c>
      <c r="H3" s="130" t="s">
        <v>136</v>
      </c>
      <c r="I3" s="70" t="s">
        <v>132</v>
      </c>
      <c r="J3" s="129" t="s">
        <v>133</v>
      </c>
      <c r="K3" s="129" t="s">
        <v>135</v>
      </c>
      <c r="L3" s="130" t="s">
        <v>136</v>
      </c>
      <c r="M3" s="70" t="s">
        <v>132</v>
      </c>
      <c r="N3" s="129" t="s">
        <v>133</v>
      </c>
      <c r="O3" s="129" t="s">
        <v>135</v>
      </c>
      <c r="P3" s="130" t="s">
        <v>136</v>
      </c>
    </row>
    <row r="4" spans="1:16" x14ac:dyDescent="0.2">
      <c r="A4" s="45" t="s">
        <v>131</v>
      </c>
      <c r="B4" s="27">
        <f>Input!C7*10</f>
        <v>280</v>
      </c>
      <c r="C4" s="46" t="s">
        <v>85</v>
      </c>
      <c r="E4" s="58">
        <v>0</v>
      </c>
      <c r="F4" s="26">
        <f>$B$11*E6^2/$B$2/2</f>
        <v>-1.6405679694452677E-4</v>
      </c>
      <c r="G4" s="12">
        <f>-F4*'Cross-sectional properties'!$N$2</f>
        <v>1.8456389656259262E-2</v>
      </c>
      <c r="H4" s="105">
        <f>F4*'Cross-sectional properties'!$N$3</f>
        <v>-7.1282678272396885E-2</v>
      </c>
      <c r="I4" s="58">
        <v>0</v>
      </c>
      <c r="J4" s="26">
        <f>$B$16*I6^2/$B$2/2</f>
        <v>-1.4745327234865207E-4</v>
      </c>
      <c r="K4" s="12">
        <f>-J4*'Cross-sectional properties'!$N$2</f>
        <v>1.6588493139223358E-2</v>
      </c>
      <c r="L4" s="105">
        <f>J4*'Cross-sectional properties'!$N$3</f>
        <v>-6.4068446835489318E-2</v>
      </c>
      <c r="M4" s="58">
        <v>0</v>
      </c>
      <c r="N4" s="26">
        <f>$B$21*M6^2/$B$2/2</f>
        <v>-1.4745327234865207E-4</v>
      </c>
      <c r="O4" s="12">
        <f>-N4*'Cross-sectional properties'!$N$2</f>
        <v>1.6588493139223358E-2</v>
      </c>
      <c r="P4" s="105">
        <f>N4*'Cross-sectional properties'!$N$3</f>
        <v>-6.4068446835489318E-2</v>
      </c>
    </row>
    <row r="5" spans="1:16" x14ac:dyDescent="0.2">
      <c r="A5" s="45" t="s">
        <v>127</v>
      </c>
      <c r="B5" s="27">
        <f>Input!C4*1000</f>
        <v>153</v>
      </c>
      <c r="C5" s="46" t="s">
        <v>85</v>
      </c>
      <c r="E5" s="45">
        <f>$B5</f>
        <v>153</v>
      </c>
      <c r="F5" s="27">
        <f>$F$4+$B$11*(E5^2)/$B$2/2</f>
        <v>-1.6700668680364172E-4</v>
      </c>
      <c r="G5" s="10">
        <f>-F5*'Cross-sectional properties'!$N$2</f>
        <v>1.8788252265409693E-2</v>
      </c>
      <c r="H5" s="99">
        <f>F5*'Cross-sectional properties'!$N$3</f>
        <v>-7.2564405416182323E-2</v>
      </c>
      <c r="I5" s="45">
        <f>$B5</f>
        <v>153</v>
      </c>
      <c r="J5" s="27">
        <f>$F$4+$B$16*(I5^2)/$B$2/2</f>
        <v>-1.6670814038713757E-4</v>
      </c>
      <c r="K5" s="10">
        <f>-J5*'Cross-sectional properties'!$N$2</f>
        <v>1.8754665793552977E-2</v>
      </c>
      <c r="L5" s="99">
        <f>J5*'Cross-sectional properties'!$N$3</f>
        <v>-7.2434686998211276E-2</v>
      </c>
      <c r="M5" s="45">
        <f>$B5</f>
        <v>153</v>
      </c>
      <c r="N5" s="27">
        <f>$F$4+$B$21*(M5^2)/$B$2/2</f>
        <v>-1.6670814038713757E-4</v>
      </c>
      <c r="O5" s="10">
        <f>-N5*'Cross-sectional properties'!$N$2</f>
        <v>1.8754665793552977E-2</v>
      </c>
      <c r="P5" s="99">
        <f>N5*'Cross-sectional properties'!$N$3</f>
        <v>-7.2434686998211276E-2</v>
      </c>
    </row>
    <row r="6" spans="1:16" x14ac:dyDescent="0.2">
      <c r="A6" s="45" t="s">
        <v>102</v>
      </c>
      <c r="B6" s="42">
        <f>(Input!C5-Input!C4)*1000</f>
        <v>1128</v>
      </c>
      <c r="C6" s="46" t="s">
        <v>85</v>
      </c>
      <c r="E6" s="45">
        <f>$B6-$B4/2+$B5</f>
        <v>1141</v>
      </c>
      <c r="F6" s="27">
        <v>0</v>
      </c>
      <c r="G6" s="10">
        <f>-F6*'Cross-sectional properties'!$N$2</f>
        <v>0</v>
      </c>
      <c r="H6" s="99">
        <f>F6*'Cross-sectional properties'!$N$3</f>
        <v>0</v>
      </c>
      <c r="I6" s="45">
        <f>$B6-$B4/2+$B5</f>
        <v>1141</v>
      </c>
      <c r="J6" s="27">
        <v>0</v>
      </c>
      <c r="K6" s="10">
        <f>-J6*'Cross-sectional properties'!$N$2</f>
        <v>0</v>
      </c>
      <c r="L6" s="99">
        <f>J6*'Cross-sectional properties'!$N$3</f>
        <v>0</v>
      </c>
      <c r="M6" s="45">
        <f>$B6-$B4/2+$B5</f>
        <v>1141</v>
      </c>
      <c r="N6" s="27">
        <v>0</v>
      </c>
      <c r="O6" s="10">
        <f>-N6*'Cross-sectional properties'!$N$2</f>
        <v>0</v>
      </c>
      <c r="P6" s="99">
        <f>N6*'Cross-sectional properties'!$N$3</f>
        <v>0</v>
      </c>
    </row>
    <row r="7" spans="1:16" x14ac:dyDescent="0.2">
      <c r="A7" s="45" t="s">
        <v>103</v>
      </c>
      <c r="B7" s="42">
        <f>(Input!C6-Input!C5)*1000</f>
        <v>1400.0000000000002</v>
      </c>
      <c r="C7" s="46" t="s">
        <v>85</v>
      </c>
      <c r="E7" s="45">
        <f>$B6+$B4/2+$B5</f>
        <v>1421</v>
      </c>
      <c r="F7" s="27">
        <f>$F$4+$B$11*(E7^2)/$B$2/2+(E7-E6)*$B$13*1000/$B$2</f>
        <v>-7.0456020241691161E-3</v>
      </c>
      <c r="G7" s="10">
        <f>-F7*'Cross-sectional properties'!$N$2</f>
        <v>0.79263022771902558</v>
      </c>
      <c r="H7" s="99">
        <f>F7*'Cross-sectional properties'!$N$3</f>
        <v>-3.0613140795014808</v>
      </c>
      <c r="I7" s="45">
        <f>$B6+$B4/2+$B5</f>
        <v>1421</v>
      </c>
      <c r="J7" s="27">
        <f>$F$4+$B$16*(I7^2)/$B$2/2+(I7-I6)*$B$18*1000/$B$2</f>
        <v>-6.3491486765124353E-3</v>
      </c>
      <c r="K7" s="10">
        <f>-J7*'Cross-sectional properties'!$N$2</f>
        <v>0.71427922610764893</v>
      </c>
      <c r="L7" s="99">
        <f>J7*'Cross-sectional properties'!$N$3</f>
        <v>-2.758705099944653</v>
      </c>
      <c r="M7" s="45">
        <f>$B6+$B4/2+$B5</f>
        <v>1421</v>
      </c>
      <c r="N7" s="27">
        <f>$F$4+$B$21*(M7^2)/$B$2/2+(M7-M6)*$B$23*1000/$B$2</f>
        <v>-6.3491486765124353E-3</v>
      </c>
      <c r="O7" s="10">
        <f>-N7*'Cross-sectional properties'!$N$2</f>
        <v>0.71427922610764893</v>
      </c>
      <c r="P7" s="99">
        <f>N7*'Cross-sectional properties'!$N$3</f>
        <v>-2.758705099944653</v>
      </c>
    </row>
    <row r="8" spans="1:16" ht="17" thickBot="1" x14ac:dyDescent="0.25">
      <c r="A8" s="89" t="s">
        <v>126</v>
      </c>
      <c r="B8" s="48">
        <f>Input!C3*1000-Input!C6*1000</f>
        <v>90</v>
      </c>
      <c r="C8" s="49" t="s">
        <v>85</v>
      </c>
      <c r="E8" s="100">
        <f>$B5+$B6+$B7</f>
        <v>2681</v>
      </c>
      <c r="F8" s="27">
        <f>$F$4+$B$11*(E8^2)/$B$2/2+(E7-E6)*$B$13*1000/$B$2</f>
        <v>-7.6969141150159178E-3</v>
      </c>
      <c r="G8" s="10">
        <f>-F8*'Cross-sectional properties'!$N$2</f>
        <v>0.86590283793929079</v>
      </c>
      <c r="H8" s="99">
        <f>F8*'Cross-sectional properties'!$N$3</f>
        <v>-3.3443091829744165</v>
      </c>
      <c r="I8" s="100">
        <f>$B5+$B6+$B7</f>
        <v>2681</v>
      </c>
      <c r="J8" s="27">
        <f>$F$4+$B$16*(I8^2)/$B$2/2+(I7-I6)*$B$18*1000/$B$2</f>
        <v>-6.9345441060482032E-3</v>
      </c>
      <c r="K8" s="10">
        <f>-J8*'Cross-sectional properties'!$N$2</f>
        <v>0.78013621193042282</v>
      </c>
      <c r="L8" s="99">
        <f>J8*'Cross-sectional properties'!$N$3</f>
        <v>-3.0130594140779441</v>
      </c>
      <c r="M8" s="100">
        <f>$B5+$B6+$B7</f>
        <v>2681</v>
      </c>
      <c r="N8" s="27">
        <f>$F$4+$B$21*(M8^2)/$B$2/2+(M7-M6)*$B$23*1000/$B$2</f>
        <v>-6.9345441060482032E-3</v>
      </c>
      <c r="O8" s="10">
        <f>-N8*'Cross-sectional properties'!$N$2</f>
        <v>0.78013621193042282</v>
      </c>
      <c r="P8" s="99">
        <f>N8*'Cross-sectional properties'!$N$3</f>
        <v>-3.0130594140779441</v>
      </c>
    </row>
    <row r="9" spans="1:16" ht="17" thickBot="1" x14ac:dyDescent="0.25">
      <c r="E9" s="101">
        <f>$B5+$B6+$B7+$B8</f>
        <v>2771</v>
      </c>
      <c r="F9" s="48">
        <f>$F$4+$B$11*(E9^2)/$B$2/2+(E7-E6)*$B$13*1000/$B$2</f>
        <v>-7.7587472542388885E-3</v>
      </c>
      <c r="G9" s="95">
        <f>-F9*'Cross-sectional properties'!$N$2</f>
        <v>0.87285906610187491</v>
      </c>
      <c r="H9" s="102">
        <f>F9*'Cross-sectional properties'!$N$3</f>
        <v>-3.3711756819667968</v>
      </c>
      <c r="I9" s="101">
        <f>$B5+$B6+$B7+$B8</f>
        <v>2771</v>
      </c>
      <c r="J9" s="48">
        <f>$F$4+$B$16*(I9^2)/$B$2/2+(I7-I6)*$B$18*1000/$B$2</f>
        <v>-6.9901193634457973E-3</v>
      </c>
      <c r="K9" s="95">
        <f>-J9*'Cross-sectional properties'!$N$2</f>
        <v>0.78638842838765222</v>
      </c>
      <c r="L9" s="102">
        <f>J9*'Cross-sectional properties'!$N$3</f>
        <v>-3.0372068634171989</v>
      </c>
      <c r="M9" s="101">
        <f>$B5+$B6+$B7+$B8</f>
        <v>2771</v>
      </c>
      <c r="N9" s="48">
        <f>$F$4+$B$21*(M9^2)/$B$2/2+(M7-M6)*$B$23*1000/$B$2</f>
        <v>-6.9901193634457973E-3</v>
      </c>
      <c r="O9" s="95">
        <f>-N9*'Cross-sectional properties'!$N$2</f>
        <v>0.78638842838765222</v>
      </c>
      <c r="P9" s="102">
        <f>N9*'Cross-sectional properties'!$N$3</f>
        <v>-3.0372068634171989</v>
      </c>
    </row>
    <row r="10" spans="1:16" x14ac:dyDescent="0.2">
      <c r="A10" s="90" t="s">
        <v>115</v>
      </c>
      <c r="B10" s="91"/>
      <c r="C10" s="92"/>
    </row>
    <row r="11" spans="1:16" x14ac:dyDescent="0.2">
      <c r="A11" s="93" t="s">
        <v>138</v>
      </c>
      <c r="B11" s="10">
        <f>-Input!C$19*B$3/1000</f>
        <v>-0.10985250000000001</v>
      </c>
      <c r="C11" s="94" t="s">
        <v>142</v>
      </c>
      <c r="E11" s="121" t="s">
        <v>168</v>
      </c>
    </row>
    <row r="12" spans="1:16" x14ac:dyDescent="0.2">
      <c r="A12" s="93" t="s">
        <v>143</v>
      </c>
      <c r="B12" s="10">
        <f>-B$11*(B$5+B$6+B$7+B$8)/1000-B13</f>
        <v>10.6206512775</v>
      </c>
      <c r="C12" s="94" t="s">
        <v>141</v>
      </c>
    </row>
    <row r="13" spans="1:16" x14ac:dyDescent="0.2">
      <c r="A13" s="93" t="s">
        <v>139</v>
      </c>
      <c r="B13" s="10">
        <f>-Input!C$18*'Cross-sectional properties'!N$2/1000</f>
        <v>-10.31625</v>
      </c>
      <c r="C13" s="94" t="s">
        <v>141</v>
      </c>
    </row>
    <row r="14" spans="1:16" ht="17" thickBot="1" x14ac:dyDescent="0.25">
      <c r="A14" s="89" t="s">
        <v>145</v>
      </c>
      <c r="B14" s="95">
        <f>B12/('Cross-sectional properties'!N$2/1000)</f>
        <v>94.405789133333329</v>
      </c>
      <c r="C14" s="49" t="s">
        <v>140</v>
      </c>
    </row>
    <row r="15" spans="1:16" x14ac:dyDescent="0.2">
      <c r="A15" s="96" t="s">
        <v>113</v>
      </c>
      <c r="B15" s="97"/>
      <c r="C15" s="98"/>
      <c r="E15" s="40"/>
    </row>
    <row r="16" spans="1:16" x14ac:dyDescent="0.2">
      <c r="A16" s="93" t="s">
        <v>138</v>
      </c>
      <c r="B16" s="10">
        <f>-Input!C$19*B$3/1000*COS(PI()/180*Input!C$17)</f>
        <v>-9.8734772971079257E-2</v>
      </c>
      <c r="C16" s="94" t="s">
        <v>142</v>
      </c>
    </row>
    <row r="17" spans="1:3" x14ac:dyDescent="0.2">
      <c r="A17" s="93" t="s">
        <v>143</v>
      </c>
      <c r="B17" s="10">
        <f>-B$16*(B$5+B$6+B$7+B$8)/1000-B18</f>
        <v>9.5457781360366418</v>
      </c>
      <c r="C17" s="94" t="s">
        <v>141</v>
      </c>
    </row>
    <row r="18" spans="1:3" x14ac:dyDescent="0.2">
      <c r="A18" s="93" t="s">
        <v>139</v>
      </c>
      <c r="B18" s="10">
        <f>-Input!C$18*'Cross-sectional properties'!N$2/1000*COS(PI()/180*Input!C$17)</f>
        <v>-9.2721840801337816</v>
      </c>
      <c r="C18" s="94" t="s">
        <v>141</v>
      </c>
    </row>
    <row r="19" spans="1:3" ht="17" thickBot="1" x14ac:dyDescent="0.25">
      <c r="A19" s="89" t="s">
        <v>145</v>
      </c>
      <c r="B19" s="95">
        <f>B17/('Cross-sectional properties'!N$2/1000*COS(PI()/180*Input!C$17))</f>
        <v>94.405789133333329</v>
      </c>
      <c r="C19" s="49" t="s">
        <v>140</v>
      </c>
    </row>
    <row r="20" spans="1:3" x14ac:dyDescent="0.2">
      <c r="A20" s="96" t="s">
        <v>114</v>
      </c>
      <c r="B20" s="97"/>
      <c r="C20" s="98"/>
    </row>
    <row r="21" spans="1:3" x14ac:dyDescent="0.2">
      <c r="A21" s="93" t="s">
        <v>138</v>
      </c>
      <c r="B21" s="10">
        <f>-Input!C$19*B$3/1000*COS(PI()/180*Input!C$17)</f>
        <v>-9.8734772971079257E-2</v>
      </c>
      <c r="C21" s="94" t="s">
        <v>142</v>
      </c>
    </row>
    <row r="22" spans="1:3" x14ac:dyDescent="0.2">
      <c r="A22" s="93" t="s">
        <v>143</v>
      </c>
      <c r="B22" s="10">
        <f>-B$21*(B$5+B$6+B$7+B$8)/1000-B23</f>
        <v>9.5457781360366418</v>
      </c>
      <c r="C22" s="94" t="s">
        <v>141</v>
      </c>
    </row>
    <row r="23" spans="1:3" x14ac:dyDescent="0.2">
      <c r="A23" s="93" t="s">
        <v>139</v>
      </c>
      <c r="B23" s="10">
        <f>-Input!C$18*'Cross-sectional properties'!N$2/1000*COS(PI()/180*Input!C$17)</f>
        <v>-9.2721840801337816</v>
      </c>
      <c r="C23" s="94" t="s">
        <v>141</v>
      </c>
    </row>
    <row r="24" spans="1:3" ht="17" thickBot="1" x14ac:dyDescent="0.25">
      <c r="A24" s="89" t="s">
        <v>145</v>
      </c>
      <c r="B24" s="95">
        <f>B22/('Cross-sectional properties'!N$2/1000*COS(PI()/180*Input!C$17))</f>
        <v>94.405789133333329</v>
      </c>
      <c r="C24" s="49" t="s">
        <v>140</v>
      </c>
    </row>
  </sheetData>
  <mergeCells count="13">
    <mergeCell ref="A15:C15"/>
    <mergeCell ref="A20:C20"/>
    <mergeCell ref="O2:P2"/>
    <mergeCell ref="E1:H1"/>
    <mergeCell ref="I1:L1"/>
    <mergeCell ref="M1:P1"/>
    <mergeCell ref="A10:C10"/>
    <mergeCell ref="A1:C1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24926-2B17-D044-B9F1-C4EC9C42F8D1}">
  <dimension ref="A1:AI49"/>
  <sheetViews>
    <sheetView showGridLines="0" workbookViewId="0">
      <selection activeCell="B1" sqref="B1:G1"/>
    </sheetView>
  </sheetViews>
  <sheetFormatPr baseColWidth="10" defaultRowHeight="16" x14ac:dyDescent="0.2"/>
  <cols>
    <col min="9" max="9" width="18" style="29" bestFit="1" customWidth="1"/>
    <col min="10" max="10" width="10" style="29" bestFit="1" customWidth="1"/>
    <col min="11" max="11" width="12.1640625" style="29" bestFit="1" customWidth="1"/>
    <col min="12" max="13" width="10" style="29" bestFit="1" customWidth="1"/>
    <col min="14" max="21" width="10.83203125" style="29"/>
    <col min="24" max="35" width="7.5" hidden="1" customWidth="1"/>
  </cols>
  <sheetData>
    <row r="1" spans="1:35" ht="17" thickBot="1" x14ac:dyDescent="0.25">
      <c r="B1" s="86" t="s">
        <v>116</v>
      </c>
      <c r="C1" s="87"/>
      <c r="D1" s="87"/>
      <c r="E1" s="87"/>
      <c r="F1" s="87"/>
      <c r="G1" s="88"/>
      <c r="I1" t="s">
        <v>159</v>
      </c>
      <c r="J1" s="114" t="s">
        <v>161</v>
      </c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6"/>
    </row>
    <row r="2" spans="1:35" ht="17" thickBot="1" x14ac:dyDescent="0.25">
      <c r="B2" s="61" t="s">
        <v>107</v>
      </c>
      <c r="C2" s="62"/>
      <c r="D2" s="63"/>
      <c r="E2" s="61" t="s">
        <v>108</v>
      </c>
      <c r="F2" s="62"/>
      <c r="G2" s="63"/>
      <c r="I2" t="s">
        <v>160</v>
      </c>
      <c r="J2" s="110" t="s">
        <v>115</v>
      </c>
      <c r="K2" s="111"/>
      <c r="L2" s="111"/>
      <c r="M2" s="112"/>
      <c r="N2" s="110" t="s">
        <v>153</v>
      </c>
      <c r="O2" s="111"/>
      <c r="P2" s="111"/>
      <c r="Q2" s="112"/>
      <c r="R2" s="110" t="s">
        <v>154</v>
      </c>
      <c r="S2" s="111"/>
      <c r="T2" s="111"/>
      <c r="U2" s="112"/>
    </row>
    <row r="3" spans="1:35" ht="17" thickBot="1" x14ac:dyDescent="0.25">
      <c r="A3" s="69" t="s">
        <v>123</v>
      </c>
      <c r="B3" s="70" t="s">
        <v>112</v>
      </c>
      <c r="C3" s="71" t="s">
        <v>117</v>
      </c>
      <c r="D3" s="72" t="s">
        <v>118</v>
      </c>
      <c r="E3" s="70" t="s">
        <v>112</v>
      </c>
      <c r="F3" s="71" t="s">
        <v>117</v>
      </c>
      <c r="G3" s="72" t="s">
        <v>118</v>
      </c>
      <c r="I3" s="113" t="s">
        <v>132</v>
      </c>
      <c r="J3" s="47" t="s">
        <v>156</v>
      </c>
      <c r="K3" s="48" t="s">
        <v>155</v>
      </c>
      <c r="L3" s="47" t="s">
        <v>158</v>
      </c>
      <c r="M3" s="49" t="s">
        <v>157</v>
      </c>
      <c r="N3" s="47" t="s">
        <v>156</v>
      </c>
      <c r="O3" s="48" t="s">
        <v>155</v>
      </c>
      <c r="P3" s="47" t="s">
        <v>158</v>
      </c>
      <c r="Q3" s="49" t="s">
        <v>157</v>
      </c>
      <c r="R3" s="47" t="s">
        <v>156</v>
      </c>
      <c r="S3" s="48" t="s">
        <v>155</v>
      </c>
      <c r="T3" s="47" t="s">
        <v>158</v>
      </c>
      <c r="U3" s="49" t="s">
        <v>157</v>
      </c>
    </row>
    <row r="4" spans="1:35" x14ac:dyDescent="0.2">
      <c r="A4" s="60" t="s">
        <v>119</v>
      </c>
      <c r="B4" s="58" t="s">
        <v>115</v>
      </c>
      <c r="C4" s="26">
        <f>'Aileron shear'!O43</f>
        <v>-11.911124706885094</v>
      </c>
      <c r="D4" s="57">
        <f>'Aileron shear'!P43</f>
        <v>26.577593920973086</v>
      </c>
      <c r="E4" s="58" t="s">
        <v>115</v>
      </c>
      <c r="F4" s="26">
        <f>'Aileron shear'!R43</f>
        <v>-11.911124706885094</v>
      </c>
      <c r="G4" s="57">
        <f>'Aileron shear'!S43</f>
        <v>26.577593920973086</v>
      </c>
      <c r="I4" s="67">
        <f>'Aileron torsion'!E$4</f>
        <v>0</v>
      </c>
      <c r="J4" s="107">
        <f>J14+J24+J34+J44</f>
        <v>0</v>
      </c>
      <c r="K4" s="108">
        <f>K14+K24+K34+K44</f>
        <v>11.810418300269548</v>
      </c>
      <c r="L4" s="106">
        <f>L14+L24+L34+L44</f>
        <v>0</v>
      </c>
      <c r="M4" s="109">
        <f>M14+M24+M34+M44</f>
        <v>11.720679232340892</v>
      </c>
      <c r="N4" s="64">
        <f>N14+N24+N34+N44</f>
        <v>-5.169255865648668</v>
      </c>
      <c r="O4" s="66">
        <f>O14+O24+O34+O44</f>
        <v>10.615133652585</v>
      </c>
      <c r="P4" s="119">
        <f>P14+P24+P34+P44</f>
        <v>-5.169255865648668</v>
      </c>
      <c r="Q4" s="120">
        <f>Q14+Q24+Q34+Q44</f>
        <v>10.534476712610285</v>
      </c>
      <c r="R4" s="64">
        <f>R14+R24+R34+R44</f>
        <v>5.169255865648668</v>
      </c>
      <c r="S4" s="66">
        <f>S14+S24+S34+S44</f>
        <v>10.615133652585</v>
      </c>
      <c r="T4" s="119">
        <f>T14+T24+T34+T44</f>
        <v>5.169255865648668</v>
      </c>
      <c r="U4" s="66">
        <f>U14+U24+U34+U44</f>
        <v>10.534476712610285</v>
      </c>
      <c r="X4" s="27" t="str">
        <f>'Aileron shear'!A2</f>
        <v>EI_yy</v>
      </c>
      <c r="Y4" s="27">
        <f>'Aileron shear'!B2</f>
        <v>7261938039.9139843</v>
      </c>
    </row>
    <row r="5" spans="1:35" x14ac:dyDescent="0.2">
      <c r="A5" s="68"/>
      <c r="B5" s="45" t="s">
        <v>113</v>
      </c>
      <c r="C5" s="27">
        <f>'Aileron shear'!O44</f>
        <v>-85.309299063253562</v>
      </c>
      <c r="D5" s="46">
        <f>'Aileron shear'!P44</f>
        <v>18.666289783822609</v>
      </c>
      <c r="E5" s="45" t="s">
        <v>113</v>
      </c>
      <c r="F5" s="27">
        <f>'Aileron shear'!R44</f>
        <v>-69.861764139679039</v>
      </c>
      <c r="G5" s="46">
        <f>'Aileron shear'!S44</f>
        <v>-14.79257249081315</v>
      </c>
      <c r="I5" s="103">
        <f>'Aileron torsion'!E$5</f>
        <v>153</v>
      </c>
      <c r="J5" s="45">
        <f>J15+J25+J35+J45</f>
        <v>0</v>
      </c>
      <c r="K5" s="46">
        <f>K15+K25+K35+K45</f>
        <v>11.048788252265409</v>
      </c>
      <c r="L5" s="44">
        <f>L15+L25+L35+L45</f>
        <v>0</v>
      </c>
      <c r="M5" s="76">
        <f>M15+M25+M35+M45</f>
        <v>10.957435594583817</v>
      </c>
      <c r="N5" s="45">
        <f>N15+N25+N35+N45</f>
        <v>-4.8352337490835238</v>
      </c>
      <c r="O5" s="46">
        <f>O15+O25+O35+O45</f>
        <v>9.9324529964733657</v>
      </c>
      <c r="P5" s="44">
        <f>P15+P25+P35+P45</f>
        <v>-4.8352337490835238</v>
      </c>
      <c r="Q5" s="76">
        <f>Q15+Q25+Q35+Q45</f>
        <v>9.8412636436816019</v>
      </c>
      <c r="R5" s="45">
        <f>R15+R25+R35+R45</f>
        <v>4.8352337490835238</v>
      </c>
      <c r="S5" s="46">
        <f>S15+S25+S35+S45</f>
        <v>9.9324529964733657</v>
      </c>
      <c r="T5" s="44">
        <f>T15+T25+T35+T45</f>
        <v>4.8352337490835238</v>
      </c>
      <c r="U5" s="46">
        <f>U15+U25+U35+U45</f>
        <v>9.8412636436816019</v>
      </c>
      <c r="X5" s="27" t="str">
        <f>'Aileron shear'!A3</f>
        <v>EI_zz</v>
      </c>
      <c r="Y5" s="27">
        <f>'Aileron shear'!B3</f>
        <v>915071274.78640413</v>
      </c>
    </row>
    <row r="6" spans="1:35" ht="17" thickBot="1" x14ac:dyDescent="0.25">
      <c r="A6" s="59"/>
      <c r="B6" s="47" t="s">
        <v>114</v>
      </c>
      <c r="C6" s="48">
        <f>'Aileron shear'!O45</f>
        <v>63.898003120703073</v>
      </c>
      <c r="D6" s="49">
        <f>'Aileron shear'!P45</f>
        <v>29.109276578432475</v>
      </c>
      <c r="E6" s="47" t="s">
        <v>114</v>
      </c>
      <c r="F6" s="48">
        <f>'Aileron shear'!R45</f>
        <v>-86.177278887104094</v>
      </c>
      <c r="G6" s="49">
        <f>'Aileron shear'!S45</f>
        <v>48.35841868143789</v>
      </c>
      <c r="I6" s="103">
        <f>'Aileron torsion'!E$6</f>
        <v>1141</v>
      </c>
      <c r="J6" s="45">
        <f>J16+J26+J36+J46</f>
        <v>0</v>
      </c>
      <c r="K6" s="46">
        <f>K16+K26+K36+K46</f>
        <v>0.26524097133880353</v>
      </c>
      <c r="L6" s="44">
        <f>L16+L26+L36+L46</f>
        <v>0</v>
      </c>
      <c r="M6" s="76">
        <f>M16+M26+M36+M46</f>
        <v>0.26524097133880353</v>
      </c>
      <c r="N6" s="45">
        <f>N16+N26+N36+N46</f>
        <v>-0.11627398878123962</v>
      </c>
      <c r="O6" s="46">
        <f>O16+O26+O36+O46</f>
        <v>0.23839700587392088</v>
      </c>
      <c r="P6" s="44">
        <f>P16+P26+P36+P46</f>
        <v>-0.11627398878123962</v>
      </c>
      <c r="Q6" s="76">
        <f>Q16+Q26+Q36+Q46</f>
        <v>0.23839700587392088</v>
      </c>
      <c r="R6" s="45">
        <f>R16+R26+R36+R46</f>
        <v>0.11627398878123962</v>
      </c>
      <c r="S6" s="46">
        <f>S16+S26+S36+S46</f>
        <v>0.23839700587392088</v>
      </c>
      <c r="T6" s="44">
        <f>T16+T26+T36+T46</f>
        <v>0.11627398878123962</v>
      </c>
      <c r="U6" s="46">
        <f>U16+U26+U36+U46</f>
        <v>0.23839700587392088</v>
      </c>
      <c r="X6" s="27" t="str">
        <f>'Aileron shear'!A4</f>
        <v>L01</v>
      </c>
      <c r="Y6" s="27">
        <f>'Aileron shear'!B4</f>
        <v>153</v>
      </c>
    </row>
    <row r="7" spans="1:35" x14ac:dyDescent="0.2">
      <c r="A7" s="60" t="s">
        <v>120</v>
      </c>
      <c r="B7" s="58" t="s">
        <v>115</v>
      </c>
      <c r="C7" s="26">
        <f>'Aileron shear'!O46</f>
        <v>0.19171999548014498</v>
      </c>
      <c r="D7" s="57">
        <f>'Aileron shear'!P46</f>
        <v>-36.375875190871398</v>
      </c>
      <c r="E7" s="58" t="s">
        <v>115</v>
      </c>
      <c r="F7" s="26">
        <f>'Aileron shear'!R46</f>
        <v>0.19171999548014498</v>
      </c>
      <c r="G7" s="57">
        <f>'Aileron shear'!S46</f>
        <v>-36.375875190871398</v>
      </c>
      <c r="I7" s="103">
        <f>'Aileron torsion'!E$7</f>
        <v>1421</v>
      </c>
      <c r="J7" s="45">
        <f>J17+J27+J37+J47</f>
        <v>0</v>
      </c>
      <c r="K7" s="46">
        <f>K17+K27+K37+K47</f>
        <v>1.0089446887343765</v>
      </c>
      <c r="L7" s="44">
        <f>L17+L27+L37+L47</f>
        <v>0</v>
      </c>
      <c r="M7" s="76">
        <f>M17+M27+M37+M47</f>
        <v>-2.8449996184861299</v>
      </c>
      <c r="N7" s="45">
        <f>N17+N27+N37+N47</f>
        <v>-9.4826018342360527E-2</v>
      </c>
      <c r="O7" s="46">
        <f>O17+O27+O37+O47</f>
        <v>0.90870137579665966</v>
      </c>
      <c r="P7" s="44">
        <f>P17+P27+P37+P47</f>
        <v>-9.4826018342360527E-2</v>
      </c>
      <c r="Q7" s="76">
        <f>Q17+Q27+Q37+Q47</f>
        <v>-2.5642829502556421</v>
      </c>
      <c r="R7" s="45">
        <f>R17+R27+R37+R47</f>
        <v>9.4826018342360527E-2</v>
      </c>
      <c r="S7" s="46">
        <f>S17+S27+S37+S47</f>
        <v>0.90870137579665966</v>
      </c>
      <c r="T7" s="44">
        <f>T17+T27+T37+T47</f>
        <v>9.4826018342360527E-2</v>
      </c>
      <c r="U7" s="46">
        <f>U17+U27+U37+U47</f>
        <v>-2.5642829502556421</v>
      </c>
      <c r="X7" s="27" t="str">
        <f>'Aileron shear'!A5</f>
        <v>L12</v>
      </c>
      <c r="Y7" s="27">
        <f>'Aileron shear'!B5</f>
        <v>1128</v>
      </c>
    </row>
    <row r="8" spans="1:35" x14ac:dyDescent="0.2">
      <c r="A8" s="68"/>
      <c r="B8" s="45" t="s">
        <v>113</v>
      </c>
      <c r="C8" s="27">
        <f>'Aileron shear'!O47</f>
        <v>129.79322258216828</v>
      </c>
      <c r="D8" s="46">
        <f>'Aileron shear'!P47</f>
        <v>-32.610375536195761</v>
      </c>
      <c r="E8" s="45" t="s">
        <v>113</v>
      </c>
      <c r="F8" s="27">
        <f>'Aileron shear'!R47</f>
        <v>5.3872901350707609</v>
      </c>
      <c r="G8" s="46">
        <f>'Aileron shear'!S47</f>
        <v>115.67119058987652</v>
      </c>
      <c r="I8" s="117">
        <f>'Aileron torsion'!E$8</f>
        <v>2681</v>
      </c>
      <c r="J8" s="45">
        <f>J18+J28+J38+J48</f>
        <v>0</v>
      </c>
      <c r="K8" s="46">
        <f>K18+K28+K38+K48</f>
        <v>17.28590283793929</v>
      </c>
      <c r="L8" s="44">
        <f>L18+L28+L38+L48</f>
        <v>0</v>
      </c>
      <c r="M8" s="76">
        <f>M18+M28+M38+M48</f>
        <v>13.075690817025581</v>
      </c>
      <c r="N8" s="45">
        <f>N18+N28+N38+N48</f>
        <v>-7.1980542302766501</v>
      </c>
      <c r="O8" s="46">
        <f>O18+O28+O38+O48</f>
        <v>15.538334452162744</v>
      </c>
      <c r="P8" s="44">
        <f>P18+P28+P38+P48</f>
        <v>-7.1980542302766501</v>
      </c>
      <c r="Q8" s="76">
        <f>Q18+Q28+Q38+Q48</f>
        <v>11.745138826154378</v>
      </c>
      <c r="R8" s="45">
        <f>R18+R28+R38+R48</f>
        <v>7.1980542302766501</v>
      </c>
      <c r="S8" s="46">
        <f>S18+S28+S38+S48</f>
        <v>15.538334452162744</v>
      </c>
      <c r="T8" s="44">
        <f>T18+T28+T38+T48</f>
        <v>7.1980542302766501</v>
      </c>
      <c r="U8" s="46">
        <f>U18+U28+U38+U48</f>
        <v>11.745138826154378</v>
      </c>
      <c r="X8" s="27" t="str">
        <f>'Aileron shear'!A6</f>
        <v>L23</v>
      </c>
      <c r="Y8" s="27">
        <f>'Aileron shear'!B6</f>
        <v>1400.0000000000002</v>
      </c>
    </row>
    <row r="9" spans="1:35" ht="17" thickBot="1" x14ac:dyDescent="0.25">
      <c r="A9" s="59"/>
      <c r="B9" s="47" t="s">
        <v>114</v>
      </c>
      <c r="C9" s="48">
        <f>'Aileron shear'!O48</f>
        <v>-129.44858900118018</v>
      </c>
      <c r="D9" s="49">
        <f>'Aileron shear'!P48</f>
        <v>-32.778464564757812</v>
      </c>
      <c r="E9" s="47" t="s">
        <v>114</v>
      </c>
      <c r="F9" s="48">
        <f>'Aileron shear'!R48</f>
        <v>69.690874982374325</v>
      </c>
      <c r="G9" s="49">
        <f>'Aileron shear'!S48</f>
        <v>-133.22289469646432</v>
      </c>
      <c r="I9" s="118">
        <f>'Aileron torsion'!E$9</f>
        <v>2771</v>
      </c>
      <c r="J9" s="47">
        <f>J19+J29+J39+J49</f>
        <v>0</v>
      </c>
      <c r="K9" s="49">
        <f>K19+K29+K39+K49</f>
        <v>18.884402501810385</v>
      </c>
      <c r="L9" s="56">
        <f>L19+L29+L39+L49</f>
        <v>0</v>
      </c>
      <c r="M9" s="77">
        <f>M19+M29+M39+M49</f>
        <v>14.640367753741714</v>
      </c>
      <c r="N9" s="47">
        <f>N19+N29+N39+N49</f>
        <v>-7.8957409513528196</v>
      </c>
      <c r="O9" s="49">
        <f>O19+O29+O39+O49</f>
        <v>16.975056433061308</v>
      </c>
      <c r="P9" s="56">
        <f>P19+P29+P39+P49</f>
        <v>-7.8957409513528196</v>
      </c>
      <c r="Q9" s="77">
        <f>Q19+Q29+Q39+Q49</f>
        <v>13.151461141256457</v>
      </c>
      <c r="R9" s="47">
        <f>R19+R29+R39+R49</f>
        <v>7.8957409513528196</v>
      </c>
      <c r="S9" s="49">
        <f>S19+S29+S39+S49</f>
        <v>16.975056433061308</v>
      </c>
      <c r="T9" s="56">
        <f>T19+T29+T39+T49</f>
        <v>7.8957409513528196</v>
      </c>
      <c r="U9" s="49">
        <f>U19+U29+U39+U49</f>
        <v>13.151461141256457</v>
      </c>
      <c r="X9" s="27" t="str">
        <f>'Aileron shear'!A7</f>
        <v>L34</v>
      </c>
      <c r="Y9" s="27">
        <f>'Aileron shear'!B7</f>
        <v>90</v>
      </c>
    </row>
    <row r="10" spans="1:35" ht="17" thickBot="1" x14ac:dyDescent="0.25">
      <c r="A10" s="60" t="s">
        <v>121</v>
      </c>
      <c r="B10" s="58" t="s">
        <v>115</v>
      </c>
      <c r="C10" s="26">
        <f>'Aileron shear'!O49</f>
        <v>9.0136155780716241</v>
      </c>
      <c r="D10" s="57">
        <f>'Aileron shear'!P49</f>
        <v>22.350911269898312</v>
      </c>
      <c r="E10" s="58" t="s">
        <v>115</v>
      </c>
      <c r="F10" s="26">
        <f>'Aileron shear'!R49</f>
        <v>9.0136155780716241</v>
      </c>
      <c r="G10" s="57">
        <f>'Aileron shear'!S49</f>
        <v>22.350911269898312</v>
      </c>
    </row>
    <row r="11" spans="1:35" ht="17" thickBot="1" x14ac:dyDescent="0.25">
      <c r="A11" s="68"/>
      <c r="B11" s="45" t="s">
        <v>113</v>
      </c>
      <c r="C11" s="27">
        <f>'Aileron shear'!O50</f>
        <v>-52.418581490814702</v>
      </c>
      <c r="D11" s="46">
        <f>'Aileron shear'!P50</f>
        <v>24.040174976420708</v>
      </c>
      <c r="E11" s="45" t="s">
        <v>113</v>
      </c>
      <c r="F11" s="27">
        <f>'Aileron shear'!R50</f>
        <v>-52.418581490814702</v>
      </c>
      <c r="G11" s="46">
        <f>'Aileron shear'!S50</f>
        <v>24.040174976420708</v>
      </c>
      <c r="I11" t="s">
        <v>159</v>
      </c>
      <c r="J11" s="114" t="s">
        <v>163</v>
      </c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6"/>
      <c r="X11" s="43" t="s">
        <v>176</v>
      </c>
      <c r="Y11" s="43"/>
      <c r="Z11" s="43" t="s">
        <v>177</v>
      </c>
      <c r="AA11" s="43"/>
      <c r="AB11" s="43" t="s">
        <v>178</v>
      </c>
      <c r="AC11" s="43"/>
      <c r="AD11" s="43" t="s">
        <v>179</v>
      </c>
      <c r="AE11" s="43"/>
      <c r="AF11" s="43" t="s">
        <v>180</v>
      </c>
      <c r="AG11" s="43"/>
      <c r="AH11" s="43" t="s">
        <v>181</v>
      </c>
      <c r="AI11" s="43"/>
    </row>
    <row r="12" spans="1:35" ht="17" thickBot="1" x14ac:dyDescent="0.25">
      <c r="A12" s="59"/>
      <c r="B12" s="47" t="s">
        <v>114</v>
      </c>
      <c r="C12" s="48">
        <f>'Aileron shear'!O51</f>
        <v>68.621349525215109</v>
      </c>
      <c r="D12" s="49">
        <f>'Aileron shear'!P51</f>
        <v>16.137556981070404</v>
      </c>
      <c r="E12" s="47" t="s">
        <v>114</v>
      </c>
      <c r="F12" s="48">
        <f>'Aileron shear'!R51</f>
        <v>-52.418581490814702</v>
      </c>
      <c r="G12" s="49">
        <f>'Aileron shear'!S51</f>
        <v>24.040174976420708</v>
      </c>
      <c r="I12" t="s">
        <v>160</v>
      </c>
      <c r="J12" s="110" t="s">
        <v>115</v>
      </c>
      <c r="K12" s="111"/>
      <c r="L12" s="111"/>
      <c r="M12" s="112"/>
      <c r="N12" s="110" t="s">
        <v>153</v>
      </c>
      <c r="O12" s="111"/>
      <c r="P12" s="111"/>
      <c r="Q12" s="112"/>
      <c r="R12" s="110" t="s">
        <v>154</v>
      </c>
      <c r="S12" s="111"/>
      <c r="T12" s="111"/>
      <c r="U12" s="112"/>
      <c r="X12" s="28" t="s">
        <v>174</v>
      </c>
      <c r="Y12" s="28" t="s">
        <v>175</v>
      </c>
      <c r="Z12" s="28" t="s">
        <v>174</v>
      </c>
      <c r="AA12" s="28" t="s">
        <v>175</v>
      </c>
      <c r="AB12" s="27" t="s">
        <v>174</v>
      </c>
      <c r="AC12" s="27" t="s">
        <v>175</v>
      </c>
      <c r="AD12" s="27" t="s">
        <v>174</v>
      </c>
      <c r="AE12" s="27" t="s">
        <v>175</v>
      </c>
      <c r="AF12" s="27" t="s">
        <v>174</v>
      </c>
      <c r="AG12" s="27" t="s">
        <v>175</v>
      </c>
      <c r="AH12" s="27" t="s">
        <v>174</v>
      </c>
      <c r="AI12" s="27" t="s">
        <v>175</v>
      </c>
    </row>
    <row r="13" spans="1:35" ht="17" thickBot="1" x14ac:dyDescent="0.25">
      <c r="A13" s="60" t="s">
        <v>122</v>
      </c>
      <c r="B13" s="58" t="s">
        <v>115</v>
      </c>
      <c r="C13" s="26">
        <f>F13</f>
        <v>94.405789133333329</v>
      </c>
      <c r="D13" s="57">
        <f>G13</f>
        <v>0</v>
      </c>
      <c r="E13" s="58" t="s">
        <v>115</v>
      </c>
      <c r="F13" s="26">
        <f>'Aileron torsion'!B14</f>
        <v>94.405789133333329</v>
      </c>
      <c r="G13" s="57">
        <v>0</v>
      </c>
      <c r="I13" s="113" t="s">
        <v>132</v>
      </c>
      <c r="J13" s="47" t="s">
        <v>156</v>
      </c>
      <c r="K13" s="48" t="s">
        <v>155</v>
      </c>
      <c r="L13" s="47" t="s">
        <v>158</v>
      </c>
      <c r="M13" s="49" t="s">
        <v>157</v>
      </c>
      <c r="N13" s="47" t="s">
        <v>156</v>
      </c>
      <c r="O13" s="48" t="s">
        <v>155</v>
      </c>
      <c r="P13" s="47" t="s">
        <v>158</v>
      </c>
      <c r="Q13" s="49" t="s">
        <v>157</v>
      </c>
      <c r="R13" s="47" t="s">
        <v>156</v>
      </c>
      <c r="S13" s="48" t="s">
        <v>155</v>
      </c>
      <c r="T13" s="47" t="s">
        <v>158</v>
      </c>
      <c r="U13" s="49" t="s">
        <v>157</v>
      </c>
      <c r="X13" s="10">
        <f>'Aileron shear'!O4</f>
        <v>0</v>
      </c>
      <c r="Y13" s="10">
        <f>'Aileron shear'!O10</f>
        <v>0</v>
      </c>
      <c r="Z13" s="10">
        <f>'Aileron shear'!P4</f>
        <v>20.704685402767684</v>
      </c>
      <c r="AA13" s="10">
        <f>'Aileron shear'!P10</f>
        <v>16.682060810229959</v>
      </c>
      <c r="AB13" s="10">
        <f>'Aileron shear'!O5</f>
        <v>-72.029137449865274</v>
      </c>
      <c r="AC13" s="10">
        <f>'Aileron shear'!O11</f>
        <v>-58.034905031034299</v>
      </c>
      <c r="AD13" s="10">
        <f>'Aileron shear'!P5</f>
        <v>18.60924797050486</v>
      </c>
      <c r="AE13" s="10">
        <f>'Aileron shear'!P11</f>
        <v>14.993736936235344</v>
      </c>
      <c r="AF13" s="10">
        <f>'Aileron shear'!O6</f>
        <v>72.029137449865274</v>
      </c>
      <c r="AG13" s="10">
        <f>'Aileron shear'!O12</f>
        <v>58.034905031034299</v>
      </c>
      <c r="AH13" s="10">
        <f>'Aileron shear'!P6</f>
        <v>18.60924797050486</v>
      </c>
      <c r="AI13" s="10">
        <f>'Aileron shear'!P12</f>
        <v>14.993736936235344</v>
      </c>
    </row>
    <row r="14" spans="1:35" x14ac:dyDescent="0.2">
      <c r="A14" s="68"/>
      <c r="B14" s="45" t="s">
        <v>113</v>
      </c>
      <c r="C14" s="27">
        <f>F14*COS(PI()/180*Input!$C$17)</f>
        <v>84.851361209214602</v>
      </c>
      <c r="D14" s="46">
        <f>F14*SIN(PI()/180*Input!$C$17)</f>
        <v>41.38477404590715</v>
      </c>
      <c r="E14" s="45" t="s">
        <v>113</v>
      </c>
      <c r="F14" s="27">
        <f>'Aileron torsion'!B19</f>
        <v>94.405789133333329</v>
      </c>
      <c r="G14" s="46">
        <v>0</v>
      </c>
      <c r="I14" s="67">
        <f>'Aileron torsion'!E$4</f>
        <v>0</v>
      </c>
      <c r="J14" s="107">
        <v>0</v>
      </c>
      <c r="K14" s="108">
        <f>-Z13*$Y$6*$Y$7^2/(6*$Y$5)+K15*$Y$6/$Y$7+K15</f>
        <v>11.791961910613288</v>
      </c>
      <c r="L14" s="107">
        <f>J14</f>
        <v>0</v>
      </c>
      <c r="M14" s="108">
        <f>K14</f>
        <v>11.791961910613288</v>
      </c>
      <c r="N14" s="107">
        <f>-AB13*$Y$6*$Y$7^2/(6*$Y$4)+N15*$Y$6/$Y$7+N15</f>
        <v>-5.169255865648668</v>
      </c>
      <c r="O14" s="108">
        <f>-AD13*$Y$6*$Y$7^2/(6*$Y$5)+O15*$Y$6/$Y$7+O15</f>
        <v>10.598545159445775</v>
      </c>
      <c r="P14" s="107">
        <f>N14</f>
        <v>-5.169255865648668</v>
      </c>
      <c r="Q14" s="108">
        <f>O14</f>
        <v>10.598545159445775</v>
      </c>
      <c r="R14" s="107">
        <f>-AF13*$Y$6*$Y$7^2/(6*$Y$4)+R15*$Y$6/$Y$7+R15</f>
        <v>5.169255865648668</v>
      </c>
      <c r="S14" s="108">
        <f>-AH13*$Y$6*$Y$7^2/(6*$Y$5)+S15*$Y$6/$Y$7+S15</f>
        <v>10.598545159445775</v>
      </c>
      <c r="T14" s="106">
        <f>R14</f>
        <v>5.169255865648668</v>
      </c>
      <c r="U14" s="108">
        <f>S14</f>
        <v>10.598545159445775</v>
      </c>
    </row>
    <row r="15" spans="1:35" ht="17" thickBot="1" x14ac:dyDescent="0.25">
      <c r="A15" s="59"/>
      <c r="B15" s="47" t="s">
        <v>114</v>
      </c>
      <c r="C15" s="48">
        <f>F15*COS(PI()/180*Input!$C$17)</f>
        <v>84.851361209214602</v>
      </c>
      <c r="D15" s="49">
        <f>F15*SIN(-PI()/180*Input!$C$17)</f>
        <v>-41.38477404590715</v>
      </c>
      <c r="E15" s="47" t="s">
        <v>114</v>
      </c>
      <c r="F15" s="48">
        <f>'Aileron torsion'!B24</f>
        <v>94.405789133333329</v>
      </c>
      <c r="G15" s="49">
        <v>0</v>
      </c>
      <c r="I15" s="103">
        <f>'Aileron torsion'!E$5</f>
        <v>153</v>
      </c>
      <c r="J15" s="45">
        <v>0</v>
      </c>
      <c r="K15" s="46">
        <f>'Aileron shear'!$H$4</f>
        <v>11.03</v>
      </c>
      <c r="L15" s="45">
        <f>J15</f>
        <v>0</v>
      </c>
      <c r="M15" s="46">
        <f>K15</f>
        <v>11.03</v>
      </c>
      <c r="N15" s="45">
        <f>'Aileron shear'!G5</f>
        <v>-4.8352337490835238</v>
      </c>
      <c r="O15" s="46">
        <f>'Aileron shear'!H5</f>
        <v>9.9136983306798125</v>
      </c>
      <c r="P15" s="45">
        <f t="shared" ref="P15" si="0">N15</f>
        <v>-4.8352337490835238</v>
      </c>
      <c r="Q15" s="46">
        <f t="shared" ref="Q15" si="1">O15</f>
        <v>9.9136983306798125</v>
      </c>
      <c r="R15" s="44">
        <f>'Aileron shear'!G6</f>
        <v>4.8352337490835238</v>
      </c>
      <c r="S15" s="46">
        <f>'Aileron shear'!H6</f>
        <v>9.9136983306798125</v>
      </c>
      <c r="T15" s="44">
        <f t="shared" ref="T15:T18" si="2">R15</f>
        <v>4.8352337490835238</v>
      </c>
      <c r="U15" s="46">
        <f t="shared" ref="U15:U18" si="3">S15</f>
        <v>9.9136983306798125</v>
      </c>
    </row>
    <row r="16" spans="1:35" ht="17" thickBot="1" x14ac:dyDescent="0.25">
      <c r="I16" s="103">
        <f>'Aileron torsion'!E$6</f>
        <v>1141</v>
      </c>
      <c r="J16" s="45">
        <v>0</v>
      </c>
      <c r="K16" s="46">
        <f>K15+1/$Y$5*(1/6*Z13*($I$16-$I$15)^3-(1/6*Z13*$Y$7^2+$Y$5*K15/$Y$7)*($I$16-$I$15))</f>
        <v>0.26524097133880353</v>
      </c>
      <c r="L16" s="45">
        <f t="shared" ref="L16:L18" si="4">J16</f>
        <v>0</v>
      </c>
      <c r="M16" s="46">
        <f t="shared" ref="M16:M18" si="5">K16</f>
        <v>0.26524097133880353</v>
      </c>
      <c r="N16" s="45">
        <f>N15+1/$Y$4*(1/6*AB13*($I$16-$I$15)^3-(1/6*AB13*$Y$7^2+$Y$4*N15/$Y$7)*($I$16-$I$15))</f>
        <v>-0.11627398878123962</v>
      </c>
      <c r="O16" s="46">
        <f>O15+1/$Y$5*(1/6*AD13*($I$16-$I$15)^3-(1/6*AD13*$Y$7^2+$Y$5*O15/$Y$7)*($I$16-$I$15))</f>
        <v>0.23839700587392088</v>
      </c>
      <c r="P16" s="45">
        <f t="shared" ref="P16:P17" si="6">N16</f>
        <v>-0.11627398878123962</v>
      </c>
      <c r="Q16" s="46">
        <f t="shared" ref="Q16:Q17" si="7">O16</f>
        <v>0.23839700587392088</v>
      </c>
      <c r="R16" s="45">
        <f>R15+1/$Y$4*(1/6*AF13*($I$16-$I$15)^3-(1/6*AF13*$Y$7^2+$Y$4*R15/$Y$7)*($I$16-$I$15))</f>
        <v>0.11627398878123962</v>
      </c>
      <c r="S16" s="46">
        <f>S15+1/$Y$5*(1/6*AH13*($I$16-$I$15)^3-(1/6*AH13*$Y$7^2+$Y$5*S15/$Y$7)*($I$16-$I$15))</f>
        <v>0.23839700587392088</v>
      </c>
      <c r="T16" s="44">
        <f t="shared" si="2"/>
        <v>0.11627398878123962</v>
      </c>
      <c r="U16" s="46">
        <f t="shared" si="3"/>
        <v>0.23839700587392088</v>
      </c>
    </row>
    <row r="17" spans="1:35" ht="17" thickBot="1" x14ac:dyDescent="0.25">
      <c r="B17" s="86" t="s">
        <v>150</v>
      </c>
      <c r="C17" s="87"/>
      <c r="D17" s="87"/>
      <c r="E17" s="87"/>
      <c r="F17" s="87"/>
      <c r="G17" s="88"/>
      <c r="I17" s="103">
        <f>'Aileron torsion'!E$7</f>
        <v>1421</v>
      </c>
      <c r="J17" s="45">
        <v>0</v>
      </c>
      <c r="K17" s="46">
        <f>-1/$Y$5*(1/6*AA13*($I$17-$Y$6-$Y$7)^3-1/2*AA13*$Y$8*($I$17-$Y$6-$Y$7)^2+(1/3*AA13*$Y$8^2-$Y$5*K18/$Y$8)*($I$17-$Y$6-$Y$7))</f>
        <v>0.21631446101535085</v>
      </c>
      <c r="L17" s="45">
        <f t="shared" si="4"/>
        <v>0</v>
      </c>
      <c r="M17" s="46">
        <f t="shared" si="5"/>
        <v>0.21631446101535085</v>
      </c>
      <c r="N17" s="44">
        <f>-1/$Y$4*(1/6*AC13*($I$17-$Y$6-$Y$7)^3-1/2*AC13*$Y$8*($I$17-$Y$6-$Y$7)^2+(1/3*AC13*$Y$8^2-$Y$4*N18/$Y$8)*($I$17-$Y$6-$Y$7))</f>
        <v>-9.4826018342360527E-2</v>
      </c>
      <c r="O17" s="46">
        <f>-1/$Y$5*(1/6*AE13*($I$17-$Y$6-$Y$7)^3-1/2*AE13*$Y$8*($I$17-$Y$6-$Y$7)^2+(1/3*AE13*$Y$8^2-$Y$5*O18/$Y$8)*($I$17-$Y$6-$Y$7))</f>
        <v>0.19442214968901075</v>
      </c>
      <c r="P17" s="45">
        <f t="shared" si="6"/>
        <v>-9.4826018342360527E-2</v>
      </c>
      <c r="Q17" s="46">
        <f t="shared" si="7"/>
        <v>0.19442214968901075</v>
      </c>
      <c r="R17" s="44">
        <f>-1/$Y$4*(1/6*AG13*($I$17-$Y$6-$Y$7)^3-1/2*AG13*$Y$8*($I$17-$Y$6-$Y$7)^2+(1/3*AG13*$Y$8^2-$Y$4*R18/$Y$8)*($I$17-$Y$6-$Y$7))</f>
        <v>9.4826018342360527E-2</v>
      </c>
      <c r="S17" s="46">
        <f>-1/$Y$5*(1/6*AI13*($I$17-$Y$6-$Y$7)^3-1/2*AI13*$Y$8*($I$17-$Y$6-$Y$7)^2+(1/3*AI13*$Y$8^2-$Y$5*S18/$Y$8)*($I$17-$Y$6-$Y$7))</f>
        <v>0.19442214968901075</v>
      </c>
      <c r="T17" s="44">
        <f t="shared" si="2"/>
        <v>9.4826018342360527E-2</v>
      </c>
      <c r="U17" s="46">
        <f t="shared" si="3"/>
        <v>0.19442214968901075</v>
      </c>
    </row>
    <row r="18" spans="1:35" ht="17" thickBot="1" x14ac:dyDescent="0.25">
      <c r="B18" s="61" t="s">
        <v>107</v>
      </c>
      <c r="C18" s="62"/>
      <c r="D18" s="63"/>
      <c r="E18" s="61" t="s">
        <v>108</v>
      </c>
      <c r="F18" s="62"/>
      <c r="G18" s="63"/>
      <c r="I18" s="117">
        <f>'Aileron torsion'!E$8</f>
        <v>2681</v>
      </c>
      <c r="J18" s="45">
        <v>0</v>
      </c>
      <c r="K18" s="46">
        <f>'Aileron shear'!$H$7</f>
        <v>16.419999999999998</v>
      </c>
      <c r="L18" s="45">
        <f t="shared" si="4"/>
        <v>0</v>
      </c>
      <c r="M18" s="46">
        <f t="shared" si="5"/>
        <v>16.419999999999998</v>
      </c>
      <c r="N18" s="45">
        <f>'Aileron shear'!G8</f>
        <v>-7.1980542302766501</v>
      </c>
      <c r="O18" s="46">
        <f>'Aileron shear'!H8</f>
        <v>14.758198240232321</v>
      </c>
      <c r="P18" s="45">
        <f t="shared" ref="P18" si="8">N18</f>
        <v>-7.1980542302766501</v>
      </c>
      <c r="Q18" s="46">
        <f t="shared" ref="Q18" si="9">O18</f>
        <v>14.758198240232321</v>
      </c>
      <c r="R18" s="44">
        <f>'Aileron shear'!G9</f>
        <v>7.1980542302766501</v>
      </c>
      <c r="S18" s="46">
        <f>'Aileron shear'!H9</f>
        <v>14.758198240232321</v>
      </c>
      <c r="T18" s="44">
        <f t="shared" si="2"/>
        <v>7.1980542302766501</v>
      </c>
      <c r="U18" s="46">
        <f t="shared" si="3"/>
        <v>14.758198240232321</v>
      </c>
    </row>
    <row r="19" spans="1:35" ht="17" thickBot="1" x14ac:dyDescent="0.25">
      <c r="A19" s="69" t="s">
        <v>123</v>
      </c>
      <c r="B19" s="70" t="s">
        <v>112</v>
      </c>
      <c r="C19" s="71" t="s">
        <v>172</v>
      </c>
      <c r="D19" s="72" t="s">
        <v>173</v>
      </c>
      <c r="E19" s="70" t="s">
        <v>112</v>
      </c>
      <c r="F19" s="71" t="s">
        <v>172</v>
      </c>
      <c r="G19" s="72" t="s">
        <v>173</v>
      </c>
      <c r="I19" s="118">
        <f>'Aileron torsion'!E$9</f>
        <v>2771</v>
      </c>
      <c r="J19" s="47">
        <v>0</v>
      </c>
      <c r="K19" s="49">
        <f>K18+$Y$9/$Y$5*(1/6*AA13*$Y$8^2+$Y$5*K18/$Y$8)</f>
        <v>18.011543435708511</v>
      </c>
      <c r="L19" s="47">
        <f>J19</f>
        <v>0</v>
      </c>
      <c r="M19" s="49">
        <f>K19</f>
        <v>18.011543435708511</v>
      </c>
      <c r="N19" s="47">
        <f>N18+$Y$9/$Y$4*(1/6*AC13*$Y$8^2+$Y$4*N18/$Y$8)</f>
        <v>-7.8957409513528196</v>
      </c>
      <c r="O19" s="49">
        <f>O18+$Y$9/$Y$5*(1/6*AE13*$Y$8^2+$Y$5*O18/$Y$8)</f>
        <v>16.188668004673655</v>
      </c>
      <c r="P19" s="47">
        <f>N19</f>
        <v>-7.8957409513528196</v>
      </c>
      <c r="Q19" s="49">
        <f>O19</f>
        <v>16.188668004673655</v>
      </c>
      <c r="R19" s="47">
        <f>R18+$Y$9/$Y$4*(1/6*AG13*$Y$8^2+$Y$4*R18/$Y$8)</f>
        <v>7.8957409513528196</v>
      </c>
      <c r="S19" s="49">
        <f>S18+$Y$9/$Y$5*(1/6*AI13*$Y$8^2+$Y$5*S18/$Y$8)</f>
        <v>16.188668004673655</v>
      </c>
      <c r="T19" s="56">
        <f>R19</f>
        <v>7.8957409513528196</v>
      </c>
      <c r="U19" s="49">
        <f>S19</f>
        <v>16.188668004673655</v>
      </c>
    </row>
    <row r="20" spans="1:35" ht="17" thickBot="1" x14ac:dyDescent="0.25">
      <c r="A20" s="60" t="s">
        <v>25</v>
      </c>
      <c r="B20" s="64" t="s">
        <v>115</v>
      </c>
      <c r="C20" s="65">
        <f>F20</f>
        <v>0</v>
      </c>
      <c r="D20" s="66">
        <f>G20</f>
        <v>-4.53</v>
      </c>
      <c r="E20" s="64" t="s">
        <v>115</v>
      </c>
      <c r="F20" s="80">
        <v>0</v>
      </c>
      <c r="G20" s="81">
        <f>-Input!C19</f>
        <v>-4.53</v>
      </c>
    </row>
    <row r="21" spans="1:35" ht="17" thickBot="1" x14ac:dyDescent="0.25">
      <c r="A21" s="68"/>
      <c r="B21" s="45" t="s">
        <v>113</v>
      </c>
      <c r="C21" s="27">
        <f>-G20*SIN(PI()/180*Input!$C$17)</f>
        <v>1.9858212949545206</v>
      </c>
      <c r="D21" s="46">
        <f>G20*COS(PI()/180*Input!$C$17)</f>
        <v>-4.0715370297352269</v>
      </c>
      <c r="E21" s="45" t="s">
        <v>113</v>
      </c>
      <c r="F21" s="82"/>
      <c r="G21" s="83"/>
      <c r="I21" t="s">
        <v>159</v>
      </c>
      <c r="J21" s="114" t="s">
        <v>164</v>
      </c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6"/>
      <c r="X21" s="43" t="s">
        <v>176</v>
      </c>
      <c r="Y21" s="43"/>
      <c r="Z21" s="43" t="s">
        <v>177</v>
      </c>
      <c r="AA21" s="43"/>
      <c r="AB21" s="43" t="s">
        <v>178</v>
      </c>
      <c r="AC21" s="43"/>
      <c r="AD21" s="43" t="s">
        <v>179</v>
      </c>
      <c r="AE21" s="43"/>
      <c r="AF21" s="43" t="s">
        <v>180</v>
      </c>
      <c r="AG21" s="43"/>
      <c r="AH21" s="43" t="s">
        <v>181</v>
      </c>
      <c r="AI21" s="43"/>
    </row>
    <row r="22" spans="1:35" ht="17" thickBot="1" x14ac:dyDescent="0.25">
      <c r="A22" s="59"/>
      <c r="B22" s="47" t="s">
        <v>114</v>
      </c>
      <c r="C22" s="48">
        <f>G20*SIN(PI()/180*Input!$C$17)</f>
        <v>-1.9858212949545206</v>
      </c>
      <c r="D22" s="49">
        <f>G20*COS(-PI()/180*Input!$C$17)</f>
        <v>-4.0715370297352269</v>
      </c>
      <c r="E22" s="47" t="s">
        <v>114</v>
      </c>
      <c r="F22" s="84"/>
      <c r="G22" s="85"/>
      <c r="I22" t="s">
        <v>160</v>
      </c>
      <c r="J22" s="110" t="s">
        <v>115</v>
      </c>
      <c r="K22" s="111"/>
      <c r="L22" s="111"/>
      <c r="M22" s="112"/>
      <c r="N22" s="110" t="s">
        <v>153</v>
      </c>
      <c r="O22" s="111"/>
      <c r="P22" s="111"/>
      <c r="Q22" s="112"/>
      <c r="R22" s="110" t="s">
        <v>154</v>
      </c>
      <c r="S22" s="111"/>
      <c r="T22" s="111"/>
      <c r="U22" s="112"/>
      <c r="X22" s="28" t="s">
        <v>174</v>
      </c>
      <c r="Y22" s="28" t="s">
        <v>175</v>
      </c>
      <c r="Z22" s="28" t="s">
        <v>174</v>
      </c>
      <c r="AA22" s="28" t="s">
        <v>175</v>
      </c>
      <c r="AB22" s="27" t="s">
        <v>174</v>
      </c>
      <c r="AC22" s="27" t="s">
        <v>175</v>
      </c>
      <c r="AD22" s="27" t="s">
        <v>174</v>
      </c>
      <c r="AE22" s="27" t="s">
        <v>175</v>
      </c>
      <c r="AF22" s="27" t="s">
        <v>174</v>
      </c>
      <c r="AG22" s="27" t="s">
        <v>175</v>
      </c>
      <c r="AH22" s="27" t="s">
        <v>174</v>
      </c>
      <c r="AI22" s="27" t="s">
        <v>175</v>
      </c>
    </row>
    <row r="23" spans="1:35" ht="17" thickBot="1" x14ac:dyDescent="0.25">
      <c r="A23" s="60" t="s">
        <v>149</v>
      </c>
      <c r="B23" s="64" t="s">
        <v>115</v>
      </c>
      <c r="C23" s="65">
        <f>-F23</f>
        <v>-91.7</v>
      </c>
      <c r="D23" s="66">
        <f>G23</f>
        <v>0</v>
      </c>
      <c r="E23" s="64" t="s">
        <v>115</v>
      </c>
      <c r="F23" s="80">
        <f>Input!$C$18</f>
        <v>91.7</v>
      </c>
      <c r="G23" s="81">
        <v>0</v>
      </c>
      <c r="I23" s="113" t="s">
        <v>132</v>
      </c>
      <c r="J23" s="47" t="s">
        <v>156</v>
      </c>
      <c r="K23" s="48" t="s">
        <v>155</v>
      </c>
      <c r="L23" s="47" t="s">
        <v>158</v>
      </c>
      <c r="M23" s="49" t="s">
        <v>157</v>
      </c>
      <c r="N23" s="47" t="s">
        <v>156</v>
      </c>
      <c r="O23" s="48" t="s">
        <v>155</v>
      </c>
      <c r="P23" s="47" t="s">
        <v>158</v>
      </c>
      <c r="Q23" s="49" t="s">
        <v>157</v>
      </c>
      <c r="R23" s="47" t="s">
        <v>156</v>
      </c>
      <c r="S23" s="48" t="s">
        <v>155</v>
      </c>
      <c r="T23" s="47" t="s">
        <v>158</v>
      </c>
      <c r="U23" s="49" t="s">
        <v>157</v>
      </c>
      <c r="X23" s="10">
        <f>'Aileron shear'!O17</f>
        <v>0</v>
      </c>
      <c r="Y23" s="10">
        <f>'Aileron shear'!O23</f>
        <v>0</v>
      </c>
      <c r="Z23" s="10">
        <f>'Aileron shear'!P17</f>
        <v>5.8729085182054037</v>
      </c>
      <c r="AA23" s="10">
        <f>'Aileron shear'!P23</f>
        <v>5.668850459668354</v>
      </c>
      <c r="AB23" s="10">
        <f>'Aileron shear'!O18</f>
        <v>-2.5745136421130441</v>
      </c>
      <c r="AC23" s="10">
        <f>'Aileron shear'!O24</f>
        <v>-2.4850604769806046</v>
      </c>
      <c r="AD23" s="10">
        <f>'Aileron shear'!P18</f>
        <v>5.2785352106226808</v>
      </c>
      <c r="AE23" s="10">
        <f>'Aileron shear'!P24</f>
        <v>5.0951290425102131</v>
      </c>
      <c r="AF23" s="10">
        <f>'Aileron shear'!O19</f>
        <v>2.5745136421130441</v>
      </c>
      <c r="AG23" s="10">
        <f>'Aileron shear'!O25</f>
        <v>2.4850604769806046</v>
      </c>
      <c r="AH23" s="10">
        <f>'Aileron shear'!P19</f>
        <v>5.2785352106226808</v>
      </c>
      <c r="AI23" s="10">
        <f>'Aileron shear'!P25</f>
        <v>5.0951290425102131</v>
      </c>
    </row>
    <row r="24" spans="1:35" x14ac:dyDescent="0.2">
      <c r="A24" s="68"/>
      <c r="B24" s="45" t="s">
        <v>113</v>
      </c>
      <c r="C24" s="27">
        <f>-F23*COS(PI()/180*Input!$C$17)</f>
        <v>-82.419414045633616</v>
      </c>
      <c r="D24" s="46">
        <f>-F23*SIN(PI()/180*Input!$C$17)</f>
        <v>-40.198634160558399</v>
      </c>
      <c r="E24" s="45" t="s">
        <v>113</v>
      </c>
      <c r="F24" s="82"/>
      <c r="G24" s="83"/>
      <c r="I24" s="67">
        <f>'Aileron torsion'!E$4</f>
        <v>0</v>
      </c>
      <c r="J24" s="107"/>
      <c r="K24" s="108"/>
      <c r="L24" s="106"/>
      <c r="M24" s="109"/>
      <c r="N24" s="107"/>
      <c r="O24" s="108"/>
      <c r="P24" s="106"/>
      <c r="Q24" s="109"/>
      <c r="R24" s="107"/>
      <c r="S24" s="108"/>
      <c r="T24" s="106"/>
      <c r="U24" s="108"/>
    </row>
    <row r="25" spans="1:35" ht="17" thickBot="1" x14ac:dyDescent="0.25">
      <c r="A25" s="59"/>
      <c r="B25" s="47" t="s">
        <v>114</v>
      </c>
      <c r="C25" s="48">
        <f>-F23*COS(PI()/180*Input!$C$17)</f>
        <v>-82.419414045633616</v>
      </c>
      <c r="D25" s="49">
        <f>-F23*SIN(-PI()/180*Input!$C$17)</f>
        <v>40.198634160558399</v>
      </c>
      <c r="E25" s="47" t="s">
        <v>114</v>
      </c>
      <c r="F25" s="84"/>
      <c r="G25" s="85"/>
      <c r="I25" s="103">
        <f>'Aileron torsion'!E$5</f>
        <v>153</v>
      </c>
      <c r="J25" s="45"/>
      <c r="K25" s="46"/>
      <c r="L25" s="44"/>
      <c r="M25" s="46"/>
      <c r="N25" s="45"/>
      <c r="O25" s="46"/>
      <c r="P25" s="44"/>
      <c r="Q25" s="46"/>
      <c r="R25" s="45"/>
      <c r="S25" s="46"/>
      <c r="T25" s="44"/>
      <c r="U25" s="46"/>
    </row>
    <row r="26" spans="1:35" x14ac:dyDescent="0.2">
      <c r="I26" s="103">
        <f>'Aileron torsion'!E$6</f>
        <v>1141</v>
      </c>
      <c r="J26" s="45"/>
      <c r="K26" s="46"/>
      <c r="L26" s="44"/>
      <c r="M26" s="46"/>
      <c r="N26" s="45"/>
      <c r="O26" s="46"/>
      <c r="P26" s="44"/>
      <c r="Q26" s="46"/>
      <c r="R26" s="45"/>
      <c r="S26" s="46"/>
      <c r="T26" s="44"/>
      <c r="U26" s="46"/>
    </row>
    <row r="27" spans="1:35" x14ac:dyDescent="0.2">
      <c r="A27" s="121" t="s">
        <v>166</v>
      </c>
      <c r="I27" s="103">
        <f>'Aileron torsion'!E$7</f>
        <v>1421</v>
      </c>
      <c r="J27" s="45"/>
      <c r="K27" s="46"/>
      <c r="L27" s="44"/>
      <c r="M27" s="46"/>
      <c r="N27" s="45"/>
      <c r="O27" s="46"/>
      <c r="P27" s="44"/>
      <c r="Q27" s="46"/>
      <c r="R27" s="45"/>
      <c r="S27" s="46"/>
      <c r="T27" s="44"/>
      <c r="U27" s="46"/>
    </row>
    <row r="28" spans="1:35" x14ac:dyDescent="0.2">
      <c r="I28" s="117">
        <f>'Aileron torsion'!E$8</f>
        <v>2681</v>
      </c>
      <c r="J28" s="45"/>
      <c r="K28" s="46"/>
      <c r="L28" s="44"/>
      <c r="M28" s="46"/>
      <c r="N28" s="45"/>
      <c r="O28" s="46"/>
      <c r="P28" s="44"/>
      <c r="Q28" s="46"/>
      <c r="R28" s="45"/>
      <c r="S28" s="46"/>
      <c r="T28" s="44"/>
      <c r="U28" s="46"/>
    </row>
    <row r="29" spans="1:35" ht="17" thickBot="1" x14ac:dyDescent="0.25">
      <c r="I29" s="118">
        <f>'Aileron torsion'!E$9</f>
        <v>2771</v>
      </c>
      <c r="J29" s="47"/>
      <c r="K29" s="49"/>
      <c r="L29" s="56"/>
      <c r="M29" s="77"/>
      <c r="N29" s="47"/>
      <c r="O29" s="49"/>
      <c r="P29" s="56"/>
      <c r="Q29" s="77"/>
      <c r="R29" s="47"/>
      <c r="S29" s="49"/>
      <c r="T29" s="56"/>
      <c r="U29" s="49"/>
    </row>
    <row r="30" spans="1:35" ht="17" thickBot="1" x14ac:dyDescent="0.25"/>
    <row r="31" spans="1:35" ht="17" thickBot="1" x14ac:dyDescent="0.25">
      <c r="I31" t="s">
        <v>159</v>
      </c>
      <c r="J31" s="114" t="s">
        <v>165</v>
      </c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6"/>
      <c r="X31" s="43" t="s">
        <v>176</v>
      </c>
      <c r="Y31" s="43"/>
      <c r="Z31" s="43" t="s">
        <v>177</v>
      </c>
      <c r="AA31" s="43"/>
      <c r="AB31" s="43" t="s">
        <v>178</v>
      </c>
      <c r="AC31" s="43"/>
      <c r="AD31" s="43" t="s">
        <v>179</v>
      </c>
      <c r="AE31" s="43"/>
      <c r="AF31" s="43" t="s">
        <v>180</v>
      </c>
      <c r="AG31" s="43"/>
      <c r="AH31" s="43" t="s">
        <v>181</v>
      </c>
      <c r="AI31" s="43"/>
    </row>
    <row r="32" spans="1:35" ht="17" thickBot="1" x14ac:dyDescent="0.25">
      <c r="I32" t="s">
        <v>160</v>
      </c>
      <c r="J32" s="110" t="s">
        <v>115</v>
      </c>
      <c r="K32" s="111"/>
      <c r="L32" s="111"/>
      <c r="M32" s="112"/>
      <c r="N32" s="110" t="s">
        <v>153</v>
      </c>
      <c r="O32" s="111"/>
      <c r="P32" s="111"/>
      <c r="Q32" s="112"/>
      <c r="R32" s="110" t="s">
        <v>154</v>
      </c>
      <c r="S32" s="111"/>
      <c r="T32" s="111"/>
      <c r="U32" s="112"/>
      <c r="X32" s="28" t="s">
        <v>174</v>
      </c>
      <c r="Y32" s="28" t="s">
        <v>175</v>
      </c>
      <c r="Z32" s="28" t="s">
        <v>174</v>
      </c>
      <c r="AA32" s="28" t="s">
        <v>175</v>
      </c>
      <c r="AB32" s="27" t="s">
        <v>174</v>
      </c>
      <c r="AC32" s="27" t="s">
        <v>175</v>
      </c>
      <c r="AD32" s="27" t="s">
        <v>174</v>
      </c>
      <c r="AE32" s="27" t="s">
        <v>175</v>
      </c>
      <c r="AF32" s="27" t="s">
        <v>174</v>
      </c>
      <c r="AG32" s="27" t="s">
        <v>175</v>
      </c>
      <c r="AH32" s="27" t="s">
        <v>174</v>
      </c>
      <c r="AI32" s="27" t="s">
        <v>175</v>
      </c>
    </row>
    <row r="33" spans="9:35" ht="17" thickBot="1" x14ac:dyDescent="0.25">
      <c r="I33" s="113" t="s">
        <v>132</v>
      </c>
      <c r="J33" s="47" t="s">
        <v>156</v>
      </c>
      <c r="K33" s="48" t="s">
        <v>155</v>
      </c>
      <c r="L33" s="47" t="s">
        <v>158</v>
      </c>
      <c r="M33" s="49" t="s">
        <v>157</v>
      </c>
      <c r="N33" s="47" t="s">
        <v>156</v>
      </c>
      <c r="O33" s="48" t="s">
        <v>155</v>
      </c>
      <c r="P33" s="47" t="s">
        <v>158</v>
      </c>
      <c r="Q33" s="49" t="s">
        <v>157</v>
      </c>
      <c r="R33" s="47" t="s">
        <v>156</v>
      </c>
      <c r="S33" s="48" t="s">
        <v>155</v>
      </c>
      <c r="T33" s="47" t="s">
        <v>158</v>
      </c>
      <c r="U33" s="49" t="s">
        <v>157</v>
      </c>
      <c r="X33" s="10">
        <f>'Aileron shear'!O30</f>
        <v>-11.911124706885094</v>
      </c>
      <c r="Y33" s="10">
        <f>'Aileron shear'!O36</f>
        <v>9.0136155780716241</v>
      </c>
      <c r="Z33" s="10">
        <f>'Aileron shear'!P30</f>
        <v>0</v>
      </c>
      <c r="AA33" s="10">
        <f>'Aileron shear'!P36</f>
        <v>0</v>
      </c>
      <c r="AB33" s="10">
        <f>'Aileron shear'!O31</f>
        <v>-10.705647971275246</v>
      </c>
      <c r="AC33" s="10">
        <f>'Aileron shear'!O37</f>
        <v>8.1013840172002034</v>
      </c>
      <c r="AD33" s="10">
        <f>'Aileron shear'!P31</f>
        <v>-5.2214933973049336</v>
      </c>
      <c r="AE33" s="10">
        <f>'Aileron shear'!P37</f>
        <v>3.9513089976751505</v>
      </c>
      <c r="AF33" s="10">
        <f>'Aileron shear'!O32</f>
        <v>-10.705647971275246</v>
      </c>
      <c r="AG33" s="10">
        <f>'Aileron shear'!O38</f>
        <v>8.1013840172002034</v>
      </c>
      <c r="AH33" s="10">
        <f>'Aileron shear'!P32</f>
        <v>5.2214933973049336</v>
      </c>
      <c r="AI33" s="10">
        <f>'Aileron shear'!P38</f>
        <v>-3.9513089976751505</v>
      </c>
    </row>
    <row r="34" spans="9:35" x14ac:dyDescent="0.2">
      <c r="I34" s="67">
        <f>'Aileron torsion'!E$4</f>
        <v>0</v>
      </c>
      <c r="J34" s="107"/>
      <c r="K34" s="108"/>
      <c r="L34" s="106"/>
      <c r="M34" s="109"/>
      <c r="N34" s="107"/>
      <c r="O34" s="108"/>
      <c r="P34" s="106"/>
      <c r="Q34" s="109"/>
      <c r="R34" s="107"/>
      <c r="S34" s="108"/>
      <c r="T34" s="106"/>
      <c r="U34" s="108"/>
    </row>
    <row r="35" spans="9:35" x14ac:dyDescent="0.2">
      <c r="I35" s="103">
        <f>'Aileron torsion'!E$5</f>
        <v>153</v>
      </c>
      <c r="J35" s="45"/>
      <c r="K35" s="46"/>
      <c r="L35" s="44"/>
      <c r="M35" s="46"/>
      <c r="N35" s="45"/>
      <c r="O35" s="46"/>
      <c r="P35" s="44"/>
      <c r="Q35" s="46"/>
      <c r="R35" s="45"/>
      <c r="S35" s="46"/>
      <c r="T35" s="44"/>
      <c r="U35" s="46"/>
    </row>
    <row r="36" spans="9:35" x14ac:dyDescent="0.2">
      <c r="I36" s="103">
        <f>'Aileron torsion'!E$6</f>
        <v>1141</v>
      </c>
      <c r="J36" s="45"/>
      <c r="K36" s="46"/>
      <c r="L36" s="44"/>
      <c r="M36" s="46"/>
      <c r="N36" s="45"/>
      <c r="O36" s="46"/>
      <c r="P36" s="44"/>
      <c r="Q36" s="46"/>
      <c r="R36" s="45"/>
      <c r="S36" s="46"/>
      <c r="T36" s="44"/>
      <c r="U36" s="46"/>
    </row>
    <row r="37" spans="9:35" x14ac:dyDescent="0.2">
      <c r="I37" s="103">
        <f>'Aileron torsion'!E$7</f>
        <v>1421</v>
      </c>
      <c r="J37" s="45"/>
      <c r="K37" s="46"/>
      <c r="L37" s="44"/>
      <c r="M37" s="46"/>
      <c r="N37" s="45"/>
      <c r="O37" s="46"/>
      <c r="P37" s="44"/>
      <c r="Q37" s="46"/>
      <c r="R37" s="45"/>
      <c r="S37" s="46"/>
      <c r="T37" s="44"/>
      <c r="U37" s="46"/>
    </row>
    <row r="38" spans="9:35" x14ac:dyDescent="0.2">
      <c r="I38" s="117">
        <f>'Aileron torsion'!E$8</f>
        <v>2681</v>
      </c>
      <c r="J38" s="45"/>
      <c r="K38" s="46"/>
      <c r="L38" s="44"/>
      <c r="M38" s="46"/>
      <c r="N38" s="45"/>
      <c r="O38" s="46"/>
      <c r="P38" s="44"/>
      <c r="Q38" s="46"/>
      <c r="R38" s="45"/>
      <c r="S38" s="46"/>
      <c r="T38" s="44"/>
      <c r="U38" s="46"/>
    </row>
    <row r="39" spans="9:35" ht="17" thickBot="1" x14ac:dyDescent="0.25">
      <c r="I39" s="118">
        <f>'Aileron torsion'!E$9</f>
        <v>2771</v>
      </c>
      <c r="J39" s="47"/>
      <c r="K39" s="49"/>
      <c r="L39" s="56"/>
      <c r="M39" s="77"/>
      <c r="N39" s="47"/>
      <c r="O39" s="49"/>
      <c r="P39" s="56"/>
      <c r="Q39" s="77"/>
      <c r="R39" s="47"/>
      <c r="S39" s="49"/>
      <c r="T39" s="56"/>
      <c r="U39" s="49"/>
    </row>
    <row r="40" spans="9:35" ht="17" thickBot="1" x14ac:dyDescent="0.25"/>
    <row r="41" spans="9:35" ht="17" thickBot="1" x14ac:dyDescent="0.25">
      <c r="I41" t="s">
        <v>159</v>
      </c>
      <c r="J41" s="114" t="s">
        <v>162</v>
      </c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6"/>
    </row>
    <row r="42" spans="9:35" ht="17" thickBot="1" x14ac:dyDescent="0.25">
      <c r="I42" t="s">
        <v>160</v>
      </c>
      <c r="J42" s="110" t="s">
        <v>115</v>
      </c>
      <c r="K42" s="111"/>
      <c r="L42" s="111"/>
      <c r="M42" s="112"/>
      <c r="N42" s="110" t="s">
        <v>153</v>
      </c>
      <c r="O42" s="111"/>
      <c r="P42" s="111"/>
      <c r="Q42" s="112"/>
      <c r="R42" s="110" t="s">
        <v>154</v>
      </c>
      <c r="S42" s="111"/>
      <c r="T42" s="111"/>
      <c r="U42" s="112"/>
    </row>
    <row r="43" spans="9:35" ht="17" thickBot="1" x14ac:dyDescent="0.25">
      <c r="I43" s="113" t="s">
        <v>132</v>
      </c>
      <c r="J43" s="47" t="s">
        <v>156</v>
      </c>
      <c r="K43" s="48" t="s">
        <v>155</v>
      </c>
      <c r="L43" s="47" t="s">
        <v>158</v>
      </c>
      <c r="M43" s="49" t="s">
        <v>157</v>
      </c>
      <c r="N43" s="47" t="s">
        <v>156</v>
      </c>
      <c r="O43" s="48" t="s">
        <v>155</v>
      </c>
      <c r="P43" s="47" t="s">
        <v>158</v>
      </c>
      <c r="Q43" s="49" t="s">
        <v>157</v>
      </c>
      <c r="R43" s="47" t="s">
        <v>156</v>
      </c>
      <c r="S43" s="48" t="s">
        <v>155</v>
      </c>
      <c r="T43" s="47" t="s">
        <v>158</v>
      </c>
      <c r="U43" s="49" t="s">
        <v>157</v>
      </c>
    </row>
    <row r="44" spans="9:35" x14ac:dyDescent="0.2">
      <c r="I44" s="67">
        <f>'Aileron torsion'!E$4</f>
        <v>0</v>
      </c>
      <c r="J44" s="107">
        <v>0</v>
      </c>
      <c r="K44" s="66">
        <f>'Aileron torsion'!G4</f>
        <v>1.8456389656259262E-2</v>
      </c>
      <c r="L44" s="107">
        <v>0</v>
      </c>
      <c r="M44" s="120">
        <f>'Aileron torsion'!H4</f>
        <v>-7.1282678272396885E-2</v>
      </c>
      <c r="N44" s="107">
        <v>0</v>
      </c>
      <c r="O44" s="66">
        <f>'Aileron torsion'!K4</f>
        <v>1.6588493139223358E-2</v>
      </c>
      <c r="P44" s="107">
        <v>0</v>
      </c>
      <c r="Q44" s="120">
        <f>'Aileron torsion'!L4</f>
        <v>-6.4068446835489318E-2</v>
      </c>
      <c r="R44" s="107">
        <v>0</v>
      </c>
      <c r="S44" s="66">
        <f>'Aileron torsion'!O4</f>
        <v>1.6588493139223358E-2</v>
      </c>
      <c r="T44" s="107">
        <v>0</v>
      </c>
      <c r="U44" s="66">
        <f>'Aileron torsion'!P4</f>
        <v>-6.4068446835489318E-2</v>
      </c>
    </row>
    <row r="45" spans="9:35" x14ac:dyDescent="0.2">
      <c r="I45" s="103">
        <f>'Aileron torsion'!E$5</f>
        <v>153</v>
      </c>
      <c r="J45" s="45">
        <v>0</v>
      </c>
      <c r="K45" s="46">
        <f>'Aileron torsion'!G5</f>
        <v>1.8788252265409693E-2</v>
      </c>
      <c r="L45" s="45">
        <v>0</v>
      </c>
      <c r="M45" s="76">
        <f>'Aileron torsion'!H5</f>
        <v>-7.2564405416182323E-2</v>
      </c>
      <c r="N45" s="45">
        <v>0</v>
      </c>
      <c r="O45" s="46">
        <f>'Aileron torsion'!K5</f>
        <v>1.8754665793552977E-2</v>
      </c>
      <c r="P45" s="45">
        <v>0</v>
      </c>
      <c r="Q45" s="76">
        <f>'Aileron torsion'!L5</f>
        <v>-7.2434686998211276E-2</v>
      </c>
      <c r="R45" s="45">
        <v>0</v>
      </c>
      <c r="S45" s="46">
        <f>'Aileron torsion'!O5</f>
        <v>1.8754665793552977E-2</v>
      </c>
      <c r="T45" s="45">
        <v>0</v>
      </c>
      <c r="U45" s="46">
        <f>'Aileron torsion'!P5</f>
        <v>-7.2434686998211276E-2</v>
      </c>
    </row>
    <row r="46" spans="9:35" x14ac:dyDescent="0.2">
      <c r="I46" s="103">
        <f>'Aileron torsion'!E$6</f>
        <v>1141</v>
      </c>
      <c r="J46" s="45">
        <v>0</v>
      </c>
      <c r="K46" s="46">
        <f>'Aileron torsion'!G6</f>
        <v>0</v>
      </c>
      <c r="L46" s="45">
        <v>0</v>
      </c>
      <c r="M46" s="76">
        <f>'Aileron torsion'!H6</f>
        <v>0</v>
      </c>
      <c r="N46" s="45">
        <v>0</v>
      </c>
      <c r="O46" s="46">
        <f>'Aileron torsion'!K6</f>
        <v>0</v>
      </c>
      <c r="P46" s="45">
        <v>0</v>
      </c>
      <c r="Q46" s="76">
        <f>'Aileron torsion'!L6</f>
        <v>0</v>
      </c>
      <c r="R46" s="45">
        <v>0</v>
      </c>
      <c r="S46" s="46">
        <f>'Aileron torsion'!O6</f>
        <v>0</v>
      </c>
      <c r="T46" s="45">
        <v>0</v>
      </c>
      <c r="U46" s="46">
        <f>'Aileron torsion'!P6</f>
        <v>0</v>
      </c>
    </row>
    <row r="47" spans="9:35" x14ac:dyDescent="0.2">
      <c r="I47" s="103">
        <f>'Aileron torsion'!E$7</f>
        <v>1421</v>
      </c>
      <c r="J47" s="45">
        <v>0</v>
      </c>
      <c r="K47" s="46">
        <f>'Aileron torsion'!G7</f>
        <v>0.79263022771902558</v>
      </c>
      <c r="L47" s="45">
        <v>0</v>
      </c>
      <c r="M47" s="76">
        <f>'Aileron torsion'!H7</f>
        <v>-3.0613140795014808</v>
      </c>
      <c r="N47" s="45">
        <v>0</v>
      </c>
      <c r="O47" s="46">
        <f>'Aileron torsion'!K7</f>
        <v>0.71427922610764893</v>
      </c>
      <c r="P47" s="45">
        <v>0</v>
      </c>
      <c r="Q47" s="76">
        <f>'Aileron torsion'!L7</f>
        <v>-2.758705099944653</v>
      </c>
      <c r="R47" s="45">
        <v>0</v>
      </c>
      <c r="S47" s="46">
        <f>'Aileron torsion'!O7</f>
        <v>0.71427922610764893</v>
      </c>
      <c r="T47" s="45">
        <v>0</v>
      </c>
      <c r="U47" s="46">
        <f>'Aileron torsion'!P7</f>
        <v>-2.758705099944653</v>
      </c>
    </row>
    <row r="48" spans="9:35" x14ac:dyDescent="0.2">
      <c r="I48" s="117">
        <f>'Aileron torsion'!E$8</f>
        <v>2681</v>
      </c>
      <c r="J48" s="45">
        <v>0</v>
      </c>
      <c r="K48" s="46">
        <f>'Aileron torsion'!G8</f>
        <v>0.86590283793929079</v>
      </c>
      <c r="L48" s="45">
        <v>0</v>
      </c>
      <c r="M48" s="76">
        <f>'Aileron torsion'!H8</f>
        <v>-3.3443091829744165</v>
      </c>
      <c r="N48" s="45">
        <v>0</v>
      </c>
      <c r="O48" s="46">
        <f>'Aileron torsion'!K8</f>
        <v>0.78013621193042282</v>
      </c>
      <c r="P48" s="45">
        <v>0</v>
      </c>
      <c r="Q48" s="76">
        <f>'Aileron torsion'!L8</f>
        <v>-3.0130594140779441</v>
      </c>
      <c r="R48" s="45">
        <v>0</v>
      </c>
      <c r="S48" s="46">
        <f>'Aileron torsion'!O8</f>
        <v>0.78013621193042282</v>
      </c>
      <c r="T48" s="45">
        <v>0</v>
      </c>
      <c r="U48" s="46">
        <f>'Aileron torsion'!P8</f>
        <v>-3.0130594140779441</v>
      </c>
    </row>
    <row r="49" spans="9:21" ht="17" thickBot="1" x14ac:dyDescent="0.25">
      <c r="I49" s="118">
        <f>'Aileron torsion'!E$9</f>
        <v>2771</v>
      </c>
      <c r="J49" s="47">
        <v>0</v>
      </c>
      <c r="K49" s="49">
        <f>'Aileron torsion'!G9</f>
        <v>0.87285906610187491</v>
      </c>
      <c r="L49" s="47">
        <v>0</v>
      </c>
      <c r="M49" s="77">
        <f>'Aileron torsion'!H9</f>
        <v>-3.3711756819667968</v>
      </c>
      <c r="N49" s="47">
        <v>0</v>
      </c>
      <c r="O49" s="49">
        <f>'Aileron torsion'!K9</f>
        <v>0.78638842838765222</v>
      </c>
      <c r="P49" s="47">
        <v>0</v>
      </c>
      <c r="Q49" s="77">
        <f>'Aileron torsion'!L9</f>
        <v>-3.0372068634171989</v>
      </c>
      <c r="R49" s="47">
        <v>0</v>
      </c>
      <c r="S49" s="49">
        <f>'Aileron torsion'!O9</f>
        <v>0.78638842838765222</v>
      </c>
      <c r="T49" s="47">
        <v>0</v>
      </c>
      <c r="U49" s="49">
        <f>'Aileron torsion'!P9</f>
        <v>-3.0372068634171989</v>
      </c>
    </row>
  </sheetData>
  <mergeCells count="54">
    <mergeCell ref="X31:Y31"/>
    <mergeCell ref="Z31:AA31"/>
    <mergeCell ref="AB31:AC31"/>
    <mergeCell ref="AD31:AE31"/>
    <mergeCell ref="AF31:AG31"/>
    <mergeCell ref="AH31:AI31"/>
    <mergeCell ref="X21:Y21"/>
    <mergeCell ref="Z21:AA21"/>
    <mergeCell ref="AB21:AC21"/>
    <mergeCell ref="AD21:AE21"/>
    <mergeCell ref="AF21:AG21"/>
    <mergeCell ref="AH21:AI21"/>
    <mergeCell ref="X11:Y11"/>
    <mergeCell ref="AB11:AC11"/>
    <mergeCell ref="AF11:AG11"/>
    <mergeCell ref="Z11:AA11"/>
    <mergeCell ref="AD11:AE11"/>
    <mergeCell ref="AH11:AI11"/>
    <mergeCell ref="J31:U31"/>
    <mergeCell ref="J32:M32"/>
    <mergeCell ref="N32:Q32"/>
    <mergeCell ref="R32:U32"/>
    <mergeCell ref="J41:U41"/>
    <mergeCell ref="J42:M42"/>
    <mergeCell ref="N42:Q42"/>
    <mergeCell ref="R42:U42"/>
    <mergeCell ref="J12:M12"/>
    <mergeCell ref="N12:Q12"/>
    <mergeCell ref="R12:U12"/>
    <mergeCell ref="J21:U21"/>
    <mergeCell ref="J22:M22"/>
    <mergeCell ref="N22:Q22"/>
    <mergeCell ref="R22:U22"/>
    <mergeCell ref="J2:M2"/>
    <mergeCell ref="N2:Q2"/>
    <mergeCell ref="R2:U2"/>
    <mergeCell ref="J1:U1"/>
    <mergeCell ref="J11:U11"/>
    <mergeCell ref="A13:A15"/>
    <mergeCell ref="A23:A25"/>
    <mergeCell ref="B17:G17"/>
    <mergeCell ref="A20:A22"/>
    <mergeCell ref="F23:F25"/>
    <mergeCell ref="G23:G25"/>
    <mergeCell ref="F20:F22"/>
    <mergeCell ref="G20:G22"/>
    <mergeCell ref="B18:D18"/>
    <mergeCell ref="E18:G18"/>
    <mergeCell ref="B1:G1"/>
    <mergeCell ref="B2:D2"/>
    <mergeCell ref="E2:G2"/>
    <mergeCell ref="A4:A6"/>
    <mergeCell ref="A7:A9"/>
    <mergeCell ref="A10:A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86F9-2782-214A-B6F7-675CAD9FF62F}">
  <dimension ref="A1:Q53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G1"/>
    </sheetView>
  </sheetViews>
  <sheetFormatPr baseColWidth="10" defaultRowHeight="16" x14ac:dyDescent="0.2"/>
  <cols>
    <col min="2" max="7" width="10.83203125" style="29"/>
    <col min="17" max="17" width="12.1640625" bestFit="1" customWidth="1"/>
  </cols>
  <sheetData>
    <row r="1" spans="1:17" s="8" customFormat="1" x14ac:dyDescent="0.2">
      <c r="B1" s="131"/>
      <c r="C1" s="110" t="s">
        <v>115</v>
      </c>
      <c r="D1" s="111"/>
      <c r="E1" s="111"/>
      <c r="F1" s="111"/>
      <c r="G1" s="112"/>
      <c r="H1" s="110" t="s">
        <v>153</v>
      </c>
      <c r="I1" s="111"/>
      <c r="J1" s="111"/>
      <c r="K1" s="111"/>
      <c r="L1" s="112"/>
      <c r="M1" s="110" t="s">
        <v>171</v>
      </c>
      <c r="N1" s="111"/>
      <c r="O1" s="111"/>
      <c r="P1" s="111"/>
      <c r="Q1" s="112"/>
    </row>
    <row r="2" spans="1:17" ht="17" thickBot="1" x14ac:dyDescent="0.25">
      <c r="B2" s="104" t="s">
        <v>132</v>
      </c>
      <c r="C2" s="47" t="s">
        <v>169</v>
      </c>
      <c r="D2" s="48" t="s">
        <v>170</v>
      </c>
      <c r="E2" s="48" t="s">
        <v>151</v>
      </c>
      <c r="F2" s="48" t="s">
        <v>152</v>
      </c>
      <c r="G2" s="49" t="s">
        <v>167</v>
      </c>
      <c r="H2" s="47" t="s">
        <v>169</v>
      </c>
      <c r="I2" s="48" t="s">
        <v>170</v>
      </c>
      <c r="J2" s="48" t="s">
        <v>151</v>
      </c>
      <c r="K2" s="48" t="s">
        <v>152</v>
      </c>
      <c r="L2" s="49" t="s">
        <v>167</v>
      </c>
      <c r="M2" s="47" t="s">
        <v>169</v>
      </c>
      <c r="N2" s="48" t="s">
        <v>170</v>
      </c>
      <c r="O2" s="48" t="s">
        <v>151</v>
      </c>
      <c r="P2" s="48" t="s">
        <v>152</v>
      </c>
      <c r="Q2" s="49" t="s">
        <v>167</v>
      </c>
    </row>
    <row r="3" spans="1:17" x14ac:dyDescent="0.2">
      <c r="B3" s="132">
        <v>0</v>
      </c>
      <c r="C3" s="133">
        <f>Superpositioning!$C$20*$B3/1000</f>
        <v>0</v>
      </c>
      <c r="D3" s="134">
        <f>Superpositioning!$D$20*$B3/1000</f>
        <v>0</v>
      </c>
      <c r="E3" s="134">
        <f>1/2*Superpositioning!$C$20*(B3/1000)^2</f>
        <v>0</v>
      </c>
      <c r="F3" s="134">
        <f>1/2*Superpositioning!$D$20*(B3/1000)^2</f>
        <v>0</v>
      </c>
      <c r="G3" s="135">
        <f>'Aileron torsion'!$B$11*$B3/1000</f>
        <v>0</v>
      </c>
      <c r="H3" s="133">
        <f>Superpositioning!$C$21*$B3/1000</f>
        <v>0</v>
      </c>
      <c r="I3" s="134">
        <f>Superpositioning!$D$21*$B3/1000</f>
        <v>0</v>
      </c>
      <c r="J3" s="134">
        <f>1/2*Superpositioning!$C$21*(B3/1000)^2</f>
        <v>0</v>
      </c>
      <c r="K3" s="134">
        <f>1/2*Superpositioning!$C$21*(B3/1000)^2</f>
        <v>0</v>
      </c>
      <c r="L3" s="135">
        <f>'Aileron torsion'!$B$16*$B3/1000</f>
        <v>0</v>
      </c>
      <c r="M3" s="133">
        <f>Superpositioning!$C$22*$B3/1000</f>
        <v>0</v>
      </c>
      <c r="N3" s="134">
        <f>Superpositioning!$D$22*$B3/1000</f>
        <v>0</v>
      </c>
      <c r="O3" s="134">
        <f>1/2*Superpositioning!$C$22*(B3/1000)^2</f>
        <v>0</v>
      </c>
      <c r="P3" s="134">
        <f>1/2*Superpositioning!$D$22*(B3/1000)^2</f>
        <v>0</v>
      </c>
      <c r="Q3" s="135">
        <f>'Aileron torsion'!$B$21*$B3/1000</f>
        <v>0</v>
      </c>
    </row>
    <row r="4" spans="1:17" x14ac:dyDescent="0.2">
      <c r="A4">
        <v>1</v>
      </c>
      <c r="B4" s="136">
        <f>B3+'Aileron shear'!$B$4/10</f>
        <v>15.3</v>
      </c>
      <c r="C4" s="137">
        <f>Superpositioning!$C$20*$B4/1000</f>
        <v>0</v>
      </c>
      <c r="D4" s="138">
        <f>Superpositioning!$D$20*$B4/1000</f>
        <v>-6.9309000000000009E-2</v>
      </c>
      <c r="E4" s="138">
        <f>1/2*Superpositioning!$C$20*(B4/1000)^2</f>
        <v>0</v>
      </c>
      <c r="F4" s="138">
        <f>1/2*Superpositioning!$D$20*(B4/1000)^2</f>
        <v>-5.3021385000000005E-4</v>
      </c>
      <c r="G4" s="139">
        <f>'Aileron torsion'!$B$11*$B4/1000</f>
        <v>-1.68074325E-3</v>
      </c>
      <c r="H4" s="137">
        <f>Superpositioning!$C$21*$B4/1000</f>
        <v>3.0383065812804165E-2</v>
      </c>
      <c r="I4" s="138">
        <f>Superpositioning!$D$21*$B4/1000</f>
        <v>-6.2294516554948977E-2</v>
      </c>
      <c r="J4" s="138">
        <f>1/2*Superpositioning!$C$21*(B4/1000)^2</f>
        <v>2.324304534679519E-4</v>
      </c>
      <c r="K4" s="138">
        <f>1/2*Superpositioning!$C$21*(B4/1000)^2</f>
        <v>2.324304534679519E-4</v>
      </c>
      <c r="L4" s="139">
        <f>'Aileron torsion'!$B$16*$B4/1000</f>
        <v>-1.5106420264575126E-3</v>
      </c>
      <c r="M4" s="137">
        <f>Superpositioning!$C$22*$B4/1000</f>
        <v>-3.0383065812804165E-2</v>
      </c>
      <c r="N4" s="138">
        <f>Superpositioning!$D$22*$B4/1000</f>
        <v>-6.2294516554948977E-2</v>
      </c>
      <c r="O4" s="138">
        <f>1/2*Superpositioning!$C$22*(B4/1000)^2</f>
        <v>-2.324304534679519E-4</v>
      </c>
      <c r="P4" s="138">
        <f>1/2*Superpositioning!$D$22*(B4/1000)^2</f>
        <v>-4.765530516453597E-4</v>
      </c>
      <c r="Q4" s="139">
        <f>'Aileron torsion'!$B$21*$B4/1000</f>
        <v>-1.5106420264575126E-3</v>
      </c>
    </row>
    <row r="5" spans="1:17" x14ac:dyDescent="0.2">
      <c r="A5">
        <v>2</v>
      </c>
      <c r="B5" s="136">
        <f>B4+'Aileron shear'!$B$4/10</f>
        <v>30.6</v>
      </c>
      <c r="C5" s="137">
        <f>Superpositioning!$C$20*$B5/1000</f>
        <v>0</v>
      </c>
      <c r="D5" s="138">
        <f>Superpositioning!$D$20*$B5/1000</f>
        <v>-0.13861800000000002</v>
      </c>
      <c r="E5" s="138">
        <f>1/2*Superpositioning!$C$20*(B5/1000)^2</f>
        <v>0</v>
      </c>
      <c r="F5" s="138">
        <f>1/2*Superpositioning!$D$20*(B5/1000)^2</f>
        <v>-2.1208554000000002E-3</v>
      </c>
      <c r="G5" s="139">
        <f>'Aileron torsion'!$B$11*$B5/1000</f>
        <v>-3.3614865000000001E-3</v>
      </c>
      <c r="H5" s="137">
        <f>Superpositioning!$C$21*$B5/1000</f>
        <v>6.076613162560833E-2</v>
      </c>
      <c r="I5" s="138">
        <f>Superpositioning!$D$21*$B5/1000</f>
        <v>-0.12458903310989795</v>
      </c>
      <c r="J5" s="138">
        <f>1/2*Superpositioning!$C$21*(B5/1000)^2</f>
        <v>9.2972181387180762E-4</v>
      </c>
      <c r="K5" s="138">
        <f>1/2*Superpositioning!$C$21*(B5/1000)^2</f>
        <v>9.2972181387180762E-4</v>
      </c>
      <c r="L5" s="139">
        <f>'Aileron torsion'!$B$16*$B5/1000</f>
        <v>-3.0212840529150252E-3</v>
      </c>
      <c r="M5" s="137">
        <f>Superpositioning!$C$22*$B5/1000</f>
        <v>-6.076613162560833E-2</v>
      </c>
      <c r="N5" s="138">
        <f>Superpositioning!$D$22*$B5/1000</f>
        <v>-0.12458903310989795</v>
      </c>
      <c r="O5" s="138">
        <f>1/2*Superpositioning!$C$22*(B5/1000)^2</f>
        <v>-9.2972181387180762E-4</v>
      </c>
      <c r="P5" s="138">
        <f>1/2*Superpositioning!$D$22*(B5/1000)^2</f>
        <v>-1.9062122065814388E-3</v>
      </c>
      <c r="Q5" s="139">
        <f>'Aileron torsion'!$B$21*$B5/1000</f>
        <v>-3.0212840529150252E-3</v>
      </c>
    </row>
    <row r="6" spans="1:17" x14ac:dyDescent="0.2">
      <c r="A6">
        <v>3</v>
      </c>
      <c r="B6" s="136">
        <f>B5+'Aileron shear'!$B$4/10</f>
        <v>45.900000000000006</v>
      </c>
      <c r="C6" s="137">
        <f>Superpositioning!$C$20*$B6/1000</f>
        <v>0</v>
      </c>
      <c r="D6" s="138">
        <f>Superpositioning!$D$20*$B6/1000</f>
        <v>-0.20792700000000006</v>
      </c>
      <c r="E6" s="138">
        <f>1/2*Superpositioning!$C$20*(B6/1000)^2</f>
        <v>0</v>
      </c>
      <c r="F6" s="138">
        <f>1/2*Superpositioning!$D$20*(B6/1000)^2</f>
        <v>-4.7719246500000003E-3</v>
      </c>
      <c r="G6" s="139">
        <f>'Aileron torsion'!$B$11*$B6/1000</f>
        <v>-5.042229750000001E-3</v>
      </c>
      <c r="H6" s="137">
        <f>Superpositioning!$C$21*$B6/1000</f>
        <v>9.1149197438412516E-2</v>
      </c>
      <c r="I6" s="138">
        <f>Superpositioning!$D$21*$B6/1000</f>
        <v>-0.18688354966484694</v>
      </c>
      <c r="J6" s="138">
        <f>1/2*Superpositioning!$C$21*(B6/1000)^2</f>
        <v>2.0918740812115671E-3</v>
      </c>
      <c r="K6" s="138">
        <f>1/2*Superpositioning!$C$21*(B6/1000)^2</f>
        <v>2.0918740812115671E-3</v>
      </c>
      <c r="L6" s="139">
        <f>'Aileron torsion'!$B$16*$B6/1000</f>
        <v>-4.5319260793725384E-3</v>
      </c>
      <c r="M6" s="137">
        <f>Superpositioning!$C$22*$B6/1000</f>
        <v>-9.1149197438412516E-2</v>
      </c>
      <c r="N6" s="138">
        <f>Superpositioning!$D$22*$B6/1000</f>
        <v>-0.18688354966484694</v>
      </c>
      <c r="O6" s="138">
        <f>1/2*Superpositioning!$C$22*(B6/1000)^2</f>
        <v>-2.0918740812115671E-3</v>
      </c>
      <c r="P6" s="138">
        <f>1/2*Superpositioning!$D$22*(B6/1000)^2</f>
        <v>-4.2889774648082373E-3</v>
      </c>
      <c r="Q6" s="139">
        <f>'Aileron torsion'!$B$21*$B6/1000</f>
        <v>-4.5319260793725384E-3</v>
      </c>
    </row>
    <row r="7" spans="1:17" x14ac:dyDescent="0.2">
      <c r="A7">
        <v>4</v>
      </c>
      <c r="B7" s="136">
        <f>B6+'Aileron shear'!$B$4/10</f>
        <v>61.2</v>
      </c>
      <c r="C7" s="137">
        <f>Superpositioning!$C$20*$B7/1000</f>
        <v>0</v>
      </c>
      <c r="D7" s="138">
        <f>Superpositioning!$D$20*$B7/1000</f>
        <v>-0.27723600000000004</v>
      </c>
      <c r="E7" s="138">
        <f>1/2*Superpositioning!$C$20*(B7/1000)^2</f>
        <v>0</v>
      </c>
      <c r="F7" s="138">
        <f>1/2*Superpositioning!$D$20*(B7/1000)^2</f>
        <v>-8.4834216000000007E-3</v>
      </c>
      <c r="G7" s="139">
        <f>'Aileron torsion'!$B$11*$B7/1000</f>
        <v>-6.7229730000000001E-3</v>
      </c>
      <c r="H7" s="137">
        <f>Superpositioning!$C$21*$B7/1000</f>
        <v>0.12153226325121666</v>
      </c>
      <c r="I7" s="138">
        <f>Superpositioning!$D$21*$B7/1000</f>
        <v>-0.24917806621979591</v>
      </c>
      <c r="J7" s="138">
        <f>1/2*Superpositioning!$C$21*(B7/1000)^2</f>
        <v>3.7188872554872305E-3</v>
      </c>
      <c r="K7" s="138">
        <f>1/2*Superpositioning!$C$21*(B7/1000)^2</f>
        <v>3.7188872554872305E-3</v>
      </c>
      <c r="L7" s="139">
        <f>'Aileron torsion'!$B$16*$B7/1000</f>
        <v>-6.0425681058300503E-3</v>
      </c>
      <c r="M7" s="137">
        <f>Superpositioning!$C$22*$B7/1000</f>
        <v>-0.12153226325121666</v>
      </c>
      <c r="N7" s="138">
        <f>Superpositioning!$D$22*$B7/1000</f>
        <v>-0.24917806621979591</v>
      </c>
      <c r="O7" s="138">
        <f>1/2*Superpositioning!$C$22*(B7/1000)^2</f>
        <v>-3.7188872554872305E-3</v>
      </c>
      <c r="P7" s="138">
        <f>1/2*Superpositioning!$D$22*(B7/1000)^2</f>
        <v>-7.6248488263257553E-3</v>
      </c>
      <c r="Q7" s="139">
        <f>'Aileron torsion'!$B$21*$B7/1000</f>
        <v>-6.0425681058300503E-3</v>
      </c>
    </row>
    <row r="8" spans="1:17" x14ac:dyDescent="0.2">
      <c r="A8">
        <v>5</v>
      </c>
      <c r="B8" s="136">
        <f>B7+'Aileron shear'!$B$4/10</f>
        <v>76.5</v>
      </c>
      <c r="C8" s="137">
        <f>Superpositioning!$C$20*$B8/1000</f>
        <v>0</v>
      </c>
      <c r="D8" s="138">
        <f>Superpositioning!$D$20*$B8/1000</f>
        <v>-0.34654499999999999</v>
      </c>
      <c r="E8" s="138">
        <f>1/2*Superpositioning!$C$20*(B8/1000)^2</f>
        <v>0</v>
      </c>
      <c r="F8" s="138">
        <f>1/2*Superpositioning!$D$20*(B8/1000)^2</f>
        <v>-1.3255346250000001E-2</v>
      </c>
      <c r="G8" s="139">
        <f>'Aileron torsion'!$B$11*$B8/1000</f>
        <v>-8.4037162500000002E-3</v>
      </c>
      <c r="H8" s="137">
        <f>Superpositioning!$C$21*$B8/1000</f>
        <v>0.15191532906402083</v>
      </c>
      <c r="I8" s="138">
        <f>Superpositioning!$D$21*$B8/1000</f>
        <v>-0.31147258277474488</v>
      </c>
      <c r="J8" s="138">
        <f>1/2*Superpositioning!$C$21*(B8/1000)^2</f>
        <v>5.8107613366987967E-3</v>
      </c>
      <c r="K8" s="138">
        <f>1/2*Superpositioning!$C$21*(B8/1000)^2</f>
        <v>5.8107613366987967E-3</v>
      </c>
      <c r="L8" s="139">
        <f>'Aileron torsion'!$B$16*$B8/1000</f>
        <v>-7.5532101322875632E-3</v>
      </c>
      <c r="M8" s="137">
        <f>Superpositioning!$C$22*$B8/1000</f>
        <v>-0.15191532906402083</v>
      </c>
      <c r="N8" s="138">
        <f>Superpositioning!$D$22*$B8/1000</f>
        <v>-0.31147258277474488</v>
      </c>
      <c r="O8" s="138">
        <f>1/2*Superpositioning!$C$22*(B8/1000)^2</f>
        <v>-5.8107613366987967E-3</v>
      </c>
      <c r="P8" s="138">
        <f>1/2*Superpositioning!$D$22*(B8/1000)^2</f>
        <v>-1.1913826291133991E-2</v>
      </c>
      <c r="Q8" s="139">
        <f>'Aileron torsion'!$B$21*$B8/1000</f>
        <v>-7.5532101322875632E-3</v>
      </c>
    </row>
    <row r="9" spans="1:17" x14ac:dyDescent="0.2">
      <c r="A9">
        <v>6</v>
      </c>
      <c r="B9" s="136">
        <f>B8+'Aileron shear'!$B$4/10</f>
        <v>91.8</v>
      </c>
      <c r="C9" s="137">
        <f>Superpositioning!$C$20*$B9/1000</f>
        <v>0</v>
      </c>
      <c r="D9" s="138">
        <f>Superpositioning!$D$20*$B9/1000</f>
        <v>-0.415854</v>
      </c>
      <c r="E9" s="138">
        <f>1/2*Superpositioning!$C$20*(B9/1000)^2</f>
        <v>0</v>
      </c>
      <c r="F9" s="138">
        <f>1/2*Superpositioning!$D$20*(B9/1000)^2</f>
        <v>-1.9087698599999998E-2</v>
      </c>
      <c r="G9" s="139">
        <f>'Aileron torsion'!$B$11*$B9/1000</f>
        <v>-1.00844595E-2</v>
      </c>
      <c r="H9" s="137">
        <f>Superpositioning!$C$21*$B9/1000</f>
        <v>0.182298394876825</v>
      </c>
      <c r="I9" s="138">
        <f>Superpositioning!$D$21*$B9/1000</f>
        <v>-0.37376709932969382</v>
      </c>
      <c r="J9" s="138">
        <f>1/2*Superpositioning!$C$21*(B9/1000)^2</f>
        <v>8.3674963248462665E-3</v>
      </c>
      <c r="K9" s="138">
        <f>1/2*Superpositioning!$C$21*(B9/1000)^2</f>
        <v>8.3674963248462665E-3</v>
      </c>
      <c r="L9" s="139">
        <f>'Aileron torsion'!$B$16*$B9/1000</f>
        <v>-9.0638521587450751E-3</v>
      </c>
      <c r="M9" s="137">
        <f>Superpositioning!$C$22*$B9/1000</f>
        <v>-0.182298394876825</v>
      </c>
      <c r="N9" s="138">
        <f>Superpositioning!$D$22*$B9/1000</f>
        <v>-0.37376709932969382</v>
      </c>
      <c r="O9" s="138">
        <f>1/2*Superpositioning!$C$22*(B9/1000)^2</f>
        <v>-8.3674963248462665E-3</v>
      </c>
      <c r="P9" s="138">
        <f>1/2*Superpositioning!$D$22*(B9/1000)^2</f>
        <v>-1.7155909859232946E-2</v>
      </c>
      <c r="Q9" s="139">
        <f>'Aileron torsion'!$B$21*$B9/1000</f>
        <v>-9.0638521587450751E-3</v>
      </c>
    </row>
    <row r="10" spans="1:17" x14ac:dyDescent="0.2">
      <c r="A10">
        <v>7</v>
      </c>
      <c r="B10" s="136">
        <f>B9+'Aileron shear'!$B$4/10</f>
        <v>107.1</v>
      </c>
      <c r="C10" s="137">
        <f>Superpositioning!$C$20*$B10/1000</f>
        <v>0</v>
      </c>
      <c r="D10" s="138">
        <f>Superpositioning!$D$20*$B10/1000</f>
        <v>-0.48516300000000001</v>
      </c>
      <c r="E10" s="138">
        <f>1/2*Superpositioning!$C$20*(B10/1000)^2</f>
        <v>0</v>
      </c>
      <c r="F10" s="138">
        <f>1/2*Superpositioning!$D$20*(B10/1000)^2</f>
        <v>-2.5980478650000003E-2</v>
      </c>
      <c r="G10" s="139">
        <f>'Aileron torsion'!$B$11*$B10/1000</f>
        <v>-1.176520275E-2</v>
      </c>
      <c r="H10" s="137">
        <f>Superpositioning!$C$21*$B10/1000</f>
        <v>0.21268146068962915</v>
      </c>
      <c r="I10" s="138">
        <f>Superpositioning!$D$21*$B10/1000</f>
        <v>-0.43606161588464276</v>
      </c>
      <c r="J10" s="138">
        <f>1/2*Superpositioning!$C$21*(B10/1000)^2</f>
        <v>1.1389092219929642E-2</v>
      </c>
      <c r="K10" s="138">
        <f>1/2*Superpositioning!$C$21*(B10/1000)^2</f>
        <v>1.1389092219929642E-2</v>
      </c>
      <c r="L10" s="139">
        <f>'Aileron torsion'!$B$16*$B10/1000</f>
        <v>-1.0574494185202588E-2</v>
      </c>
      <c r="M10" s="137">
        <f>Superpositioning!$C$22*$B10/1000</f>
        <v>-0.21268146068962915</v>
      </c>
      <c r="N10" s="138">
        <f>Superpositioning!$D$22*$B10/1000</f>
        <v>-0.43606161588464276</v>
      </c>
      <c r="O10" s="138">
        <f>1/2*Superpositioning!$C$22*(B10/1000)^2</f>
        <v>-1.1389092219929642E-2</v>
      </c>
      <c r="P10" s="138">
        <f>1/2*Superpositioning!$D$22*(B10/1000)^2</f>
        <v>-2.3351099530622622E-2</v>
      </c>
      <c r="Q10" s="139">
        <f>'Aileron torsion'!$B$21*$B10/1000</f>
        <v>-1.0574494185202588E-2</v>
      </c>
    </row>
    <row r="11" spans="1:17" x14ac:dyDescent="0.2">
      <c r="A11">
        <v>8</v>
      </c>
      <c r="B11" s="136">
        <f>B10+'Aileron shear'!$B$4/10</f>
        <v>122.39999999999999</v>
      </c>
      <c r="C11" s="137">
        <f>Superpositioning!$C$20*$B11/1000</f>
        <v>0</v>
      </c>
      <c r="D11" s="138">
        <f>Superpositioning!$D$20*$B11/1000</f>
        <v>-0.55447199999999996</v>
      </c>
      <c r="E11" s="138">
        <f>1/2*Superpositioning!$C$20*(B11/1000)^2</f>
        <v>0</v>
      </c>
      <c r="F11" s="138">
        <f>1/2*Superpositioning!$D$20*(B11/1000)^2</f>
        <v>-3.3933686399999996E-2</v>
      </c>
      <c r="G11" s="139">
        <f>'Aileron torsion'!$B$11*$B11/1000</f>
        <v>-1.3445945999999999E-2</v>
      </c>
      <c r="H11" s="137">
        <f>Superpositioning!$C$21*$B11/1000</f>
        <v>0.24306452650243329</v>
      </c>
      <c r="I11" s="138">
        <f>Superpositioning!$D$21*$B11/1000</f>
        <v>-0.49835613243959176</v>
      </c>
      <c r="J11" s="138">
        <f>1/2*Superpositioning!$C$21*(B11/1000)^2</f>
        <v>1.4875549021948918E-2</v>
      </c>
      <c r="K11" s="138">
        <f>1/2*Superpositioning!$C$21*(B11/1000)^2</f>
        <v>1.4875549021948918E-2</v>
      </c>
      <c r="L11" s="139">
        <f>'Aileron torsion'!$B$16*$B11/1000</f>
        <v>-1.2085136211660099E-2</v>
      </c>
      <c r="M11" s="137">
        <f>Superpositioning!$C$22*$B11/1000</f>
        <v>-0.24306452650243329</v>
      </c>
      <c r="N11" s="138">
        <f>Superpositioning!$D$22*$B11/1000</f>
        <v>-0.49835613243959176</v>
      </c>
      <c r="O11" s="138">
        <f>1/2*Superpositioning!$C$22*(B11/1000)^2</f>
        <v>-1.4875549021948918E-2</v>
      </c>
      <c r="P11" s="138">
        <f>1/2*Superpositioning!$D$22*(B11/1000)^2</f>
        <v>-3.0499395305303014E-2</v>
      </c>
      <c r="Q11" s="139">
        <f>'Aileron torsion'!$B$21*$B11/1000</f>
        <v>-1.2085136211660099E-2</v>
      </c>
    </row>
    <row r="12" spans="1:17" x14ac:dyDescent="0.2">
      <c r="A12">
        <v>9</v>
      </c>
      <c r="B12" s="136">
        <f>B11+'Aileron shear'!$B$4/10</f>
        <v>137.69999999999999</v>
      </c>
      <c r="C12" s="137">
        <f>Superpositioning!$C$20*$B12/1000</f>
        <v>0</v>
      </c>
      <c r="D12" s="138">
        <f>Superpositioning!$D$20*$B12/1000</f>
        <v>-0.62378099999999992</v>
      </c>
      <c r="E12" s="138">
        <f>1/2*Superpositioning!$C$20*(B12/1000)^2</f>
        <v>0</v>
      </c>
      <c r="F12" s="138">
        <f>1/2*Superpositioning!$D$20*(B12/1000)^2</f>
        <v>-4.2947321849999998E-2</v>
      </c>
      <c r="G12" s="139">
        <f>'Aileron torsion'!$B$11*$B12/1000</f>
        <v>-1.512668925E-2</v>
      </c>
      <c r="H12" s="137">
        <f>Superpositioning!$C$21*$B12/1000</f>
        <v>0.27344759231523746</v>
      </c>
      <c r="I12" s="138">
        <f>Superpositioning!$D$21*$B12/1000</f>
        <v>-0.56065064899454065</v>
      </c>
      <c r="J12" s="138">
        <f>1/2*Superpositioning!$C$21*(B12/1000)^2</f>
        <v>1.8826866730904099E-2</v>
      </c>
      <c r="K12" s="138">
        <f>1/2*Superpositioning!$C$21*(B12/1000)^2</f>
        <v>1.8826866730904099E-2</v>
      </c>
      <c r="L12" s="139">
        <f>'Aileron torsion'!$B$16*$B12/1000</f>
        <v>-1.3595778238117612E-2</v>
      </c>
      <c r="M12" s="137">
        <f>Superpositioning!$C$22*$B12/1000</f>
        <v>-0.27344759231523746</v>
      </c>
      <c r="N12" s="138">
        <f>Superpositioning!$D$22*$B12/1000</f>
        <v>-0.56065064899454065</v>
      </c>
      <c r="O12" s="138">
        <f>1/2*Superpositioning!$C$22*(B12/1000)^2</f>
        <v>-1.8826866730904099E-2</v>
      </c>
      <c r="P12" s="138">
        <f>1/2*Superpositioning!$D$22*(B12/1000)^2</f>
        <v>-3.8600797183274124E-2</v>
      </c>
      <c r="Q12" s="139">
        <f>'Aileron torsion'!$B$21*$B12/1000</f>
        <v>-1.3595778238117612E-2</v>
      </c>
    </row>
    <row r="13" spans="1:17" x14ac:dyDescent="0.2">
      <c r="A13">
        <v>10</v>
      </c>
      <c r="B13" s="136">
        <f>B12+'Aileron shear'!$B$4/10</f>
        <v>153</v>
      </c>
      <c r="C13" s="137">
        <f>Superpositioning!$C$20*$B13/1000</f>
        <v>0</v>
      </c>
      <c r="D13" s="138">
        <f>Superpositioning!$D$20*$B13/1000</f>
        <v>-0.69308999999999998</v>
      </c>
      <c r="E13" s="138">
        <f>1/2*Superpositioning!$C$20*(B13/1000)^2</f>
        <v>0</v>
      </c>
      <c r="F13" s="138">
        <f>1/2*Superpositioning!$D$20*(B13/1000)^2</f>
        <v>-5.3021385000000004E-2</v>
      </c>
      <c r="G13" s="139">
        <f>'Aileron torsion'!$B$11*$B13/1000</f>
        <v>-1.68074325E-2</v>
      </c>
      <c r="H13" s="137">
        <f>Superpositioning!$C$21*$B13/1000</f>
        <v>0.30383065812804166</v>
      </c>
      <c r="I13" s="138">
        <f>Superpositioning!$D$21*$B13/1000</f>
        <v>-0.62294516554948975</v>
      </c>
      <c r="J13" s="138">
        <f>1/2*Superpositioning!$C$21*(B13/1000)^2</f>
        <v>2.3243045346795187E-2</v>
      </c>
      <c r="K13" s="138">
        <f>1/2*Superpositioning!$C$21*(B13/1000)^2</f>
        <v>2.3243045346795187E-2</v>
      </c>
      <c r="L13" s="139">
        <f>'Aileron torsion'!$B$16*$B13/1000</f>
        <v>-1.5106420264575126E-2</v>
      </c>
      <c r="M13" s="137">
        <f>Superpositioning!$C$22*$B13/1000</f>
        <v>-0.30383065812804166</v>
      </c>
      <c r="N13" s="138">
        <f>Superpositioning!$D$22*$B13/1000</f>
        <v>-0.62294516554948975</v>
      </c>
      <c r="O13" s="138">
        <f>1/2*Superpositioning!$C$22*(B13/1000)^2</f>
        <v>-2.3243045346795187E-2</v>
      </c>
      <c r="P13" s="138">
        <f>1/2*Superpositioning!$D$22*(B13/1000)^2</f>
        <v>-4.7655305164535963E-2</v>
      </c>
      <c r="Q13" s="139">
        <f>'Aileron torsion'!$B$21*$B13/1000</f>
        <v>-1.5106420264575126E-2</v>
      </c>
    </row>
    <row r="14" spans="1:17" x14ac:dyDescent="0.2">
      <c r="B14" s="103">
        <f>B13</f>
        <v>153</v>
      </c>
      <c r="C14" s="45">
        <f>Superpositioning!$C$20*$B14/1000+Superpositioning!$C$4</f>
        <v>-11.911124706885094</v>
      </c>
      <c r="D14" s="27">
        <f>Superpositioning!$D$20*$B14/1000+Superpositioning!$D$4</f>
        <v>25.884503920973085</v>
      </c>
      <c r="E14" s="27">
        <f>1/2*Superpositioning!$C$20*(B14/1000)^2+Superpositioning!$C$4*((B14-B$14)/1000)</f>
        <v>0</v>
      </c>
      <c r="F14" s="27">
        <f>1/2*Superpositioning!$D$20*(B14/1000)^2+Superpositioning!$D$4*((B14-B$14)/1000)</f>
        <v>-5.3021385000000004E-2</v>
      </c>
      <c r="G14" s="46">
        <f>'Aileron torsion'!$B$11*$B14/1000</f>
        <v>-1.68074325E-2</v>
      </c>
      <c r="H14" s="45">
        <f>Superpositioning!$C$21*$B14/1000+Superpositioning!$C$5</f>
        <v>-85.005468405125526</v>
      </c>
      <c r="I14" s="27">
        <f>Superpositioning!$D$21*$B14/1000+Superpositioning!$D$5</f>
        <v>18.043344618273121</v>
      </c>
      <c r="J14" s="27">
        <f>1/2*Superpositioning!$C$21*(B14/1000)^2+Superpositioning!$C$5*((B14-B$14)/1000)</f>
        <v>2.3243045346795187E-2</v>
      </c>
      <c r="K14" s="27">
        <f>1/2*Superpositioning!$D$21*(B14/1000)^2+Superpositioning!$D$5*((B14-B$14)/1000)</f>
        <v>-4.7655305164535963E-2</v>
      </c>
      <c r="L14" s="46">
        <f>'Aileron torsion'!$B$16*$B14/1000</f>
        <v>-1.5106420264575126E-2</v>
      </c>
      <c r="M14" s="45">
        <f>Superpositioning!$C$22*$B14/1000+Superpositioning!$C$6</f>
        <v>63.594172462575031</v>
      </c>
      <c r="N14" s="27">
        <f>Superpositioning!$D$22*$B14/1000+Superpositioning!$D$6</f>
        <v>28.486331412882986</v>
      </c>
      <c r="O14" s="27">
        <f>1/2*Superpositioning!$C$22*(B14/1000)^2+Superpositioning!$C$6*((B14-B$14)/1000)</f>
        <v>-2.3243045346795187E-2</v>
      </c>
      <c r="P14" s="27">
        <f>1/2*Superpositioning!$D$22*(B14/1000)^2+Superpositioning!$D$6*((B14-B$14)/1000)</f>
        <v>-4.7655305164535963E-2</v>
      </c>
      <c r="Q14" s="46">
        <f>'Aileron torsion'!$B$21*$B14/1000</f>
        <v>-1.5106420264575126E-2</v>
      </c>
    </row>
    <row r="15" spans="1:17" x14ac:dyDescent="0.2">
      <c r="A15">
        <v>1</v>
      </c>
      <c r="B15" s="103">
        <f>B14+('Aileron shear'!$B$5-Input!$C$7*10/2)/10</f>
        <v>251.8</v>
      </c>
      <c r="C15" s="45">
        <f>Superpositioning!$C$20*$B15/1000+Superpositioning!$C$4</f>
        <v>-11.911124706885094</v>
      </c>
      <c r="D15" s="27">
        <f>Superpositioning!$D$20*$B15/1000+Superpositioning!$D$4</f>
        <v>25.436939920973085</v>
      </c>
      <c r="E15" s="27">
        <f>1/2*Superpositioning!$C$20*(B15/1000)^2+Superpositioning!$C$4*((B15-B$14)/1000)</f>
        <v>-1.1768191210402474</v>
      </c>
      <c r="F15" s="27">
        <f>1/2*Superpositioning!$D$20*(B15/1000)^2+Superpositioning!$D$4*((B15-B$14)/1000)</f>
        <v>2.4822579407921412</v>
      </c>
      <c r="G15" s="46">
        <f>'Aileron torsion'!$B$11*$B15/1000</f>
        <v>-2.7660859500000003E-2</v>
      </c>
      <c r="H15" s="45">
        <f>Superpositioning!$C$21*$B15/1000+Superpositioning!$C$5</f>
        <v>-84.809269261184014</v>
      </c>
      <c r="I15" s="27">
        <f>Superpositioning!$D$21*$B15/1000+Superpositioning!$D$5</f>
        <v>17.641076759735277</v>
      </c>
      <c r="J15" s="27">
        <f>1/2*Superpositioning!$C$21*(B15/1000)^2+Superpositioning!$C$5*((B15-B$14)/1000)</f>
        <v>-8.365604995368896</v>
      </c>
      <c r="K15" s="27">
        <f>1/2*Superpositioning!$D$21*(B15/1000)^2+Superpositioning!$D$5*((B15-B$14)/1000)</f>
        <v>1.715155110909079</v>
      </c>
      <c r="L15" s="46">
        <f>'Aileron torsion'!$B$16*$B15/1000</f>
        <v>-2.4861415834117759E-2</v>
      </c>
      <c r="M15" s="45">
        <f>Superpositioning!$C$22*$B15/1000+Superpositioning!$C$6</f>
        <v>63.397973318633525</v>
      </c>
      <c r="N15" s="27">
        <f>Superpositioning!$D$22*$B15/1000+Superpositioning!$D$6</f>
        <v>28.084063554345143</v>
      </c>
      <c r="O15" s="27">
        <f>1/2*Superpositioning!$C$22*(B15/1000)^2+Superpositioning!$C$6*((B15-B$14)/1000)</f>
        <v>6.2501689562449085</v>
      </c>
      <c r="P15" s="27">
        <f>1/2*Superpositioning!$D$22*(B15/1000)^2+Superpositioning!$D$6*((B15-B$14)/1000)</f>
        <v>2.7469222062165342</v>
      </c>
      <c r="Q15" s="46">
        <f>'Aileron torsion'!$B$21*$B15/1000</f>
        <v>-2.4861415834117759E-2</v>
      </c>
    </row>
    <row r="16" spans="1:17" x14ac:dyDescent="0.2">
      <c r="A16">
        <v>2</v>
      </c>
      <c r="B16" s="103">
        <f>B15+('Aileron shear'!$B$5-Input!$C$7*10/2)/10</f>
        <v>350.6</v>
      </c>
      <c r="C16" s="45">
        <f>Superpositioning!$C$20*$B16/1000+Superpositioning!$C$4</f>
        <v>-11.911124706885094</v>
      </c>
      <c r="D16" s="27">
        <f>Superpositioning!$D$20*$B16/1000+Superpositioning!$D$4</f>
        <v>24.989375920973085</v>
      </c>
      <c r="E16" s="27">
        <f>1/2*Superpositioning!$C$20*(B16/1000)^2+Superpositioning!$C$4*((B16-B$14)/1000)</f>
        <v>-2.3536382420804949</v>
      </c>
      <c r="F16" s="27">
        <f>1/2*Superpositioning!$D$20*(B16/1000)^2+Superpositioning!$D$4*((B16-B$14)/1000)</f>
        <v>4.9733179433842825</v>
      </c>
      <c r="G16" s="46">
        <f>'Aileron torsion'!$B$11*$B16/1000</f>
        <v>-3.8514286500000001E-2</v>
      </c>
      <c r="H16" s="45">
        <f>Superpositioning!$C$21*$B16/1000+Superpositioning!$C$5</f>
        <v>-84.613070117242501</v>
      </c>
      <c r="I16" s="27">
        <f>Superpositioning!$D$21*$B16/1000+Superpositioning!$D$5</f>
        <v>17.238808901197437</v>
      </c>
      <c r="J16" s="27">
        <f>1/2*Superpositioning!$C$21*(B16/1000)^2+Superpositioning!$C$5*((B16-B$14)/1000)</f>
        <v>-16.735068560663166</v>
      </c>
      <c r="K16" s="27">
        <f>1/2*Superpositioning!$D$21*(B16/1000)^2+Superpositioning!$D$5*((B16-B$14)/1000)</f>
        <v>3.4382214625591554</v>
      </c>
      <c r="L16" s="46">
        <f>'Aileron torsion'!$B$16*$B16/1000</f>
        <v>-3.461641140366039E-2</v>
      </c>
      <c r="M16" s="45">
        <f>Superpositioning!$C$22*$B16/1000+Superpositioning!$C$6</f>
        <v>63.201774174692019</v>
      </c>
      <c r="N16" s="27">
        <f>Superpositioning!$D$22*$B16/1000+Superpositioning!$D$6</f>
        <v>27.681795695807303</v>
      </c>
      <c r="O16" s="27">
        <f>1/2*Superpositioning!$C$22*(B16/1000)^2+Superpositioning!$C$6*((B16-B$14)/1000)</f>
        <v>12.504196482415193</v>
      </c>
      <c r="P16" s="27">
        <f>1/2*Superpositioning!$D$22*(B16/1000)^2+Superpositioning!$D$6*((B16-B$14)/1000)</f>
        <v>5.5017556531740652</v>
      </c>
      <c r="Q16" s="46">
        <f>'Aileron torsion'!$B$21*$B16/1000</f>
        <v>-3.461641140366039E-2</v>
      </c>
    </row>
    <row r="17" spans="1:17" x14ac:dyDescent="0.2">
      <c r="A17">
        <v>3</v>
      </c>
      <c r="B17" s="103">
        <f>B16+('Aileron shear'!$B$5-Input!$C$7*10/2)/10</f>
        <v>449.40000000000003</v>
      </c>
      <c r="C17" s="45">
        <f>Superpositioning!$C$20*$B17/1000+Superpositioning!$C$4</f>
        <v>-11.911124706885094</v>
      </c>
      <c r="D17" s="27">
        <f>Superpositioning!$D$20*$B17/1000+Superpositioning!$D$4</f>
        <v>24.541811920973085</v>
      </c>
      <c r="E17" s="27">
        <f>1/2*Superpositioning!$C$20*(B17/1000)^2+Superpositioning!$C$4*((B17-B$14)/1000)</f>
        <v>-3.5304573631207425</v>
      </c>
      <c r="F17" s="27">
        <f>1/2*Superpositioning!$D$20*(B17/1000)^2+Superpositioning!$D$4*((B17-B$14)/1000)</f>
        <v>7.420158622776424</v>
      </c>
      <c r="G17" s="46">
        <f>'Aileron torsion'!$B$11*$B17/1000</f>
        <v>-4.9367713500000007E-2</v>
      </c>
      <c r="H17" s="45">
        <f>Superpositioning!$C$21*$B17/1000+Superpositioning!$C$5</f>
        <v>-84.416870973301002</v>
      </c>
      <c r="I17" s="27">
        <f>Superpositioning!$D$21*$B17/1000+Superpositioning!$D$5</f>
        <v>16.836541042659597</v>
      </c>
      <c r="J17" s="27">
        <f>1/2*Superpositioning!$C$21*(B17/1000)^2+Superpositioning!$C$5*((B17-B$14)/1000)</f>
        <v>-25.085147650536019</v>
      </c>
      <c r="K17" s="27">
        <f>1/2*Superpositioning!$D$21*(B17/1000)^2+Superpositioning!$D$5*((B17-B$14)/1000)</f>
        <v>5.1215437497856939</v>
      </c>
      <c r="L17" s="46">
        <f>'Aileron torsion'!$B$16*$B17/1000</f>
        <v>-4.437140697320302E-2</v>
      </c>
      <c r="M17" s="45">
        <f>Superpositioning!$C$22*$B17/1000+Superpositioning!$C$6</f>
        <v>63.005575030750514</v>
      </c>
      <c r="N17" s="27">
        <f>Superpositioning!$D$22*$B17/1000+Superpositioning!$D$6</f>
        <v>27.279527837269463</v>
      </c>
      <c r="O17" s="27">
        <f>1/2*Superpositioning!$C$22*(B17/1000)^2+Superpositioning!$C$6*((B17-B$14)/1000)</f>
        <v>18.738839533164054</v>
      </c>
      <c r="P17" s="27">
        <f>1/2*Superpositioning!$D$22*(B17/1000)^2+Superpositioning!$D$6*((B17-B$14)/1000)</f>
        <v>8.216845035708058</v>
      </c>
      <c r="Q17" s="46">
        <f>'Aileron torsion'!$B$21*$B17/1000</f>
        <v>-4.437140697320302E-2</v>
      </c>
    </row>
    <row r="18" spans="1:17" x14ac:dyDescent="0.2">
      <c r="A18">
        <v>4</v>
      </c>
      <c r="B18" s="103">
        <f>B17+('Aileron shear'!$B$5-Input!$C$7*10/2)/10</f>
        <v>548.20000000000005</v>
      </c>
      <c r="C18" s="45">
        <f>Superpositioning!$C$20*$B18/1000+Superpositioning!$C$4</f>
        <v>-11.911124706885094</v>
      </c>
      <c r="D18" s="27">
        <f>Superpositioning!$D$20*$B18/1000+Superpositioning!$D$4</f>
        <v>24.094247920973086</v>
      </c>
      <c r="E18" s="27">
        <f>1/2*Superpositioning!$C$20*(B18/1000)^2+Superpositioning!$C$4*((B18-B$14)/1000)</f>
        <v>-4.7072764841609898</v>
      </c>
      <c r="F18" s="27">
        <f>1/2*Superpositioning!$D$20*(B18/1000)^2+Superpositioning!$D$4*((B18-B$14)/1000)</f>
        <v>9.8227799789685655</v>
      </c>
      <c r="G18" s="46">
        <f>'Aileron torsion'!$B$11*$B18/1000</f>
        <v>-6.0221140500000013E-2</v>
      </c>
      <c r="H18" s="45">
        <f>Superpositioning!$C$21*$B18/1000+Superpositioning!$C$5</f>
        <v>-84.220671829359489</v>
      </c>
      <c r="I18" s="27">
        <f>Superpositioning!$D$21*$B18/1000+Superpositioning!$D$5</f>
        <v>16.434273184121757</v>
      </c>
      <c r="J18" s="27">
        <f>1/2*Superpositioning!$C$21*(B18/1000)^2+Superpositioning!$C$5*((B18-B$14)/1000)</f>
        <v>-33.415842264987447</v>
      </c>
      <c r="K18" s="27">
        <f>1/2*Superpositioning!$D$21*(B18/1000)^2+Superpositioning!$D$5*((B18-B$14)/1000)</f>
        <v>6.7651219725886929</v>
      </c>
      <c r="L18" s="46">
        <f>'Aileron torsion'!$B$16*$B18/1000</f>
        <v>-5.4126402542745651E-2</v>
      </c>
      <c r="M18" s="45">
        <f>Superpositioning!$C$22*$B18/1000+Superpositioning!$C$6</f>
        <v>62.809375886809008</v>
      </c>
      <c r="N18" s="27">
        <f>Superpositioning!$D$22*$B18/1000+Superpositioning!$D$6</f>
        <v>26.877259978731622</v>
      </c>
      <c r="O18" s="27">
        <f>1/2*Superpositioning!$C$22*(B18/1000)^2+Superpositioning!$C$6*((B18-B$14)/1000)</f>
        <v>24.954098108491497</v>
      </c>
      <c r="P18" s="27">
        <f>1/2*Superpositioning!$D$22*(B18/1000)^2+Superpositioning!$D$6*((B18-B$14)/1000)</f>
        <v>10.892190353818512</v>
      </c>
      <c r="Q18" s="46">
        <f>'Aileron torsion'!$B$21*$B18/1000</f>
        <v>-5.4126402542745651E-2</v>
      </c>
    </row>
    <row r="19" spans="1:17" x14ac:dyDescent="0.2">
      <c r="A19">
        <v>5</v>
      </c>
      <c r="B19" s="103">
        <f>B18+('Aileron shear'!$B$5-Input!$C$7*10/2)/10</f>
        <v>647</v>
      </c>
      <c r="C19" s="45">
        <f>Superpositioning!$C$20*$B19/1000+Superpositioning!$C$4</f>
        <v>-11.911124706885094</v>
      </c>
      <c r="D19" s="27">
        <f>Superpositioning!$D$20*$B19/1000+Superpositioning!$D$4</f>
        <v>23.646683920973086</v>
      </c>
      <c r="E19" s="27">
        <f>1/2*Superpositioning!$C$20*(B19/1000)^2+Superpositioning!$C$4*((B19-B$14)/1000)</f>
        <v>-5.8840956052012361</v>
      </c>
      <c r="F19" s="27">
        <f>1/2*Superpositioning!$D$20*(B19/1000)^2+Superpositioning!$D$4*((B19-B$14)/1000)</f>
        <v>12.181182011960704</v>
      </c>
      <c r="G19" s="46">
        <f>'Aileron torsion'!$B$11*$B19/1000</f>
        <v>-7.1074567500000005E-2</v>
      </c>
      <c r="H19" s="45">
        <f>Superpositioning!$C$21*$B19/1000+Superpositioning!$C$5</f>
        <v>-84.02447268541799</v>
      </c>
      <c r="I19" s="27">
        <f>Superpositioning!$D$21*$B19/1000+Superpositioning!$D$5</f>
        <v>16.032005325583917</v>
      </c>
      <c r="J19" s="27">
        <f>1/2*Superpositioning!$C$21*(B19/1000)^2+Superpositioning!$C$5*((B19-B$14)/1000)</f>
        <v>-41.727152404017453</v>
      </c>
      <c r="K19" s="27">
        <f>1/2*Superpositioning!$D$21*(B19/1000)^2+Superpositioning!$D$5*((B19-B$14)/1000)</f>
        <v>8.3689561309681526</v>
      </c>
      <c r="L19" s="46">
        <f>'Aileron torsion'!$B$16*$B19/1000</f>
        <v>-6.3881398112288282E-2</v>
      </c>
      <c r="M19" s="45">
        <f>Superpositioning!$C$22*$B19/1000+Superpositioning!$C$6</f>
        <v>62.613176742867502</v>
      </c>
      <c r="N19" s="27">
        <f>Superpositioning!$D$22*$B19/1000+Superpositioning!$D$6</f>
        <v>26.474992120193782</v>
      </c>
      <c r="O19" s="27">
        <f>1/2*Superpositioning!$C$22*(B19/1000)^2+Superpositioning!$C$6*((B19-B$14)/1000)</f>
        <v>31.149972208397511</v>
      </c>
      <c r="P19" s="27">
        <f>1/2*Superpositioning!$D$22*(B19/1000)^2+Superpositioning!$D$6*((B19-B$14)/1000)</f>
        <v>13.527791607505426</v>
      </c>
      <c r="Q19" s="46">
        <f>'Aileron torsion'!$B$21*$B19/1000</f>
        <v>-6.3881398112288282E-2</v>
      </c>
    </row>
    <row r="20" spans="1:17" x14ac:dyDescent="0.2">
      <c r="A20">
        <v>6</v>
      </c>
      <c r="B20" s="103">
        <f>B19+('Aileron shear'!$B$5-Input!$C$7*10/2)/10</f>
        <v>745.8</v>
      </c>
      <c r="C20" s="45">
        <f>Superpositioning!$C$20*$B20/1000+Superpositioning!$C$4</f>
        <v>-11.911124706885094</v>
      </c>
      <c r="D20" s="27">
        <f>Superpositioning!$D$20*$B20/1000+Superpositioning!$D$4</f>
        <v>23.199119920973086</v>
      </c>
      <c r="E20" s="27">
        <f>1/2*Superpositioning!$C$20*(B20/1000)^2+Superpositioning!$C$4*((B20-B$14)/1000)</f>
        <v>-7.0609147262414833</v>
      </c>
      <c r="F20" s="27">
        <f>1/2*Superpositioning!$D$20*(B20/1000)^2+Superpositioning!$D$4*((B20-B$14)/1000)</f>
        <v>14.495364721752845</v>
      </c>
      <c r="G20" s="46">
        <f>'Aileron torsion'!$B$11*$B20/1000</f>
        <v>-8.1927994500000004E-2</v>
      </c>
      <c r="H20" s="45">
        <f>Superpositioning!$C$21*$B20/1000+Superpositioning!$C$5</f>
        <v>-83.828273541476477</v>
      </c>
      <c r="I20" s="27">
        <f>Superpositioning!$D$21*$B20/1000+Superpositioning!$D$5</f>
        <v>15.629737467046077</v>
      </c>
      <c r="J20" s="27">
        <f>1/2*Superpositioning!$C$21*(B20/1000)^2+Superpositioning!$C$5*((B20-B$14)/1000)</f>
        <v>-50.01907806762604</v>
      </c>
      <c r="K20" s="27">
        <f>1/2*Superpositioning!$D$21*(B20/1000)^2+Superpositioning!$D$5*((B20-B$14)/1000)</f>
        <v>9.9330462249240732</v>
      </c>
      <c r="L20" s="46">
        <f>'Aileron torsion'!$B$16*$B20/1000</f>
        <v>-7.3636393681830906E-2</v>
      </c>
      <c r="M20" s="45">
        <f>Superpositioning!$C$22*$B20/1000+Superpositioning!$C$6</f>
        <v>62.416977598925989</v>
      </c>
      <c r="N20" s="27">
        <f>Superpositioning!$D$22*$B20/1000+Superpositioning!$D$6</f>
        <v>26.072724261655942</v>
      </c>
      <c r="O20" s="27">
        <f>1/2*Superpositioning!$C$22*(B20/1000)^2+Superpositioning!$C$6*((B20-B$14)/1000)</f>
        <v>37.32646183288211</v>
      </c>
      <c r="P20" s="27">
        <f>1/2*Superpositioning!$D$22*(B20/1000)^2+Superpositioning!$D$6*((B20-B$14)/1000)</f>
        <v>16.123648796768801</v>
      </c>
      <c r="Q20" s="46">
        <f>'Aileron torsion'!$B$21*$B20/1000</f>
        <v>-7.3636393681830906E-2</v>
      </c>
    </row>
    <row r="21" spans="1:17" x14ac:dyDescent="0.2">
      <c r="A21">
        <v>7</v>
      </c>
      <c r="B21" s="103">
        <f>B20+('Aileron shear'!$B$5-Input!$C$7*10/2)/10</f>
        <v>844.59999999999991</v>
      </c>
      <c r="C21" s="45">
        <f>Superpositioning!$C$20*$B21/1000+Superpositioning!$C$4</f>
        <v>-11.911124706885094</v>
      </c>
      <c r="D21" s="27">
        <f>Superpositioning!$D$20*$B21/1000+Superpositioning!$D$4</f>
        <v>22.751555920973086</v>
      </c>
      <c r="E21" s="27">
        <f>1/2*Superpositioning!$C$20*(B21/1000)^2+Superpositioning!$C$4*((B21-B$14)/1000)</f>
        <v>-8.2377338472817296</v>
      </c>
      <c r="F21" s="27">
        <f>1/2*Superpositioning!$D$20*(B21/1000)^2+Superpositioning!$D$4*((B21-B$14)/1000)</f>
        <v>16.765328108344985</v>
      </c>
      <c r="G21" s="46">
        <f>'Aileron torsion'!$B$11*$B21/1000</f>
        <v>-9.2781421499999989E-2</v>
      </c>
      <c r="H21" s="45">
        <f>Superpositioning!$C$21*$B21/1000+Superpositioning!$C$5</f>
        <v>-83.632074397534979</v>
      </c>
      <c r="I21" s="27">
        <f>Superpositioning!$D$21*$B21/1000+Superpositioning!$D$5</f>
        <v>15.227469608508237</v>
      </c>
      <c r="J21" s="27">
        <f>1/2*Superpositioning!$C$21*(B21/1000)^2+Superpositioning!$C$5*((B21-B$14)/1000)</f>
        <v>-58.291619255813195</v>
      </c>
      <c r="K21" s="27">
        <f>1/2*Superpositioning!$D$21*(B21/1000)^2+Superpositioning!$D$5*((B21-B$14)/1000)</f>
        <v>11.457392254456455</v>
      </c>
      <c r="L21" s="46">
        <f>'Aileron torsion'!$B$16*$B21/1000</f>
        <v>-8.3391389251373529E-2</v>
      </c>
      <c r="M21" s="45">
        <f>Superpositioning!$C$22*$B21/1000+Superpositioning!$C$6</f>
        <v>62.220778454984483</v>
      </c>
      <c r="N21" s="27">
        <f>Superpositioning!$D$22*$B21/1000+Superpositioning!$D$6</f>
        <v>25.670456403118102</v>
      </c>
      <c r="O21" s="27">
        <f>1/2*Superpositioning!$C$22*(B21/1000)^2+Superpositioning!$C$6*((B21-B$14)/1000)</f>
        <v>43.48356698194528</v>
      </c>
      <c r="P21" s="27">
        <f>1/2*Superpositioning!$D$22*(B21/1000)^2+Superpositioning!$D$6*((B21-B$14)/1000)</f>
        <v>18.679761921608637</v>
      </c>
      <c r="Q21" s="46">
        <f>'Aileron torsion'!$B$21*$B21/1000</f>
        <v>-8.3391389251373529E-2</v>
      </c>
    </row>
    <row r="22" spans="1:17" x14ac:dyDescent="0.2">
      <c r="A22">
        <v>8</v>
      </c>
      <c r="B22" s="103">
        <f>B21+('Aileron shear'!$B$5-Input!$C$7*10/2)/10</f>
        <v>943.39999999999986</v>
      </c>
      <c r="C22" s="45">
        <f>Superpositioning!$C$20*$B22/1000+Superpositioning!$C$4</f>
        <v>-11.911124706885094</v>
      </c>
      <c r="D22" s="27">
        <f>Superpositioning!$D$20*$B22/1000+Superpositioning!$D$4</f>
        <v>22.303991920973086</v>
      </c>
      <c r="E22" s="27">
        <f>1/2*Superpositioning!$C$20*(B22/1000)^2+Superpositioning!$C$4*((B22-B$14)/1000)</f>
        <v>-9.414552968321976</v>
      </c>
      <c r="F22" s="27">
        <f>1/2*Superpositioning!$D$20*(B22/1000)^2+Superpositioning!$D$4*((B22-B$14)/1000)</f>
        <v>18.991072171737123</v>
      </c>
      <c r="G22" s="46">
        <f>'Aileron torsion'!$B$11*$B22/1000</f>
        <v>-0.10363484849999999</v>
      </c>
      <c r="H22" s="45">
        <f>Superpositioning!$C$21*$B22/1000+Superpositioning!$C$5</f>
        <v>-83.435875253593466</v>
      </c>
      <c r="I22" s="27">
        <f>Superpositioning!$D$21*$B22/1000+Superpositioning!$D$5</f>
        <v>14.825201749970397</v>
      </c>
      <c r="J22" s="27">
        <f>1/2*Superpositioning!$C$21*(B22/1000)^2+Superpositioning!$C$5*((B22-B$14)/1000)</f>
        <v>-66.544775968578932</v>
      </c>
      <c r="K22" s="27">
        <f>1/2*Superpositioning!$D$21*(B22/1000)^2+Superpositioning!$D$5*((B22-B$14)/1000)</f>
        <v>12.9419942195653</v>
      </c>
      <c r="L22" s="46">
        <f>'Aileron torsion'!$B$16*$B22/1000</f>
        <v>-9.3146384820916153E-2</v>
      </c>
      <c r="M22" s="45">
        <f>Superpositioning!$C$22*$B22/1000+Superpositioning!$C$6</f>
        <v>62.024579311042977</v>
      </c>
      <c r="N22" s="27">
        <f>Superpositioning!$D$22*$B22/1000+Superpositioning!$D$6</f>
        <v>25.268188544580262</v>
      </c>
      <c r="O22" s="27">
        <f>1/2*Superpositioning!$C$22*(B22/1000)^2+Superpositioning!$C$6*((B22-B$14)/1000)</f>
        <v>49.621287655587039</v>
      </c>
      <c r="P22" s="27">
        <f>1/2*Superpositioning!$D$22*(B22/1000)^2+Superpositioning!$D$6*((B22-B$14)/1000)</f>
        <v>21.196130982024936</v>
      </c>
      <c r="Q22" s="46">
        <f>'Aileron torsion'!$B$21*$B22/1000</f>
        <v>-9.3146384820916153E-2</v>
      </c>
    </row>
    <row r="23" spans="1:17" x14ac:dyDescent="0.2">
      <c r="A23">
        <v>9</v>
      </c>
      <c r="B23" s="103">
        <f>B22+('Aileron shear'!$B$5-Input!$C$7*10/2)/10</f>
        <v>1042.1999999999998</v>
      </c>
      <c r="C23" s="45">
        <f>Superpositioning!$C$20*$B23/1000+Superpositioning!$C$4</f>
        <v>-11.911124706885094</v>
      </c>
      <c r="D23" s="27">
        <f>Superpositioning!$D$20*$B23/1000+Superpositioning!$D$4</f>
        <v>21.856427920973086</v>
      </c>
      <c r="E23" s="27">
        <f>1/2*Superpositioning!$C$20*(B23/1000)^2+Superpositioning!$C$4*((B23-B$14)/1000)</f>
        <v>-10.591372089362222</v>
      </c>
      <c r="F23" s="27">
        <f>1/2*Superpositioning!$D$20*(B23/1000)^2+Superpositioning!$D$4*((B23-B$14)/1000)</f>
        <v>21.172596911929261</v>
      </c>
      <c r="G23" s="46">
        <f>'Aileron torsion'!$B$11*$B23/1000</f>
        <v>-0.11448827549999999</v>
      </c>
      <c r="H23" s="45">
        <f>Superpositioning!$C$21*$B23/1000+Superpositioning!$C$5</f>
        <v>-83.239676109651967</v>
      </c>
      <c r="I23" s="27">
        <f>Superpositioning!$D$21*$B23/1000+Superpositioning!$D$5</f>
        <v>14.422933891432557</v>
      </c>
      <c r="J23" s="27">
        <f>1/2*Superpositioning!$C$21*(B23/1000)^2+Superpositioning!$C$5*((B23-B$14)/1000)</f>
        <v>-74.778548205923258</v>
      </c>
      <c r="K23" s="27">
        <f>1/2*Superpositioning!$D$21*(B23/1000)^2+Superpositioning!$D$5*((B23-B$14)/1000)</f>
        <v>14.386852120250603</v>
      </c>
      <c r="L23" s="46">
        <f>'Aileron torsion'!$B$16*$B23/1000</f>
        <v>-0.10290138039045878</v>
      </c>
      <c r="M23" s="45">
        <f>Superpositioning!$C$22*$B23/1000+Superpositioning!$C$6</f>
        <v>61.828380167101471</v>
      </c>
      <c r="N23" s="27">
        <f>Superpositioning!$D$22*$B23/1000+Superpositioning!$D$6</f>
        <v>24.865920686042422</v>
      </c>
      <c r="O23" s="27">
        <f>1/2*Superpositioning!$C$22*(B23/1000)^2+Superpositioning!$C$6*((B23-B$14)/1000)</f>
        <v>55.739623853807359</v>
      </c>
      <c r="P23" s="27">
        <f>1/2*Superpositioning!$D$22*(B23/1000)^2+Superpositioning!$D$6*((B23-B$14)/1000)</f>
        <v>23.672755978017694</v>
      </c>
      <c r="Q23" s="46">
        <f>'Aileron torsion'!$B$21*$B23/1000</f>
        <v>-0.10290138039045878</v>
      </c>
    </row>
    <row r="24" spans="1:17" x14ac:dyDescent="0.2">
      <c r="A24">
        <v>10</v>
      </c>
      <c r="B24" s="103">
        <f>B23+('Aileron shear'!$B$5-Input!$C$7*10/2)/10</f>
        <v>1140.9999999999998</v>
      </c>
      <c r="C24" s="45">
        <f>Superpositioning!$C$20*$B24/1000+Superpositioning!$C$4</f>
        <v>-11.911124706885094</v>
      </c>
      <c r="D24" s="27">
        <f>Superpositioning!$D$20*$B24/1000+Superpositioning!$D$4</f>
        <v>21.408863920973086</v>
      </c>
      <c r="E24" s="27">
        <f>1/2*Superpositioning!$C$20*(B24/1000)^2+Superpositioning!$C$4*((B24-B$14)/1000)</f>
        <v>-11.76819121040247</v>
      </c>
      <c r="F24" s="27">
        <f>1/2*Superpositioning!$D$20*(B24/1000)^2+Superpositioning!$D$4*((B24-B$14)/1000)</f>
        <v>23.309902328921403</v>
      </c>
      <c r="G24" s="46">
        <f>'Aileron torsion'!$B$11*$B24/1000</f>
        <v>-0.12534170249999999</v>
      </c>
      <c r="H24" s="45">
        <f>Superpositioning!$C$21*$B24/1000+Superpositioning!$C$5</f>
        <v>-83.043476965710454</v>
      </c>
      <c r="I24" s="27">
        <f>Superpositioning!$D$21*$B24/1000+Superpositioning!$D$5</f>
        <v>14.020666032894717</v>
      </c>
      <c r="J24" s="27">
        <f>1/2*Superpositioning!$C$21*(B24/1000)^2+Superpositioning!$C$5*((B24-B$14)/1000)</f>
        <v>-82.992935967846165</v>
      </c>
      <c r="K24" s="27">
        <f>1/2*Superpositioning!$D$21*(B24/1000)^2+Superpositioning!$D$5*((B24-B$14)/1000)</f>
        <v>15.791965956512371</v>
      </c>
      <c r="L24" s="46">
        <f>'Aileron torsion'!$B$16*$B24/1000</f>
        <v>-0.11265637596000141</v>
      </c>
      <c r="M24" s="45">
        <f>Superpositioning!$C$22*$B24/1000+Superpositioning!$C$6</f>
        <v>61.632181023159966</v>
      </c>
      <c r="N24" s="27">
        <f>Superpositioning!$D$22*$B24/1000+Superpositioning!$D$6</f>
        <v>24.463652827504582</v>
      </c>
      <c r="O24" s="27">
        <f>1/2*Superpositioning!$C$22*(B24/1000)^2+Superpositioning!$C$6*((B24-B$14)/1000)</f>
        <v>61.838575576606281</v>
      </c>
      <c r="P24" s="27">
        <f>1/2*Superpositioning!$D$22*(B24/1000)^2+Superpositioning!$D$6*((B24-B$14)/1000)</f>
        <v>26.109636909586914</v>
      </c>
      <c r="Q24" s="46">
        <f>'Aileron torsion'!$B$21*$B24/1000</f>
        <v>-0.11265637596000141</v>
      </c>
    </row>
    <row r="25" spans="1:17" x14ac:dyDescent="0.2">
      <c r="B25" s="136">
        <f>B24</f>
        <v>1140.9999999999998</v>
      </c>
      <c r="C25" s="137">
        <f>Superpositioning!$C$20*$B25/1000+Superpositioning!$C$4+Superpositioning!$C$13</f>
        <v>82.494664426448239</v>
      </c>
      <c r="D25" s="138">
        <f>Superpositioning!$D$20*$B25/1000+Superpositioning!$D$4+Superpositioning!$D$13</f>
        <v>21.408863920973086</v>
      </c>
      <c r="E25" s="138">
        <f>1/2*Superpositioning!$C$20*(B25/1000)^2+Superpositioning!$C$4*((B25-B$14)/1000)+Superpositioning!$C$13*((B25-B$25)/1000)</f>
        <v>-11.76819121040247</v>
      </c>
      <c r="F25" s="138">
        <f>1/2*Superpositioning!$D$20*(B25/1000)^2+Superpositioning!$D$4*((B25-B$14)/1000)+Superpositioning!$D$13*((B25-B$25)/1000)</f>
        <v>23.309902328921403</v>
      </c>
      <c r="G25" s="139">
        <f>'Aileron torsion'!$B$11*$B25/1000+'Aileron torsion'!$B$12</f>
        <v>10.495309575</v>
      </c>
      <c r="H25" s="137">
        <f>Superpositioning!$C$21*$B25/1000+Superpositioning!$C$5+Superpositioning!$C$14</f>
        <v>1.807884243504148</v>
      </c>
      <c r="I25" s="138">
        <f>Superpositioning!$D$21*$B25/1000+Superpositioning!$D$5+Superpositioning!$D$14</f>
        <v>55.405440078801867</v>
      </c>
      <c r="J25" s="138">
        <f>1/2*Superpositioning!$C$21*(B25/1000)^2+Superpositioning!$C$5*((B25-B$14)/1000)+Superpositioning!$C$14*((B25-B$25)/1000)</f>
        <v>-82.992935967846165</v>
      </c>
      <c r="K25" s="138">
        <f>1/2*Superpositioning!$D$21*(B25/1000)^2+Superpositioning!$D$5*((B25-B$14)/1000)+Superpositioning!$D$14*((B25-B$25)/1000)</f>
        <v>15.791965956512371</v>
      </c>
      <c r="L25" s="139">
        <f>'Aileron torsion'!$B$16*$B25/1000+'Aileron torsion'!$B$17</f>
        <v>9.4331217600766397</v>
      </c>
      <c r="M25" s="137">
        <f>Superpositioning!$C$22*$B25/1000+Superpositioning!$C$6+Superpositioning!$C$15</f>
        <v>146.48354223237456</v>
      </c>
      <c r="N25" s="138">
        <f>Superpositioning!$D$22*$B25/1000+Superpositioning!$D$6+Superpositioning!$D$15</f>
        <v>-16.921121218402568</v>
      </c>
      <c r="O25" s="138">
        <f>1/2*Superpositioning!$C$22*(B25/1000)^2+Superpositioning!$C$6*((B25-B$14)/1000)+Superpositioning!$C$15*((B25-B$25)/1000)</f>
        <v>61.838575576606281</v>
      </c>
      <c r="P25" s="138">
        <f>1/2*Superpositioning!$D$22*(B25/1000)^2+Superpositioning!$D$6*((B25-B$14)/1000)+Superpositioning!$D$15*((B25-B$25)/1000)</f>
        <v>26.109636909586914</v>
      </c>
      <c r="Q25" s="139">
        <f>'Aileron torsion'!$B$21*$B25/1000+'Aileron torsion'!$B$22</f>
        <v>9.4331217600766397</v>
      </c>
    </row>
    <row r="26" spans="1:17" x14ac:dyDescent="0.2">
      <c r="A26">
        <v>1</v>
      </c>
      <c r="B26" s="136">
        <f>B25+(Input!$C$7*10/2)/5</f>
        <v>1168.9999999999998</v>
      </c>
      <c r="C26" s="137">
        <f>Superpositioning!$C$20*$B26/1000+Superpositioning!$C$4+Superpositioning!$C$13</f>
        <v>82.494664426448239</v>
      </c>
      <c r="D26" s="138">
        <f>Superpositioning!$D$20*$B26/1000+Superpositioning!$D$4+Superpositioning!$D$13</f>
        <v>21.282023920973089</v>
      </c>
      <c r="E26" s="138">
        <f>1/2*Superpositioning!$C$20*(B26/1000)^2+Superpositioning!$C$4*((B26-B$14)/1000)+Superpositioning!$C$13*((B26-B$25)/1000)</f>
        <v>-9.4583406064619187</v>
      </c>
      <c r="F26" s="138">
        <f>1/2*Superpositioning!$D$20*(B26/1000)^2+Superpositioning!$D$4*((B26-B$14)/1000)+Superpositioning!$D$13*((B26-B$25)/1000)</f>
        <v>23.907574758708652</v>
      </c>
      <c r="G26" s="139">
        <f>'Aileron torsion'!$B$11*$B26/1000+'Aileron torsion'!$B$12</f>
        <v>10.492233705</v>
      </c>
      <c r="H26" s="137">
        <f>Superpositioning!$C$21*$B26/1000+Superpositioning!$C$5+Superpositioning!$C$14</f>
        <v>1.8634872397628754</v>
      </c>
      <c r="I26" s="138">
        <f>Superpositioning!$D$21*$B26/1000+Superpositioning!$D$5+Superpositioning!$D$14</f>
        <v>55.291437041969282</v>
      </c>
      <c r="J26" s="138">
        <f>1/2*Superpositioning!$C$21*(B26/1000)^2+Superpositioning!$C$5*((B26-B$14)/1000)+Superpositioning!$C$14*((B26-B$25)/1000)</f>
        <v>-82.941536767080407</v>
      </c>
      <c r="K26" s="138">
        <f>1/2*Superpositioning!$D$21*(B26/1000)^2+Superpositioning!$D$5*((B26-B$14)/1000)+Superpositioning!$D$14*((B26-B$25)/1000)</f>
        <v>17.341722236203164</v>
      </c>
      <c r="L26" s="139">
        <f>'Aileron torsion'!$B$16*$B26/1000+'Aileron torsion'!$B$17</f>
        <v>9.4303571864334508</v>
      </c>
      <c r="M26" s="137">
        <f>Superpositioning!$C$22*$B26/1000+Superpositioning!$C$6+Superpositioning!$C$15</f>
        <v>146.42793923611583</v>
      </c>
      <c r="N26" s="138">
        <f>Superpositioning!$D$22*$B26/1000+Superpositioning!$D$6+Superpositioning!$D$15</f>
        <v>-17.035124255235154</v>
      </c>
      <c r="O26" s="138">
        <f>1/2*Superpositioning!$C$22*(B26/1000)^2+Superpositioning!$C$6*((B26-B$14)/1000)+Superpositioning!$C$15*((B26-B$25)/1000)</f>
        <v>65.939336317165143</v>
      </c>
      <c r="P26" s="138">
        <f>1/2*Superpositioning!$D$22*(B26/1000)^2+Superpositioning!$D$6*((B26-B$14)/1000)+Superpositioning!$D$15*((B26-B$25)/1000)</f>
        <v>25.63424947295599</v>
      </c>
      <c r="Q26" s="139">
        <f>'Aileron torsion'!$B$21*$B26/1000+'Aileron torsion'!$B$22</f>
        <v>9.4303571864334508</v>
      </c>
    </row>
    <row r="27" spans="1:17" x14ac:dyDescent="0.2">
      <c r="A27">
        <v>2</v>
      </c>
      <c r="B27" s="136">
        <f>B26+(Input!$C$7*10/2)/5</f>
        <v>1196.9999999999998</v>
      </c>
      <c r="C27" s="137">
        <f>Superpositioning!$C$20*$B27/1000+Superpositioning!$C$4+Superpositioning!$C$13</f>
        <v>82.494664426448239</v>
      </c>
      <c r="D27" s="138">
        <f>Superpositioning!$D$20*$B27/1000+Superpositioning!$D$4+Superpositioning!$D$13</f>
        <v>21.155183920973087</v>
      </c>
      <c r="E27" s="138">
        <f>1/2*Superpositioning!$C$20*(B27/1000)^2+Superpositioning!$C$4*((B27-B$14)/1000)+Superpositioning!$C$13*((B27-B$25)/1000)</f>
        <v>-7.1484900025213678</v>
      </c>
      <c r="F27" s="138">
        <f>1/2*Superpositioning!$D$20*(B27/1000)^2+Superpositioning!$D$4*((B27-B$14)/1000)+Superpositioning!$D$13*((B27-B$25)/1000)</f>
        <v>24.501695668495898</v>
      </c>
      <c r="G27" s="139">
        <f>'Aileron torsion'!$B$11*$B27/1000+'Aileron torsion'!$B$12</f>
        <v>10.489157835</v>
      </c>
      <c r="H27" s="137">
        <f>Superpositioning!$C$21*$B27/1000+Superpositioning!$C$5+Superpositioning!$C$14</f>
        <v>1.9190902360216029</v>
      </c>
      <c r="I27" s="138">
        <f>Superpositioning!$D$21*$B27/1000+Superpositioning!$D$5+Superpositioning!$D$14</f>
        <v>55.177434005136689</v>
      </c>
      <c r="J27" s="138">
        <f>1/2*Superpositioning!$C$21*(B27/1000)^2+Superpositioning!$C$5*((B27-B$14)/1000)+Superpositioning!$C$14*((B27-B$25)/1000)</f>
        <v>-82.88858068241943</v>
      </c>
      <c r="K27" s="138">
        <f>1/2*Superpositioning!$D$21*(B27/1000)^2+Superpositioning!$D$5*((B27-B$14)/1000)+Superpositioning!$D$14*((B27-B$25)/1000)</f>
        <v>18.888286430862653</v>
      </c>
      <c r="L27" s="139">
        <f>'Aileron torsion'!$B$16*$B27/1000+'Aileron torsion'!$B$17</f>
        <v>9.4275926127902601</v>
      </c>
      <c r="M27" s="137">
        <f>Superpositioning!$C$22*$B27/1000+Superpositioning!$C$6+Superpositioning!$C$15</f>
        <v>146.37233623985711</v>
      </c>
      <c r="N27" s="138">
        <f>Superpositioning!$D$22*$B27/1000+Superpositioning!$D$6+Superpositioning!$D$15</f>
        <v>-17.149127292067742</v>
      </c>
      <c r="O27" s="138">
        <f>1/2*Superpositioning!$C$22*(B27/1000)^2+Superpositioning!$C$6*((B27-B$14)/1000)+Superpositioning!$C$15*((B27-B$25)/1000)</f>
        <v>70.038540173828764</v>
      </c>
      <c r="P27" s="138">
        <f>1/2*Superpositioning!$D$22*(B27/1000)^2+Superpositioning!$D$6*((B27-B$14)/1000)+Superpositioning!$D$15*((B27-B$25)/1000)</f>
        <v>25.155669951293749</v>
      </c>
      <c r="Q27" s="139">
        <f>'Aileron torsion'!$B$21*$B27/1000+'Aileron torsion'!$B$22</f>
        <v>9.4275926127902601</v>
      </c>
    </row>
    <row r="28" spans="1:17" x14ac:dyDescent="0.2">
      <c r="A28">
        <v>3</v>
      </c>
      <c r="B28" s="136">
        <f>B27+(Input!$C$7*10/2)/5</f>
        <v>1224.9999999999998</v>
      </c>
      <c r="C28" s="137">
        <f>Superpositioning!$C$20*$B28/1000+Superpositioning!$C$4+Superpositioning!$C$13</f>
        <v>82.494664426448239</v>
      </c>
      <c r="D28" s="138">
        <f>Superpositioning!$D$20*$B28/1000+Superpositioning!$D$4+Superpositioning!$D$13</f>
        <v>21.028343920973086</v>
      </c>
      <c r="E28" s="138">
        <f>1/2*Superpositioning!$C$20*(B28/1000)^2+Superpositioning!$C$4*((B28-B$14)/1000)+Superpositioning!$C$13*((B28-B$25)/1000)</f>
        <v>-4.8386393985808187</v>
      </c>
      <c r="F28" s="138">
        <f>1/2*Superpositioning!$D$20*(B28/1000)^2+Superpositioning!$D$4*((B28-B$14)/1000)+Superpositioning!$D$13*((B28-B$25)/1000)</f>
        <v>25.092265058283143</v>
      </c>
      <c r="G28" s="139">
        <f>'Aileron torsion'!$B$11*$B28/1000+'Aileron torsion'!$B$12</f>
        <v>10.486081965</v>
      </c>
      <c r="H28" s="137">
        <f>Superpositioning!$C$21*$B28/1000+Superpositioning!$C$5+Superpositioning!$C$14</f>
        <v>1.9746932322803303</v>
      </c>
      <c r="I28" s="138">
        <f>Superpositioning!$D$21*$B28/1000+Superpositioning!$D$5+Superpositioning!$D$14</f>
        <v>55.063430968304104</v>
      </c>
      <c r="J28" s="138">
        <f>1/2*Superpositioning!$C$21*(B28/1000)^2+Superpositioning!$C$5*((B28-B$14)/1000)+Superpositioning!$C$14*((B28-B$25)/1000)</f>
        <v>-82.834067713863206</v>
      </c>
      <c r="K28" s="138">
        <f>1/2*Superpositioning!$D$21*(B28/1000)^2+Superpositioning!$D$5*((B28-B$14)/1000)+Superpositioning!$D$14*((B28-B$25)/1000)</f>
        <v>20.431658540490826</v>
      </c>
      <c r="L28" s="139">
        <f>'Aileron torsion'!$B$16*$B28/1000+'Aileron torsion'!$B$17</f>
        <v>9.4248280391470693</v>
      </c>
      <c r="M28" s="137">
        <f>Superpositioning!$C$22*$B28/1000+Superpositioning!$C$6+Superpositioning!$C$15</f>
        <v>146.31673324359838</v>
      </c>
      <c r="N28" s="138">
        <f>Superpositioning!$D$22*$B28/1000+Superpositioning!$D$6+Superpositioning!$D$15</f>
        <v>-17.263130328900328</v>
      </c>
      <c r="O28" s="138">
        <f>1/2*Superpositioning!$C$22*(B28/1000)^2+Superpositioning!$C$6*((B28-B$14)/1000)+Superpositioning!$C$15*((B28-B$25)/1000)</f>
        <v>74.136187146597152</v>
      </c>
      <c r="P28" s="138">
        <f>1/2*Superpositioning!$D$22*(B28/1000)^2+Superpositioning!$D$6*((B28-B$14)/1000)+Superpositioning!$D$15*((B28-B$25)/1000)</f>
        <v>24.673898344600197</v>
      </c>
      <c r="Q28" s="139">
        <f>'Aileron torsion'!$B$21*$B28/1000+'Aileron torsion'!$B$22</f>
        <v>9.4248280391470693</v>
      </c>
    </row>
    <row r="29" spans="1:17" x14ac:dyDescent="0.2">
      <c r="A29">
        <v>4</v>
      </c>
      <c r="B29" s="136">
        <f>B28+(Input!$C$7*10/2)/5</f>
        <v>1252.9999999999998</v>
      </c>
      <c r="C29" s="137">
        <f>Superpositioning!$C$20*$B29/1000+Superpositioning!$C$4+Superpositioning!$C$13</f>
        <v>82.494664426448239</v>
      </c>
      <c r="D29" s="138">
        <f>Superpositioning!$D$20*$B29/1000+Superpositioning!$D$4+Superpositioning!$D$13</f>
        <v>20.901503920973088</v>
      </c>
      <c r="E29" s="138">
        <f>1/2*Superpositioning!$C$20*(B29/1000)^2+Superpositioning!$C$4*((B29-B$14)/1000)+Superpositioning!$C$13*((B29-B$25)/1000)</f>
        <v>-2.528788794640267</v>
      </c>
      <c r="F29" s="138">
        <f>1/2*Superpositioning!$D$20*(B29/1000)^2+Superpositioning!$D$4*((B29-B$14)/1000)+Superpositioning!$D$13*((B29-B$25)/1000)</f>
        <v>25.679282928070393</v>
      </c>
      <c r="G29" s="139">
        <f>'Aileron torsion'!$B$11*$B29/1000+'Aileron torsion'!$B$12</f>
        <v>10.483006095</v>
      </c>
      <c r="H29" s="137">
        <f>Superpositioning!$C$21*$B29/1000+Superpositioning!$C$5+Superpositioning!$C$14</f>
        <v>2.0302962285390578</v>
      </c>
      <c r="I29" s="138">
        <f>Superpositioning!$D$21*$B29/1000+Superpositioning!$D$5+Superpositioning!$D$14</f>
        <v>54.949427931471519</v>
      </c>
      <c r="J29" s="138">
        <f>1/2*Superpositioning!$C$21*(B29/1000)^2+Superpositioning!$C$5*((B29-B$14)/1000)+Superpositioning!$C$14*((B29-B$25)/1000)</f>
        <v>-82.777997861411734</v>
      </c>
      <c r="K29" s="138">
        <f>1/2*Superpositioning!$D$21*(B29/1000)^2+Superpositioning!$D$5*((B29-B$14)/1000)+Superpositioning!$D$14*((B29-B$25)/1000)</f>
        <v>21.971838565087683</v>
      </c>
      <c r="L29" s="139">
        <f>'Aileron torsion'!$B$16*$B29/1000+'Aileron torsion'!$B$17</f>
        <v>9.4220634655038804</v>
      </c>
      <c r="M29" s="137">
        <f>Superpositioning!$C$22*$B29/1000+Superpositioning!$C$6+Superpositioning!$C$15</f>
        <v>146.26113024733968</v>
      </c>
      <c r="N29" s="138">
        <f>Superpositioning!$D$22*$B29/1000+Superpositioning!$D$6+Superpositioning!$D$15</f>
        <v>-17.377133365732913</v>
      </c>
      <c r="O29" s="138">
        <f>1/2*Superpositioning!$C$22*(B29/1000)^2+Superpositioning!$C$6*((B29-B$14)/1000)+Superpositioning!$C$15*((B29-B$25)/1000)</f>
        <v>78.232277235470278</v>
      </c>
      <c r="P29" s="138">
        <f>1/2*Superpositioning!$D$22*(B29/1000)^2+Superpositioning!$D$6*((B29-B$14)/1000)+Superpositioning!$D$15*((B29-B$25)/1000)</f>
        <v>24.188934652875332</v>
      </c>
      <c r="Q29" s="139">
        <f>'Aileron torsion'!$B$21*$B29/1000+'Aileron torsion'!$B$22</f>
        <v>9.4220634655038804</v>
      </c>
    </row>
    <row r="30" spans="1:17" x14ac:dyDescent="0.2">
      <c r="A30">
        <v>5</v>
      </c>
      <c r="B30" s="136">
        <f>B29+(Input!$C$7*10/2)/5</f>
        <v>1280.9999999999998</v>
      </c>
      <c r="C30" s="137">
        <f>Superpositioning!$C$20*$B30/1000+Superpositioning!$C$4+Superpositioning!$C$13</f>
        <v>82.494664426448239</v>
      </c>
      <c r="D30" s="138">
        <f>Superpositioning!$D$20*$B30/1000+Superpositioning!$D$4+Superpositioning!$D$13</f>
        <v>20.774663920973087</v>
      </c>
      <c r="E30" s="138">
        <f>1/2*Superpositioning!$C$20*(B30/1000)^2+Superpositioning!$C$4*((B30-B$14)/1000)+Superpositioning!$C$13*((B30-B$25)/1000)</f>
        <v>-0.21893819069971343</v>
      </c>
      <c r="F30" s="138">
        <f>1/2*Superpositioning!$D$20*(B30/1000)^2+Superpositioning!$D$4*((B30-B$14)/1000)+Superpositioning!$D$13*((B30-B$25)/1000)</f>
        <v>26.262749277857637</v>
      </c>
      <c r="G30" s="139">
        <f>'Aileron torsion'!$B$11*$B30/1000+'Aileron torsion'!$B$12</f>
        <v>10.479930225</v>
      </c>
      <c r="H30" s="137">
        <f>Superpositioning!$C$21*$B30/1000+Superpositioning!$C$5+Superpositioning!$C$14</f>
        <v>2.0858992247977852</v>
      </c>
      <c r="I30" s="138">
        <f>Superpositioning!$D$21*$B30/1000+Superpositioning!$D$5+Superpositioning!$D$14</f>
        <v>54.835424894638933</v>
      </c>
      <c r="J30" s="138">
        <f>1/2*Superpositioning!$C$21*(B30/1000)^2+Superpositioning!$C$5*((B30-B$14)/1000)+Superpositioning!$C$14*((B30-B$25)/1000)</f>
        <v>-82.720371125065014</v>
      </c>
      <c r="K30" s="138">
        <f>1/2*Superpositioning!$D$21*(B30/1000)^2+Superpositioning!$D$5*((B30-B$14)/1000)+Superpositioning!$D$14*((B30-B$25)/1000)</f>
        <v>23.508826504653229</v>
      </c>
      <c r="L30" s="139">
        <f>'Aileron torsion'!$B$16*$B30/1000+'Aileron torsion'!$B$17</f>
        <v>9.4192988918606897</v>
      </c>
      <c r="M30" s="137">
        <f>Superpositioning!$C$22*$B30/1000+Superpositioning!$C$6+Superpositioning!$C$15</f>
        <v>146.20552725108092</v>
      </c>
      <c r="N30" s="138">
        <f>Superpositioning!$D$22*$B30/1000+Superpositioning!$D$6+Superpositioning!$D$15</f>
        <v>-17.491136402565502</v>
      </c>
      <c r="O30" s="138">
        <f>1/2*Superpositioning!$C$22*(B30/1000)^2+Superpositioning!$C$6*((B30-B$14)/1000)+Superpositioning!$C$15*((B30-B$25)/1000)</f>
        <v>82.326810440448156</v>
      </c>
      <c r="P30" s="138">
        <f>1/2*Superpositioning!$D$22*(B30/1000)^2+Superpositioning!$D$6*((B30-B$14)/1000)+Superpositioning!$D$15*((B30-B$25)/1000)</f>
        <v>23.700778876119148</v>
      </c>
      <c r="Q30" s="139">
        <f>'Aileron torsion'!$B$21*$B30/1000+'Aileron torsion'!$B$22</f>
        <v>9.4192988918606897</v>
      </c>
    </row>
    <row r="31" spans="1:17" x14ac:dyDescent="0.2">
      <c r="B31" s="103">
        <f>B30</f>
        <v>1280.9999999999998</v>
      </c>
      <c r="C31" s="45">
        <f>Superpositioning!$C$20*$B31/1000+Superpositioning!$C$4+Superpositioning!$C$7+Superpositioning!$C$13</f>
        <v>82.686384421928381</v>
      </c>
      <c r="D31" s="27">
        <f>Superpositioning!$D$20*$B31/1000+Superpositioning!$D$4+Superpositioning!$D$7+Superpositioning!$D$13</f>
        <v>-15.601211269898311</v>
      </c>
      <c r="E31" s="27">
        <f>1/2*Superpositioning!$C$20*(B31/1000)^2+Superpositioning!$C$4*((B31-B$14)/1000)+Superpositioning!$C$13*((B31-B$25)/1000)+Superpositioning!$C$7*((B31-B$31)/1000)</f>
        <v>-0.21893819069971343</v>
      </c>
      <c r="F31" s="27">
        <f>1/2*Superpositioning!$D$20*(B31/1000)^2+Superpositioning!$D$4*((B31-B$14)/1000)+Superpositioning!$D$13*((B31-B$25)/1000)+Superpositioning!$D$7*((B31-B$31)/1000)</f>
        <v>26.262749277857637</v>
      </c>
      <c r="G31" s="46">
        <f>'Aileron torsion'!$B$11*$B31/1000+'Aileron torsion'!$B$12</f>
        <v>10.479930225</v>
      </c>
      <c r="H31" s="45">
        <f>Superpositioning!$C$21*$B31/1000+Superpositioning!$C$5+Superpositioning!$C$8+Superpositioning!$C$14</f>
        <v>131.87912180696605</v>
      </c>
      <c r="I31" s="27">
        <f>Superpositioning!$D$21*$B31/1000+Superpositioning!$D$5+Superpositioning!$D$8+Superpositioning!$D$14</f>
        <v>22.225049358443172</v>
      </c>
      <c r="J31" s="27">
        <f>1/2*Superpositioning!$C$21*(B31/1000)^2+Superpositioning!$C$5*((B31-B$14)/1000)+Superpositioning!$C$14*((B31-B$25)/1000)+Superpositioning!$C$8*((B31-B$31)/1000)</f>
        <v>-82.720371125065014</v>
      </c>
      <c r="K31" s="27">
        <f>1/2*Superpositioning!$D$21*(B31/1000)^2+Superpositioning!$D$5*((B31-B$14)/1000)+Superpositioning!$D$14*((B31-B$25)/1000)+Superpositioning!$D$8*((B31-B$31)/1000)</f>
        <v>23.508826504653229</v>
      </c>
      <c r="L31" s="46">
        <f>'Aileron torsion'!$B$16*$B31/1000+'Aileron torsion'!$B$17</f>
        <v>9.4192988918606897</v>
      </c>
      <c r="M31" s="45">
        <f>Superpositioning!$C$22*$B31/1000+Superpositioning!$C$6+Superpositioning!$C$9+Superpositioning!$C$15</f>
        <v>16.756938249900756</v>
      </c>
      <c r="N31" s="27">
        <f>Superpositioning!$D$22*$B31/1000+Superpositioning!$D$6+Superpositioning!$D$9+Superpositioning!$D$15</f>
        <v>-50.269600967323314</v>
      </c>
      <c r="O31" s="27">
        <f>1/2*Superpositioning!$C$22*(B31/1000)^2+Superpositioning!$C$6*((B31-B$14)/1000)+Superpositioning!$C$15*((B31-B$25)/1000)+Superpositioning!$C$9*((B31-B$31)/1000)</f>
        <v>82.326810440448156</v>
      </c>
      <c r="P31" s="27">
        <f>1/2*Superpositioning!$D$22*(B31/1000)^2+Superpositioning!$D$6*((B31-B$14)/1000)+Superpositioning!$D$15*((B31-B$25)/1000)+Superpositioning!$D$9*((B31-B$31)/1000)</f>
        <v>23.700778876119148</v>
      </c>
      <c r="Q31" s="46">
        <f>'Aileron torsion'!$B$21*$B31/1000+'Aileron torsion'!$B$22</f>
        <v>9.4192988918606897</v>
      </c>
    </row>
    <row r="32" spans="1:17" x14ac:dyDescent="0.2">
      <c r="A32">
        <v>1</v>
      </c>
      <c r="B32" s="103">
        <f>B31+(Input!$C$7*10/2)/5</f>
        <v>1308.9999999999998</v>
      </c>
      <c r="C32" s="45">
        <f>Superpositioning!$C$20*$B32/1000+Superpositioning!$C$4+Superpositioning!$C$7+Superpositioning!$C$13</f>
        <v>82.686384421928381</v>
      </c>
      <c r="D32" s="27">
        <f>Superpositioning!$D$20*$B32/1000+Superpositioning!$D$4+Superpositioning!$D$7+Superpositioning!$D$13</f>
        <v>-15.728051269898309</v>
      </c>
      <c r="E32" s="27">
        <f>1/2*Superpositioning!$C$20*(B32/1000)^2+Superpositioning!$C$4*((B32-B$14)/1000)+Superpositioning!$C$13*((B32-B$25)/1000)+Superpositioning!$C$7*((B32-B$31)/1000)</f>
        <v>2.0962805731142788</v>
      </c>
      <c r="F32" s="27">
        <f>1/2*Superpositioning!$D$20*(B32/1000)^2+Superpositioning!$D$4*((B32-B$14)/1000)+Superpositioning!$D$13*((B32-B$25)/1000)+Superpositioning!$D$7*((B32-B$31)/1000)</f>
        <v>25.824139602300484</v>
      </c>
      <c r="G32" s="46">
        <f>'Aileron torsion'!$B$11*$B32/1000+'Aileron torsion'!$B$12</f>
        <v>10.476854355</v>
      </c>
      <c r="H32" s="45">
        <f>Superpositioning!$C$21*$B32/1000+Superpositioning!$C$5+Superpositioning!$C$8+Superpositioning!$C$14</f>
        <v>131.93472480322481</v>
      </c>
      <c r="I32" s="27">
        <f>Superpositioning!$D$21*$B32/1000+Superpositioning!$D$5+Superpositioning!$D$8+Superpositioning!$D$14</f>
        <v>22.111046321610587</v>
      </c>
      <c r="J32" s="27">
        <f>1/2*Superpositioning!$C$21*(B32/1000)^2+Superpositioning!$C$5*((B32-B$14)/1000)+Superpositioning!$C$14*((B32-B$25)/1000)+Superpositioning!$C$8*((B32-B$31)/1000)</f>
        <v>-79.026977272522345</v>
      </c>
      <c r="K32" s="27">
        <f>1/2*Superpositioning!$D$21*(B32/1000)^2+Superpositioning!$D$5*((B32-B$14)/1000)+Superpositioning!$D$14*((B32-B$25)/1000)+Superpositioning!$D$8*((B32-B$31)/1000)</f>
        <v>24.129531844173979</v>
      </c>
      <c r="L32" s="46">
        <f>'Aileron torsion'!$B$16*$B32/1000+'Aileron torsion'!$B$17</f>
        <v>9.416534318217499</v>
      </c>
      <c r="M32" s="45">
        <f>Superpositioning!$C$22*$B32/1000+Superpositioning!$C$6+Superpositioning!$C$9+Superpositioning!$C$15</f>
        <v>16.701335253642029</v>
      </c>
      <c r="N32" s="27">
        <f>Superpositioning!$D$22*$B32/1000+Superpositioning!$D$6+Superpositioning!$D$9+Superpositioning!$D$15</f>
        <v>-50.383604004155899</v>
      </c>
      <c r="O32" s="27">
        <f>1/2*Superpositioning!$C$22*(B32/1000)^2+Superpositioning!$C$6*((B32-B$14)/1000)+Superpositioning!$C$15*((B32-B$25)/1000)+Superpositioning!$C$9*((B32-B$31)/1000)</f>
        <v>82.795226269497775</v>
      </c>
      <c r="P32" s="27">
        <f>1/2*Superpositioning!$D$22*(B32/1000)^2+Superpositioning!$D$6*((B32-B$14)/1000)+Superpositioning!$D$15*((B32-B$25)/1000)+Superpositioning!$D$9*((B32-B$31)/1000)</f>
        <v>22.291634006518443</v>
      </c>
      <c r="Q32" s="46">
        <f>'Aileron torsion'!$B$21*$B32/1000+'Aileron torsion'!$B$22</f>
        <v>9.416534318217499</v>
      </c>
    </row>
    <row r="33" spans="1:17" x14ac:dyDescent="0.2">
      <c r="A33">
        <v>2</v>
      </c>
      <c r="B33" s="103">
        <f>B32+(Input!$C$7*10/2)/5</f>
        <v>1336.9999999999998</v>
      </c>
      <c r="C33" s="45">
        <f>Superpositioning!$C$20*$B33/1000+Superpositioning!$C$4+Superpositioning!$C$7+Superpositioning!$C$13</f>
        <v>82.686384421928381</v>
      </c>
      <c r="D33" s="27">
        <f>Superpositioning!$D$20*$B33/1000+Superpositioning!$D$4+Superpositioning!$D$7+Superpositioning!$D$13</f>
        <v>-15.85489126989831</v>
      </c>
      <c r="E33" s="27">
        <f>1/2*Superpositioning!$C$20*(B33/1000)^2+Superpositioning!$C$4*((B33-B$14)/1000)+Superpositioning!$C$13*((B33-B$25)/1000)+Superpositioning!$C$7*((B33-B$31)/1000)</f>
        <v>4.4114993369282747</v>
      </c>
      <c r="F33" s="27">
        <f>1/2*Superpositioning!$D$20*(B33/1000)^2+Superpositioning!$D$4*((B33-B$14)/1000)+Superpositioning!$D$13*((B33-B$25)/1000)+Superpositioning!$D$7*((B33-B$31)/1000)</f>
        <v>25.381978406743332</v>
      </c>
      <c r="G33" s="46">
        <f>'Aileron torsion'!$B$11*$B33/1000+'Aileron torsion'!$B$12</f>
        <v>10.473778485</v>
      </c>
      <c r="H33" s="45">
        <f>Superpositioning!$C$21*$B33/1000+Superpositioning!$C$5+Superpositioning!$C$8+Superpositioning!$C$14</f>
        <v>131.99032779948351</v>
      </c>
      <c r="I33" s="27">
        <f>Superpositioning!$D$21*$B33/1000+Superpositioning!$D$5+Superpositioning!$D$8+Superpositioning!$D$14</f>
        <v>21.997043284778002</v>
      </c>
      <c r="J33" s="27">
        <f>1/2*Superpositioning!$C$21*(B33/1000)^2+Superpositioning!$C$5*((B33-B$14)/1000)+Superpositioning!$C$14*((B33-B$25)/1000)+Superpositioning!$C$8*((B33-B$31)/1000)</f>
        <v>-75.332026536084442</v>
      </c>
      <c r="K33" s="27">
        <f>1/2*Superpositioning!$D$21*(B33/1000)^2+Superpositioning!$D$5*((B33-B$14)/1000)+Superpositioning!$D$14*((B33-B$25)/1000)+Superpositioning!$D$8*((B33-B$31)/1000)</f>
        <v>24.747045098663417</v>
      </c>
      <c r="L33" s="46">
        <f>'Aileron torsion'!$B$16*$B33/1000+'Aileron torsion'!$B$17</f>
        <v>9.4137697445743083</v>
      </c>
      <c r="M33" s="45">
        <f>Superpositioning!$C$22*$B33/1000+Superpositioning!$C$6+Superpositioning!$C$9+Superpositioning!$C$15</f>
        <v>16.645732257383301</v>
      </c>
      <c r="N33" s="27">
        <f>Superpositioning!$D$22*$B33/1000+Superpositioning!$D$6+Superpositioning!$D$9+Superpositioning!$D$15</f>
        <v>-50.497607040988484</v>
      </c>
      <c r="O33" s="27">
        <f>1/2*Superpositioning!$C$22*(B33/1000)^2+Superpositioning!$C$6*((B33-B$14)/1000)+Superpositioning!$C$15*((B33-B$25)/1000)+Superpositioning!$C$9*((B33-B$31)/1000)</f>
        <v>83.262085214652117</v>
      </c>
      <c r="P33" s="27">
        <f>1/2*Superpositioning!$D$22*(B33/1000)^2+Superpositioning!$D$6*((B33-B$14)/1000)+Superpositioning!$D$15*((B33-B$25)/1000)+Superpositioning!$D$9*((B33-B$31)/1000)</f>
        <v>20.879297051886414</v>
      </c>
      <c r="Q33" s="46">
        <f>'Aileron torsion'!$B$21*$B33/1000+'Aileron torsion'!$B$22</f>
        <v>9.4137697445743083</v>
      </c>
    </row>
    <row r="34" spans="1:17" x14ac:dyDescent="0.2">
      <c r="A34">
        <v>3</v>
      </c>
      <c r="B34" s="103">
        <f>B33+(Input!$C$7*10/2)/5</f>
        <v>1364.9999999999998</v>
      </c>
      <c r="C34" s="45">
        <f>Superpositioning!$C$20*$B34/1000+Superpositioning!$C$4+Superpositioning!$C$7+Superpositioning!$C$13</f>
        <v>82.686384421928381</v>
      </c>
      <c r="D34" s="27">
        <f>Superpositioning!$D$20*$B34/1000+Superpositioning!$D$4+Superpositioning!$D$7+Superpositioning!$D$13</f>
        <v>-15.981731269898312</v>
      </c>
      <c r="E34" s="27">
        <f>1/2*Superpositioning!$C$20*(B34/1000)^2+Superpositioning!$C$4*((B34-B$14)/1000)+Superpositioning!$C$13*((B34-B$25)/1000)+Superpositioning!$C$7*((B34-B$31)/1000)</f>
        <v>6.7267181007422687</v>
      </c>
      <c r="F34" s="27">
        <f>1/2*Superpositioning!$D$20*(B34/1000)^2+Superpositioning!$D$4*((B34-B$14)/1000)+Superpositioning!$D$13*((B34-B$25)/1000)+Superpositioning!$D$7*((B34-B$31)/1000)</f>
        <v>24.936265691186172</v>
      </c>
      <c r="G34" s="46">
        <f>'Aileron torsion'!$B$11*$B34/1000+'Aileron torsion'!$B$12</f>
        <v>10.470702615</v>
      </c>
      <c r="H34" s="45">
        <f>Superpositioning!$C$21*$B34/1000+Superpositioning!$C$5+Superpositioning!$C$8+Superpositioning!$C$14</f>
        <v>132.04593079574227</v>
      </c>
      <c r="I34" s="27">
        <f>Superpositioning!$D$21*$B34/1000+Superpositioning!$D$5+Superpositioning!$D$8+Superpositioning!$D$14</f>
        <v>21.883040247945416</v>
      </c>
      <c r="J34" s="27">
        <f>1/2*Superpositioning!$C$21*(B34/1000)^2+Superpositioning!$C$5*((B34-B$14)/1000)+Superpositioning!$C$14*((B34-B$25)/1000)+Superpositioning!$C$8*((B34-B$31)/1000)</f>
        <v>-71.635518915751277</v>
      </c>
      <c r="K34" s="27">
        <f>1/2*Superpositioning!$D$21*(B34/1000)^2+Superpositioning!$D$5*((B34-B$14)/1000)+Superpositioning!$D$14*((B34-B$25)/1000)+Superpositioning!$D$8*((B34-B$31)/1000)</f>
        <v>25.36136626812155</v>
      </c>
      <c r="L34" s="46">
        <f>'Aileron torsion'!$B$16*$B34/1000+'Aileron torsion'!$B$17</f>
        <v>9.4110051709311193</v>
      </c>
      <c r="M34" s="45">
        <f>Superpositioning!$C$22*$B34/1000+Superpositioning!$C$6+Superpositioning!$C$9+Superpositioning!$C$15</f>
        <v>16.590129261124574</v>
      </c>
      <c r="N34" s="27">
        <f>Superpositioning!$D$22*$B34/1000+Superpositioning!$D$6+Superpositioning!$D$9+Superpositioning!$D$15</f>
        <v>-50.611610077821069</v>
      </c>
      <c r="O34" s="27">
        <f>1/2*Superpositioning!$C$22*(B34/1000)^2+Superpositioning!$C$6*((B34-B$14)/1000)+Superpositioning!$C$15*((B34-B$25)/1000)+Superpositioning!$C$9*((B34-B$31)/1000)</f>
        <v>83.727387275911227</v>
      </c>
      <c r="P34" s="27">
        <f>1/2*Superpositioning!$D$22*(B34/1000)^2+Superpositioning!$D$6*((B34-B$14)/1000)+Superpositioning!$D$15*((B34-B$25)/1000)+Superpositioning!$D$9*((B34-B$31)/1000)</f>
        <v>19.463768012223092</v>
      </c>
      <c r="Q34" s="46">
        <f>'Aileron torsion'!$B$21*$B34/1000+'Aileron torsion'!$B$22</f>
        <v>9.4110051709311193</v>
      </c>
    </row>
    <row r="35" spans="1:17" x14ac:dyDescent="0.2">
      <c r="A35">
        <v>4</v>
      </c>
      <c r="B35" s="103">
        <f>B34+(Input!$C$7*10/2)/5</f>
        <v>1392.9999999999998</v>
      </c>
      <c r="C35" s="45">
        <f>Superpositioning!$C$20*$B35/1000+Superpositioning!$C$4+Superpositioning!$C$7+Superpositioning!$C$13</f>
        <v>82.686384421928381</v>
      </c>
      <c r="D35" s="27">
        <f>Superpositioning!$D$20*$B35/1000+Superpositioning!$D$4+Superpositioning!$D$7+Superpositioning!$D$13</f>
        <v>-16.108571269898309</v>
      </c>
      <c r="E35" s="27">
        <f>1/2*Superpositioning!$C$20*(B35/1000)^2+Superpositioning!$C$4*((B35-B$14)/1000)+Superpositioning!$C$13*((B35-B$25)/1000)+Superpositioning!$C$7*((B35-B$31)/1000)</f>
        <v>9.041936864556261</v>
      </c>
      <c r="F35" s="27">
        <f>1/2*Superpositioning!$D$20*(B35/1000)^2+Superpositioning!$D$4*((B35-B$14)/1000)+Superpositioning!$D$13*((B35-B$25)/1000)+Superpositioning!$D$7*((B35-B$31)/1000)</f>
        <v>24.487001455629027</v>
      </c>
      <c r="G35" s="46">
        <f>'Aileron torsion'!$B$11*$B35/1000+'Aileron torsion'!$B$12</f>
        <v>10.467626745</v>
      </c>
      <c r="H35" s="45">
        <f>Superpositioning!$C$21*$B35/1000+Superpositioning!$C$5+Superpositioning!$C$8+Superpositioning!$C$14</f>
        <v>132.10153379200096</v>
      </c>
      <c r="I35" s="27">
        <f>Superpositioning!$D$21*$B35/1000+Superpositioning!$D$5+Superpositioning!$D$8+Superpositioning!$D$14</f>
        <v>21.769037211112828</v>
      </c>
      <c r="J35" s="27">
        <f>1/2*Superpositioning!$C$21*(B35/1000)^2+Superpositioning!$C$5*((B35-B$14)/1000)+Superpositioning!$C$14*((B35-B$25)/1000)+Superpositioning!$C$8*((B35-B$31)/1000)</f>
        <v>-67.937454411522864</v>
      </c>
      <c r="K35" s="27">
        <f>1/2*Superpositioning!$D$21*(B35/1000)^2+Superpositioning!$D$5*((B35-B$14)/1000)+Superpositioning!$D$14*((B35-B$25)/1000)+Superpositioning!$D$8*((B35-B$31)/1000)</f>
        <v>25.972495352548364</v>
      </c>
      <c r="L35" s="46">
        <f>'Aileron torsion'!$B$16*$B35/1000+'Aileron torsion'!$B$17</f>
        <v>9.4082405972879286</v>
      </c>
      <c r="M35" s="45">
        <f>Superpositioning!$C$22*$B35/1000+Superpositioning!$C$6+Superpositioning!$C$9+Superpositioning!$C$15</f>
        <v>16.534526264865846</v>
      </c>
      <c r="N35" s="27">
        <f>Superpositioning!$D$22*$B35/1000+Superpositioning!$D$6+Superpositioning!$D$9+Superpositioning!$D$15</f>
        <v>-50.725613114653655</v>
      </c>
      <c r="O35" s="27">
        <f>1/2*Superpositioning!$C$22*(B35/1000)^2+Superpositioning!$C$6*((B35-B$14)/1000)+Superpositioning!$C$15*((B35-B$25)/1000)+Superpositioning!$C$9*((B35-B$31)/1000)</f>
        <v>84.191132453275102</v>
      </c>
      <c r="P35" s="27">
        <f>1/2*Superpositioning!$D$22*(B35/1000)^2+Superpositioning!$D$6*((B35-B$14)/1000)+Superpositioning!$D$15*((B35-B$25)/1000)+Superpositioning!$D$9*((B35-B$31)/1000)</f>
        <v>18.045046887528443</v>
      </c>
      <c r="Q35" s="46">
        <f>'Aileron torsion'!$B$21*$B35/1000+'Aileron torsion'!$B$22</f>
        <v>9.4082405972879286</v>
      </c>
    </row>
    <row r="36" spans="1:17" x14ac:dyDescent="0.2">
      <c r="A36">
        <v>5</v>
      </c>
      <c r="B36" s="103">
        <f>B35+(Input!$C$7*10/2)/5</f>
        <v>1420.9999999999998</v>
      </c>
      <c r="C36" s="45">
        <f>Superpositioning!$C$20*$B36/1000+Superpositioning!$C$4+Superpositioning!$C$7+Superpositioning!$C$13</f>
        <v>82.686384421928381</v>
      </c>
      <c r="D36" s="27">
        <f>Superpositioning!$D$20*$B36/1000+Superpositioning!$D$4+Superpositioning!$D$7+Superpositioning!$D$13</f>
        <v>-16.235411269898311</v>
      </c>
      <c r="E36" s="27">
        <f>1/2*Superpositioning!$C$20*(B36/1000)^2+Superpositioning!$C$4*((B36-B$14)/1000)+Superpositioning!$C$13*((B36-B$25)/1000)+Superpositioning!$C$7*((B36-B$31)/1000)</f>
        <v>11.357155628370259</v>
      </c>
      <c r="F36" s="27">
        <f>1/2*Superpositioning!$D$20*(B36/1000)^2+Superpositioning!$D$4*((B36-B$14)/1000)+Superpositioning!$D$13*((B36-B$25)/1000)+Superpositioning!$D$7*((B36-B$31)/1000)</f>
        <v>24.03418570007187</v>
      </c>
      <c r="G36" s="46">
        <f>'Aileron torsion'!$B$11*$B36/1000+'Aileron torsion'!$B$12</f>
        <v>10.464550875</v>
      </c>
      <c r="H36" s="45">
        <f>Superpositioning!$C$21*$B36/1000+Superpositioning!$C$5+Superpositioning!$C$8+Superpositioning!$C$14</f>
        <v>132.15713678825969</v>
      </c>
      <c r="I36" s="27">
        <f>Superpositioning!$D$21*$B36/1000+Superpositioning!$D$5+Superpositioning!$D$8+Superpositioning!$D$14</f>
        <v>21.655034174280242</v>
      </c>
      <c r="J36" s="27">
        <f>1/2*Superpositioning!$C$21*(B36/1000)^2+Superpositioning!$C$5*((B36-B$14)/1000)+Superpositioning!$C$14*((B36-B$25)/1000)+Superpositioning!$C$8*((B36-B$31)/1000)</f>
        <v>-64.237833023399219</v>
      </c>
      <c r="K36" s="27">
        <f>1/2*Superpositioning!$D$21*(B36/1000)^2+Superpositioning!$D$5*((B36-B$14)/1000)+Superpositioning!$D$14*((B36-B$25)/1000)+Superpositioning!$D$8*((B36-B$31)/1000)</f>
        <v>26.580432351943866</v>
      </c>
      <c r="L36" s="46">
        <f>'Aileron torsion'!$B$16*$B36/1000+'Aileron torsion'!$B$17</f>
        <v>9.4054760236447379</v>
      </c>
      <c r="M36" s="45">
        <f>Superpositioning!$C$22*$B36/1000+Superpositioning!$C$6+Superpositioning!$C$9+Superpositioning!$C$15</f>
        <v>16.478923268607119</v>
      </c>
      <c r="N36" s="27">
        <f>Superpositioning!$D$22*$B36/1000+Superpositioning!$D$6+Superpositioning!$D$9+Superpositioning!$D$15</f>
        <v>-50.83961615148624</v>
      </c>
      <c r="O36" s="27">
        <f>1/2*Superpositioning!$C$22*(B36/1000)^2+Superpositioning!$C$6*((B36-B$14)/1000)+Superpositioning!$C$15*((B36-B$25)/1000)+Superpositioning!$C$9*((B36-B$31)/1000)</f>
        <v>84.653320746743717</v>
      </c>
      <c r="P36" s="27">
        <f>1/2*Superpositioning!$D$22*(B36/1000)^2+Superpositioning!$D$6*((B36-B$14)/1000)+Superpositioning!$D$15*((B36-B$25)/1000)+Superpositioning!$D$9*((B36-B$31)/1000)</f>
        <v>16.623133677802478</v>
      </c>
      <c r="Q36" s="46">
        <f>'Aileron torsion'!$B$21*$B36/1000+'Aileron torsion'!$B$22</f>
        <v>9.4054760236447379</v>
      </c>
    </row>
    <row r="37" spans="1:17" x14ac:dyDescent="0.2">
      <c r="B37" s="136">
        <f>B36</f>
        <v>1420.9999999999998</v>
      </c>
      <c r="C37" s="137">
        <f>Superpositioning!$C$20*$B37/1000+Superpositioning!$C$4+Superpositioning!$C$7+Superpositioning!$C$13+Superpositioning!$C$23</f>
        <v>-9.0136155780716223</v>
      </c>
      <c r="D37" s="138">
        <f>Superpositioning!$D$20*$B37/1000+Superpositioning!$D$4+Superpositioning!$D$7+Superpositioning!$D$13+Superpositioning!$D$23</f>
        <v>-16.235411269898311</v>
      </c>
      <c r="E37" s="138">
        <f>1/2*Superpositioning!$C$20*(B37/1000)^2+Superpositioning!$C$4*((B37-B$14)/1000)+Superpositioning!$C$13*((B37-B$25)/1000)+Superpositioning!$C$7*((B37-B$31)/1000)+Superpositioning!$C$23*((B37-B$37)/1000)</f>
        <v>11.357155628370259</v>
      </c>
      <c r="F37" s="138">
        <f>1/2*Superpositioning!$D$20*(B37/1000)^2+Superpositioning!$D$4*((B37-B$14)/1000)+Superpositioning!$D$13*((B37-B$25)/1000)+Superpositioning!$D$7*((B37-B$31)/1000)+Superpositioning!$D$23*((B37-B$25)/1000)</f>
        <v>24.03418570007187</v>
      </c>
      <c r="G37" s="139">
        <f>'Aileron torsion'!$B$11*$B37/1000+'Aileron torsion'!$B$12+'Aileron torsion'!$B$13</f>
        <v>0.14830087500000033</v>
      </c>
      <c r="H37" s="137">
        <f>Superpositioning!$C$21*$B37/1000+Superpositioning!$C$5+Superpositioning!$C$8+Superpositioning!$C$14+Superpositioning!$C$24</f>
        <v>49.737722742626076</v>
      </c>
      <c r="I37" s="138">
        <f>Superpositioning!$D$21*$B37/1000+Superpositioning!$D$5+Superpositioning!$D$8+Superpositioning!$D$14+Superpositioning!$D$24</f>
        <v>-18.543599986278156</v>
      </c>
      <c r="J37" s="138">
        <f>1/2*Superpositioning!$C$21*(B37/1000)^2+Superpositioning!$C$5*((B37-B$14)/1000)+Superpositioning!$C$14*((B37-B$25)/1000)+Superpositioning!$C$8*((B37-B$31)/1000)+Superpositioning!$C$24*((B37-B$37)/1000)</f>
        <v>-64.237833023399219</v>
      </c>
      <c r="K37" s="138">
        <f>1/2*Superpositioning!$D$21*(B37/1000)^2+Superpositioning!$D$5*((B37-B$14)/1000)+Superpositioning!$D$14*((B37-B$25)/1000)+Superpositioning!$D$8*((B37-B$31)/1000)+Superpositioning!$D$24*((B37-B$37)/1000)</f>
        <v>26.580432351943866</v>
      </c>
      <c r="L37" s="139">
        <f>'Aileron torsion'!$B$16*$B37/1000+'Aileron torsion'!$B$17+'Aileron torsion'!$B$18</f>
        <v>0.1332919435109563</v>
      </c>
      <c r="M37" s="137">
        <f>Superpositioning!$C$22*$B37/1000+Superpositioning!$C$6+Superpositioning!$C$9+Superpositioning!$C$15+Superpositioning!$C$25</f>
        <v>-65.940490777026497</v>
      </c>
      <c r="N37" s="138">
        <f>Superpositioning!$D$22*$B37/1000+Superpositioning!$D$6+Superpositioning!$D$9+Superpositioning!$D$15+Superpositioning!$D$25</f>
        <v>-10.640981990927841</v>
      </c>
      <c r="O37" s="138">
        <f>1/2*Superpositioning!$C$22*(B37/1000)^2+Superpositioning!$C$6*((B37-B$14)/1000)+Superpositioning!$C$15*((B37-B$25)/1000)+Superpositioning!$C$9*((B37-B$31)/1000)+Superpositioning!$C$25*((B37-B$37)/1000)</f>
        <v>84.653320746743717</v>
      </c>
      <c r="P37" s="138">
        <f>1/2*Superpositioning!$D$22*(B37/1000)^2+Superpositioning!$D$6*((B37-B$14)/1000)+Superpositioning!$D$15*((B37-B$25)/1000)+Superpositioning!$D$9*((B37-B$31)/1000)+Superpositioning!$D$25*((B37-B$37)/1000)</f>
        <v>16.623133677802478</v>
      </c>
      <c r="Q37" s="139">
        <f>'Aileron torsion'!$B$21*$B37/1000+'Aileron torsion'!$B$22+'Aileron torsion'!$B$23</f>
        <v>0.1332919435109563</v>
      </c>
    </row>
    <row r="38" spans="1:17" x14ac:dyDescent="0.2">
      <c r="A38">
        <v>1</v>
      </c>
      <c r="B38" s="136">
        <f>B37+('Aileron shear'!$B$6-Input!$C$7*10/2)/10</f>
        <v>1546.9999999999998</v>
      </c>
      <c r="C38" s="137">
        <f>Superpositioning!$C$20*$B38/1000+Superpositioning!$C$4+Superpositioning!$C$7+Superpositioning!$C$13+Superpositioning!$C$23</f>
        <v>-9.0136155780716223</v>
      </c>
      <c r="D38" s="138">
        <f>Superpositioning!$D$20*$B38/1000+Superpositioning!$D$4+Superpositioning!$D$7+Superpositioning!$D$13+Superpositioning!$D$23</f>
        <v>-16.80619126989831</v>
      </c>
      <c r="E38" s="138">
        <f>1/2*Superpositioning!$C$20*(B38/1000)^2+Superpositioning!$C$4*((B38-B$14)/1000)+Superpositioning!$C$13*((B38-B$25)/1000)+Superpositioning!$C$7*((B38-B$31)/1000)+Superpositioning!$C$23*((B38-B$37)/1000)</f>
        <v>10.221440065533239</v>
      </c>
      <c r="F38" s="138">
        <f>1/2*Superpositioning!$D$20*(B38/1000)^2+Superpositioning!$D$4*((B38-B$14)/1000)+Superpositioning!$D$13*((B38-B$25)/1000)+Superpositioning!$D$7*((B38-B$31)/1000)+Superpositioning!$D$23*((B38-B$25)/1000)</f>
        <v>21.952564740064687</v>
      </c>
      <c r="G38" s="139">
        <f>'Aileron torsion'!$B$11*$B38/1000+'Aileron torsion'!$B$12+'Aileron torsion'!$B$13</f>
        <v>0.13445946000000042</v>
      </c>
      <c r="H38" s="137">
        <f>Superpositioning!$C$21*$B38/1000+Superpositioning!$C$5+Superpositioning!$C$8+Superpositioning!$C$14+Superpositioning!$C$24</f>
        <v>49.987936225790364</v>
      </c>
      <c r="I38" s="138">
        <f>Superpositioning!$D$21*$B38/1000+Superpositioning!$D$5+Superpositioning!$D$8+Superpositioning!$D$14+Superpositioning!$D$24</f>
        <v>-19.056613652024794</v>
      </c>
      <c r="J38" s="138">
        <f>1/2*Superpositioning!$C$21*(B38/1000)^2+Superpositioning!$C$5*((B38-B$14)/1000)+Superpositioning!$C$14*((B38-B$25)/1000)+Superpositioning!$C$8*((B38-B$31)/1000)+Superpositioning!$C$24*((B38-B$37)/1000)</f>
        <v>-57.955116508388969</v>
      </c>
      <c r="K38" s="138">
        <f>1/2*Superpositioning!$D$21*(B38/1000)^2+Superpositioning!$D$5*((B38-B$14)/1000)+Superpositioning!$D$14*((B38-B$25)/1000)+Superpositioning!$D$8*((B38-B$31)/1000)+Superpositioning!$D$24*((B38-B$37)/1000)</f>
        <v>24.211618892730773</v>
      </c>
      <c r="L38" s="139">
        <f>'Aileron torsion'!$B$16*$B38/1000+'Aileron torsion'!$B$17+'Aileron torsion'!$B$18</f>
        <v>0.12085136211659986</v>
      </c>
      <c r="M38" s="137">
        <f>Superpositioning!$C$22*$B38/1000+Superpositioning!$C$6+Superpositioning!$C$9+Superpositioning!$C$15+Superpositioning!$C$25</f>
        <v>-66.190704260190756</v>
      </c>
      <c r="N38" s="138">
        <f>Superpositioning!$D$22*$B38/1000+Superpositioning!$D$6+Superpositioning!$D$9+Superpositioning!$D$15+Superpositioning!$D$25</f>
        <v>-11.153995656674482</v>
      </c>
      <c r="O38" s="138">
        <f>1/2*Superpositioning!$C$22*(B38/1000)^2+Superpositioning!$C$6*((B38-B$14)/1000)+Superpositioning!$C$15*((B38-B$25)/1000)+Superpositioning!$C$9*((B38-B$31)/1000)+Superpositioning!$C$25*((B38-B$37)/1000)</f>
        <v>76.329055459399029</v>
      </c>
      <c r="P38" s="138">
        <f>1/2*Superpositioning!$D$22*(B38/1000)^2+Superpositioning!$D$6*((B38-B$14)/1000)+Superpositioning!$D$15*((B38-B$25)/1000)+Superpositioning!$D$9*((B38-B$31)/1000)+Superpositioning!$D$25*((B38-B$37)/1000)</f>
        <v>15.25005008600353</v>
      </c>
      <c r="Q38" s="139">
        <f>'Aileron torsion'!$B$21*$B38/1000+'Aileron torsion'!$B$22+'Aileron torsion'!$B$23</f>
        <v>0.12085136211659986</v>
      </c>
    </row>
    <row r="39" spans="1:17" x14ac:dyDescent="0.2">
      <c r="A39">
        <v>2</v>
      </c>
      <c r="B39" s="136">
        <f>B38+('Aileron shear'!$B$6-Input!$C$7*10/2)/10</f>
        <v>1672.9999999999998</v>
      </c>
      <c r="C39" s="137">
        <f>Superpositioning!$C$20*$B39/1000+Superpositioning!$C$4+Superpositioning!$C$7+Superpositioning!$C$13+Superpositioning!$C$23</f>
        <v>-9.0136155780716223</v>
      </c>
      <c r="D39" s="138">
        <f>Superpositioning!$D$20*$B39/1000+Superpositioning!$D$4+Superpositioning!$D$7+Superpositioning!$D$13+Superpositioning!$D$23</f>
        <v>-17.376971269898313</v>
      </c>
      <c r="E39" s="138">
        <f>1/2*Superpositioning!$C$20*(B39/1000)^2+Superpositioning!$C$4*((B39-B$14)/1000)+Superpositioning!$C$13*((B39-B$25)/1000)+Superpositioning!$C$7*((B39-B$31)/1000)+Superpositioning!$C$23*((B39-B$37)/1000)</f>
        <v>9.0857245026962055</v>
      </c>
      <c r="F39" s="138">
        <f>1/2*Superpositioning!$D$20*(B39/1000)^2+Superpositioning!$D$4*((B39-B$14)/1000)+Superpositioning!$D$13*((B39-B$25)/1000)+Superpositioning!$D$7*((B39-B$31)/1000)+Superpositioning!$D$23*((B39-B$25)/1000)</f>
        <v>19.799025500057503</v>
      </c>
      <c r="G39" s="139">
        <f>'Aileron torsion'!$B$11*$B39/1000+'Aileron torsion'!$B$12+'Aileron torsion'!$B$13</f>
        <v>0.12061804500000051</v>
      </c>
      <c r="H39" s="137">
        <f>Superpositioning!$C$21*$B39/1000+Superpositioning!$C$5+Superpositioning!$C$8+Superpositioning!$C$14+Superpositioning!$C$24</f>
        <v>50.238149708954623</v>
      </c>
      <c r="I39" s="138">
        <f>Superpositioning!$D$21*$B39/1000+Superpositioning!$D$5+Superpositioning!$D$8+Superpositioning!$D$14+Superpositioning!$D$24</f>
        <v>-19.569627317771435</v>
      </c>
      <c r="J39" s="138">
        <f>1/2*Superpositioning!$C$21*(B39/1000)^2+Superpositioning!$C$5*((B39-B$14)/1000)+Superpositioning!$C$14*((B39-B$25)/1000)+Superpositioning!$C$8*((B39-B$31)/1000)+Superpositioning!$C$24*((B39-B$37)/1000)</f>
        <v>-51.64087309450003</v>
      </c>
      <c r="K39" s="138">
        <f>1/2*Superpositioning!$D$21*(B39/1000)^2+Superpositioning!$D$5*((B39-B$14)/1000)+Superpositioning!$D$14*((B39-B$25)/1000)+Superpositioning!$D$8*((B39-B$31)/1000)+Superpositioning!$D$24*((B39-B$37)/1000)</f>
        <v>21.778165711633619</v>
      </c>
      <c r="L39" s="139">
        <f>'Aileron torsion'!$B$16*$B39/1000+'Aileron torsion'!$B$17+'Aileron torsion'!$B$18</f>
        <v>0.10841078072224519</v>
      </c>
      <c r="M39" s="137">
        <f>Superpositioning!$C$22*$B39/1000+Superpositioning!$C$6+Superpositioning!$C$9+Superpositioning!$C$15+Superpositioning!$C$25</f>
        <v>-66.440917743355044</v>
      </c>
      <c r="N39" s="138">
        <f>Superpositioning!$D$22*$B39/1000+Superpositioning!$D$6+Superpositioning!$D$9+Superpositioning!$D$15+Superpositioning!$D$25</f>
        <v>-11.667009322421123</v>
      </c>
      <c r="O39" s="138">
        <f>1/2*Superpositioning!$C$22*(B39/1000)^2+Superpositioning!$C$6*((B39-B$14)/1000)+Superpositioning!$C$15*((B39-B$25)/1000)+Superpositioning!$C$9*((B39-B$31)/1000)+Superpositioning!$C$25*((B39-B$37)/1000)</f>
        <v>67.973263273175661</v>
      </c>
      <c r="P39" s="138">
        <f>1/2*Superpositioning!$D$22*(B39/1000)^2+Superpositioning!$D$6*((B39-B$14)/1000)+Superpositioning!$D$15*((B39-B$25)/1000)+Superpositioning!$D$9*((B39-B$31)/1000)+Superpositioning!$D$25*((B39-B$37)/1000)</f>
        <v>13.812326772320512</v>
      </c>
      <c r="Q39" s="139">
        <f>'Aileron torsion'!$B$21*$B39/1000+'Aileron torsion'!$B$22+'Aileron torsion'!$B$23</f>
        <v>0.10841078072224519</v>
      </c>
    </row>
    <row r="40" spans="1:17" x14ac:dyDescent="0.2">
      <c r="A40">
        <v>3</v>
      </c>
      <c r="B40" s="136">
        <f>B39+('Aileron shear'!$B$6-Input!$C$7*10/2)/10</f>
        <v>1798.9999999999998</v>
      </c>
      <c r="C40" s="137">
        <f>Superpositioning!$C$20*$B40/1000+Superpositioning!$C$4+Superpositioning!$C$7+Superpositioning!$C$13+Superpositioning!$C$23</f>
        <v>-9.0136155780716223</v>
      </c>
      <c r="D40" s="138">
        <f>Superpositioning!$D$20*$B40/1000+Superpositioning!$D$4+Superpositioning!$D$7+Superpositioning!$D$13+Superpositioning!$D$23</f>
        <v>-17.947751269898312</v>
      </c>
      <c r="E40" s="138">
        <f>1/2*Superpositioning!$C$20*(B40/1000)^2+Superpositioning!$C$4*((B40-B$14)/1000)+Superpositioning!$C$13*((B40-B$25)/1000)+Superpositioning!$C$7*((B40-B$31)/1000)+Superpositioning!$C$23*((B40-B$37)/1000)</f>
        <v>7.9500089398591811</v>
      </c>
      <c r="F40" s="138">
        <f>1/2*Superpositioning!$D$20*(B40/1000)^2+Superpositioning!$D$4*((B40-B$14)/1000)+Superpositioning!$D$13*((B40-B$25)/1000)+Superpositioning!$D$7*((B40-B$31)/1000)+Superpositioning!$D$23*((B40-B$25)/1000)</f>
        <v>17.573567980050303</v>
      </c>
      <c r="G40" s="139">
        <f>'Aileron torsion'!$B$11*$B40/1000+'Aileron torsion'!$B$12+'Aileron torsion'!$B$13</f>
        <v>0.10677663000000059</v>
      </c>
      <c r="H40" s="137">
        <f>Superpositioning!$C$21*$B40/1000+Superpositioning!$C$5+Superpositioning!$C$8+Superpositioning!$C$14+Superpositioning!$C$24</f>
        <v>50.488363192118882</v>
      </c>
      <c r="I40" s="138">
        <f>Superpositioning!$D$21*$B40/1000+Superpositioning!$D$5+Superpositioning!$D$8+Superpositioning!$D$14+Superpositioning!$D$24</f>
        <v>-20.082640983518072</v>
      </c>
      <c r="J40" s="138">
        <f>1/2*Superpositioning!$C$21*(B40/1000)^2+Superpositioning!$C$5*((B40-B$14)/1000)+Superpositioning!$C$14*((B40-B$25)/1000)+Superpositioning!$C$8*((B40-B$31)/1000)+Superpositioning!$C$24*((B40-B$37)/1000)</f>
        <v>-45.29510278173241</v>
      </c>
      <c r="K40" s="138">
        <f>1/2*Superpositioning!$D$21*(B40/1000)^2+Superpositioning!$D$5*((B40-B$14)/1000)+Superpositioning!$D$14*((B40-B$25)/1000)+Superpositioning!$D$8*((B40-B$31)/1000)+Superpositioning!$D$24*((B40-B$37)/1000)</f>
        <v>19.280072808652378</v>
      </c>
      <c r="L40" s="139">
        <f>'Aileron torsion'!$B$16*$B40/1000+'Aileron torsion'!$B$17+'Aileron torsion'!$B$18</f>
        <v>9.597019932788875E-2</v>
      </c>
      <c r="M40" s="137">
        <f>Superpositioning!$C$22*$B40/1000+Superpositioning!$C$6+Superpositioning!$C$9+Superpositioning!$C$15+Superpositioning!$C$25</f>
        <v>-66.691131226519303</v>
      </c>
      <c r="N40" s="138">
        <f>Superpositioning!$D$22*$B40/1000+Superpositioning!$D$6+Superpositioning!$D$9+Superpositioning!$D$15+Superpositioning!$D$25</f>
        <v>-12.180022988167764</v>
      </c>
      <c r="O40" s="138">
        <f>1/2*Superpositioning!$C$22*(B40/1000)^2+Superpositioning!$C$6*((B40-B$14)/1000)+Superpositioning!$C$15*((B40-B$25)/1000)+Superpositioning!$C$9*((B40-B$31)/1000)+Superpositioning!$C$25*((B40-B$37)/1000)</f>
        <v>59.585944188073569</v>
      </c>
      <c r="P40" s="138">
        <f>1/2*Superpositioning!$D$22*(B40/1000)^2+Superpositioning!$D$6*((B40-B$14)/1000)+Superpositioning!$D$15*((B40-B$25)/1000)+Superpositioning!$D$9*((B40-B$31)/1000)+Superpositioning!$D$25*((B40-B$37)/1000)</f>
        <v>12.309963736753408</v>
      </c>
      <c r="Q40" s="139">
        <f>'Aileron torsion'!$B$21*$B40/1000+'Aileron torsion'!$B$22+'Aileron torsion'!$B$23</f>
        <v>9.597019932788875E-2</v>
      </c>
    </row>
    <row r="41" spans="1:17" x14ac:dyDescent="0.2">
      <c r="A41">
        <v>4</v>
      </c>
      <c r="B41" s="136">
        <f>B40+('Aileron shear'!$B$6-Input!$C$7*10/2)/10</f>
        <v>1924.9999999999998</v>
      </c>
      <c r="C41" s="137">
        <f>Superpositioning!$C$20*$B41/1000+Superpositioning!$C$4+Superpositioning!$C$7+Superpositioning!$C$13+Superpositioning!$C$23</f>
        <v>-9.0136155780716223</v>
      </c>
      <c r="D41" s="138">
        <f>Superpositioning!$D$20*$B41/1000+Superpositioning!$D$4+Superpositioning!$D$7+Superpositioning!$D$13+Superpositioning!$D$23</f>
        <v>-18.518531269898311</v>
      </c>
      <c r="E41" s="138">
        <f>1/2*Superpositioning!$C$20*(B41/1000)^2+Superpositioning!$C$4*((B41-B$14)/1000)+Superpositioning!$C$13*((B41-B$25)/1000)+Superpositioning!$C$7*((B41-B$31)/1000)+Superpositioning!$C$23*((B41-B$37)/1000)</f>
        <v>6.8142933770221674</v>
      </c>
      <c r="F41" s="138">
        <f>1/2*Superpositioning!$D$20*(B41/1000)^2+Superpositioning!$D$4*((B41-B$14)/1000)+Superpositioning!$D$13*((B41-B$25)/1000)+Superpositioning!$D$7*((B41-B$31)/1000)+Superpositioning!$D$23*((B41-B$25)/1000)</f>
        <v>15.276192180043129</v>
      </c>
      <c r="G41" s="139">
        <f>'Aileron torsion'!$B$11*$B41/1000+'Aileron torsion'!$B$12+'Aileron torsion'!$B$13</f>
        <v>9.2935215000000682E-2</v>
      </c>
      <c r="H41" s="137">
        <f>Superpositioning!$C$21*$B41/1000+Superpositioning!$C$5+Superpositioning!$C$8+Superpositioning!$C$14+Superpositioning!$C$24</f>
        <v>50.738576675283142</v>
      </c>
      <c r="I41" s="138">
        <f>Superpositioning!$D$21*$B41/1000+Superpositioning!$D$5+Superpositioning!$D$8+Superpositioning!$D$14+Superpositioning!$D$24</f>
        <v>-20.595654649264709</v>
      </c>
      <c r="J41" s="138">
        <f>1/2*Superpositioning!$C$21*(B41/1000)^2+Superpositioning!$C$5*((B41-B$14)/1000)+Superpositioning!$C$14*((B41-B$25)/1000)+Superpositioning!$C$8*((B41-B$31)/1000)+Superpositioning!$C$24*((B41-B$37)/1000)</f>
        <v>-38.917805570086074</v>
      </c>
      <c r="K41" s="138">
        <f>1/2*Superpositioning!$D$21*(B41/1000)^2+Superpositioning!$D$5*((B41-B$14)/1000)+Superpositioning!$D$14*((B41-B$25)/1000)+Superpositioning!$D$8*((B41-B$31)/1000)+Superpositioning!$D$24*((B41-B$37)/1000)</f>
        <v>16.717340183787062</v>
      </c>
      <c r="L41" s="139">
        <f>'Aileron torsion'!$B$16*$B41/1000+'Aileron torsion'!$B$17+'Aileron torsion'!$B$18</f>
        <v>8.3529617933532307E-2</v>
      </c>
      <c r="M41" s="137">
        <f>Superpositioning!$C$22*$B41/1000+Superpositioning!$C$6+Superpositioning!$C$9+Superpositioning!$C$15+Superpositioning!$C$25</f>
        <v>-66.941344709683577</v>
      </c>
      <c r="N41" s="138">
        <f>Superpositioning!$D$22*$B41/1000+Superpositioning!$D$6+Superpositioning!$D$9+Superpositioning!$D$15+Superpositioning!$D$25</f>
        <v>-12.693036653914398</v>
      </c>
      <c r="O41" s="138">
        <f>1/2*Superpositioning!$C$22*(B41/1000)^2+Superpositioning!$C$6*((B41-B$14)/1000)+Superpositioning!$C$15*((B41-B$25)/1000)+Superpositioning!$C$9*((B41-B$31)/1000)+Superpositioning!$C$25*((B41-B$37)/1000)</f>
        <v>51.16709820409281</v>
      </c>
      <c r="P41" s="138">
        <f>1/2*Superpositioning!$D$22*(B41/1000)^2+Superpositioning!$D$6*((B41-B$14)/1000)+Superpositioning!$D$15*((B41-B$25)/1000)+Superpositioning!$D$9*((B41-B$31)/1000)+Superpositioning!$D$25*((B41-B$37)/1000)</f>
        <v>10.742960979302232</v>
      </c>
      <c r="Q41" s="139">
        <f>'Aileron torsion'!$B$21*$B41/1000+'Aileron torsion'!$B$22+'Aileron torsion'!$B$23</f>
        <v>8.3529617933532307E-2</v>
      </c>
    </row>
    <row r="42" spans="1:17" x14ac:dyDescent="0.2">
      <c r="A42">
        <v>5</v>
      </c>
      <c r="B42" s="136">
        <f>B41+('Aileron shear'!$B$6-Input!$C$7*10/2)/10</f>
        <v>2051</v>
      </c>
      <c r="C42" s="137">
        <f>Superpositioning!$C$20*$B42/1000+Superpositioning!$C$4+Superpositioning!$C$7+Superpositioning!$C$13+Superpositioning!$C$23</f>
        <v>-9.0136155780716223</v>
      </c>
      <c r="D42" s="138">
        <f>Superpositioning!$D$20*$B42/1000+Superpositioning!$D$4+Superpositioning!$D$7+Superpositioning!$D$13+Superpositioning!$D$23</f>
        <v>-19.08931126989831</v>
      </c>
      <c r="E42" s="138">
        <f>1/2*Superpositioning!$C$20*(B42/1000)^2+Superpositioning!$C$4*((B42-B$14)/1000)+Superpositioning!$C$13*((B42-B$25)/1000)+Superpositioning!$C$7*((B42-B$31)/1000)+Superpositioning!$C$23*((B42-B$37)/1000)</f>
        <v>5.6785778141851324</v>
      </c>
      <c r="F42" s="138">
        <f>1/2*Superpositioning!$D$20*(B42/1000)^2+Superpositioning!$D$4*((B42-B$14)/1000)+Superpositioning!$D$13*((B42-B$25)/1000)+Superpositioning!$D$7*((B42-B$31)/1000)+Superpositioning!$D$23*((B42-B$25)/1000)</f>
        <v>12.906898100035932</v>
      </c>
      <c r="G42" s="139">
        <f>'Aileron torsion'!$B$11*$B42/1000+'Aileron torsion'!$B$12+'Aileron torsion'!$B$13</f>
        <v>7.9093800000000769E-2</v>
      </c>
      <c r="H42" s="137">
        <f>Superpositioning!$C$21*$B42/1000+Superpositioning!$C$5+Superpositioning!$C$8+Superpositioning!$C$14+Superpositioning!$C$24</f>
        <v>50.988790158447429</v>
      </c>
      <c r="I42" s="138">
        <f>Superpositioning!$D$21*$B42/1000+Superpositioning!$D$5+Superpositioning!$D$8+Superpositioning!$D$14+Superpositioning!$D$24</f>
        <v>-21.10866831501135</v>
      </c>
      <c r="J42" s="138">
        <f>1/2*Superpositioning!$C$21*(B42/1000)^2+Superpositioning!$C$5*((B42-B$14)/1000)+Superpositioning!$C$14*((B42-B$25)/1000)+Superpositioning!$C$8*((B42-B$31)/1000)+Superpositioning!$C$24*((B42-B$37)/1000)</f>
        <v>-32.508981459561049</v>
      </c>
      <c r="K42" s="138">
        <f>1/2*Superpositioning!$D$21*(B42/1000)^2+Superpositioning!$D$5*((B42-B$14)/1000)+Superpositioning!$D$14*((B42-B$25)/1000)+Superpositioning!$D$8*((B42-B$31)/1000)+Superpositioning!$D$24*((B42-B$37)/1000)</f>
        <v>14.089967837037658</v>
      </c>
      <c r="L42" s="139">
        <f>'Aileron torsion'!$B$16*$B42/1000+'Aileron torsion'!$B$17+'Aileron torsion'!$B$18</f>
        <v>7.1089036539175865E-2</v>
      </c>
      <c r="M42" s="137">
        <f>Superpositioning!$C$22*$B42/1000+Superpositioning!$C$6+Superpositioning!$C$9+Superpositioning!$C$15+Superpositioning!$C$25</f>
        <v>-67.19155819284785</v>
      </c>
      <c r="N42" s="138">
        <f>Superpositioning!$D$22*$B42/1000+Superpositioning!$D$6+Superpositioning!$D$9+Superpositioning!$D$15+Superpositioning!$D$25</f>
        <v>-13.206050319661038</v>
      </c>
      <c r="O42" s="138">
        <f>1/2*Superpositioning!$C$22*(B42/1000)^2+Superpositioning!$C$6*((B42-B$14)/1000)+Superpositioning!$C$15*((B42-B$25)/1000)+Superpositioning!$C$9*((B42-B$31)/1000)+Superpositioning!$C$25*((B42-B$37)/1000)</f>
        <v>42.716725321233277</v>
      </c>
      <c r="P42" s="138">
        <f>1/2*Superpositioning!$D$22*(B42/1000)^2+Superpositioning!$D$6*((B42-B$14)/1000)+Superpositioning!$D$15*((B42-B$25)/1000)+Superpositioning!$D$9*((B42-B$31)/1000)+Superpositioning!$D$25*((B42-B$37)/1000)</f>
        <v>9.111318499966977</v>
      </c>
      <c r="Q42" s="139">
        <f>'Aileron torsion'!$B$21*$B42/1000+'Aileron torsion'!$B$22+'Aileron torsion'!$B$23</f>
        <v>7.1089036539175865E-2</v>
      </c>
    </row>
    <row r="43" spans="1:17" x14ac:dyDescent="0.2">
      <c r="A43">
        <v>6</v>
      </c>
      <c r="B43" s="136">
        <f>B42+('Aileron shear'!$B$6-Input!$C$7*10/2)/10</f>
        <v>2177</v>
      </c>
      <c r="C43" s="137">
        <f>Superpositioning!$C$20*$B43/1000+Superpositioning!$C$4+Superpositioning!$C$7+Superpositioning!$C$13+Superpositioning!$C$23</f>
        <v>-9.0136155780716223</v>
      </c>
      <c r="D43" s="138">
        <f>Superpositioning!$D$20*$B43/1000+Superpositioning!$D$4+Superpositioning!$D$7+Superpositioning!$D$13+Superpositioning!$D$23</f>
        <v>-19.660091269898313</v>
      </c>
      <c r="E43" s="138">
        <f>1/2*Superpositioning!$C$20*(B43/1000)^2+Superpositioning!$C$4*((B43-B$14)/1000)+Superpositioning!$C$13*((B43-B$25)/1000)+Superpositioning!$C$7*((B43-B$31)/1000)+Superpositioning!$C$23*((B43-B$37)/1000)</f>
        <v>4.5428622513481116</v>
      </c>
      <c r="F43" s="138">
        <f>1/2*Superpositioning!$D$20*(B43/1000)^2+Superpositioning!$D$4*((B43-B$14)/1000)+Superpositioning!$D$13*((B43-B$25)/1000)+Superpositioning!$D$7*((B43-B$31)/1000)+Superpositioning!$D$23*((B43-B$25)/1000)</f>
        <v>10.465685740028746</v>
      </c>
      <c r="G43" s="139">
        <f>'Aileron torsion'!$B$11*$B43/1000+'Aileron torsion'!$B$12+'Aileron torsion'!$B$13</f>
        <v>6.5252385000000857E-2</v>
      </c>
      <c r="H43" s="137">
        <f>Superpositioning!$C$21*$B43/1000+Superpositioning!$C$5+Superpositioning!$C$8+Superpositioning!$C$14+Superpositioning!$C$24</f>
        <v>51.239003641611717</v>
      </c>
      <c r="I43" s="138">
        <f>Superpositioning!$D$21*$B43/1000+Superpositioning!$D$5+Superpositioning!$D$8+Superpositioning!$D$14+Superpositioning!$D$24</f>
        <v>-21.621681980757991</v>
      </c>
      <c r="J43" s="138">
        <f>1/2*Superpositioning!$C$21*(B43/1000)^2+Superpositioning!$C$5*((B43-B$14)/1000)+Superpositioning!$C$14*((B43-B$25)/1000)+Superpositioning!$C$8*((B43-B$31)/1000)+Superpositioning!$C$24*((B43-B$37)/1000)</f>
        <v>-26.068630450157308</v>
      </c>
      <c r="K43" s="138">
        <f>1/2*Superpositioning!$D$21*(B43/1000)^2+Superpositioning!$D$5*((B43-B$14)/1000)+Superpositioning!$D$14*((B43-B$25)/1000)+Superpositioning!$D$8*((B43-B$31)/1000)+Superpositioning!$D$24*((B43-B$37)/1000)</f>
        <v>11.397955768404188</v>
      </c>
      <c r="L43" s="139">
        <f>'Aileron torsion'!$B$16*$B43/1000+'Aileron torsion'!$B$17+'Aileron torsion'!$B$18</f>
        <v>5.8648455144821199E-2</v>
      </c>
      <c r="M43" s="137">
        <f>Superpositioning!$C$22*$B43/1000+Superpositioning!$C$6+Superpositioning!$C$9+Superpositioning!$C$15+Superpositioning!$C$25</f>
        <v>-67.44177167601211</v>
      </c>
      <c r="N43" s="138">
        <f>Superpositioning!$D$22*$B43/1000+Superpositioning!$D$6+Superpositioning!$D$9+Superpositioning!$D$15+Superpositioning!$D$25</f>
        <v>-13.719063985407679</v>
      </c>
      <c r="O43" s="138">
        <f>1/2*Superpositioning!$C$22*(B43/1000)^2+Superpositioning!$C$6*((B43-B$14)/1000)+Superpositioning!$C$15*((B43-B$25)/1000)+Superpositioning!$C$9*((B43-B$31)/1000)+Superpositioning!$C$25*((B43-B$37)/1000)</f>
        <v>34.234825539495127</v>
      </c>
      <c r="P43" s="138">
        <f>1/2*Superpositioning!$D$22*(B43/1000)^2+Superpositioning!$D$6*((B43-B$14)/1000)+Superpositioning!$D$15*((B43-B$25)/1000)+Superpositioning!$D$9*((B43-B$31)/1000)+Superpositioning!$D$25*((B43-B$37)/1000)</f>
        <v>7.4150362987476512</v>
      </c>
      <c r="Q43" s="139">
        <f>'Aileron torsion'!$B$21*$B43/1000+'Aileron torsion'!$B$22+'Aileron torsion'!$B$23</f>
        <v>5.8648455144821199E-2</v>
      </c>
    </row>
    <row r="44" spans="1:17" x14ac:dyDescent="0.2">
      <c r="A44">
        <v>7</v>
      </c>
      <c r="B44" s="136">
        <f>B43+('Aileron shear'!$B$6-Input!$C$7*10/2)/10</f>
        <v>2303</v>
      </c>
      <c r="C44" s="137">
        <f>Superpositioning!$C$20*$B44/1000+Superpositioning!$C$4+Superpositioning!$C$7+Superpositioning!$C$13+Superpositioning!$C$23</f>
        <v>-9.0136155780716223</v>
      </c>
      <c r="D44" s="138">
        <f>Superpositioning!$D$20*$B44/1000+Superpositioning!$D$4+Superpositioning!$D$7+Superpositioning!$D$13+Superpositioning!$D$23</f>
        <v>-20.230871269898309</v>
      </c>
      <c r="E44" s="138">
        <f>1/2*Superpositioning!$C$20*(B44/1000)^2+Superpositioning!$C$4*((B44-B$14)/1000)+Superpositioning!$C$13*((B44-B$25)/1000)+Superpositioning!$C$7*((B44-B$31)/1000)+Superpositioning!$C$23*((B44-B$37)/1000)</f>
        <v>3.4071466885110766</v>
      </c>
      <c r="F44" s="138">
        <f>1/2*Superpositioning!$D$20*(B44/1000)^2+Superpositioning!$D$4*((B44-B$14)/1000)+Superpositioning!$D$13*((B44-B$25)/1000)+Superpositioning!$D$7*((B44-B$31)/1000)+Superpositioning!$D$23*((B44-B$25)/1000)</f>
        <v>7.9525551000215629</v>
      </c>
      <c r="G44" s="139">
        <f>'Aileron torsion'!$B$11*$B44/1000+'Aileron torsion'!$B$12+'Aileron torsion'!$B$13</f>
        <v>5.1410970000000944E-2</v>
      </c>
      <c r="H44" s="137">
        <f>Superpositioning!$C$21*$B44/1000+Superpositioning!$C$5+Superpositioning!$C$8+Superpositioning!$C$14+Superpositioning!$C$24</f>
        <v>51.489217124775976</v>
      </c>
      <c r="I44" s="138">
        <f>Superpositioning!$D$21*$B44/1000+Superpositioning!$D$5+Superpositioning!$D$8+Superpositioning!$D$14+Superpositioning!$D$24</f>
        <v>-22.134695646504628</v>
      </c>
      <c r="J44" s="138">
        <f>1/2*Superpositioning!$C$21*(B44/1000)^2+Superpositioning!$C$5*((B44-B$14)/1000)+Superpositioning!$C$14*((B44-B$25)/1000)+Superpositioning!$C$8*((B44-B$31)/1000)+Superpositioning!$C$24*((B44-B$37)/1000)</f>
        <v>-19.59675254187492</v>
      </c>
      <c r="K44" s="138">
        <f>1/2*Superpositioning!$D$21*(B44/1000)^2+Superpositioning!$D$5*((B44-B$14)/1000)+Superpositioning!$D$14*((B44-B$25)/1000)+Superpositioning!$D$8*((B44-B$31)/1000)+Superpositioning!$D$24*((B44-B$37)/1000)</f>
        <v>8.6413039778866576</v>
      </c>
      <c r="L44" s="139">
        <f>'Aileron torsion'!$B$16*$B44/1000+'Aileron torsion'!$B$17+'Aileron torsion'!$B$18</f>
        <v>4.6207873750464756E-2</v>
      </c>
      <c r="M44" s="137">
        <f>Superpositioning!$C$22*$B44/1000+Superpositioning!$C$6+Superpositioning!$C$9+Superpositioning!$C$15+Superpositioning!$C$25</f>
        <v>-67.691985159176383</v>
      </c>
      <c r="N44" s="138">
        <f>Superpositioning!$D$22*$B44/1000+Superpositioning!$D$6+Superpositioning!$D$9+Superpositioning!$D$15+Superpositioning!$D$25</f>
        <v>-14.232077651154313</v>
      </c>
      <c r="O44" s="138">
        <f>1/2*Superpositioning!$C$22*(B44/1000)^2+Superpositioning!$C$6*((B44-B$14)/1000)+Superpositioning!$C$15*((B44-B$25)/1000)+Superpositioning!$C$9*((B44-B$31)/1000)+Superpositioning!$C$25*((B44-B$37)/1000)</f>
        <v>25.721398858878189</v>
      </c>
      <c r="P44" s="138">
        <f>1/2*Superpositioning!$D$22*(B44/1000)^2+Superpositioning!$D$6*((B44-B$14)/1000)+Superpositioning!$D$15*((B44-B$25)/1000)+Superpositioning!$D$9*((B44-B$31)/1000)+Superpositioning!$D$25*((B44-B$37)/1000)</f>
        <v>5.654114375644248</v>
      </c>
      <c r="Q44" s="139">
        <f>'Aileron torsion'!$B$21*$B44/1000+'Aileron torsion'!$B$22+'Aileron torsion'!$B$23</f>
        <v>4.6207873750464756E-2</v>
      </c>
    </row>
    <row r="45" spans="1:17" x14ac:dyDescent="0.2">
      <c r="A45">
        <v>8</v>
      </c>
      <c r="B45" s="136">
        <f>B44+('Aileron shear'!$B$6-Input!$C$7*10/2)/10</f>
        <v>2429</v>
      </c>
      <c r="C45" s="137">
        <f>Superpositioning!$C$20*$B45/1000+Superpositioning!$C$4+Superpositioning!$C$7+Superpositioning!$C$13+Superpositioning!$C$23</f>
        <v>-9.0136155780716223</v>
      </c>
      <c r="D45" s="138">
        <f>Superpositioning!$D$20*$B45/1000+Superpositioning!$D$4+Superpositioning!$D$7+Superpositioning!$D$13+Superpositioning!$D$23</f>
        <v>-20.801651269898311</v>
      </c>
      <c r="E45" s="138">
        <f>1/2*Superpositioning!$C$20*(B45/1000)^2+Superpositioning!$C$4*((B45-B$14)/1000)+Superpositioning!$C$13*((B45-B$25)/1000)+Superpositioning!$C$7*((B45-B$31)/1000)+Superpositioning!$C$23*((B45-B$37)/1000)</f>
        <v>2.27143112567407</v>
      </c>
      <c r="F45" s="138">
        <f>1/2*Superpositioning!$D$20*(B45/1000)^2+Superpositioning!$D$4*((B45-B$14)/1000)+Superpositioning!$D$13*((B45-B$25)/1000)+Superpositioning!$D$7*((B45-B$31)/1000)+Superpositioning!$D$23*((B45-B$25)/1000)</f>
        <v>5.3675061800143737</v>
      </c>
      <c r="G45" s="139">
        <f>'Aileron torsion'!$B$11*$B45/1000+'Aileron torsion'!$B$12+'Aileron torsion'!$B$13</f>
        <v>3.7569555000001031E-2</v>
      </c>
      <c r="H45" s="137">
        <f>Superpositioning!$C$21*$B45/1000+Superpositioning!$C$5+Superpositioning!$C$8+Superpositioning!$C$14+Superpositioning!$C$24</f>
        <v>51.739430607940236</v>
      </c>
      <c r="I45" s="138">
        <f>Superpositioning!$D$21*$B45/1000+Superpositioning!$D$5+Superpositioning!$D$8+Superpositioning!$D$14+Superpositioning!$D$24</f>
        <v>-22.647709312251266</v>
      </c>
      <c r="J45" s="138">
        <f>1/2*Superpositioning!$C$21*(B45/1000)^2+Superpositioning!$C$5*((B45-B$14)/1000)+Superpositioning!$C$14*((B45-B$25)/1000)+Superpositioning!$C$8*((B45-B$31)/1000)+Superpositioning!$C$24*((B45-B$37)/1000)</f>
        <v>-13.093347734713788</v>
      </c>
      <c r="K45" s="138">
        <f>1/2*Superpositioning!$D$21*(B45/1000)^2+Superpositioning!$D$5*((B45-B$14)/1000)+Superpositioning!$D$14*((B45-B$25)/1000)+Superpositioning!$D$8*((B45-B$31)/1000)+Superpositioning!$D$24*((B45-B$37)/1000)</f>
        <v>5.8200124654850285</v>
      </c>
      <c r="L45" s="139">
        <f>'Aileron torsion'!$B$16*$B45/1000+'Aileron torsion'!$B$17+'Aileron torsion'!$B$18</f>
        <v>3.3767292356108314E-2</v>
      </c>
      <c r="M45" s="137">
        <f>Superpositioning!$C$22*$B45/1000+Superpositioning!$C$6+Superpositioning!$C$9+Superpositioning!$C$15+Superpositioning!$C$25</f>
        <v>-67.942198642340657</v>
      </c>
      <c r="N45" s="138">
        <f>Superpositioning!$D$22*$B45/1000+Superpositioning!$D$6+Superpositioning!$D$9+Superpositioning!$D$15+Superpositioning!$D$25</f>
        <v>-14.745091316900954</v>
      </c>
      <c r="O45" s="138">
        <f>1/2*Superpositioning!$C$22*(B45/1000)^2+Superpositioning!$C$6*((B45-B$14)/1000)+Superpositioning!$C$15*((B45-B$25)/1000)+Superpositioning!$C$9*((B45-B$31)/1000)+Superpositioning!$C$25*((B45-B$37)/1000)</f>
        <v>17.176445279382676</v>
      </c>
      <c r="P45" s="138">
        <f>1/2*Superpositioning!$D$22*(B45/1000)^2+Superpositioning!$D$6*((B45-B$14)/1000)+Superpositioning!$D$15*((B45-B$25)/1000)+Superpositioning!$D$9*((B45-B$31)/1000)+Superpositioning!$D$25*((B45-B$37)/1000)</f>
        <v>3.8285527306567744</v>
      </c>
      <c r="Q45" s="139">
        <f>'Aileron torsion'!$B$21*$B45/1000+'Aileron torsion'!$B$22+'Aileron torsion'!$B$23</f>
        <v>3.3767292356108314E-2</v>
      </c>
    </row>
    <row r="46" spans="1:17" x14ac:dyDescent="0.2">
      <c r="A46">
        <v>9</v>
      </c>
      <c r="B46" s="136">
        <f>B45+('Aileron shear'!$B$6-Input!$C$7*10/2)/10</f>
        <v>2555</v>
      </c>
      <c r="C46" s="137">
        <f>Superpositioning!$C$20*$B46/1000+Superpositioning!$C$4+Superpositioning!$C$7+Superpositioning!$C$13+Superpositioning!$C$23</f>
        <v>-9.0136155780716223</v>
      </c>
      <c r="D46" s="138">
        <f>Superpositioning!$D$20*$B46/1000+Superpositioning!$D$4+Superpositioning!$D$7+Superpositioning!$D$13+Superpositioning!$D$23</f>
        <v>-21.372431269898314</v>
      </c>
      <c r="E46" s="138">
        <f>1/2*Superpositioning!$C$20*(B46/1000)^2+Superpositioning!$C$4*((B46-B$14)/1000)+Superpositioning!$C$13*((B46-B$25)/1000)+Superpositioning!$C$7*((B46-B$31)/1000)+Superpositioning!$C$23*((B46-B$37)/1000)</f>
        <v>1.135715562837035</v>
      </c>
      <c r="F46" s="138">
        <f>1/2*Superpositioning!$D$20*(B46/1000)^2+Superpositioning!$D$4*((B46-B$14)/1000)+Superpositioning!$D$13*((B46-B$25)/1000)+Superpositioning!$D$7*((B46-B$31)/1000)+Superpositioning!$D$23*((B46-B$25)/1000)</f>
        <v>2.7105389800071862</v>
      </c>
      <c r="G46" s="139">
        <f>'Aileron torsion'!$B$11*$B46/1000+'Aileron torsion'!$B$12+'Aileron torsion'!$B$13</f>
        <v>2.3728139999999343E-2</v>
      </c>
      <c r="H46" s="137">
        <f>Superpositioning!$C$21*$B46/1000+Superpositioning!$C$5+Superpositioning!$C$8+Superpositioning!$C$14+Superpositioning!$C$24</f>
        <v>51.989644091104495</v>
      </c>
      <c r="I46" s="138">
        <f>Superpositioning!$D$21*$B46/1000+Superpositioning!$D$5+Superpositioning!$D$8+Superpositioning!$D$14+Superpositioning!$D$24</f>
        <v>-23.160722977997906</v>
      </c>
      <c r="J46" s="138">
        <f>1/2*Superpositioning!$C$21*(B46/1000)^2+Superpositioning!$C$5*((B46-B$14)/1000)+Superpositioning!$C$14*((B46-B$25)/1000)+Superpositioning!$C$8*((B46-B$31)/1000)+Superpositioning!$C$24*((B46-B$37)/1000)</f>
        <v>-6.5584160286739746</v>
      </c>
      <c r="K46" s="138">
        <f>1/2*Superpositioning!$D$21*(B46/1000)^2+Superpositioning!$D$5*((B46-B$14)/1000)+Superpositioning!$D$14*((B46-B$25)/1000)+Superpositioning!$D$8*((B46-B$31)/1000)+Superpositioning!$D$24*((B46-B$37)/1000)</f>
        <v>2.934081231199329</v>
      </c>
      <c r="L46" s="139">
        <f>'Aileron torsion'!$B$16*$B46/1000+'Aileron torsion'!$B$17+'Aileron torsion'!$B$18</f>
        <v>2.1326710961753648E-2</v>
      </c>
      <c r="M46" s="137">
        <f>Superpositioning!$C$22*$B46/1000+Superpositioning!$C$6+Superpositioning!$C$9+Superpositioning!$C$15+Superpositioning!$C$25</f>
        <v>-68.192412125504916</v>
      </c>
      <c r="N46" s="138">
        <f>Superpositioning!$D$22*$B46/1000+Superpositioning!$D$6+Superpositioning!$D$9+Superpositioning!$D$15+Superpositioning!$D$25</f>
        <v>-15.258104982647595</v>
      </c>
      <c r="O46" s="138">
        <f>1/2*Superpositioning!$C$22*(B46/1000)^2+Superpositioning!$C$6*((B46-B$14)/1000)+Superpositioning!$C$15*((B46-B$25)/1000)+Superpositioning!$C$9*((B46-B$31)/1000)+Superpositioning!$C$25*((B46-B$37)/1000)</f>
        <v>8.5999648010083973</v>
      </c>
      <c r="P46" s="138">
        <f>1/2*Superpositioning!$D$22*(B46/1000)^2+Superpositioning!$D$6*((B46-B$14)/1000)+Superpositioning!$D$15*((B46-B$25)/1000)+Superpositioning!$D$9*((B46-B$31)/1000)+Superpositioning!$D$25*((B46-B$37)/1000)</f>
        <v>1.9383513637852019</v>
      </c>
      <c r="Q46" s="139">
        <f>'Aileron torsion'!$B$21*$B46/1000+'Aileron torsion'!$B$22+'Aileron torsion'!$B$23</f>
        <v>2.1326710961753648E-2</v>
      </c>
    </row>
    <row r="47" spans="1:17" x14ac:dyDescent="0.2">
      <c r="A47">
        <v>10</v>
      </c>
      <c r="B47" s="136">
        <f>B46+('Aileron shear'!$B$6-Input!$C$7*10/2)/10</f>
        <v>2681</v>
      </c>
      <c r="C47" s="137">
        <f>Superpositioning!$C$20*$B47/1000+Superpositioning!$C$4+Superpositioning!$C$7+Superpositioning!$C$13+Superpositioning!$C$23</f>
        <v>-9.0136155780716223</v>
      </c>
      <c r="D47" s="138">
        <f>Superpositioning!$D$20*$B47/1000+Superpositioning!$D$4+Superpositioning!$D$7+Superpositioning!$D$13+Superpositioning!$D$23</f>
        <v>-21.943211269898313</v>
      </c>
      <c r="E47" s="138">
        <f>1/2*Superpositioning!$C$20*(B47/1000)^2+Superpositioning!$C$4*((B47-B$14)/1000)+Superpositioning!$C$13*((B47-B$25)/1000)+Superpositioning!$C$7*((B47-B$31)/1000)+Superpositioning!$C$23*((B47-B$37)/1000)</f>
        <v>0</v>
      </c>
      <c r="F47" s="138">
        <f>1/2*Superpositioning!$D$20*(B47/1000)^2+Superpositioning!$D$4*((B47-B$14)/1000)+Superpositioning!$D$13*((B47-B$25)/1000)+Superpositioning!$D$7*((B47-B$31)/1000)+Superpositioning!$D$23*((B47-B$25)/1000)</f>
        <v>-1.8346499999992716E-2</v>
      </c>
      <c r="G47" s="139">
        <f>'Aileron torsion'!$B$11*$B47/1000+'Aileron torsion'!$B$12+'Aileron torsion'!$B$13</f>
        <v>9.88672499999943E-3</v>
      </c>
      <c r="H47" s="137">
        <f>Superpositioning!$C$21*$B47/1000+Superpositioning!$C$5+Superpositioning!$C$8+Superpositioning!$C$14+Superpositioning!$C$24</f>
        <v>52.239857574268783</v>
      </c>
      <c r="I47" s="138">
        <f>Superpositioning!$D$21*$B47/1000+Superpositioning!$D$5+Superpositioning!$D$8+Superpositioning!$D$14+Superpositioning!$D$24</f>
        <v>-23.673736643744544</v>
      </c>
      <c r="J47" s="138">
        <f>1/2*Superpositioning!$C$21*(B47/1000)^2+Superpositioning!$C$5*((B47-B$14)/1000)+Superpositioning!$C$14*((B47-B$25)/1000)+Superpositioning!$C$8*((B47-B$31)/1000)+Superpositioning!$C$24*((B47-B$37)/1000)</f>
        <v>8.0425762445486271E-3</v>
      </c>
      <c r="K47" s="138">
        <f>1/2*Superpositioning!$D$21*(B47/1000)^2+Superpositioning!$D$5*((B47-B$14)/1000)+Superpositioning!$D$14*((B47-B$25)/1000)+Superpositioning!$D$8*((B47-B$31)/1000)+Superpositioning!$D$24*((B47-B$37)/1000)</f>
        <v>-1.6489724970440989E-2</v>
      </c>
      <c r="L47" s="139">
        <f>'Aileron torsion'!$B$16*$B47/1000+'Aileron torsion'!$B$17+'Aileron torsion'!$B$18</f>
        <v>8.8861295673972052E-3</v>
      </c>
      <c r="M47" s="137">
        <f>Superpositioning!$C$22*$B47/1000+Superpositioning!$C$6+Superpositioning!$C$9+Superpositioning!$C$15+Superpositioning!$C$25</f>
        <v>-68.442625608669189</v>
      </c>
      <c r="N47" s="138">
        <f>Superpositioning!$D$22*$B47/1000+Superpositioning!$D$6+Superpositioning!$D$9+Superpositioning!$D$15+Superpositioning!$D$25</f>
        <v>-15.771118648394236</v>
      </c>
      <c r="O47" s="138">
        <f>1/2*Superpositioning!$C$22*(B47/1000)^2+Superpositioning!$C$6*((B47-B$14)/1000)+Superpositioning!$C$15*((B47-B$25)/1000)+Superpositioning!$C$9*((B47-B$31)/1000)+Superpositioning!$C$25*((B47-B$37)/1000)</f>
        <v>-8.0425762445770488E-3</v>
      </c>
      <c r="P47" s="138">
        <f>1/2*Superpositioning!$D$22*(B47/1000)^2+Superpositioning!$D$6*((B47-B$14)/1000)+Superpositioning!$D$15*((B47-B$25)/1000)+Superpositioning!$D$9*((B47-B$31)/1000)+Superpositioning!$D$25*((B47-B$37)/1000)</f>
        <v>-1.6489724970426778E-2</v>
      </c>
      <c r="Q47" s="139">
        <f>'Aileron torsion'!$B$21*$B47/1000+'Aileron torsion'!$B$22+'Aileron torsion'!$B$23</f>
        <v>8.8861295673972052E-3</v>
      </c>
    </row>
    <row r="48" spans="1:17" x14ac:dyDescent="0.2">
      <c r="B48" s="103">
        <f>B47</f>
        <v>2681</v>
      </c>
      <c r="C48" s="45">
        <f>Superpositioning!$C$20*$B48/1000+Superpositioning!$C$4+Superpositioning!$C$7+Superpositioning!$C$10+Superpositioning!$C$13+Superpositioning!$C$23</f>
        <v>0</v>
      </c>
      <c r="D48" s="27">
        <f>Superpositioning!$D$20*$B48/1000+Superpositioning!$D$4+Superpositioning!$D$7+Superpositioning!$D$10+Superpositioning!$D$13+Superpositioning!$D$23</f>
        <v>0.4076999999999984</v>
      </c>
      <c r="E48" s="27">
        <f>1/2*Superpositioning!$C$20*(B48/1000)^2+Superpositioning!$C$4*((B48-B$14)/1000)+Superpositioning!$C$13*((B48-B$25)/1000)+Superpositioning!$C$7*((B48-B$31)/1000)+Superpositioning!$C$23*((B48-B$37)/1000)+Superpositioning!$C$10*((B48-B$48)/1000)</f>
        <v>0</v>
      </c>
      <c r="F48" s="27">
        <f>1/2*Superpositioning!$D$20*(B48/1000)^2+Superpositioning!$D$4*((B48-B$14)/1000)+Superpositioning!$D$13*((B48-B$25)/1000)+Superpositioning!$D$7*((B48-B$31)/1000)+Superpositioning!$D$23*((B48-B$25)/1000)+Superpositioning!$D$10*((B48-B$48)/1000)</f>
        <v>-1.8346499999992716E-2</v>
      </c>
      <c r="G48" s="46">
        <f>'Aileron torsion'!$B$11*$B48/1000+'Aileron torsion'!$B$12+'Aileron torsion'!$B$13</f>
        <v>9.88672499999943E-3</v>
      </c>
      <c r="H48" s="45">
        <f>Superpositioning!$C$21*$B48/1000+Superpositioning!$C$5+Superpositioning!$C$8+Superpositioning!$C$11+Superpositioning!$C$14+Superpositioning!$C$24</f>
        <v>-0.17872391654591979</v>
      </c>
      <c r="I48" s="27">
        <f>Superpositioning!$D$21*$B48/1000+Superpositioning!$D$5+Superpositioning!$D$8+Superpositioning!$D$11+Superpositioning!$D$14+Superpositioning!$D$24</f>
        <v>0.36643833267616799</v>
      </c>
      <c r="J48" s="27">
        <f>1/2*Superpositioning!$C$21*(B48/1000)^2+Superpositioning!$C$5*((B48-B$14)/1000)+Superpositioning!$C$14*((B48-B$25)/1000)+Superpositioning!$C$8*((B48-B$31)/1000)+Superpositioning!$C$24*((B48-B$37)/1000)+Superpositioning!$C$11*((B48-B$48)/1000)</f>
        <v>8.0425762445486271E-3</v>
      </c>
      <c r="K48" s="27">
        <f>1/2*Superpositioning!$D$21*(B48/1000)^2+Superpositioning!$D$5*((B48-B$14)/1000)+Superpositioning!$D$14*((B48-B$25)/1000)+Superpositioning!$D$8*((B48-B$31)/1000)+Superpositioning!$D$24*((B48-B$37)/1000)+Superpositioning!$D$11*((B48-B$48)/1000)</f>
        <v>-1.6489724970440989E-2</v>
      </c>
      <c r="L48" s="46">
        <f>'Aileron torsion'!$B$16*$B48/1000+'Aileron torsion'!$B$17+'Aileron torsion'!$B$18</f>
        <v>8.8861295673972052E-3</v>
      </c>
      <c r="M48" s="45">
        <f>Superpositioning!$C$22*$B48/1000+Superpositioning!$C$6+Superpositioning!$C$9+Superpositioning!$C$12+Superpositioning!$C$15+Superpositioning!$C$25</f>
        <v>0.17872391654591979</v>
      </c>
      <c r="N48" s="27">
        <f>Superpositioning!$D$22*$B48/1000+Superpositioning!$D$6+Superpositioning!$D$9+Superpositioning!$D$12+Superpositioning!$D$15+Superpositioning!$D$25</f>
        <v>0.36643833267616799</v>
      </c>
      <c r="O48" s="27">
        <f>1/2*Superpositioning!$C$22*(B48/1000)^2+Superpositioning!$C$6*((B48-B$14)/1000)+Superpositioning!$C$15*((B48-B$25)/1000)+Superpositioning!$C$9*((B48-B$31)/1000)+Superpositioning!$C$25*((B48-B$37)/1000)+Superpositioning!$C$12*((B48-B$48)/1000)</f>
        <v>-8.0425762445770488E-3</v>
      </c>
      <c r="P48" s="27">
        <f>1/2*Superpositioning!$D$22*(B48/1000)^2+Superpositioning!$D$6*((B48-B$14)/1000)+Superpositioning!$D$15*((B48-B$25)/1000)+Superpositioning!$D$9*((B48-B$31)/1000)+Superpositioning!$D$25*((B48-B$37)/1000)+Superpositioning!$D$12*((B48-B$48)/1000)</f>
        <v>-1.6489724970426778E-2</v>
      </c>
      <c r="Q48" s="46">
        <f>'Aileron torsion'!$B$21*$B48/1000+'Aileron torsion'!$B$22+'Aileron torsion'!$B$23</f>
        <v>8.8861295673972052E-3</v>
      </c>
    </row>
    <row r="49" spans="1:17" x14ac:dyDescent="0.2">
      <c r="A49">
        <v>1</v>
      </c>
      <c r="B49" s="103">
        <f>B48+'Aileron shear'!$B$7/5</f>
        <v>2699</v>
      </c>
      <c r="C49" s="45">
        <f>Superpositioning!$C$20*$B49/1000+Superpositioning!$C$4+Superpositioning!$C$7+Superpositioning!$C$10+Superpositioning!$C$13+Superpositioning!$C$23</f>
        <v>0</v>
      </c>
      <c r="D49" s="27">
        <f>Superpositioning!$D$20*$B49/1000+Superpositioning!$D$4+Superpositioning!$D$7+Superpositioning!$D$10+Superpositioning!$D$13+Superpositioning!$D$23</f>
        <v>0.32616000000000156</v>
      </c>
      <c r="E49" s="27">
        <f>1/2*Superpositioning!$C$20*(B49/1000)^2+Superpositioning!$C$4*((B49-B$14)/1000)+Superpositioning!$C$13*((B49-B$25)/1000)+Superpositioning!$C$7*((B49-B$31)/1000)+Superpositioning!$C$23*((B49-B$37)/1000)+Superpositioning!$C$10*((B49-B$48)/1000)</f>
        <v>4.6074255521943996E-15</v>
      </c>
      <c r="F49" s="27">
        <f>1/2*Superpositioning!$D$20*(B49/1000)^2+Superpositioning!$D$4*((B49-B$14)/1000)+Superpositioning!$D$13*((B49-B$25)/1000)+Superpositioning!$D$7*((B49-B$31)/1000)+Superpositioning!$D$23*((B49-B$25)/1000)+Superpositioning!$D$10*((B49-B$48)/1000)</f>
        <v>-1.1741759999998991E-2</v>
      </c>
      <c r="G49" s="46">
        <f>'Aileron torsion'!$B$11*$B49/1000+'Aileron torsion'!$B$12+'Aileron torsion'!$B$13</f>
        <v>7.9093800000009651E-3</v>
      </c>
      <c r="H49" s="45">
        <f>Superpositioning!$C$21*$B49/1000+Superpositioning!$C$5+Superpositioning!$C$8+Superpositioning!$C$11+Superpositioning!$C$14+Superpositioning!$C$24</f>
        <v>-0.14297913323675004</v>
      </c>
      <c r="I49" s="27">
        <f>Superpositioning!$D$21*$B49/1000+Superpositioning!$D$5+Superpositioning!$D$8+Superpositioning!$D$11+Superpositioning!$D$14+Superpositioning!$D$24</f>
        <v>0.29315066614093155</v>
      </c>
      <c r="J49" s="27">
        <f>1/2*Superpositioning!$C$21*(B49/1000)^2+Superpositioning!$C$5*((B49-B$14)/1000)+Superpositioning!$C$14*((B49-B$25)/1000)+Superpositioning!$C$8*((B49-B$31)/1000)+Superpositioning!$C$24*((B49-B$37)/1000)+Superpositioning!$C$11*((B49-B$48)/1000)</f>
        <v>5.1472487965027458E-3</v>
      </c>
      <c r="K49" s="27">
        <f>1/2*Superpositioning!$D$21*(B49/1000)^2+Superpositioning!$D$5*((B49-B$14)/1000)+Superpositioning!$D$14*((B49-B$25)/1000)+Superpositioning!$D$8*((B49-B$31)/1000)+Superpositioning!$D$24*((B49-B$37)/1000)+Superpositioning!$D$11*((B49-B$48)/1000)</f>
        <v>-1.0553423981072119E-2</v>
      </c>
      <c r="L49" s="46">
        <f>'Aileron torsion'!$B$16*$B49/1000+'Aileron torsion'!$B$17+'Aileron torsion'!$B$18</f>
        <v>7.1089036539166983E-3</v>
      </c>
      <c r="M49" s="45">
        <f>Superpositioning!$C$22*$B49/1000+Superpositioning!$C$6+Superpositioning!$C$9+Superpositioning!$C$12+Superpositioning!$C$15+Superpositioning!$C$25</f>
        <v>0.14297913323673583</v>
      </c>
      <c r="N49" s="27">
        <f>Superpositioning!$D$22*$B49/1000+Superpositioning!$D$6+Superpositioning!$D$9+Superpositioning!$D$12+Superpositioning!$D$15+Superpositioning!$D$25</f>
        <v>0.29315066614093865</v>
      </c>
      <c r="O49" s="27">
        <f>1/2*Superpositioning!$C$22*(B49/1000)^2+Superpositioning!$C$6*((B49-B$14)/1000)+Superpositioning!$C$15*((B49-B$25)/1000)+Superpositioning!$C$9*((B49-B$31)/1000)+Superpositioning!$C$25*((B49-B$37)/1000)+Superpositioning!$C$12*((B49-B$48)/1000)</f>
        <v>-5.1472487965942282E-3</v>
      </c>
      <c r="P49" s="27">
        <f>1/2*Superpositioning!$D$22*(B49/1000)^2+Superpositioning!$D$6*((B49-B$14)/1000)+Superpositioning!$D$15*((B49-B$25)/1000)+Superpositioning!$D$9*((B49-B$31)/1000)+Superpositioning!$D$25*((B49-B$37)/1000)+Superpositioning!$D$12*((B49-B$48)/1000)</f>
        <v>-1.0553423981093046E-2</v>
      </c>
      <c r="Q49" s="46">
        <f>'Aileron torsion'!$B$21*$B49/1000+'Aileron torsion'!$B$22+'Aileron torsion'!$B$23</f>
        <v>7.1089036539166983E-3</v>
      </c>
    </row>
    <row r="50" spans="1:17" x14ac:dyDescent="0.2">
      <c r="A50">
        <v>2</v>
      </c>
      <c r="B50" s="103">
        <f>B49+'Aileron shear'!$B$7/5</f>
        <v>2717</v>
      </c>
      <c r="C50" s="45">
        <f>Superpositioning!$C$20*$B50/1000+Superpositioning!$C$4+Superpositioning!$C$7+Superpositioning!$C$10+Superpositioning!$C$13+Superpositioning!$C$23</f>
        <v>0</v>
      </c>
      <c r="D50" s="27">
        <f>Superpositioning!$D$20*$B50/1000+Superpositioning!$D$4+Superpositioning!$D$7+Superpositioning!$D$10+Superpositioning!$D$13+Superpositioning!$D$23</f>
        <v>0.24462000000000117</v>
      </c>
      <c r="E50" s="27">
        <f>1/2*Superpositioning!$C$20*(B50/1000)^2+Superpositioning!$C$4*((B50-B$14)/1000)+Superpositioning!$C$13*((B50-B$25)/1000)+Superpositioning!$C$7*((B50-B$31)/1000)+Superpositioning!$C$23*((B50-B$37)/1000)+Superpositioning!$C$10*((B50-B$48)/1000)</f>
        <v>2.3425705819590803E-14</v>
      </c>
      <c r="F50" s="27">
        <f>1/2*Superpositioning!$D$20*(B50/1000)^2+Superpositioning!$D$4*((B50-B$14)/1000)+Superpositioning!$D$13*((B50-B$25)/1000)+Superpositioning!$D$7*((B50-B$31)/1000)+Superpositioning!$D$23*((B50-B$25)/1000)+Superpositioning!$D$10*((B50-B$48)/1000)</f>
        <v>-6.6047400000061041E-3</v>
      </c>
      <c r="G50" s="46">
        <f>'Aileron torsion'!$B$11*$B50/1000+'Aileron torsion'!$B$12+'Aileron torsion'!$B$13</f>
        <v>5.9320350000007238E-3</v>
      </c>
      <c r="H50" s="45">
        <f>Superpositioning!$C$21*$B50/1000+Superpositioning!$C$5+Superpositioning!$C$8+Superpositioning!$C$11+Superpositioning!$C$14+Superpositioning!$C$24</f>
        <v>-0.10723434992756609</v>
      </c>
      <c r="I50" s="27">
        <f>Superpositioning!$D$21*$B50/1000+Superpositioning!$D$5+Superpositioning!$D$8+Superpositioning!$D$11+Superpositioning!$D$14+Superpositioning!$D$24</f>
        <v>0.21986299960569511</v>
      </c>
      <c r="J50" s="27">
        <f>1/2*Superpositioning!$C$21*(B50/1000)^2+Superpositioning!$C$5*((B50-B$14)/1000)+Superpositioning!$C$14*((B50-B$25)/1000)+Superpositioning!$C$8*((B50-B$31)/1000)+Superpositioning!$C$24*((B50-B$37)/1000)+Superpositioning!$C$11*((B50-B$48)/1000)</f>
        <v>2.8953274480127966E-3</v>
      </c>
      <c r="K50" s="27">
        <f>1/2*Superpositioning!$D$21*(B50/1000)^2+Superpositioning!$D$5*((B50-B$14)/1000)+Superpositioning!$D$14*((B50-B$25)/1000)+Superpositioning!$D$8*((B50-B$31)/1000)+Superpositioning!$D$24*((B50-B$37)/1000)+Superpositioning!$D$11*((B50-B$48)/1000)</f>
        <v>-5.936300989361265E-3</v>
      </c>
      <c r="L50" s="46">
        <f>'Aileron torsion'!$B$16*$B50/1000+'Aileron torsion'!$B$17+'Aileron torsion'!$B$18</f>
        <v>5.3316777404379678E-3</v>
      </c>
      <c r="M50" s="45">
        <f>Superpositioning!$C$22*$B50/1000+Superpositioning!$C$6+Superpositioning!$C$9+Superpositioning!$C$12+Superpositioning!$C$15+Superpositioning!$C$25</f>
        <v>0.10723434992755188</v>
      </c>
      <c r="N50" s="27">
        <f>Superpositioning!$D$22*$B50/1000+Superpositioning!$D$6+Superpositioning!$D$9+Superpositioning!$D$12+Superpositioning!$D$15+Superpositioning!$D$25</f>
        <v>0.21986299960570221</v>
      </c>
      <c r="O50" s="27">
        <f>1/2*Superpositioning!$C$22*(B50/1000)^2+Superpositioning!$C$6*((B50-B$14)/1000)+Superpositioning!$C$15*((B50-B$25)/1000)+Superpositioning!$C$9*((B50-B$31)/1000)+Superpositioning!$C$25*((B50-B$37)/1000)+Superpositioning!$C$12*((B50-B$48)/1000)</f>
        <v>-2.8953274480536528E-3</v>
      </c>
      <c r="P50" s="27">
        <f>1/2*Superpositioning!$D$22*(B50/1000)^2+Superpositioning!$D$6*((B50-B$14)/1000)+Superpositioning!$D$15*((B50-B$25)/1000)+Superpositioning!$D$9*((B50-B$31)/1000)+Superpositioning!$D$25*((B50-B$37)/1000)+Superpositioning!$D$12*((B50-B$48)/1000)</f>
        <v>-5.9363009893533825E-3</v>
      </c>
      <c r="Q50" s="46">
        <f>'Aileron torsion'!$B$21*$B50/1000+'Aileron torsion'!$B$22+'Aileron torsion'!$B$23</f>
        <v>5.3316777404379678E-3</v>
      </c>
    </row>
    <row r="51" spans="1:17" x14ac:dyDescent="0.2">
      <c r="A51">
        <v>3</v>
      </c>
      <c r="B51" s="103">
        <f>B50+'Aileron shear'!$B$7/5</f>
        <v>2735</v>
      </c>
      <c r="C51" s="45">
        <f>Superpositioning!$C$20*$B51/1000+Superpositioning!$C$4+Superpositioning!$C$7+Superpositioning!$C$10+Superpositioning!$C$13+Superpositioning!$C$23</f>
        <v>0</v>
      </c>
      <c r="D51" s="27">
        <f>Superpositioning!$D$20*$B51/1000+Superpositioning!$D$4+Superpositioning!$D$7+Superpositioning!$D$10+Superpositioning!$D$13+Superpositioning!$D$23</f>
        <v>0.16308000000000078</v>
      </c>
      <c r="E51" s="27">
        <f>1/2*Superpositioning!$C$20*(B51/1000)^2+Superpositioning!$C$4*((B51-B$14)/1000)+Superpositioning!$C$13*((B51-B$25)/1000)+Superpositioning!$C$7*((B51-B$31)/1000)+Superpositioning!$C$23*((B51-B$37)/1000)+Superpositioning!$C$10*((B51-B$48)/1000)</f>
        <v>0</v>
      </c>
      <c r="F51" s="27">
        <f>1/2*Superpositioning!$D$20*(B51/1000)^2+Superpositioning!$D$4*((B51-B$14)/1000)+Superpositioning!$D$13*((B51-B$25)/1000)+Superpositioning!$D$7*((B51-B$31)/1000)+Superpositioning!$D$23*((B51-B$25)/1000)+Superpositioning!$D$10*((B51-B$48)/1000)</f>
        <v>-2.9354400000067837E-3</v>
      </c>
      <c r="G51" s="46">
        <f>'Aileron torsion'!$B$11*$B51/1000+'Aileron torsion'!$B$12+'Aileron torsion'!$B$13</f>
        <v>3.9546900000004825E-3</v>
      </c>
      <c r="H51" s="45">
        <f>Superpositioning!$C$21*$B51/1000+Superpositioning!$C$5+Superpositioning!$C$8+Superpositioning!$C$11+Superpositioning!$C$14+Superpositioning!$C$24</f>
        <v>-7.1489566618382128E-2</v>
      </c>
      <c r="I51" s="27">
        <f>Superpositioning!$D$21*$B51/1000+Superpositioning!$D$5+Superpositioning!$D$8+Superpositioning!$D$11+Superpositioning!$D$14+Superpositioning!$D$24</f>
        <v>0.14657533307045867</v>
      </c>
      <c r="J51" s="27">
        <f>1/2*Superpositioning!$C$21*(B51/1000)^2+Superpositioning!$C$5*((B51-B$14)/1000)+Superpositioning!$C$14*((B51-B$25)/1000)+Superpositioning!$C$8*((B51-B$31)/1000)+Superpositioning!$C$24*((B51-B$37)/1000)+Superpositioning!$C$11*((B51-B$48)/1000)</f>
        <v>1.2868121991354009E-3</v>
      </c>
      <c r="K51" s="27">
        <f>1/2*Superpositioning!$D$21*(B51/1000)^2+Superpositioning!$D$5*((B51-B$14)/1000)+Superpositioning!$D$14*((B51-B$25)/1000)+Superpositioning!$D$8*((B51-B$31)/1000)+Superpositioning!$D$24*((B51-B$37)/1000)+Superpositioning!$D$11*((B51-B$48)/1000)</f>
        <v>-2.6383559952729563E-3</v>
      </c>
      <c r="L51" s="46">
        <f>'Aileron torsion'!$B$16*$B51/1000+'Aileron torsion'!$B$17+'Aileron torsion'!$B$18</f>
        <v>3.5544518269592373E-3</v>
      </c>
      <c r="M51" s="45">
        <f>Superpositioning!$C$22*$B51/1000+Superpositioning!$C$6+Superpositioning!$C$9+Superpositioning!$C$12+Superpositioning!$C$15+Superpositioning!$C$25</f>
        <v>7.1489566618382128E-2</v>
      </c>
      <c r="N51" s="27">
        <f>Superpositioning!$D$22*$B51/1000+Superpositioning!$D$6+Superpositioning!$D$9+Superpositioning!$D$12+Superpositioning!$D$15+Superpositioning!$D$25</f>
        <v>0.14657533307047288</v>
      </c>
      <c r="O51" s="27">
        <f>1/2*Superpositioning!$C$22*(B51/1000)^2+Superpositioning!$C$6*((B51-B$14)/1000)+Superpositioning!$C$15*((B51-B$25)/1000)+Superpositioning!$C$9*((B51-B$31)/1000)+Superpositioning!$C$25*((B51-B$37)/1000)+Superpositioning!$C$12*((B51-B$48)/1000)</f>
        <v>-1.2868121991251869E-3</v>
      </c>
      <c r="P51" s="27">
        <f>1/2*Superpositioning!$D$22*(B51/1000)^2+Superpositioning!$D$6*((B51-B$14)/1000)+Superpositioning!$D$15*((B51-B$25)/1000)+Superpositioning!$D$9*((B51-B$31)/1000)+Superpositioning!$D$25*((B51-B$37)/1000)+Superpositioning!$D$12*((B51-B$48)/1000)</f>
        <v>-2.6383559952787294E-3</v>
      </c>
      <c r="Q51" s="46">
        <f>'Aileron torsion'!$B$21*$B51/1000+'Aileron torsion'!$B$22+'Aileron torsion'!$B$23</f>
        <v>3.5544518269592373E-3</v>
      </c>
    </row>
    <row r="52" spans="1:17" x14ac:dyDescent="0.2">
      <c r="A52">
        <v>4</v>
      </c>
      <c r="B52" s="103">
        <f>B51+'Aileron shear'!$B$7/5</f>
        <v>2753</v>
      </c>
      <c r="C52" s="45">
        <f>Superpositioning!$C$20*$B52/1000+Superpositioning!$C$4+Superpositioning!$C$7+Superpositioning!$C$10+Superpositioning!$C$13+Superpositioning!$C$23</f>
        <v>0</v>
      </c>
      <c r="D52" s="27">
        <f>Superpositioning!$D$20*$B52/1000+Superpositioning!$D$4+Superpositioning!$D$7+Superpositioning!$D$10+Superpositioning!$D$13+Superpositioning!$D$23</f>
        <v>8.154000000000039E-2</v>
      </c>
      <c r="E52" s="27">
        <f>1/2*Superpositioning!$C$20*(B52/1000)^2+Superpositioning!$C$4*((B52-B$14)/1000)+Superpositioning!$C$13*((B52-B$25)/1000)+Superpositioning!$C$7*((B52-B$31)/1000)+Superpositioning!$C$23*((B52-B$37)/1000)+Superpositioning!$C$10*((B52-B$48)/1000)</f>
        <v>4.2188474935755949E-15</v>
      </c>
      <c r="F52" s="27">
        <f>1/2*Superpositioning!$D$20*(B52/1000)^2+Superpositioning!$D$4*((B52-B$14)/1000)+Superpositioning!$D$13*((B52-B$25)/1000)+Superpositioning!$D$7*((B52-B$31)/1000)+Superpositioning!$D$23*((B52-B$25)/1000)+Superpositioning!$D$10*((B52-B$48)/1000)</f>
        <v>-7.338600000015294E-4</v>
      </c>
      <c r="G52" s="46">
        <f>'Aileron torsion'!$B$11*$B52/1000+'Aileron torsion'!$B$12+'Aileron torsion'!$B$13</f>
        <v>1.9773450000002413E-3</v>
      </c>
      <c r="H52" s="45">
        <f>Superpositioning!$C$21*$B52/1000+Superpositioning!$C$5+Superpositioning!$C$8+Superpositioning!$C$11+Superpositioning!$C$14+Superpositioning!$C$24</f>
        <v>-3.5744783309198169E-2</v>
      </c>
      <c r="I52" s="27">
        <f>Superpositioning!$D$21*$B52/1000+Superpositioning!$D$5+Superpositioning!$D$8+Superpositioning!$D$11+Superpositioning!$D$14+Superpositioning!$D$24</f>
        <v>7.3287666535229334E-2</v>
      </c>
      <c r="J52" s="27">
        <f>1/2*Superpositioning!$C$21*(B52/1000)^2+Superpositioning!$C$5*((B52-B$14)/1000)+Superpositioning!$C$14*((B52-B$25)/1000)+Superpositioning!$C$8*((B52-B$31)/1000)+Superpositioning!$C$24*((B52-B$37)/1000)+Superpositioning!$C$11*((B52-B$48)/1000)</f>
        <v>3.2170304977174879E-4</v>
      </c>
      <c r="K52" s="27">
        <f>1/2*Superpositioning!$D$21*(B52/1000)^2+Superpositioning!$D$5*((B52-B$14)/1000)+Superpositioning!$D$14*((B52-B$25)/1000)+Superpositioning!$D$8*((B52-B$31)/1000)+Superpositioning!$D$24*((B52-B$37)/1000)+Superpositioning!$D$11*((B52-B$48)/1000)</f>
        <v>-6.595889988283421E-4</v>
      </c>
      <c r="L52" s="46">
        <f>'Aileron torsion'!$B$16*$B52/1000+'Aileron torsion'!$B$17+'Aileron torsion'!$B$18</f>
        <v>1.7772259134787305E-3</v>
      </c>
      <c r="M52" s="45">
        <f>Superpositioning!$C$22*$B52/1000+Superpositioning!$C$6+Superpositioning!$C$9+Superpositioning!$C$12+Superpositioning!$C$15+Superpositioning!$C$25</f>
        <v>3.5744783309198169E-2</v>
      </c>
      <c r="N52" s="27">
        <f>Superpositioning!$D$22*$B52/1000+Superpositioning!$D$6+Superpositioning!$D$9+Superpositioning!$D$12+Superpositioning!$D$15+Superpositioning!$D$25</f>
        <v>7.328766653523644E-2</v>
      </c>
      <c r="O52" s="27">
        <f>1/2*Superpositioning!$C$22*(B52/1000)^2+Superpositioning!$C$6*((B52-B$14)/1000)+Superpositioning!$C$15*((B52-B$25)/1000)+Superpositioning!$C$9*((B52-B$31)/1000)+Superpositioning!$C$25*((B52-B$37)/1000)+Superpositioning!$C$12*((B52-B$48)/1000)</f>
        <v>-3.2170304976819608E-4</v>
      </c>
      <c r="P52" s="27">
        <f>1/2*Superpositioning!$D$22*(B52/1000)^2+Superpositioning!$D$6*((B52-B$14)/1000)+Superpositioning!$D$15*((B52-B$25)/1000)+Superpositioning!$D$9*((B52-B$31)/1000)+Superpositioning!$D$25*((B52-B$37)/1000)+Superpositioning!$D$12*((B52-B$48)/1000)</f>
        <v>-6.5958899882678779E-4</v>
      </c>
      <c r="Q52" s="46">
        <f>'Aileron torsion'!$B$21*$B52/1000+'Aileron torsion'!$B$22+'Aileron torsion'!$B$23</f>
        <v>1.7772259134787305E-3</v>
      </c>
    </row>
    <row r="53" spans="1:17" ht="17" thickBot="1" x14ac:dyDescent="0.25">
      <c r="A53">
        <v>5</v>
      </c>
      <c r="B53" s="104">
        <f>B52+'Aileron shear'!$B$7/5</f>
        <v>2771</v>
      </c>
      <c r="C53" s="47">
        <f>Superpositioning!$C$20*$B53/1000+Superpositioning!$C$4+Superpositioning!$C$7+Superpositioning!$C$10+Superpositioning!$C$13+Superpositioning!$C$23</f>
        <v>0</v>
      </c>
      <c r="D53" s="48">
        <f>Superpositioning!$D$20*$B53/1000+Superpositioning!$D$4+Superpositioning!$D$7+Superpositioning!$D$10+Superpositioning!$D$13+Superpositioning!$D$23</f>
        <v>0</v>
      </c>
      <c r="E53" s="48">
        <f>1/2*Superpositioning!$C$20*(B53/1000)^2+Superpositioning!$C$4*((B53-B$14)/1000)+Superpositioning!$C$13*((B53-B$25)/1000)+Superpositioning!$C$7*((B53-B$31)/1000)+Superpositioning!$C$23*((B53-B$37)/1000)+Superpositioning!$C$10*((B53-B$48)/1000)</f>
        <v>-5.440092820663267E-15</v>
      </c>
      <c r="F53" s="48">
        <f>1/2*Superpositioning!$D$20*(B53/1000)^2+Superpositioning!$D$4*((B53-B$14)/1000)+Superpositioning!$D$13*((B53-B$25)/1000)+Superpositioning!$D$7*((B53-B$31)/1000)+Superpositioning!$D$23*((B53-B$25)/1000)+Superpositioning!$D$10*((B53-B$48)/1000)</f>
        <v>-3.9968028886505635E-15</v>
      </c>
      <c r="G53" s="49">
        <f>'Aileron torsion'!$B$11*$B53/1000+'Aileron torsion'!$B$12+'Aileron torsion'!$B$13</f>
        <v>0</v>
      </c>
      <c r="H53" s="47">
        <f>Superpositioning!$C$21*$B53/1000+Superpositioning!$C$5+Superpositioning!$C$8+Superpositioning!$C$11+Superpositioning!$C$14+Superpositioning!$C$24</f>
        <v>0</v>
      </c>
      <c r="I53" s="48">
        <f>Superpositioning!$D$21*$B53/1000+Superpositioning!$D$5+Superpositioning!$D$8+Superpositioning!$D$11+Superpositioning!$D$14+Superpositioning!$D$24</f>
        <v>0</v>
      </c>
      <c r="J53" s="48">
        <f>1/2*Superpositioning!$C$21*(B53/1000)^2+Superpositioning!$C$5*((B53-B$14)/1000)+Superpositioning!$C$14*((B53-B$25)/1000)+Superpositioning!$C$8*((B53-B$31)/1000)+Superpositioning!$C$24*((B53-B$37)/1000)+Superpositioning!$C$11*((B53-B$48)/1000)</f>
        <v>0</v>
      </c>
      <c r="K53" s="48">
        <f>1/2*Superpositioning!$D$21*(B53/1000)^2+Superpositioning!$D$5*((B53-B$14)/1000)+Superpositioning!$D$14*((B53-B$25)/1000)+Superpositioning!$D$8*((B53-B$31)/1000)+Superpositioning!$D$24*((B53-B$37)/1000)+Superpositioning!$D$11*((B53-B$48)/1000)</f>
        <v>-2.042810365310288E-14</v>
      </c>
      <c r="L53" s="49">
        <f>'Aileron torsion'!$B$16*$B53/1000+'Aileron torsion'!$B$17+'Aileron torsion'!$B$18</f>
        <v>0</v>
      </c>
      <c r="M53" s="47">
        <f>Superpositioning!$C$22*$B53/1000+Superpositioning!$C$6+Superpositioning!$C$9+Superpositioning!$C$12+Superpositioning!$C$15+Superpositioning!$C$25</f>
        <v>0</v>
      </c>
      <c r="N53" s="48">
        <f>Superpositioning!$D$22*$B53/1000+Superpositioning!$D$6+Superpositioning!$D$9+Superpositioning!$D$12+Superpositioning!$D$15+Superpositioning!$D$25</f>
        <v>0</v>
      </c>
      <c r="O53" s="48">
        <f>1/2*Superpositioning!$C$22*(B53/1000)^2+Superpositioning!$C$6*((B53-B$14)/1000)+Superpositioning!$C$15*((B53-B$25)/1000)+Superpositioning!$C$9*((B53-B$31)/1000)+Superpositioning!$C$25*((B53-B$37)/1000)+Superpositioning!$C$12*((B53-B$48)/1000)</f>
        <v>2.042810365310288E-14</v>
      </c>
      <c r="P53" s="48">
        <f>1/2*Superpositioning!$D$22*(B53/1000)^2+Superpositioning!$D$6*((B53-B$14)/1000)+Superpositioning!$D$15*((B53-B$25)/1000)+Superpositioning!$D$9*((B53-B$31)/1000)+Superpositioning!$D$25*((B53-B$37)/1000)+Superpositioning!$D$12*((B53-B$48)/1000)</f>
        <v>-4.2188474935755949E-15</v>
      </c>
      <c r="Q53" s="49">
        <f>'Aileron torsion'!$B$21*$B53/1000+'Aileron torsion'!$B$22+'Aileron torsion'!$B$23</f>
        <v>0</v>
      </c>
    </row>
  </sheetData>
  <mergeCells count="3">
    <mergeCell ref="C1:G1"/>
    <mergeCell ref="H1:L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Input</vt:lpstr>
      <vt:lpstr>Cross-sectional properties</vt:lpstr>
      <vt:lpstr>Aileron shear</vt:lpstr>
      <vt:lpstr>Aileron torsion</vt:lpstr>
      <vt:lpstr>Superpositioning</vt:lpstr>
      <vt:lpstr>Internal Force Diagrams</vt:lpstr>
      <vt:lpstr>V_z</vt:lpstr>
      <vt:lpstr>V_y</vt:lpstr>
      <vt:lpstr>M_z</vt:lpstr>
      <vt:lpstr>M_y</vt:lpstr>
      <vt:lpstr>Torsion</vt:lpstr>
      <vt:lpstr>Input!Print_Area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2019-02-12T07:44:05Z</dcterms:created>
  <dcterms:modified xsi:type="dcterms:W3CDTF">2019-02-22T15:53:44Z</dcterms:modified>
</cp:coreProperties>
</file>