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408"/>
  <workbookPr/>
  <mc:AlternateContent xmlns:mc="http://schemas.openxmlformats.org/markup-compatibility/2006">
    <mc:Choice Requires="x15">
      <x15ac:absPath xmlns:x15ac="http://schemas.microsoft.com/office/spreadsheetml/2010/11/ac" url="/Users/gianlucamancini/Desktop/DELFT EDU/Third Year/svv_project/SVV2019/"/>
    </mc:Choice>
  </mc:AlternateContent>
  <bookViews>
    <workbookView xWindow="0" yWindow="0" windowWidth="28800" windowHeight="18000" activeTab="3"/>
  </bookViews>
  <sheets>
    <sheet name="Input" sheetId="1" r:id="rId1"/>
    <sheet name="Cross-sectional properties" sheetId="2" r:id="rId2"/>
    <sheet name="Aileron shear" sheetId="3" r:id="rId3"/>
    <sheet name="Aileron torsion" sheetId="4" r:id="rId4"/>
    <sheet name="Superpositioning" sheetId="6" r:id="rId5"/>
    <sheet name="Internal Force Diagrams" sheetId="7" r:id="rId6"/>
    <sheet name="V_z" sheetId="9" r:id="rId7"/>
    <sheet name="V_y" sheetId="10" r:id="rId8"/>
    <sheet name="M_z" sheetId="11" r:id="rId9"/>
    <sheet name="M_y" sheetId="12" r:id="rId10"/>
    <sheet name="Torsion" sheetId="8" r:id="rId11"/>
  </sheets>
  <definedNames>
    <definedName name="_xlchart.v1.0" hidden="1">'Internal Force Diagrams'!$B$3:$B$53</definedName>
    <definedName name="_xlchart.v1.1" hidden="1">'Internal Force Diagrams'!$C$1:$G$1</definedName>
    <definedName name="_xlchart.v1.10" hidden="1">'Internal Force Diagrams'!$H$1:$L$1</definedName>
    <definedName name="_xlchart.v1.11" hidden="1">'Internal Force Diagrams'!$L$3:$L$53</definedName>
    <definedName name="_xlchart.v1.12" hidden="1">'Internal Force Diagrams'!$M$1:$Q$1</definedName>
    <definedName name="_xlchart.v1.13" hidden="1">'Internal Force Diagrams'!$Q$3:$Q$53</definedName>
    <definedName name="_xlchart.v1.14" hidden="1">'Internal Force Diagrams'!$B$3:$B$53</definedName>
    <definedName name="_xlchart.v1.15" hidden="1">'Internal Force Diagrams'!$C$1:$G$1</definedName>
    <definedName name="_xlchart.v1.16" hidden="1">'Internal Force Diagrams'!$G$3:$G$53</definedName>
    <definedName name="_xlchart.v1.17" hidden="1">'Internal Force Diagrams'!$H$1:$L$1</definedName>
    <definedName name="_xlchart.v1.18" hidden="1">'Internal Force Diagrams'!$L$3:$L$53</definedName>
    <definedName name="_xlchart.v1.19" hidden="1">'Internal Force Diagrams'!$M$1:$Q$1</definedName>
    <definedName name="_xlchart.v1.2" hidden="1">'Internal Force Diagrams'!$G$3:$G$53</definedName>
    <definedName name="_xlchart.v1.20" hidden="1">'Internal Force Diagrams'!$Q$3:$Q$53</definedName>
    <definedName name="_xlchart.v1.21" hidden="1">'Internal Force Diagrams'!$B$3:$B$53</definedName>
    <definedName name="_xlchart.v1.22" hidden="1">'Internal Force Diagrams'!$C$1:$G$1</definedName>
    <definedName name="_xlchart.v1.23" hidden="1">'Internal Force Diagrams'!$G$3:$G$53</definedName>
    <definedName name="_xlchart.v1.24" hidden="1">'Internal Force Diagrams'!$H$1:$L$1</definedName>
    <definedName name="_xlchart.v1.25" hidden="1">'Internal Force Diagrams'!$L$3:$L$53</definedName>
    <definedName name="_xlchart.v1.26" hidden="1">'Internal Force Diagrams'!$M$1:$Q$1</definedName>
    <definedName name="_xlchart.v1.27" hidden="1">'Internal Force Diagrams'!$Q$3:$Q$53</definedName>
    <definedName name="_xlchart.v1.28" hidden="1">'Internal Force Diagrams'!$B$3:$B$53</definedName>
    <definedName name="_xlchart.v1.29" hidden="1">'Internal Force Diagrams'!$C$1:$G$1</definedName>
    <definedName name="_xlchart.v1.3" hidden="1">'Internal Force Diagrams'!$H$1:$L$1</definedName>
    <definedName name="_xlchart.v1.30" hidden="1">'Internal Force Diagrams'!$G$3:$G$53</definedName>
    <definedName name="_xlchart.v1.31" hidden="1">'Internal Force Diagrams'!$H$1:$L$1</definedName>
    <definedName name="_xlchart.v1.32" hidden="1">'Internal Force Diagrams'!$L$3:$L$53</definedName>
    <definedName name="_xlchart.v1.33" hidden="1">'Internal Force Diagrams'!$M$1:$Q$1</definedName>
    <definedName name="_xlchart.v1.34" hidden="1">'Internal Force Diagrams'!$Q$3:$Q$53</definedName>
    <definedName name="_xlchart.v1.35" hidden="1">'Internal Force Diagrams'!$B$3:$B$53</definedName>
    <definedName name="_xlchart.v1.36" hidden="1">'Internal Force Diagrams'!$C$1:$G$1</definedName>
    <definedName name="_xlchart.v1.37" hidden="1">'Internal Force Diagrams'!$G$3:$G$53</definedName>
    <definedName name="_xlchart.v1.38" hidden="1">'Internal Force Diagrams'!$H$1:$L$1</definedName>
    <definedName name="_xlchart.v1.39" hidden="1">'Internal Force Diagrams'!$L$3:$L$53</definedName>
    <definedName name="_xlchart.v1.4" hidden="1">'Internal Force Diagrams'!$L$3:$L$53</definedName>
    <definedName name="_xlchart.v1.40" hidden="1">'Internal Force Diagrams'!$M$1:$Q$1</definedName>
    <definedName name="_xlchart.v1.41" hidden="1">'Internal Force Diagrams'!$Q$3:$Q$53</definedName>
    <definedName name="_xlchart.v1.5" hidden="1">'Internal Force Diagrams'!$M$1:$Q$1</definedName>
    <definedName name="_xlchart.v1.6" hidden="1">'Internal Force Diagrams'!$Q$3:$Q$53</definedName>
    <definedName name="_xlchart.v1.7" hidden="1">'Internal Force Diagrams'!$B$3:$B$53</definedName>
    <definedName name="_xlchart.v1.8" hidden="1">'Internal Force Diagrams'!$C$1:$G$1</definedName>
    <definedName name="_xlchart.v1.9" hidden="1">'Internal Force Diagrams'!$G$3:$G$53</definedName>
    <definedName name="_xlnm.Print_Area" localSheetId="0">Input!$A$1:$D$19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G3" i="2"/>
  <c r="N3" i="2"/>
  <c r="B3" i="2"/>
  <c r="H3" i="2"/>
  <c r="N9" i="2"/>
  <c r="C3" i="2"/>
  <c r="D3" i="2"/>
  <c r="J3" i="2"/>
  <c r="C4" i="2"/>
  <c r="D4" i="2"/>
  <c r="B4" i="2"/>
  <c r="G4" i="2"/>
  <c r="H4" i="2"/>
  <c r="J4" i="2"/>
  <c r="N4" i="2"/>
  <c r="N6" i="2"/>
  <c r="N7" i="2"/>
  <c r="C6" i="2"/>
  <c r="N5" i="2"/>
  <c r="B6" i="2"/>
  <c r="N11" i="2"/>
  <c r="D6" i="2"/>
  <c r="G6" i="2"/>
  <c r="H6" i="2"/>
  <c r="J6" i="2"/>
  <c r="C7" i="2"/>
  <c r="B7" i="2"/>
  <c r="D7" i="2"/>
  <c r="G7" i="2"/>
  <c r="H7" i="2"/>
  <c r="J7" i="2"/>
  <c r="C8" i="2"/>
  <c r="B8" i="2"/>
  <c r="D8" i="2"/>
  <c r="G8" i="2"/>
  <c r="H8" i="2"/>
  <c r="J8" i="2"/>
  <c r="C9" i="2"/>
  <c r="B9" i="2"/>
  <c r="D9" i="2"/>
  <c r="G9" i="2"/>
  <c r="H9" i="2"/>
  <c r="J9" i="2"/>
  <c r="C10" i="2"/>
  <c r="B10" i="2"/>
  <c r="D10" i="2"/>
  <c r="G10" i="2"/>
  <c r="H10" i="2"/>
  <c r="J10" i="2"/>
  <c r="C11" i="2"/>
  <c r="B11" i="2"/>
  <c r="D11" i="2"/>
  <c r="G11" i="2"/>
  <c r="H11" i="2"/>
  <c r="J11" i="2"/>
  <c r="C12" i="2"/>
  <c r="B12" i="2"/>
  <c r="D12" i="2"/>
  <c r="G12" i="2"/>
  <c r="H12" i="2"/>
  <c r="J12" i="2"/>
  <c r="C13" i="2"/>
  <c r="B13" i="2"/>
  <c r="D13" i="2"/>
  <c r="G13" i="2"/>
  <c r="H13" i="2"/>
  <c r="J13" i="2"/>
  <c r="C14" i="2"/>
  <c r="B14" i="2"/>
  <c r="D14" i="2"/>
  <c r="G14" i="2"/>
  <c r="H14" i="2"/>
  <c r="J14" i="2"/>
  <c r="C15" i="2"/>
  <c r="B15" i="2"/>
  <c r="D15" i="2"/>
  <c r="G15" i="2"/>
  <c r="H15" i="2"/>
  <c r="J15" i="2"/>
  <c r="C16" i="2"/>
  <c r="B16" i="2"/>
  <c r="D16" i="2"/>
  <c r="G16" i="2"/>
  <c r="H16" i="2"/>
  <c r="J16" i="2"/>
  <c r="C17" i="2"/>
  <c r="B17" i="2"/>
  <c r="D17" i="2"/>
  <c r="G17" i="2"/>
  <c r="H17" i="2"/>
  <c r="J17" i="2"/>
  <c r="N10" i="2"/>
  <c r="N8" i="2"/>
  <c r="C18" i="2"/>
  <c r="B18" i="2"/>
  <c r="D18" i="2"/>
  <c r="G18" i="2"/>
  <c r="H18" i="2"/>
  <c r="J18" i="2"/>
  <c r="C19" i="2"/>
  <c r="B19" i="2"/>
  <c r="D19" i="2"/>
  <c r="G19" i="2"/>
  <c r="H19" i="2"/>
  <c r="J19" i="2"/>
  <c r="C20" i="2"/>
  <c r="B20" i="2"/>
  <c r="D20" i="2"/>
  <c r="G20" i="2"/>
  <c r="H20" i="2"/>
  <c r="J20" i="2"/>
  <c r="C21" i="2"/>
  <c r="B21" i="2"/>
  <c r="D21" i="2"/>
  <c r="G21" i="2"/>
  <c r="H21" i="2"/>
  <c r="J21" i="2"/>
  <c r="C22" i="2"/>
  <c r="B22" i="2"/>
  <c r="D22" i="2"/>
  <c r="G22" i="2"/>
  <c r="H22" i="2"/>
  <c r="J22" i="2"/>
  <c r="B23" i="2"/>
  <c r="D23" i="2"/>
  <c r="G23" i="2"/>
  <c r="H23" i="2"/>
  <c r="J23" i="2"/>
  <c r="B24" i="2"/>
  <c r="D24" i="2"/>
  <c r="G24" i="2"/>
  <c r="H24" i="2"/>
  <c r="J24" i="2"/>
  <c r="B25" i="2"/>
  <c r="D25" i="2"/>
  <c r="G25" i="2"/>
  <c r="H25" i="2"/>
  <c r="J25" i="2"/>
  <c r="B26" i="2"/>
  <c r="D26" i="2"/>
  <c r="G26" i="2"/>
  <c r="H26" i="2"/>
  <c r="J26" i="2"/>
  <c r="D2" i="2"/>
  <c r="B2" i="2"/>
  <c r="H2" i="2"/>
  <c r="J2" i="2"/>
  <c r="D5" i="2"/>
  <c r="B5" i="2"/>
  <c r="H5" i="2"/>
  <c r="J5" i="2"/>
  <c r="J29" i="2"/>
  <c r="E3" i="2"/>
  <c r="F3" i="2"/>
  <c r="I3" i="2"/>
  <c r="K3" i="2"/>
  <c r="E4" i="2"/>
  <c r="F4" i="2"/>
  <c r="I4" i="2"/>
  <c r="K4" i="2"/>
  <c r="E6" i="2"/>
  <c r="F6" i="2"/>
  <c r="I6" i="2"/>
  <c r="K6" i="2"/>
  <c r="E7" i="2"/>
  <c r="F7" i="2"/>
  <c r="I7" i="2"/>
  <c r="K7" i="2"/>
  <c r="E8" i="2"/>
  <c r="F8" i="2"/>
  <c r="I8" i="2"/>
  <c r="K8" i="2"/>
  <c r="E9" i="2"/>
  <c r="F9" i="2"/>
  <c r="I9" i="2"/>
  <c r="K9" i="2"/>
  <c r="E10" i="2"/>
  <c r="F10" i="2"/>
  <c r="I10" i="2"/>
  <c r="K10" i="2"/>
  <c r="E11" i="2"/>
  <c r="F11" i="2"/>
  <c r="I11" i="2"/>
  <c r="K11" i="2"/>
  <c r="E12" i="2"/>
  <c r="F12" i="2"/>
  <c r="I12" i="2"/>
  <c r="K12" i="2"/>
  <c r="E13" i="2"/>
  <c r="F13" i="2"/>
  <c r="I13" i="2"/>
  <c r="K13" i="2"/>
  <c r="E14" i="2"/>
  <c r="F14" i="2"/>
  <c r="I14" i="2"/>
  <c r="K14" i="2"/>
  <c r="E15" i="2"/>
  <c r="F15" i="2"/>
  <c r="I15" i="2"/>
  <c r="K15" i="2"/>
  <c r="E16" i="2"/>
  <c r="F16" i="2"/>
  <c r="I16" i="2"/>
  <c r="K16" i="2"/>
  <c r="E17" i="2"/>
  <c r="F17" i="2"/>
  <c r="I17" i="2"/>
  <c r="K17" i="2"/>
  <c r="E18" i="2"/>
  <c r="F18" i="2"/>
  <c r="I18" i="2"/>
  <c r="K18" i="2"/>
  <c r="E19" i="2"/>
  <c r="F19" i="2"/>
  <c r="I19" i="2"/>
  <c r="K19" i="2"/>
  <c r="E20" i="2"/>
  <c r="F20" i="2"/>
  <c r="I20" i="2"/>
  <c r="K20" i="2"/>
  <c r="E21" i="2"/>
  <c r="F21" i="2"/>
  <c r="I21" i="2"/>
  <c r="K21" i="2"/>
  <c r="E22" i="2"/>
  <c r="F22" i="2"/>
  <c r="I22" i="2"/>
  <c r="K22" i="2"/>
  <c r="E23" i="2"/>
  <c r="F23" i="2"/>
  <c r="I23" i="2"/>
  <c r="K23" i="2"/>
  <c r="E24" i="2"/>
  <c r="F24" i="2"/>
  <c r="I24" i="2"/>
  <c r="K24" i="2"/>
  <c r="E25" i="2"/>
  <c r="F25" i="2"/>
  <c r="I25" i="2"/>
  <c r="K25" i="2"/>
  <c r="E26" i="2"/>
  <c r="F26" i="2"/>
  <c r="I26" i="2"/>
  <c r="K26" i="2"/>
  <c r="E2" i="2"/>
  <c r="I2" i="2"/>
  <c r="K2" i="2"/>
  <c r="I5" i="2"/>
  <c r="K5" i="2"/>
  <c r="K29" i="2"/>
  <c r="B2" i="3"/>
  <c r="Y4" i="6"/>
  <c r="B5" i="3"/>
  <c r="B6" i="3"/>
  <c r="H4" i="3"/>
  <c r="G5" i="3"/>
  <c r="G6" i="3"/>
  <c r="H7" i="3"/>
  <c r="G8" i="3"/>
  <c r="G9" i="3"/>
  <c r="O6" i="3"/>
  <c r="AF13" i="6"/>
  <c r="B6" i="4"/>
  <c r="B5" i="4"/>
  <c r="B4" i="4"/>
  <c r="E6" i="4"/>
  <c r="I16" i="6"/>
  <c r="E5" i="4"/>
  <c r="I15" i="6"/>
  <c r="Y7" i="6"/>
  <c r="R15" i="6"/>
  <c r="R16" i="6"/>
  <c r="O5" i="3"/>
  <c r="AB13" i="6"/>
  <c r="N15" i="6"/>
  <c r="N16" i="6"/>
  <c r="B3" i="3"/>
  <c r="Y5" i="6"/>
  <c r="H6" i="3"/>
  <c r="H9" i="3"/>
  <c r="P6" i="3"/>
  <c r="AH13" i="6"/>
  <c r="S15" i="6"/>
  <c r="S16" i="6"/>
  <c r="H5" i="3"/>
  <c r="H8" i="3"/>
  <c r="P5" i="3"/>
  <c r="AD13" i="6"/>
  <c r="O15" i="6"/>
  <c r="O16" i="6"/>
  <c r="P4" i="3"/>
  <c r="Z13" i="6"/>
  <c r="K15" i="6"/>
  <c r="K16" i="6"/>
  <c r="O11" i="3"/>
  <c r="AC13" i="6"/>
  <c r="E7" i="4"/>
  <c r="I17" i="6"/>
  <c r="B4" i="3"/>
  <c r="Y6" i="6"/>
  <c r="Y8" i="6"/>
  <c r="N18" i="6"/>
  <c r="N17" i="6"/>
  <c r="N14" i="6"/>
  <c r="R14" i="6"/>
  <c r="O12" i="3"/>
  <c r="AG13" i="6"/>
  <c r="B7" i="3"/>
  <c r="Y9" i="6"/>
  <c r="R18" i="6"/>
  <c r="R19" i="6"/>
  <c r="N19" i="6"/>
  <c r="R17" i="6"/>
  <c r="P11" i="3"/>
  <c r="AE13" i="6"/>
  <c r="O18" i="6"/>
  <c r="O17" i="6"/>
  <c r="L16" i="6"/>
  <c r="I6" i="6"/>
  <c r="J6" i="6"/>
  <c r="O4" i="3"/>
  <c r="X13" i="6"/>
  <c r="O10" i="3"/>
  <c r="Y13" i="6"/>
  <c r="X6" i="6"/>
  <c r="X7" i="6"/>
  <c r="X8" i="6"/>
  <c r="X9" i="6"/>
  <c r="X5" i="6"/>
  <c r="X4" i="6"/>
  <c r="X23" i="6"/>
  <c r="L6" i="6"/>
  <c r="L19" i="6"/>
  <c r="L17" i="6"/>
  <c r="L18" i="6"/>
  <c r="L15" i="6"/>
  <c r="L14" i="6"/>
  <c r="B3" i="4"/>
  <c r="B21" i="4"/>
  <c r="B11" i="4"/>
  <c r="B13" i="4"/>
  <c r="O6" i="4"/>
  <c r="S46" i="6"/>
  <c r="H6" i="4"/>
  <c r="M46" i="6"/>
  <c r="G6" i="4"/>
  <c r="K46" i="6"/>
  <c r="J5" i="6"/>
  <c r="J7" i="6"/>
  <c r="J8" i="6"/>
  <c r="J9" i="6"/>
  <c r="J4" i="6"/>
  <c r="I47" i="6"/>
  <c r="I46" i="6"/>
  <c r="I45" i="6"/>
  <c r="I44" i="6"/>
  <c r="I37" i="6"/>
  <c r="I36" i="6"/>
  <c r="I35" i="6"/>
  <c r="I34" i="6"/>
  <c r="I27" i="6"/>
  <c r="I26" i="6"/>
  <c r="I25" i="6"/>
  <c r="I24" i="6"/>
  <c r="I14" i="6"/>
  <c r="I7" i="6"/>
  <c r="I5" i="6"/>
  <c r="I4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G20" i="6"/>
  <c r="C21" i="6"/>
  <c r="H13" i="7"/>
  <c r="C20" i="6"/>
  <c r="C7" i="7"/>
  <c r="F23" i="6"/>
  <c r="C24" i="6"/>
  <c r="D23" i="6"/>
  <c r="D13" i="6"/>
  <c r="B16" i="4"/>
  <c r="B23" i="4"/>
  <c r="B18" i="4"/>
  <c r="P6" i="4"/>
  <c r="U46" i="6"/>
  <c r="L6" i="4"/>
  <c r="Q46" i="6"/>
  <c r="K6" i="4"/>
  <c r="O46" i="6"/>
  <c r="M7" i="4"/>
  <c r="M6" i="4"/>
  <c r="M5" i="4"/>
  <c r="I7" i="4"/>
  <c r="I6" i="4"/>
  <c r="I5" i="4"/>
  <c r="B8" i="4"/>
  <c r="B7" i="4"/>
  <c r="E9" i="4"/>
  <c r="L29" i="2"/>
  <c r="B2" i="4"/>
  <c r="I8" i="4"/>
  <c r="K7" i="3"/>
  <c r="S18" i="6"/>
  <c r="U18" i="6"/>
  <c r="K4" i="3"/>
  <c r="L9" i="6"/>
  <c r="L8" i="6"/>
  <c r="L5" i="6"/>
  <c r="L7" i="6"/>
  <c r="L4" i="6"/>
  <c r="D25" i="6"/>
  <c r="Z38" i="3"/>
  <c r="C3" i="7"/>
  <c r="C10" i="7"/>
  <c r="C6" i="7"/>
  <c r="E3" i="7"/>
  <c r="C13" i="7"/>
  <c r="C9" i="7"/>
  <c r="C5" i="7"/>
  <c r="C12" i="7"/>
  <c r="C8" i="7"/>
  <c r="C4" i="7"/>
  <c r="C11" i="7"/>
  <c r="K18" i="6"/>
  <c r="U15" i="6"/>
  <c r="H4" i="7"/>
  <c r="H11" i="7"/>
  <c r="H9" i="7"/>
  <c r="H7" i="7"/>
  <c r="H5" i="7"/>
  <c r="C25" i="6"/>
  <c r="Y38" i="3"/>
  <c r="H12" i="7"/>
  <c r="H10" i="7"/>
  <c r="H8" i="7"/>
  <c r="H6" i="7"/>
  <c r="D24" i="6"/>
  <c r="Z31" i="3"/>
  <c r="H3" i="7"/>
  <c r="Z36" i="3"/>
  <c r="Y37" i="3"/>
  <c r="X30" i="3"/>
  <c r="I39" i="6"/>
  <c r="I19" i="6"/>
  <c r="I49" i="6"/>
  <c r="I29" i="6"/>
  <c r="I9" i="6"/>
  <c r="E8" i="4"/>
  <c r="M9" i="4"/>
  <c r="M8" i="4"/>
  <c r="I9" i="4"/>
  <c r="Z30" i="3"/>
  <c r="Y31" i="3"/>
  <c r="U20" i="3"/>
  <c r="O23" i="3"/>
  <c r="Z32" i="3"/>
  <c r="B38" i="7"/>
  <c r="X36" i="3"/>
  <c r="E8" i="7"/>
  <c r="E13" i="7"/>
  <c r="E5" i="7"/>
  <c r="Q6" i="7"/>
  <c r="E12" i="7"/>
  <c r="E4" i="7"/>
  <c r="E9" i="7"/>
  <c r="U21" i="3"/>
  <c r="E11" i="7"/>
  <c r="E7" i="7"/>
  <c r="G4" i="7"/>
  <c r="E10" i="7"/>
  <c r="E6" i="7"/>
  <c r="C23" i="6"/>
  <c r="Y36" i="3"/>
  <c r="B17" i="4"/>
  <c r="L30" i="7"/>
  <c r="G15" i="7"/>
  <c r="G11" i="7"/>
  <c r="G23" i="7"/>
  <c r="G7" i="7"/>
  <c r="G19" i="7"/>
  <c r="Q23" i="7"/>
  <c r="G22" i="7"/>
  <c r="G14" i="7"/>
  <c r="G6" i="7"/>
  <c r="G3" i="7"/>
  <c r="G21" i="7"/>
  <c r="G17" i="7"/>
  <c r="G13" i="7"/>
  <c r="G9" i="7"/>
  <c r="G5" i="7"/>
  <c r="Q12" i="7"/>
  <c r="B12" i="4"/>
  <c r="G33" i="7"/>
  <c r="G18" i="7"/>
  <c r="G10" i="7"/>
  <c r="Q17" i="7"/>
  <c r="F4" i="4"/>
  <c r="N8" i="4"/>
  <c r="O8" i="4"/>
  <c r="S48" i="6"/>
  <c r="S8" i="6"/>
  <c r="G24" i="7"/>
  <c r="G20" i="7"/>
  <c r="G16" i="7"/>
  <c r="G12" i="7"/>
  <c r="G8" i="7"/>
  <c r="Q7" i="7"/>
  <c r="N4" i="4"/>
  <c r="Q21" i="7"/>
  <c r="Q16" i="7"/>
  <c r="Q11" i="7"/>
  <c r="Q5" i="7"/>
  <c r="B22" i="4"/>
  <c r="Q27" i="7"/>
  <c r="Q3" i="7"/>
  <c r="Q20" i="7"/>
  <c r="Q15" i="7"/>
  <c r="Q9" i="7"/>
  <c r="Q4" i="7"/>
  <c r="Q24" i="7"/>
  <c r="Q19" i="7"/>
  <c r="Q13" i="7"/>
  <c r="Q8" i="7"/>
  <c r="K11" i="7"/>
  <c r="K13" i="7"/>
  <c r="K5" i="7"/>
  <c r="K7" i="7"/>
  <c r="K9" i="7"/>
  <c r="J12" i="7"/>
  <c r="J4" i="7"/>
  <c r="J6" i="7"/>
  <c r="J8" i="7"/>
  <c r="J10" i="7"/>
  <c r="J3" i="7"/>
  <c r="K12" i="7"/>
  <c r="K4" i="7"/>
  <c r="K6" i="7"/>
  <c r="K8" i="7"/>
  <c r="K10" i="7"/>
  <c r="J11" i="7"/>
  <c r="J13" i="7"/>
  <c r="J5" i="7"/>
  <c r="J7" i="7"/>
  <c r="J9" i="7"/>
  <c r="K3" i="7"/>
  <c r="J4" i="4"/>
  <c r="L5" i="7"/>
  <c r="L22" i="7"/>
  <c r="L18" i="7"/>
  <c r="L14" i="7"/>
  <c r="L10" i="7"/>
  <c r="L32" i="7"/>
  <c r="L4" i="7"/>
  <c r="L21" i="7"/>
  <c r="L17" i="7"/>
  <c r="L13" i="7"/>
  <c r="L9" i="7"/>
  <c r="L3" i="7"/>
  <c r="L24" i="7"/>
  <c r="L20" i="7"/>
  <c r="L16" i="7"/>
  <c r="L12" i="7"/>
  <c r="L8" i="7"/>
  <c r="L6" i="7"/>
  <c r="L23" i="7"/>
  <c r="L19" i="7"/>
  <c r="L15" i="7"/>
  <c r="L11" i="7"/>
  <c r="L7" i="7"/>
  <c r="Q22" i="7"/>
  <c r="Q18" i="7"/>
  <c r="Q14" i="7"/>
  <c r="Q10" i="7"/>
  <c r="L31" i="7"/>
  <c r="G36" i="7"/>
  <c r="F7" i="4"/>
  <c r="H7" i="4"/>
  <c r="M47" i="6"/>
  <c r="C22" i="6"/>
  <c r="D20" i="6"/>
  <c r="D22" i="6"/>
  <c r="D21" i="6"/>
  <c r="R17" i="3"/>
  <c r="Z37" i="3"/>
  <c r="Y32" i="3"/>
  <c r="Y35" i="3"/>
  <c r="M18" i="6"/>
  <c r="Q18" i="6"/>
  <c r="M15" i="6"/>
  <c r="Q15" i="6"/>
  <c r="R23" i="3"/>
  <c r="Y23" i="6"/>
  <c r="Y34" i="3"/>
  <c r="X33" i="3"/>
  <c r="Z33" i="3"/>
  <c r="D6" i="7"/>
  <c r="D10" i="7"/>
  <c r="D3" i="7"/>
  <c r="D7" i="7"/>
  <c r="D4" i="7"/>
  <c r="D8" i="7"/>
  <c r="D12" i="7"/>
  <c r="D5" i="7"/>
  <c r="D9" i="7"/>
  <c r="D13" i="7"/>
  <c r="D11" i="7"/>
  <c r="Y30" i="3"/>
  <c r="Y33" i="3"/>
  <c r="M3" i="7"/>
  <c r="M11" i="7"/>
  <c r="M5" i="7"/>
  <c r="M6" i="7"/>
  <c r="M8" i="7"/>
  <c r="M10" i="7"/>
  <c r="M12" i="7"/>
  <c r="M7" i="7"/>
  <c r="M9" i="7"/>
  <c r="M13" i="7"/>
  <c r="M4" i="7"/>
  <c r="Z35" i="3"/>
  <c r="I6" i="7"/>
  <c r="I8" i="7"/>
  <c r="I10" i="7"/>
  <c r="I12" i="7"/>
  <c r="I3" i="7"/>
  <c r="I5" i="7"/>
  <c r="I7" i="7"/>
  <c r="I9" i="7"/>
  <c r="I11" i="7"/>
  <c r="I13" i="7"/>
  <c r="I4" i="7"/>
  <c r="N4" i="7"/>
  <c r="N6" i="7"/>
  <c r="N8" i="7"/>
  <c r="N10" i="7"/>
  <c r="N12" i="7"/>
  <c r="N5" i="7"/>
  <c r="N7" i="7"/>
  <c r="N9" i="7"/>
  <c r="N11" i="7"/>
  <c r="N13" i="7"/>
  <c r="N3" i="7"/>
  <c r="B39" i="7"/>
  <c r="L27" i="7"/>
  <c r="L28" i="7"/>
  <c r="I38" i="6"/>
  <c r="I18" i="6"/>
  <c r="I28" i="6"/>
  <c r="I8" i="6"/>
  <c r="I48" i="6"/>
  <c r="L29" i="7"/>
  <c r="P8" i="4"/>
  <c r="U48" i="6"/>
  <c r="U8" i="6"/>
  <c r="L25" i="7"/>
  <c r="Z34" i="3"/>
  <c r="Q29" i="7"/>
  <c r="N7" i="4"/>
  <c r="L33" i="7"/>
  <c r="L34" i="7"/>
  <c r="Q36" i="7"/>
  <c r="L35" i="7"/>
  <c r="G31" i="7"/>
  <c r="F8" i="4"/>
  <c r="H8" i="4"/>
  <c r="M48" i="6"/>
  <c r="M8" i="6"/>
  <c r="J5" i="4"/>
  <c r="L5" i="4"/>
  <c r="Q45" i="6"/>
  <c r="B14" i="4"/>
  <c r="F13" i="6"/>
  <c r="C13" i="6"/>
  <c r="Q26" i="7"/>
  <c r="N5" i="4"/>
  <c r="O5" i="4"/>
  <c r="S45" i="6"/>
  <c r="S5" i="6"/>
  <c r="Q33" i="7"/>
  <c r="Q31" i="7"/>
  <c r="G25" i="7"/>
  <c r="J8" i="4"/>
  <c r="G26" i="7"/>
  <c r="J7" i="4"/>
  <c r="L7" i="4"/>
  <c r="Q47" i="6"/>
  <c r="B24" i="4"/>
  <c r="F15" i="6"/>
  <c r="F9" i="4"/>
  <c r="H9" i="4"/>
  <c r="M49" i="6"/>
  <c r="Q30" i="7"/>
  <c r="G28" i="7"/>
  <c r="Q25" i="7"/>
  <c r="Q35" i="7"/>
  <c r="G38" i="7"/>
  <c r="G37" i="7"/>
  <c r="Q28" i="7"/>
  <c r="G30" i="7"/>
  <c r="G34" i="7"/>
  <c r="G27" i="7"/>
  <c r="G4" i="4"/>
  <c r="K44" i="6"/>
  <c r="F5" i="4"/>
  <c r="J9" i="4"/>
  <c r="L9" i="4"/>
  <c r="Q49" i="6"/>
  <c r="Q34" i="7"/>
  <c r="L37" i="7"/>
  <c r="G32" i="7"/>
  <c r="Q38" i="7"/>
  <c r="Q37" i="7"/>
  <c r="B19" i="4"/>
  <c r="F14" i="6"/>
  <c r="C14" i="6"/>
  <c r="L39" i="7"/>
  <c r="L26" i="7"/>
  <c r="G29" i="7"/>
  <c r="Q32" i="7"/>
  <c r="N9" i="4"/>
  <c r="P9" i="4"/>
  <c r="U49" i="6"/>
  <c r="L36" i="7"/>
  <c r="L38" i="7"/>
  <c r="G39" i="7"/>
  <c r="G35" i="7"/>
  <c r="V21" i="3"/>
  <c r="P21" i="3"/>
  <c r="U22" i="3"/>
  <c r="O22" i="3"/>
  <c r="V22" i="3"/>
  <c r="P22" i="3"/>
  <c r="O21" i="3"/>
  <c r="O24" i="3"/>
  <c r="AC23" i="6"/>
  <c r="V20" i="3"/>
  <c r="P20" i="3"/>
  <c r="S20" i="3"/>
  <c r="O18" i="3"/>
  <c r="AB23" i="6"/>
  <c r="H4" i="4"/>
  <c r="M44" i="6"/>
  <c r="O4" i="4"/>
  <c r="S44" i="6"/>
  <c r="P4" i="4"/>
  <c r="U44" i="6"/>
  <c r="G7" i="4"/>
  <c r="K47" i="6"/>
  <c r="O4" i="7"/>
  <c r="O6" i="7"/>
  <c r="O8" i="7"/>
  <c r="O10" i="7"/>
  <c r="O12" i="7"/>
  <c r="O3" i="7"/>
  <c r="O5" i="7"/>
  <c r="O7" i="7"/>
  <c r="O9" i="7"/>
  <c r="O11" i="7"/>
  <c r="O13" i="7"/>
  <c r="P3" i="7"/>
  <c r="P4" i="7"/>
  <c r="P6" i="7"/>
  <c r="P8" i="7"/>
  <c r="P10" i="7"/>
  <c r="P12" i="7"/>
  <c r="P5" i="7"/>
  <c r="P7" i="7"/>
  <c r="P9" i="7"/>
  <c r="P11" i="7"/>
  <c r="P13" i="7"/>
  <c r="F5" i="7"/>
  <c r="F7" i="7"/>
  <c r="F9" i="7"/>
  <c r="F11" i="7"/>
  <c r="F13" i="7"/>
  <c r="F3" i="7"/>
  <c r="F10" i="7"/>
  <c r="F8" i="7"/>
  <c r="F6" i="7"/>
  <c r="F4" i="7"/>
  <c r="F12" i="7"/>
  <c r="K4" i="4"/>
  <c r="O44" i="6"/>
  <c r="L4" i="4"/>
  <c r="Q44" i="6"/>
  <c r="H5" i="4"/>
  <c r="M45" i="6"/>
  <c r="M5" i="6"/>
  <c r="G5" i="4"/>
  <c r="K45" i="6"/>
  <c r="K5" i="6"/>
  <c r="O7" i="4"/>
  <c r="S47" i="6"/>
  <c r="P7" i="4"/>
  <c r="U47" i="6"/>
  <c r="R20" i="3"/>
  <c r="P18" i="6"/>
  <c r="P8" i="6"/>
  <c r="N8" i="6"/>
  <c r="T18" i="6"/>
  <c r="T8" i="6"/>
  <c r="R8" i="6"/>
  <c r="Q5" i="6"/>
  <c r="P15" i="6"/>
  <c r="P5" i="6"/>
  <c r="N5" i="6"/>
  <c r="T15" i="6"/>
  <c r="T5" i="6"/>
  <c r="R5" i="6"/>
  <c r="V33" i="3"/>
  <c r="P30" i="3"/>
  <c r="O9" i="4"/>
  <c r="S49" i="6"/>
  <c r="G9" i="4"/>
  <c r="K49" i="6"/>
  <c r="G8" i="4"/>
  <c r="K48" i="6"/>
  <c r="K8" i="6"/>
  <c r="B40" i="7"/>
  <c r="Q39" i="7"/>
  <c r="K9" i="4"/>
  <c r="O49" i="6"/>
  <c r="P24" i="3"/>
  <c r="P18" i="3"/>
  <c r="K5" i="4"/>
  <c r="O45" i="6"/>
  <c r="O5" i="6"/>
  <c r="P23" i="3"/>
  <c r="P19" i="3"/>
  <c r="AH23" i="6"/>
  <c r="D14" i="6"/>
  <c r="K7" i="4"/>
  <c r="O47" i="6"/>
  <c r="W37" i="3"/>
  <c r="W31" i="3"/>
  <c r="P5" i="4"/>
  <c r="U45" i="6"/>
  <c r="U5" i="6"/>
  <c r="C15" i="6"/>
  <c r="D15" i="6"/>
  <c r="L8" i="4"/>
  <c r="Q48" i="6"/>
  <c r="Q8" i="6"/>
  <c r="K8" i="4"/>
  <c r="O48" i="6"/>
  <c r="O8" i="6"/>
  <c r="W36" i="3"/>
  <c r="W30" i="3"/>
  <c r="O19" i="3"/>
  <c r="AF23" i="6"/>
  <c r="P17" i="3"/>
  <c r="P25" i="3"/>
  <c r="AI23" i="6"/>
  <c r="O25" i="3"/>
  <c r="AG23" i="6"/>
  <c r="S22" i="3"/>
  <c r="R22" i="3"/>
  <c r="S21" i="3"/>
  <c r="R21" i="3"/>
  <c r="B29" i="2"/>
  <c r="P36" i="3"/>
  <c r="AA33" i="6"/>
  <c r="P33" i="3"/>
  <c r="S33" i="3"/>
  <c r="S30" i="3"/>
  <c r="Z33" i="6"/>
  <c r="S36" i="3"/>
  <c r="S18" i="3"/>
  <c r="AD23" i="6"/>
  <c r="S17" i="3"/>
  <c r="Z23" i="6"/>
  <c r="S24" i="3"/>
  <c r="AE23" i="6"/>
  <c r="S23" i="3"/>
  <c r="AA23" i="6"/>
  <c r="S25" i="3"/>
  <c r="R25" i="3"/>
  <c r="R24" i="3"/>
  <c r="B41" i="7"/>
  <c r="G40" i="7"/>
  <c r="L40" i="7"/>
  <c r="Q40" i="7"/>
  <c r="R19" i="3"/>
  <c r="R18" i="3"/>
  <c r="S19" i="3"/>
  <c r="W34" i="3"/>
  <c r="U34" i="3"/>
  <c r="W33" i="3"/>
  <c r="U33" i="3"/>
  <c r="W32" i="3"/>
  <c r="W38" i="3"/>
  <c r="X37" i="3"/>
  <c r="X31" i="3"/>
  <c r="X38" i="3"/>
  <c r="X32" i="3"/>
  <c r="C24" i="2"/>
  <c r="B42" i="7"/>
  <c r="G41" i="7"/>
  <c r="Q41" i="7"/>
  <c r="L41" i="7"/>
  <c r="O37" i="3"/>
  <c r="AC33" i="6"/>
  <c r="O31" i="3"/>
  <c r="AB33" i="6"/>
  <c r="O34" i="3"/>
  <c r="W35" i="3"/>
  <c r="U35" i="3"/>
  <c r="X34" i="3"/>
  <c r="V34" i="3"/>
  <c r="X35" i="3"/>
  <c r="V35" i="3"/>
  <c r="O30" i="3"/>
  <c r="X33" i="6"/>
  <c r="O36" i="3"/>
  <c r="Y33" i="6"/>
  <c r="O33" i="3"/>
  <c r="C26" i="2"/>
  <c r="C23" i="2"/>
  <c r="C25" i="2"/>
  <c r="B43" i="7"/>
  <c r="L42" i="7"/>
  <c r="Q42" i="7"/>
  <c r="G42" i="7"/>
  <c r="P38" i="3"/>
  <c r="AI33" i="6"/>
  <c r="P35" i="3"/>
  <c r="P32" i="3"/>
  <c r="AH33" i="6"/>
  <c r="P34" i="3"/>
  <c r="R35" i="3"/>
  <c r="P31" i="3"/>
  <c r="AD33" i="6"/>
  <c r="P37" i="3"/>
  <c r="AE33" i="6"/>
  <c r="O32" i="3"/>
  <c r="AF33" i="6"/>
  <c r="O38" i="3"/>
  <c r="AG33" i="6"/>
  <c r="R33" i="3"/>
  <c r="O35" i="3"/>
  <c r="R30" i="3"/>
  <c r="R36" i="3"/>
  <c r="B44" i="7"/>
  <c r="G43" i="7"/>
  <c r="Q43" i="7"/>
  <c r="L43" i="7"/>
  <c r="S38" i="3"/>
  <c r="R38" i="3"/>
  <c r="S32" i="3"/>
  <c r="S31" i="3"/>
  <c r="R32" i="3"/>
  <c r="S37" i="3"/>
  <c r="R37" i="3"/>
  <c r="R34" i="3"/>
  <c r="S34" i="3"/>
  <c r="S35" i="3"/>
  <c r="R31" i="3"/>
  <c r="B45" i="7"/>
  <c r="L44" i="7"/>
  <c r="Q44" i="7"/>
  <c r="G44" i="7"/>
  <c r="B46" i="7"/>
  <c r="Q45" i="7"/>
  <c r="G45" i="7"/>
  <c r="L45" i="7"/>
  <c r="B47" i="7"/>
  <c r="L46" i="7"/>
  <c r="G46" i="7"/>
  <c r="Q46" i="7"/>
  <c r="B48" i="7"/>
  <c r="L47" i="7"/>
  <c r="G47" i="7"/>
  <c r="Q47" i="7"/>
  <c r="B49" i="7"/>
  <c r="L48" i="7"/>
  <c r="G48" i="7"/>
  <c r="Q48" i="7"/>
  <c r="B50" i="7"/>
  <c r="L49" i="7"/>
  <c r="G49" i="7"/>
  <c r="Q49" i="7"/>
  <c r="B51" i="7"/>
  <c r="L50" i="7"/>
  <c r="Q50" i="7"/>
  <c r="G50" i="7"/>
  <c r="B52" i="7"/>
  <c r="L51" i="7"/>
  <c r="Q51" i="7"/>
  <c r="G51" i="7"/>
  <c r="B53" i="7"/>
  <c r="L52" i="7"/>
  <c r="G52" i="7"/>
  <c r="Q52" i="7"/>
  <c r="L53" i="7"/>
  <c r="G53" i="7"/>
  <c r="Q53" i="7"/>
  <c r="O43" i="3"/>
  <c r="C4" i="6"/>
  <c r="M16" i="6"/>
  <c r="M6" i="6"/>
  <c r="K6" i="6"/>
  <c r="U16" i="6"/>
  <c r="U6" i="6"/>
  <c r="S6" i="6"/>
  <c r="Q16" i="6"/>
  <c r="Q6" i="6"/>
  <c r="O6" i="6"/>
  <c r="K14" i="6"/>
  <c r="O45" i="3"/>
  <c r="C6" i="6"/>
  <c r="M16" i="7"/>
  <c r="S14" i="6"/>
  <c r="O14" i="6"/>
  <c r="C27" i="7"/>
  <c r="C25" i="7"/>
  <c r="C18" i="7"/>
  <c r="C22" i="7"/>
  <c r="C28" i="7"/>
  <c r="C15" i="7"/>
  <c r="C19" i="7"/>
  <c r="C23" i="7"/>
  <c r="C29" i="7"/>
  <c r="C16" i="7"/>
  <c r="C20" i="7"/>
  <c r="C24" i="7"/>
  <c r="E14" i="7"/>
  <c r="C30" i="7"/>
  <c r="C17" i="7"/>
  <c r="C21" i="7"/>
  <c r="C26" i="7"/>
  <c r="C14" i="7"/>
  <c r="E21" i="7"/>
  <c r="E17" i="7"/>
  <c r="E23" i="7"/>
  <c r="E27" i="7"/>
  <c r="E16" i="7"/>
  <c r="E26" i="7"/>
  <c r="E22" i="7"/>
  <c r="E25" i="7"/>
  <c r="E24" i="7"/>
  <c r="E19" i="7"/>
  <c r="E18" i="7"/>
  <c r="E29" i="7"/>
  <c r="E30" i="7"/>
  <c r="E20" i="7"/>
  <c r="E28" i="7"/>
  <c r="E15" i="7"/>
  <c r="M15" i="7"/>
  <c r="P43" i="3"/>
  <c r="D4" i="6"/>
  <c r="F19" i="7"/>
  <c r="P12" i="3"/>
  <c r="AI13" i="6"/>
  <c r="P45" i="3"/>
  <c r="D6" i="6"/>
  <c r="O26" i="7"/>
  <c r="S5" i="3"/>
  <c r="S44" i="3"/>
  <c r="G5" i="6"/>
  <c r="R5" i="3"/>
  <c r="R44" i="3"/>
  <c r="F5" i="6"/>
  <c r="O44" i="3"/>
  <c r="C5" i="6"/>
  <c r="S6" i="3"/>
  <c r="S45" i="3"/>
  <c r="G6" i="6"/>
  <c r="R6" i="3"/>
  <c r="R45" i="3"/>
  <c r="F6" i="6"/>
  <c r="P44" i="3"/>
  <c r="D5" i="6"/>
  <c r="R4" i="3"/>
  <c r="R43" i="3"/>
  <c r="F4" i="6"/>
  <c r="S4" i="3"/>
  <c r="S43" i="3"/>
  <c r="G4" i="6"/>
  <c r="P10" i="3"/>
  <c r="AA13" i="6"/>
  <c r="O25" i="7"/>
  <c r="M25" i="7"/>
  <c r="O30" i="7"/>
  <c r="M18" i="7"/>
  <c r="O19" i="7"/>
  <c r="O28" i="7"/>
  <c r="M23" i="7"/>
  <c r="O14" i="7"/>
  <c r="M30" i="7"/>
  <c r="M29" i="7"/>
  <c r="O24" i="7"/>
  <c r="O17" i="7"/>
  <c r="O15" i="7"/>
  <c r="O29" i="7"/>
  <c r="M19" i="7"/>
  <c r="M28" i="7"/>
  <c r="M22" i="7"/>
  <c r="M27" i="7"/>
  <c r="O27" i="7"/>
  <c r="O23" i="7"/>
  <c r="O21" i="7"/>
  <c r="M21" i="7"/>
  <c r="M14" i="7"/>
  <c r="P16" i="6"/>
  <c r="P6" i="6"/>
  <c r="N6" i="6"/>
  <c r="O16" i="7"/>
  <c r="O22" i="7"/>
  <c r="O20" i="7"/>
  <c r="O18" i="7"/>
  <c r="M17" i="7"/>
  <c r="M26" i="7"/>
  <c r="M20" i="7"/>
  <c r="P17" i="6"/>
  <c r="P7" i="6"/>
  <c r="N7" i="6"/>
  <c r="R9" i="6"/>
  <c r="T19" i="6"/>
  <c r="T9" i="6"/>
  <c r="S19" i="6"/>
  <c r="S17" i="6"/>
  <c r="P19" i="6"/>
  <c r="P9" i="6"/>
  <c r="N9" i="6"/>
  <c r="K17" i="6"/>
  <c r="K19" i="6"/>
  <c r="M19" i="6"/>
  <c r="M9" i="6"/>
  <c r="O19" i="6"/>
  <c r="R7" i="6"/>
  <c r="T17" i="6"/>
  <c r="T7" i="6"/>
  <c r="M24" i="7"/>
  <c r="O51" i="3"/>
  <c r="C12" i="6"/>
  <c r="Q14" i="6"/>
  <c r="Q4" i="6"/>
  <c r="O4" i="6"/>
  <c r="U14" i="6"/>
  <c r="U4" i="6"/>
  <c r="S4" i="6"/>
  <c r="F20" i="7"/>
  <c r="F21" i="7"/>
  <c r="F18" i="7"/>
  <c r="F26" i="7"/>
  <c r="F15" i="7"/>
  <c r="F24" i="7"/>
  <c r="F17" i="7"/>
  <c r="F16" i="7"/>
  <c r="F22" i="7"/>
  <c r="F29" i="7"/>
  <c r="F28" i="7"/>
  <c r="F27" i="7"/>
  <c r="F23" i="7"/>
  <c r="F30" i="7"/>
  <c r="F14" i="7"/>
  <c r="F25" i="7"/>
  <c r="H26" i="7"/>
  <c r="H28" i="7"/>
  <c r="H30" i="7"/>
  <c r="H15" i="7"/>
  <c r="H17" i="7"/>
  <c r="H19" i="7"/>
  <c r="H21" i="7"/>
  <c r="H23" i="7"/>
  <c r="H14" i="7"/>
  <c r="H25" i="7"/>
  <c r="H27" i="7"/>
  <c r="H29" i="7"/>
  <c r="H16" i="7"/>
  <c r="H18" i="7"/>
  <c r="H20" i="7"/>
  <c r="H22" i="7"/>
  <c r="H24" i="7"/>
  <c r="R10" i="3"/>
  <c r="R49" i="3"/>
  <c r="F10" i="6"/>
  <c r="O49" i="3"/>
  <c r="C10" i="6"/>
  <c r="I14" i="7"/>
  <c r="I29" i="7"/>
  <c r="I18" i="7"/>
  <c r="I26" i="7"/>
  <c r="I28" i="7"/>
  <c r="I30" i="7"/>
  <c r="I15" i="7"/>
  <c r="I17" i="7"/>
  <c r="I19" i="7"/>
  <c r="I21" i="7"/>
  <c r="I23" i="7"/>
  <c r="I20" i="7"/>
  <c r="I25" i="7"/>
  <c r="I27" i="7"/>
  <c r="I16" i="7"/>
  <c r="I22" i="7"/>
  <c r="I24" i="7"/>
  <c r="N25" i="7"/>
  <c r="N26" i="7"/>
  <c r="N15" i="7"/>
  <c r="N21" i="7"/>
  <c r="N27" i="7"/>
  <c r="N29" i="7"/>
  <c r="N16" i="7"/>
  <c r="N18" i="7"/>
  <c r="N20" i="7"/>
  <c r="N22" i="7"/>
  <c r="N24" i="7"/>
  <c r="N28" i="7"/>
  <c r="N17" i="7"/>
  <c r="N23" i="7"/>
  <c r="N14" i="7"/>
  <c r="N30" i="7"/>
  <c r="N19" i="7"/>
  <c r="M14" i="6"/>
  <c r="M4" i="6"/>
  <c r="K4" i="6"/>
  <c r="O9" i="3"/>
  <c r="O48" i="3"/>
  <c r="C9" i="6"/>
  <c r="O46" i="7"/>
  <c r="D28" i="7"/>
  <c r="D15" i="7"/>
  <c r="D19" i="7"/>
  <c r="D23" i="7"/>
  <c r="D29" i="7"/>
  <c r="D16" i="7"/>
  <c r="D20" i="7"/>
  <c r="D24" i="7"/>
  <c r="D26" i="7"/>
  <c r="D30" i="7"/>
  <c r="D17" i="7"/>
  <c r="D21" i="7"/>
  <c r="D14" i="7"/>
  <c r="D22" i="7"/>
  <c r="D27" i="7"/>
  <c r="D25" i="7"/>
  <c r="D18" i="7"/>
  <c r="O8" i="3"/>
  <c r="R12" i="3"/>
  <c r="R51" i="3"/>
  <c r="F12" i="6"/>
  <c r="S11" i="3"/>
  <c r="S50" i="3"/>
  <c r="G11" i="6"/>
  <c r="S12" i="3"/>
  <c r="S51" i="3"/>
  <c r="G12" i="6"/>
  <c r="O50" i="3"/>
  <c r="C11" i="6"/>
  <c r="R11" i="3"/>
  <c r="R50" i="3"/>
  <c r="F11" i="6"/>
  <c r="O37" i="7"/>
  <c r="K18" i="7"/>
  <c r="K14" i="7"/>
  <c r="K19" i="7"/>
  <c r="K20" i="7"/>
  <c r="K21" i="7"/>
  <c r="K22" i="7"/>
  <c r="K15" i="7"/>
  <c r="K23" i="7"/>
  <c r="K16" i="7"/>
  <c r="K24" i="7"/>
  <c r="K17" i="7"/>
  <c r="K25" i="7"/>
  <c r="K30" i="7"/>
  <c r="K28" i="7"/>
  <c r="K27" i="7"/>
  <c r="K29" i="7"/>
  <c r="K26" i="7"/>
  <c r="O31" i="7"/>
  <c r="O32" i="7"/>
  <c r="P18" i="7"/>
  <c r="P17" i="7"/>
  <c r="P14" i="7"/>
  <c r="P20" i="7"/>
  <c r="P25" i="7"/>
  <c r="P19" i="7"/>
  <c r="P30" i="7"/>
  <c r="P22" i="7"/>
  <c r="P21" i="7"/>
  <c r="P16" i="7"/>
  <c r="P24" i="7"/>
  <c r="P15" i="7"/>
  <c r="P23" i="7"/>
  <c r="P29" i="7"/>
  <c r="P28" i="7"/>
  <c r="P27" i="7"/>
  <c r="P26" i="7"/>
  <c r="S10" i="3"/>
  <c r="S49" i="3"/>
  <c r="G10" i="6"/>
  <c r="P49" i="3"/>
  <c r="D10" i="6"/>
  <c r="J16" i="7"/>
  <c r="J24" i="7"/>
  <c r="J17" i="7"/>
  <c r="J20" i="7"/>
  <c r="J14" i="7"/>
  <c r="J23" i="7"/>
  <c r="J18" i="7"/>
  <c r="J19" i="7"/>
  <c r="J21" i="7"/>
  <c r="J15" i="7"/>
  <c r="J22" i="7"/>
  <c r="J26" i="7"/>
  <c r="J29" i="7"/>
  <c r="J28" i="7"/>
  <c r="J27" i="7"/>
  <c r="J30" i="7"/>
  <c r="J25" i="7"/>
  <c r="P8" i="3"/>
  <c r="P47" i="3"/>
  <c r="D8" i="6"/>
  <c r="I32" i="7"/>
  <c r="P50" i="3"/>
  <c r="D11" i="6"/>
  <c r="O44" i="7"/>
  <c r="O34" i="7"/>
  <c r="P9" i="3"/>
  <c r="P48" i="3"/>
  <c r="D9" i="6"/>
  <c r="P47" i="7"/>
  <c r="P51" i="3"/>
  <c r="D12" i="6"/>
  <c r="P7" i="3"/>
  <c r="O7" i="3"/>
  <c r="O52" i="7"/>
  <c r="K9" i="6"/>
  <c r="T16" i="6"/>
  <c r="T6" i="6"/>
  <c r="R6" i="6"/>
  <c r="O49" i="7"/>
  <c r="O41" i="7"/>
  <c r="Q19" i="6"/>
  <c r="Q9" i="6"/>
  <c r="O9" i="6"/>
  <c r="O51" i="7"/>
  <c r="O36" i="7"/>
  <c r="O40" i="7"/>
  <c r="Q17" i="6"/>
  <c r="Q7" i="6"/>
  <c r="O7" i="6"/>
  <c r="U17" i="6"/>
  <c r="U7" i="6"/>
  <c r="S7" i="6"/>
  <c r="O35" i="7"/>
  <c r="O38" i="7"/>
  <c r="M17" i="6"/>
  <c r="M7" i="6"/>
  <c r="K7" i="6"/>
  <c r="U19" i="6"/>
  <c r="U9" i="6"/>
  <c r="S9" i="6"/>
  <c r="O45" i="7"/>
  <c r="O53" i="7"/>
  <c r="O50" i="7"/>
  <c r="N4" i="6"/>
  <c r="P14" i="6"/>
  <c r="P4" i="6"/>
  <c r="O47" i="7"/>
  <c r="O43" i="7"/>
  <c r="O33" i="7"/>
  <c r="O42" i="7"/>
  <c r="O39" i="7"/>
  <c r="O48" i="7"/>
  <c r="N53" i="7"/>
  <c r="N49" i="7"/>
  <c r="N45" i="7"/>
  <c r="N41" i="7"/>
  <c r="N32" i="7"/>
  <c r="N31" i="7"/>
  <c r="N35" i="7"/>
  <c r="N33" i="7"/>
  <c r="I53" i="7"/>
  <c r="I49" i="7"/>
  <c r="I45" i="7"/>
  <c r="I41" i="7"/>
  <c r="I33" i="7"/>
  <c r="R7" i="3"/>
  <c r="R46" i="3"/>
  <c r="F7" i="6"/>
  <c r="O46" i="3"/>
  <c r="C7" i="6"/>
  <c r="M32" i="7"/>
  <c r="M31" i="7"/>
  <c r="M38" i="7"/>
  <c r="M42" i="7"/>
  <c r="M46" i="7"/>
  <c r="M50" i="7"/>
  <c r="M36" i="7"/>
  <c r="M39" i="7"/>
  <c r="M43" i="7"/>
  <c r="M47" i="7"/>
  <c r="M51" i="7"/>
  <c r="M37" i="7"/>
  <c r="M34" i="7"/>
  <c r="M40" i="7"/>
  <c r="M44" i="7"/>
  <c r="M48" i="7"/>
  <c r="M52" i="7"/>
  <c r="M33" i="7"/>
  <c r="M35" i="7"/>
  <c r="M41" i="7"/>
  <c r="M45" i="7"/>
  <c r="M49" i="7"/>
  <c r="M53" i="7"/>
  <c r="N52" i="7"/>
  <c r="N48" i="7"/>
  <c r="N44" i="7"/>
  <c r="N40" i="7"/>
  <c r="I52" i="7"/>
  <c r="I48" i="7"/>
  <c r="I44" i="7"/>
  <c r="I40" i="7"/>
  <c r="I36" i="7"/>
  <c r="N51" i="7"/>
  <c r="N47" i="7"/>
  <c r="N43" i="7"/>
  <c r="N39" i="7"/>
  <c r="N34" i="7"/>
  <c r="I51" i="7"/>
  <c r="I47" i="7"/>
  <c r="I43" i="7"/>
  <c r="I39" i="7"/>
  <c r="I31" i="7"/>
  <c r="I34" i="7"/>
  <c r="I35" i="7"/>
  <c r="N50" i="7"/>
  <c r="N46" i="7"/>
  <c r="N42" i="7"/>
  <c r="N38" i="7"/>
  <c r="N36" i="7"/>
  <c r="N37" i="7"/>
  <c r="I50" i="7"/>
  <c r="I46" i="7"/>
  <c r="I42" i="7"/>
  <c r="I38" i="7"/>
  <c r="I37" i="7"/>
  <c r="P38" i="7"/>
  <c r="P41" i="7"/>
  <c r="P35" i="7"/>
  <c r="P44" i="7"/>
  <c r="P32" i="7"/>
  <c r="P49" i="7"/>
  <c r="K49" i="7"/>
  <c r="K53" i="7"/>
  <c r="K36" i="7"/>
  <c r="K38" i="7"/>
  <c r="K42" i="7"/>
  <c r="K46" i="7"/>
  <c r="R9" i="3"/>
  <c r="R48" i="3"/>
  <c r="F9" i="6"/>
  <c r="S8" i="3"/>
  <c r="S47" i="3"/>
  <c r="G8" i="6"/>
  <c r="S9" i="3"/>
  <c r="S48" i="3"/>
  <c r="G9" i="6"/>
  <c r="R8" i="3"/>
  <c r="R47" i="3"/>
  <c r="F8" i="6"/>
  <c r="O47" i="3"/>
  <c r="C8" i="6"/>
  <c r="P50" i="7"/>
  <c r="P43" i="7"/>
  <c r="P46" i="7"/>
  <c r="P53" i="7"/>
  <c r="P34" i="7"/>
  <c r="P33" i="7"/>
  <c r="K52" i="7"/>
  <c r="K47" i="7"/>
  <c r="K43" i="7"/>
  <c r="K39" i="7"/>
  <c r="P36" i="7"/>
  <c r="P51" i="7"/>
  <c r="P45" i="7"/>
  <c r="P52" i="7"/>
  <c r="P39" i="7"/>
  <c r="P42" i="7"/>
  <c r="K33" i="7"/>
  <c r="K51" i="7"/>
  <c r="K34" i="7"/>
  <c r="K48" i="7"/>
  <c r="K40" i="7"/>
  <c r="K44" i="7"/>
  <c r="K37" i="7"/>
  <c r="S7" i="3"/>
  <c r="S46" i="3"/>
  <c r="G7" i="6"/>
  <c r="P46" i="3"/>
  <c r="D7" i="6"/>
  <c r="P40" i="7"/>
  <c r="P48" i="7"/>
  <c r="P31" i="7"/>
  <c r="P37" i="7"/>
  <c r="K31" i="7"/>
  <c r="K32" i="7"/>
  <c r="K50" i="7"/>
  <c r="K35" i="7"/>
  <c r="K41" i="7"/>
  <c r="K45" i="7"/>
  <c r="R4" i="6"/>
  <c r="T14" i="6"/>
  <c r="T4" i="6"/>
  <c r="H32" i="7"/>
  <c r="H37" i="7"/>
  <c r="H35" i="7"/>
  <c r="H38" i="7"/>
  <c r="H42" i="7"/>
  <c r="H46" i="7"/>
  <c r="H50" i="7"/>
  <c r="H34" i="7"/>
  <c r="H31" i="7"/>
  <c r="H39" i="7"/>
  <c r="H43" i="7"/>
  <c r="H47" i="7"/>
  <c r="H51" i="7"/>
  <c r="H36" i="7"/>
  <c r="H40" i="7"/>
  <c r="H44" i="7"/>
  <c r="H48" i="7"/>
  <c r="H52" i="7"/>
  <c r="H33" i="7"/>
  <c r="H41" i="7"/>
  <c r="H45" i="7"/>
  <c r="H49" i="7"/>
  <c r="H53" i="7"/>
  <c r="C37" i="7"/>
  <c r="C33" i="7"/>
  <c r="C41" i="7"/>
  <c r="E44" i="7"/>
  <c r="E40" i="7"/>
  <c r="C43" i="7"/>
  <c r="E34" i="7"/>
  <c r="E43" i="7"/>
  <c r="C46" i="7"/>
  <c r="C48" i="7"/>
  <c r="C50" i="7"/>
  <c r="C52" i="7"/>
  <c r="C35" i="7"/>
  <c r="C31" i="7"/>
  <c r="C34" i="7"/>
  <c r="C38" i="7"/>
  <c r="C42" i="7"/>
  <c r="E41" i="7"/>
  <c r="E32" i="7"/>
  <c r="E36" i="7"/>
  <c r="E38" i="7"/>
  <c r="C44" i="7"/>
  <c r="E46" i="7"/>
  <c r="E48" i="7"/>
  <c r="E50" i="7"/>
  <c r="E52" i="7"/>
  <c r="C32" i="7"/>
  <c r="C39" i="7"/>
  <c r="E35" i="7"/>
  <c r="E42" i="7"/>
  <c r="C45" i="7"/>
  <c r="C47" i="7"/>
  <c r="E49" i="7"/>
  <c r="E51" i="7"/>
  <c r="E53" i="7"/>
  <c r="C36" i="7"/>
  <c r="C40" i="7"/>
  <c r="E39" i="7"/>
  <c r="E33" i="7"/>
  <c r="E31" i="7"/>
  <c r="E37" i="7"/>
  <c r="E45" i="7"/>
  <c r="E47" i="7"/>
  <c r="C49" i="7"/>
  <c r="C51" i="7"/>
  <c r="C53" i="7"/>
  <c r="D36" i="7"/>
  <c r="D39" i="7"/>
  <c r="D43" i="7"/>
  <c r="D47" i="7"/>
  <c r="D51" i="7"/>
  <c r="D33" i="7"/>
  <c r="D35" i="7"/>
  <c r="D37" i="7"/>
  <c r="D40" i="7"/>
  <c r="D44" i="7"/>
  <c r="D48" i="7"/>
  <c r="D52" i="7"/>
  <c r="D31" i="7"/>
  <c r="D41" i="7"/>
  <c r="D45" i="7"/>
  <c r="D49" i="7"/>
  <c r="D53" i="7"/>
  <c r="D32" i="7"/>
  <c r="D34" i="7"/>
  <c r="D38" i="7"/>
  <c r="D42" i="7"/>
  <c r="D46" i="7"/>
  <c r="D50" i="7"/>
  <c r="J42" i="7"/>
  <c r="J38" i="7"/>
  <c r="J35" i="7"/>
  <c r="J52" i="7"/>
  <c r="J47" i="7"/>
  <c r="J31" i="7"/>
  <c r="J46" i="7"/>
  <c r="J45" i="7"/>
  <c r="J37" i="7"/>
  <c r="J34" i="7"/>
  <c r="J53" i="7"/>
  <c r="J41" i="7"/>
  <c r="J49" i="7"/>
  <c r="J50" i="7"/>
  <c r="J44" i="7"/>
  <c r="J48" i="7"/>
  <c r="J51" i="7"/>
  <c r="J40" i="7"/>
  <c r="J43" i="7"/>
  <c r="J39" i="7"/>
  <c r="J36" i="7"/>
  <c r="J32" i="7"/>
  <c r="J33" i="7"/>
  <c r="F52" i="7"/>
  <c r="F37" i="7"/>
  <c r="F40" i="7"/>
  <c r="F33" i="7"/>
  <c r="F50" i="7"/>
  <c r="F45" i="7"/>
  <c r="F34" i="7"/>
  <c r="F42" i="7"/>
  <c r="F43" i="7"/>
  <c r="F31" i="7"/>
  <c r="F32" i="7"/>
  <c r="F44" i="7"/>
  <c r="F36" i="7"/>
  <c r="F38" i="7"/>
  <c r="F39" i="7"/>
  <c r="F53" i="7"/>
  <c r="F46" i="7"/>
  <c r="F48" i="7"/>
  <c r="F51" i="7"/>
  <c r="F47" i="7"/>
  <c r="F49" i="7"/>
  <c r="F41" i="7"/>
  <c r="F35" i="7"/>
</calcChain>
</file>

<file path=xl/sharedStrings.xml><?xml version="1.0" encoding="utf-8"?>
<sst xmlns="http://schemas.openxmlformats.org/spreadsheetml/2006/main" count="582" uniqueCount="182">
  <si>
    <t>Property</t>
  </si>
  <si>
    <t>Symbol</t>
  </si>
  <si>
    <t>Value</t>
  </si>
  <si>
    <t>Unit</t>
  </si>
  <si>
    <t>Chord length aileron</t>
  </si>
  <si>
    <t>m</t>
  </si>
  <si>
    <t>Span of the aileron</t>
  </si>
  <si>
    <t>x-location of hinge 1</t>
  </si>
  <si>
    <t>x-location of hinge 2</t>
  </si>
  <si>
    <t>x-location of hinge 3</t>
  </si>
  <si>
    <t>Distance between actuator 1 and 2</t>
  </si>
  <si>
    <t>cm</t>
  </si>
  <si>
    <t>Aileron height</t>
  </si>
  <si>
    <t>h</t>
  </si>
  <si>
    <t>Skin thickness</t>
  </si>
  <si>
    <t>mm</t>
  </si>
  <si>
    <t>Spar thickness</t>
  </si>
  <si>
    <t>Thickness of stiffener</t>
  </si>
  <si>
    <t>Height of stiffener</t>
  </si>
  <si>
    <t>Width of stiffener</t>
  </si>
  <si>
    <t>Number of stiffeners (equally spaced along the periphery of the cross-section)</t>
  </si>
  <si>
    <t>-</t>
  </si>
  <si>
    <t>Vertical displacement hinge 1</t>
  </si>
  <si>
    <t>Vertical displacement hinge 3</t>
  </si>
  <si>
    <t>Maximum upward deflection</t>
  </si>
  <si>
    <t>q</t>
  </si>
  <si>
    <t>deg</t>
  </si>
  <si>
    <t>Load in actuator 2</t>
  </si>
  <si>
    <t>P</t>
  </si>
  <si>
    <t>kN</t>
  </si>
  <si>
    <t>Net aerodynamic load</t>
  </si>
  <si>
    <t>kN/m</t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</si>
  <si>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</si>
  <si>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r>
      <t>l</t>
    </r>
    <r>
      <rPr>
        <i/>
        <vertAlign val="subscript"/>
        <sz val="12"/>
        <color theme="1"/>
        <rFont val="Times New Roman"/>
        <family val="1"/>
      </rPr>
      <t>a</t>
    </r>
  </si>
  <si>
    <r>
      <t>x</t>
    </r>
    <r>
      <rPr>
        <i/>
        <vertAlign val="subscript"/>
        <sz val="12"/>
        <color theme="1"/>
        <rFont val="Times New Roman"/>
        <family val="1"/>
      </rPr>
      <t>1</t>
    </r>
  </si>
  <si>
    <r>
      <t>x</t>
    </r>
    <r>
      <rPr>
        <i/>
        <vertAlign val="subscript"/>
        <sz val="12"/>
        <color theme="1"/>
        <rFont val="Times New Roman"/>
        <family val="1"/>
      </rPr>
      <t>2</t>
    </r>
  </si>
  <si>
    <r>
      <t>x</t>
    </r>
    <r>
      <rPr>
        <i/>
        <vertAlign val="subscript"/>
        <sz val="12"/>
        <color theme="1"/>
        <rFont val="Times New Roman"/>
        <family val="1"/>
      </rPr>
      <t>3</t>
    </r>
  </si>
  <si>
    <r>
      <t>x</t>
    </r>
    <r>
      <rPr>
        <i/>
        <vertAlign val="subscript"/>
        <sz val="12"/>
        <color theme="1"/>
        <rFont val="Times New Roman"/>
        <family val="1"/>
      </rPr>
      <t>a</t>
    </r>
  </si>
  <si>
    <r>
      <t>t</t>
    </r>
    <r>
      <rPr>
        <i/>
        <vertAlign val="subscript"/>
        <sz val="12"/>
        <color theme="1"/>
        <rFont val="Times New Roman"/>
        <family val="1"/>
      </rPr>
      <t>sk</t>
    </r>
  </si>
  <si>
    <r>
      <t>t</t>
    </r>
    <r>
      <rPr>
        <i/>
        <vertAlign val="subscript"/>
        <sz val="12"/>
        <color theme="1"/>
        <rFont val="Times New Roman"/>
        <family val="1"/>
      </rPr>
      <t>sp</t>
    </r>
  </si>
  <si>
    <r>
      <t>t</t>
    </r>
    <r>
      <rPr>
        <i/>
        <vertAlign val="subscript"/>
        <sz val="12"/>
        <color theme="1"/>
        <rFont val="Times New Roman"/>
        <family val="1"/>
      </rPr>
      <t>st</t>
    </r>
  </si>
  <si>
    <r>
      <t>h</t>
    </r>
    <r>
      <rPr>
        <i/>
        <vertAlign val="subscript"/>
        <sz val="12"/>
        <color theme="1"/>
        <rFont val="Times New Roman"/>
        <family val="1"/>
      </rPr>
      <t>st</t>
    </r>
  </si>
  <si>
    <r>
      <t>w</t>
    </r>
    <r>
      <rPr>
        <i/>
        <vertAlign val="subscript"/>
        <sz val="12"/>
        <color theme="1"/>
        <rFont val="Times New Roman"/>
        <family val="1"/>
      </rPr>
      <t>st</t>
    </r>
  </si>
  <si>
    <r>
      <t>n</t>
    </r>
    <r>
      <rPr>
        <i/>
        <vertAlign val="subscript"/>
        <sz val="12"/>
        <color theme="1"/>
        <rFont val="Times New Roman"/>
        <family val="1"/>
      </rPr>
      <t>st</t>
    </r>
  </si>
  <si>
    <r>
      <t>d</t>
    </r>
    <r>
      <rPr>
        <i/>
        <vertAlign val="subscript"/>
        <sz val="12"/>
        <color theme="1"/>
        <rFont val="Times New Roman"/>
        <family val="1"/>
      </rPr>
      <t>1</t>
    </r>
  </si>
  <si>
    <r>
      <t>d</t>
    </r>
    <r>
      <rPr>
        <i/>
        <vertAlign val="subscript"/>
        <sz val="12"/>
        <color theme="1"/>
        <rFont val="Times New Roman"/>
        <family val="1"/>
      </rPr>
      <t>3</t>
    </r>
  </si>
  <si>
    <t>Part</t>
  </si>
  <si>
    <t>Upper skin</t>
  </si>
  <si>
    <t>Lower skin</t>
  </si>
  <si>
    <t>Stiffener 1</t>
  </si>
  <si>
    <t>Stiffener 2</t>
  </si>
  <si>
    <t>Stiffener 3</t>
  </si>
  <si>
    <t>Stiffener 4</t>
  </si>
  <si>
    <t>Stiffener 5</t>
  </si>
  <si>
    <t>Stiffener 6</t>
  </si>
  <si>
    <t>Stiffener 7</t>
  </si>
  <si>
    <t>Stiffener 8</t>
  </si>
  <si>
    <t>Stiffener 9</t>
  </si>
  <si>
    <t>Stiffener 10</t>
  </si>
  <si>
    <t>Stiffener 11</t>
  </si>
  <si>
    <t>Stiffener 12</t>
  </si>
  <si>
    <t>Stiffener 13</t>
  </si>
  <si>
    <t>Stiffener 14</t>
  </si>
  <si>
    <t>Stiffener 15</t>
  </si>
  <si>
    <t>Stiffener 16</t>
  </si>
  <si>
    <t>Stiffener 17</t>
  </si>
  <si>
    <t>Stiffener 18</t>
  </si>
  <si>
    <t>Stiffener 19</t>
  </si>
  <si>
    <t>Stiffener 20</t>
  </si>
  <si>
    <t>Stiffener 21</t>
  </si>
  <si>
    <t>Leading edge</t>
  </si>
  <si>
    <t>Area [mm^2]</t>
  </si>
  <si>
    <t>d_y [mm]</t>
  </si>
  <si>
    <t>I_yy (centroid) [mm^4]</t>
  </si>
  <si>
    <t>A*(d_y^2)</t>
  </si>
  <si>
    <t>I_yy [mm^4]</t>
  </si>
  <si>
    <t>Total</t>
  </si>
  <si>
    <t>I_zz (centroid) [mm^4]</t>
  </si>
  <si>
    <t>d_z [mm]</t>
  </si>
  <si>
    <t>A*(d_z^2)</t>
  </si>
  <si>
    <t>I_zz [mm^4]</t>
  </si>
  <si>
    <t>Usefull measures</t>
  </si>
  <si>
    <t>Radius</t>
  </si>
  <si>
    <t>Circumference</t>
  </si>
  <si>
    <t>Length behind hinge line</t>
  </si>
  <si>
    <t>[mm]</t>
  </si>
  <si>
    <t>Area stiffener</t>
  </si>
  <si>
    <t>[mm^2]</t>
  </si>
  <si>
    <t>Stiffener Pitch</t>
  </si>
  <si>
    <t>[-]</t>
  </si>
  <si>
    <t>Stiffeners on leading edge</t>
  </si>
  <si>
    <t>Stiffeners on upper/lower skin</t>
  </si>
  <si>
    <t>Slope upper/lower skin</t>
  </si>
  <si>
    <t>[rad]</t>
  </si>
  <si>
    <t>Inclination w.r.t. z-axis [rad]</t>
  </si>
  <si>
    <t>Opening angle leading edge</t>
  </si>
  <si>
    <t>Spar</t>
  </si>
  <si>
    <t>Stiffener centroid from base</t>
  </si>
  <si>
    <t>Modulus of Elasticity Al 2024-T3</t>
  </si>
  <si>
    <t>E</t>
  </si>
  <si>
    <t>GPa</t>
  </si>
  <si>
    <t>Useful constants</t>
  </si>
  <si>
    <t>L12</t>
  </si>
  <si>
    <t>L23</t>
  </si>
  <si>
    <t>EI_zz</t>
  </si>
  <si>
    <t>EI_yy</t>
  </si>
  <si>
    <t>[kNmm^2]</t>
  </si>
  <si>
    <t>Local</t>
  </si>
  <si>
    <t>Global</t>
  </si>
  <si>
    <t>Displacements per hinge per load case</t>
  </si>
  <si>
    <t>y [mm]</t>
  </si>
  <si>
    <t>z [mm]</t>
  </si>
  <si>
    <t>Rotation</t>
  </si>
  <si>
    <t>Up</t>
  </si>
  <si>
    <t>Down</t>
  </si>
  <si>
    <t>Neutral</t>
  </si>
  <si>
    <t>Reaction loads per hinge per load case</t>
  </si>
  <si>
    <t>R_z [kN]</t>
  </si>
  <si>
    <t>R_y [kN]</t>
  </si>
  <si>
    <t>Hinge 1</t>
  </si>
  <si>
    <t>Hinge 2</t>
  </si>
  <si>
    <t>Hinge 3</t>
  </si>
  <si>
    <t>Act. 1</t>
  </si>
  <si>
    <t>Location</t>
  </si>
  <si>
    <t>Reaction loads due to boundary conditions per hinge per load case</t>
  </si>
  <si>
    <t>J [mm^4]</t>
  </si>
  <si>
    <t>L34</t>
  </si>
  <si>
    <t>L01</t>
  </si>
  <si>
    <t>Shear Modulus of Al 2024-T3</t>
  </si>
  <si>
    <t>G</t>
  </si>
  <si>
    <t>GJ</t>
  </si>
  <si>
    <t>d</t>
  </si>
  <si>
    <t>x [mm]</t>
  </si>
  <si>
    <t>theta [rad]</t>
  </si>
  <si>
    <t>Deflection</t>
  </si>
  <si>
    <t>leading edge [mm]</t>
  </si>
  <si>
    <t>trailing edge [mm]</t>
  </si>
  <si>
    <t xml:space="preserve">Up </t>
  </si>
  <si>
    <t>Distributed torque</t>
  </si>
  <si>
    <t>Torque actuator 2</t>
  </si>
  <si>
    <t>[kN]</t>
  </si>
  <si>
    <t>[kNm]</t>
  </si>
  <si>
    <t>[kNm/m]</t>
  </si>
  <si>
    <t>Torque actuator 1</t>
  </si>
  <si>
    <t>dq</t>
  </si>
  <si>
    <t>Force actuator 1</t>
  </si>
  <si>
    <t>Reaction loads due to distributed load per hinge per load case</t>
  </si>
  <si>
    <t>Reaction loads due to actuator loads per hinge per load case</t>
  </si>
  <si>
    <t>Combined reaction loads</t>
  </si>
  <si>
    <t>Act. 2</t>
  </si>
  <si>
    <t>Other loads</t>
  </si>
  <si>
    <t>M_z [kNm]</t>
  </si>
  <si>
    <t>M_y [kNm]</t>
  </si>
  <si>
    <t>Rotation up</t>
  </si>
  <si>
    <t>Rotaion down</t>
  </si>
  <si>
    <t>LE_y [mm]</t>
  </si>
  <si>
    <t>LE_z [mm]</t>
  </si>
  <si>
    <t>TE_y [mm]</t>
  </si>
  <si>
    <t>TE_z [mm]</t>
  </si>
  <si>
    <t>LE = Leading Edge</t>
  </si>
  <si>
    <t>TE = Trainling Edge</t>
  </si>
  <si>
    <t>Total displacements</t>
  </si>
  <si>
    <t>Due to Rotation</t>
  </si>
  <si>
    <t>Due to displacement of hinges 1 and 3</t>
  </si>
  <si>
    <t>Due to distributed load</t>
  </si>
  <si>
    <t>Due to actuator shear loads</t>
  </si>
  <si>
    <t>N.B.: all displacements given are in the local coordinate system of the aileron</t>
  </si>
  <si>
    <t>T [kNm]</t>
  </si>
  <si>
    <t>N.B.: twist is assumed zero at the location of actuator 1</t>
  </si>
  <si>
    <t>V_z [kN]</t>
  </si>
  <si>
    <t>V_y[kN]</t>
  </si>
  <si>
    <t>Rotation down</t>
  </si>
  <si>
    <t>in z dir</t>
  </si>
  <si>
    <t>in y dir</t>
  </si>
  <si>
    <t>R1</t>
  </si>
  <si>
    <t>R3</t>
  </si>
  <si>
    <t>Netural z</t>
  </si>
  <si>
    <t>Netural y</t>
  </si>
  <si>
    <t>Up z</t>
  </si>
  <si>
    <t>Up y</t>
  </si>
  <si>
    <t>Down z</t>
  </si>
  <si>
    <t>Down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</si>
</sst>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charset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Font="1"/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1" xfId="0" applyBorder="1"/>
    <xf numFmtId="0" fontId="6" fillId="0" borderId="10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/>
    <xf numFmtId="0" fontId="6" fillId="0" borderId="12" xfId="0" applyFont="1" applyBorder="1"/>
    <xf numFmtId="164" fontId="0" fillId="0" borderId="11" xfId="0" applyNumberFormat="1" applyBorder="1"/>
    <xf numFmtId="164" fontId="0" fillId="0" borderId="7" xfId="0" applyNumberFormat="1" applyBorder="1"/>
    <xf numFmtId="0" fontId="7" fillId="0" borderId="0" xfId="0" applyFont="1" applyFill="1"/>
    <xf numFmtId="0" fontId="8" fillId="0" borderId="0" xfId="0" applyFont="1" applyFill="1"/>
    <xf numFmtId="0" fontId="6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165" fontId="2" fillId="0" borderId="4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2" xfId="0" applyBorder="1"/>
    <xf numFmtId="0" fontId="0" fillId="0" borderId="22" xfId="0" applyBorder="1"/>
    <xf numFmtId="3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0" xfId="0" applyBorder="1"/>
    <xf numFmtId="0" fontId="0" fillId="0" borderId="4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0" xfId="0" applyFont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x-z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Diagrams'!$C$3:$C$53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-18.71134265120605</c:v>
                </c:pt>
                <c:pt idx="12">
                  <c:v>-18.71134265120605</c:v>
                </c:pt>
                <c:pt idx="13">
                  <c:v>-18.71134265120605</c:v>
                </c:pt>
                <c:pt idx="14">
                  <c:v>-18.71134265120605</c:v>
                </c:pt>
                <c:pt idx="15">
                  <c:v>-18.71134265120605</c:v>
                </c:pt>
                <c:pt idx="16">
                  <c:v>-18.71134265120605</c:v>
                </c:pt>
                <c:pt idx="17">
                  <c:v>-18.71134265120605</c:v>
                </c:pt>
                <c:pt idx="18">
                  <c:v>-18.71134265120605</c:v>
                </c:pt>
                <c:pt idx="19">
                  <c:v>-18.71134265120605</c:v>
                </c:pt>
                <c:pt idx="20">
                  <c:v>-18.71134265120605</c:v>
                </c:pt>
                <c:pt idx="21">
                  <c:v>-18.71134265120605</c:v>
                </c:pt>
                <c:pt idx="22">
                  <c:v>85.70006783659883</c:v>
                </c:pt>
                <c:pt idx="23">
                  <c:v>85.70006783659883</c:v>
                </c:pt>
                <c:pt idx="24">
                  <c:v>85.70006783659883</c:v>
                </c:pt>
                <c:pt idx="25">
                  <c:v>85.70006783659883</c:v>
                </c:pt>
                <c:pt idx="26">
                  <c:v>85.70006783659883</c:v>
                </c:pt>
                <c:pt idx="27">
                  <c:v>85.70006783659883</c:v>
                </c:pt>
                <c:pt idx="28">
                  <c:v>85.89571607191105</c:v>
                </c:pt>
                <c:pt idx="29">
                  <c:v>85.89571607191105</c:v>
                </c:pt>
                <c:pt idx="30">
                  <c:v>85.89571607191105</c:v>
                </c:pt>
                <c:pt idx="31">
                  <c:v>85.89571607191105</c:v>
                </c:pt>
                <c:pt idx="32">
                  <c:v>85.89571607191105</c:v>
                </c:pt>
                <c:pt idx="33">
                  <c:v>85.89571607191105</c:v>
                </c:pt>
                <c:pt idx="34">
                  <c:v>-11.50428392808895</c:v>
                </c:pt>
                <c:pt idx="35">
                  <c:v>-11.50428392808895</c:v>
                </c:pt>
                <c:pt idx="36">
                  <c:v>-11.50428392808895</c:v>
                </c:pt>
                <c:pt idx="37">
                  <c:v>-11.50428392808895</c:v>
                </c:pt>
                <c:pt idx="38">
                  <c:v>-11.50428392808895</c:v>
                </c:pt>
                <c:pt idx="39">
                  <c:v>-11.50428392808895</c:v>
                </c:pt>
                <c:pt idx="40">
                  <c:v>-11.50428392808895</c:v>
                </c:pt>
                <c:pt idx="41">
                  <c:v>-11.50428392808895</c:v>
                </c:pt>
                <c:pt idx="42">
                  <c:v>-11.50428392808895</c:v>
                </c:pt>
                <c:pt idx="43">
                  <c:v>-11.50428392808895</c:v>
                </c:pt>
                <c:pt idx="44">
                  <c:v>-11.50428392808895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2-C94C-A788-D7E235540B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Diagrams'!$H$3:$H$53</c:f>
              <c:numCache>
                <c:formatCode>General</c:formatCode>
                <c:ptCount val="51"/>
                <c:pt idx="0">
                  <c:v>0.0</c:v>
                </c:pt>
                <c:pt idx="1">
                  <c:v>0.044735006274742</c:v>
                </c:pt>
                <c:pt idx="2">
                  <c:v>0.0894700125494839</c:v>
                </c:pt>
                <c:pt idx="3">
                  <c:v>0.134205018824226</c:v>
                </c:pt>
                <c:pt idx="4">
                  <c:v>0.178940025098968</c:v>
                </c:pt>
                <c:pt idx="5">
                  <c:v>0.22367503137371</c:v>
                </c:pt>
                <c:pt idx="6">
                  <c:v>0.268410037648452</c:v>
                </c:pt>
                <c:pt idx="7">
                  <c:v>0.313145043923194</c:v>
                </c:pt>
                <c:pt idx="8">
                  <c:v>0.357880050197936</c:v>
                </c:pt>
                <c:pt idx="9">
                  <c:v>0.402615056472678</c:v>
                </c:pt>
                <c:pt idx="10">
                  <c:v>0.44735006274742</c:v>
                </c:pt>
                <c:pt idx="11">
                  <c:v>-159.2896767729665</c:v>
                </c:pt>
                <c:pt idx="12">
                  <c:v>-159.0649613926096</c:v>
                </c:pt>
                <c:pt idx="13">
                  <c:v>-158.8402460122528</c:v>
                </c:pt>
                <c:pt idx="14">
                  <c:v>-158.615530631896</c:v>
                </c:pt>
                <c:pt idx="15">
                  <c:v>-158.3908152515391</c:v>
                </c:pt>
                <c:pt idx="16">
                  <c:v>-158.1660998711823</c:v>
                </c:pt>
                <c:pt idx="17">
                  <c:v>-157.9413844908254</c:v>
                </c:pt>
                <c:pt idx="18">
                  <c:v>-157.7166691104686</c:v>
                </c:pt>
                <c:pt idx="19">
                  <c:v>-157.4919537301117</c:v>
                </c:pt>
                <c:pt idx="20">
                  <c:v>-157.2672383497549</c:v>
                </c:pt>
                <c:pt idx="21">
                  <c:v>-157.042522969398</c:v>
                </c:pt>
                <c:pt idx="22">
                  <c:v>-64.85271941218541</c:v>
                </c:pt>
                <c:pt idx="23">
                  <c:v>-64.76168887616122</c:v>
                </c:pt>
                <c:pt idx="24">
                  <c:v>-64.67065834013702</c:v>
                </c:pt>
                <c:pt idx="25">
                  <c:v>-64.57962780411283</c:v>
                </c:pt>
                <c:pt idx="26">
                  <c:v>-64.48859726808867</c:v>
                </c:pt>
                <c:pt idx="27">
                  <c:v>-64.39756673206448</c:v>
                </c:pt>
                <c:pt idx="28">
                  <c:v>180.4964998080965</c:v>
                </c:pt>
                <c:pt idx="29">
                  <c:v>180.5875303441206</c:v>
                </c:pt>
                <c:pt idx="30">
                  <c:v>180.6785608801448</c:v>
                </c:pt>
                <c:pt idx="31">
                  <c:v>180.769591416169</c:v>
                </c:pt>
                <c:pt idx="32">
                  <c:v>180.8606219521932</c:v>
                </c:pt>
                <c:pt idx="33">
                  <c:v>180.9516524882174</c:v>
                </c:pt>
                <c:pt idx="34">
                  <c:v>94.95255694375791</c:v>
                </c:pt>
                <c:pt idx="35">
                  <c:v>95.26596207492688</c:v>
                </c:pt>
                <c:pt idx="36">
                  <c:v>95.57936720609584</c:v>
                </c:pt>
                <c:pt idx="37">
                  <c:v>95.8927723372648</c:v>
                </c:pt>
                <c:pt idx="38">
                  <c:v>96.20617746843382</c:v>
                </c:pt>
                <c:pt idx="39">
                  <c:v>96.51958259960278</c:v>
                </c:pt>
                <c:pt idx="40">
                  <c:v>96.83298773077175</c:v>
                </c:pt>
                <c:pt idx="41">
                  <c:v>97.14639286194071</c:v>
                </c:pt>
                <c:pt idx="42">
                  <c:v>97.45979799310973</c:v>
                </c:pt>
                <c:pt idx="43">
                  <c:v>97.7732031242787</c:v>
                </c:pt>
                <c:pt idx="44">
                  <c:v>98.08660825544765</c:v>
                </c:pt>
                <c:pt idx="45">
                  <c:v>-0.182061072048327</c:v>
                </c:pt>
                <c:pt idx="46">
                  <c:v>-0.145648857638662</c:v>
                </c:pt>
                <c:pt idx="47">
                  <c:v>-0.109236643228996</c:v>
                </c:pt>
                <c:pt idx="48">
                  <c:v>-0.0728244288193309</c:v>
                </c:pt>
                <c:pt idx="49">
                  <c:v>-0.036412214409637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2-C94C-A788-D7E235540B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Diagrams'!$M$3:$M$53</c:f>
              <c:numCache>
                <c:formatCode>General</c:formatCode>
                <c:ptCount val="51"/>
                <c:pt idx="0">
                  <c:v>0.0</c:v>
                </c:pt>
                <c:pt idx="1">
                  <c:v>-0.044735006274742</c:v>
                </c:pt>
                <c:pt idx="2">
                  <c:v>-0.0894700125494839</c:v>
                </c:pt>
                <c:pt idx="3">
                  <c:v>-0.134205018824226</c:v>
                </c:pt>
                <c:pt idx="4">
                  <c:v>-0.178940025098968</c:v>
                </c:pt>
                <c:pt idx="5">
                  <c:v>-0.22367503137371</c:v>
                </c:pt>
                <c:pt idx="6">
                  <c:v>-0.268410037648452</c:v>
                </c:pt>
                <c:pt idx="7">
                  <c:v>-0.313145043923194</c:v>
                </c:pt>
                <c:pt idx="8">
                  <c:v>-0.357880050197936</c:v>
                </c:pt>
                <c:pt idx="9">
                  <c:v>-0.402615056472678</c:v>
                </c:pt>
                <c:pt idx="10">
                  <c:v>-0.44735006274742</c:v>
                </c:pt>
                <c:pt idx="11">
                  <c:v>126.2474068668846</c:v>
                </c:pt>
                <c:pt idx="12">
                  <c:v>126.0226914865277</c:v>
                </c:pt>
                <c:pt idx="13">
                  <c:v>125.7979761061709</c:v>
                </c:pt>
                <c:pt idx="14">
                  <c:v>125.573260725814</c:v>
                </c:pt>
                <c:pt idx="15">
                  <c:v>125.3485453454572</c:v>
                </c:pt>
                <c:pt idx="16">
                  <c:v>125.1238299651003</c:v>
                </c:pt>
                <c:pt idx="17">
                  <c:v>124.8991145847435</c:v>
                </c:pt>
                <c:pt idx="18">
                  <c:v>124.6743992043867</c:v>
                </c:pt>
                <c:pt idx="19">
                  <c:v>124.4496838240298</c:v>
                </c:pt>
                <c:pt idx="20">
                  <c:v>124.224968443673</c:v>
                </c:pt>
                <c:pt idx="21">
                  <c:v>124.0002530633161</c:v>
                </c:pt>
                <c:pt idx="22">
                  <c:v>216.1900566205288</c:v>
                </c:pt>
                <c:pt idx="23">
                  <c:v>216.0990260845046</c:v>
                </c:pt>
                <c:pt idx="24">
                  <c:v>216.0079955484804</c:v>
                </c:pt>
                <c:pt idx="25">
                  <c:v>215.9169650124562</c:v>
                </c:pt>
                <c:pt idx="26">
                  <c:v>215.825934476432</c:v>
                </c:pt>
                <c:pt idx="27">
                  <c:v>215.7349039404078</c:v>
                </c:pt>
                <c:pt idx="28">
                  <c:v>-28.813668322921</c:v>
                </c:pt>
                <c:pt idx="29">
                  <c:v>-28.9046988589452</c:v>
                </c:pt>
                <c:pt idx="30">
                  <c:v>-28.99572939496937</c:v>
                </c:pt>
                <c:pt idx="31">
                  <c:v>-29.08675993099355</c:v>
                </c:pt>
                <c:pt idx="32">
                  <c:v>-29.17779046701774</c:v>
                </c:pt>
                <c:pt idx="33">
                  <c:v>-29.26882100304192</c:v>
                </c:pt>
                <c:pt idx="34">
                  <c:v>-115.2679165475014</c:v>
                </c:pt>
                <c:pt idx="35">
                  <c:v>-115.5813216786704</c:v>
                </c:pt>
                <c:pt idx="36">
                  <c:v>-115.8947268098394</c:v>
                </c:pt>
                <c:pt idx="37">
                  <c:v>-116.2081319410083</c:v>
                </c:pt>
                <c:pt idx="38">
                  <c:v>-116.5215370721773</c:v>
                </c:pt>
                <c:pt idx="39">
                  <c:v>-116.8349422033463</c:v>
                </c:pt>
                <c:pt idx="40">
                  <c:v>-117.1483473345153</c:v>
                </c:pt>
                <c:pt idx="41">
                  <c:v>-117.4617524656843</c:v>
                </c:pt>
                <c:pt idx="42">
                  <c:v>-117.7751575968532</c:v>
                </c:pt>
                <c:pt idx="43">
                  <c:v>-118.0885627280222</c:v>
                </c:pt>
                <c:pt idx="44">
                  <c:v>-118.4019678591912</c:v>
                </c:pt>
                <c:pt idx="45">
                  <c:v>0.18206107204837</c:v>
                </c:pt>
                <c:pt idx="46">
                  <c:v>0.14564885763869</c:v>
                </c:pt>
                <c:pt idx="47">
                  <c:v>0.109236643229025</c:v>
                </c:pt>
                <c:pt idx="48">
                  <c:v>0.0728244288193451</c:v>
                </c:pt>
                <c:pt idx="49">
                  <c:v>0.0364122144096797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A2-C94C-A788-D7E23554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00992"/>
        <c:axId val="2112985936"/>
      </c:scatterChart>
      <c:valAx>
        <c:axId val="21130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85936"/>
        <c:crosses val="autoZero"/>
        <c:crossBetween val="midCat"/>
      </c:valAx>
      <c:valAx>
        <c:axId val="21129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V_z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0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in x-y plane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2681197167824"/>
          <c:y val="0.0796508189292931"/>
          <c:w val="0.787874721910474"/>
          <c:h val="0.867642380677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Diagrams'!$D$3:$D$53</c:f>
              <c:numCache>
                <c:formatCode>General</c:formatCode>
                <c:ptCount val="51"/>
                <c:pt idx="0">
                  <c:v>0.0</c:v>
                </c:pt>
                <c:pt idx="1">
                  <c:v>-0.095288</c:v>
                </c:pt>
                <c:pt idx="2">
                  <c:v>-0.190576</c:v>
                </c:pt>
                <c:pt idx="3">
                  <c:v>-0.285864</c:v>
                </c:pt>
                <c:pt idx="4">
                  <c:v>-0.381152</c:v>
                </c:pt>
                <c:pt idx="5">
                  <c:v>-0.47644</c:v>
                </c:pt>
                <c:pt idx="6">
                  <c:v>-0.571728</c:v>
                </c:pt>
                <c:pt idx="7">
                  <c:v>-0.667016</c:v>
                </c:pt>
                <c:pt idx="8">
                  <c:v>-0.762304</c:v>
                </c:pt>
                <c:pt idx="9">
                  <c:v>-0.857592</c:v>
                </c:pt>
                <c:pt idx="10">
                  <c:v>-0.95288</c:v>
                </c:pt>
                <c:pt idx="11">
                  <c:v>27.26415148310828</c:v>
                </c:pt>
                <c:pt idx="12">
                  <c:v>26.78549548310828</c:v>
                </c:pt>
                <c:pt idx="13">
                  <c:v>26.30683948310828</c:v>
                </c:pt>
                <c:pt idx="14">
                  <c:v>25.82818348310828</c:v>
                </c:pt>
                <c:pt idx="15">
                  <c:v>25.34952748310828</c:v>
                </c:pt>
                <c:pt idx="16">
                  <c:v>24.87087148310828</c:v>
                </c:pt>
                <c:pt idx="17">
                  <c:v>24.39221548310828</c:v>
                </c:pt>
                <c:pt idx="18">
                  <c:v>23.91355948310828</c:v>
                </c:pt>
                <c:pt idx="19">
                  <c:v>23.43490348310828</c:v>
                </c:pt>
                <c:pt idx="20">
                  <c:v>22.95624748310828</c:v>
                </c:pt>
                <c:pt idx="21">
                  <c:v>22.47759148310828</c:v>
                </c:pt>
                <c:pt idx="22">
                  <c:v>22.47759148310828</c:v>
                </c:pt>
                <c:pt idx="23">
                  <c:v>22.28369148310828</c:v>
                </c:pt>
                <c:pt idx="24">
                  <c:v>22.08979148310828</c:v>
                </c:pt>
                <c:pt idx="25">
                  <c:v>21.89589148310828</c:v>
                </c:pt>
                <c:pt idx="26">
                  <c:v>21.70199148310828</c:v>
                </c:pt>
                <c:pt idx="27">
                  <c:v>21.50809148310828</c:v>
                </c:pt>
                <c:pt idx="28">
                  <c:v>-14.48812865286196</c:v>
                </c:pt>
                <c:pt idx="29">
                  <c:v>-14.68202865286196</c:v>
                </c:pt>
                <c:pt idx="30">
                  <c:v>-14.87592865286196</c:v>
                </c:pt>
                <c:pt idx="31">
                  <c:v>-15.06982865286196</c:v>
                </c:pt>
                <c:pt idx="32">
                  <c:v>-15.26372865286196</c:v>
                </c:pt>
                <c:pt idx="33">
                  <c:v>-15.45762865286196</c:v>
                </c:pt>
                <c:pt idx="34">
                  <c:v>-15.45762865286196</c:v>
                </c:pt>
                <c:pt idx="35">
                  <c:v>-16.12519865286196</c:v>
                </c:pt>
                <c:pt idx="36">
                  <c:v>-16.79276865286196</c:v>
                </c:pt>
                <c:pt idx="37">
                  <c:v>-17.46033865286196</c:v>
                </c:pt>
                <c:pt idx="38">
                  <c:v>-18.12790865286196</c:v>
                </c:pt>
                <c:pt idx="39">
                  <c:v>-18.79547865286196</c:v>
                </c:pt>
                <c:pt idx="40">
                  <c:v>-19.46304865286196</c:v>
                </c:pt>
                <c:pt idx="41">
                  <c:v>-20.13061865286196</c:v>
                </c:pt>
                <c:pt idx="42">
                  <c:v>-20.79818865286196</c:v>
                </c:pt>
                <c:pt idx="43">
                  <c:v>-21.46575865286196</c:v>
                </c:pt>
                <c:pt idx="44">
                  <c:v>-22.13332865286196</c:v>
                </c:pt>
                <c:pt idx="45">
                  <c:v>0.387799999999999</c:v>
                </c:pt>
                <c:pt idx="46">
                  <c:v>0.31024</c:v>
                </c:pt>
                <c:pt idx="47">
                  <c:v>0.232680000000002</c:v>
                </c:pt>
                <c:pt idx="48">
                  <c:v>0.15512</c:v>
                </c:pt>
                <c:pt idx="49">
                  <c:v>0.0775599999999983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93-E941-8136-8B12487291B1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Diagrams'!$I$3:$I$53</c:f>
              <c:numCache>
                <c:formatCode>General</c:formatCode>
                <c:ptCount val="51"/>
                <c:pt idx="0">
                  <c:v>0.0</c:v>
                </c:pt>
                <c:pt idx="1">
                  <c:v>-0.0841343102283414</c:v>
                </c:pt>
                <c:pt idx="2">
                  <c:v>-0.168268620456683</c:v>
                </c:pt>
                <c:pt idx="3">
                  <c:v>-0.252402930685024</c:v>
                </c:pt>
                <c:pt idx="4">
                  <c:v>-0.336537240913366</c:v>
                </c:pt>
                <c:pt idx="5">
                  <c:v>-0.420671551141707</c:v>
                </c:pt>
                <c:pt idx="6">
                  <c:v>-0.504805861370049</c:v>
                </c:pt>
                <c:pt idx="7">
                  <c:v>-0.58894017159839</c:v>
                </c:pt>
                <c:pt idx="8">
                  <c:v>-0.673074481826731</c:v>
                </c:pt>
                <c:pt idx="9">
                  <c:v>-0.757208792055073</c:v>
                </c:pt>
                <c:pt idx="10">
                  <c:v>-0.841343102283414</c:v>
                </c:pt>
                <c:pt idx="11">
                  <c:v>15.2883736470676</c:v>
                </c:pt>
                <c:pt idx="12">
                  <c:v>14.86574548406012</c:v>
                </c:pt>
                <c:pt idx="13">
                  <c:v>14.44311732105264</c:v>
                </c:pt>
                <c:pt idx="14">
                  <c:v>14.02048915804516</c:v>
                </c:pt>
                <c:pt idx="15">
                  <c:v>13.59786099503767</c:v>
                </c:pt>
                <c:pt idx="16">
                  <c:v>13.1752328320302</c:v>
                </c:pt>
                <c:pt idx="17">
                  <c:v>12.75260466902271</c:v>
                </c:pt>
                <c:pt idx="18">
                  <c:v>12.32997650601523</c:v>
                </c:pt>
                <c:pt idx="19">
                  <c:v>11.90734834300774</c:v>
                </c:pt>
                <c:pt idx="20">
                  <c:v>11.48472018000026</c:v>
                </c:pt>
                <c:pt idx="21">
                  <c:v>11.06209201699278</c:v>
                </c:pt>
                <c:pt idx="22">
                  <c:v>60.08028007138169</c:v>
                </c:pt>
                <c:pt idx="23">
                  <c:v>59.90907653312634</c:v>
                </c:pt>
                <c:pt idx="24">
                  <c:v>59.737872994871</c:v>
                </c:pt>
                <c:pt idx="25">
                  <c:v>59.56666945661565</c:v>
                </c:pt>
                <c:pt idx="26">
                  <c:v>59.3954659183603</c:v>
                </c:pt>
                <c:pt idx="27">
                  <c:v>59.22426238010496</c:v>
                </c:pt>
                <c:pt idx="28">
                  <c:v>27.53333774181833</c:v>
                </c:pt>
                <c:pt idx="29">
                  <c:v>27.36213420356298</c:v>
                </c:pt>
                <c:pt idx="30">
                  <c:v>27.19093066530763</c:v>
                </c:pt>
                <c:pt idx="31">
                  <c:v>27.01972712705229</c:v>
                </c:pt>
                <c:pt idx="32">
                  <c:v>26.84852358879694</c:v>
                </c:pt>
                <c:pt idx="33">
                  <c:v>26.6773200505416</c:v>
                </c:pt>
                <c:pt idx="34">
                  <c:v>-19.04921016480417</c:v>
                </c:pt>
                <c:pt idx="35">
                  <c:v>-19.63863948936901</c:v>
                </c:pt>
                <c:pt idx="36">
                  <c:v>-20.22806881393384</c:v>
                </c:pt>
                <c:pt idx="37">
                  <c:v>-20.81749813849867</c:v>
                </c:pt>
                <c:pt idx="38">
                  <c:v>-21.40692746306351</c:v>
                </c:pt>
                <c:pt idx="39">
                  <c:v>-21.99635678762834</c:v>
                </c:pt>
                <c:pt idx="40">
                  <c:v>-22.58578611219318</c:v>
                </c:pt>
                <c:pt idx="41">
                  <c:v>-23.17521543675801</c:v>
                </c:pt>
                <c:pt idx="42">
                  <c:v>-23.76464476132284</c:v>
                </c:pt>
                <c:pt idx="43">
                  <c:v>-24.35407408588767</c:v>
                </c:pt>
                <c:pt idx="44">
                  <c:v>-24.94350341045251</c:v>
                </c:pt>
                <c:pt idx="45">
                  <c:v>0.342407076510689</c:v>
                </c:pt>
                <c:pt idx="46">
                  <c:v>0.273925661208551</c:v>
                </c:pt>
                <c:pt idx="47">
                  <c:v>0.205444245906413</c:v>
                </c:pt>
                <c:pt idx="48">
                  <c:v>0.136962830604276</c:v>
                </c:pt>
                <c:pt idx="49">
                  <c:v>0.0684814153021378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93-E941-8136-8B12487291B1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Diagrams'!$N$3:$N$53</c:f>
              <c:numCache>
                <c:formatCode>General</c:formatCode>
                <c:ptCount val="51"/>
                <c:pt idx="0">
                  <c:v>0.0</c:v>
                </c:pt>
                <c:pt idx="1">
                  <c:v>-0.0841343102283414</c:v>
                </c:pt>
                <c:pt idx="2">
                  <c:v>-0.168268620456683</c:v>
                </c:pt>
                <c:pt idx="3">
                  <c:v>-0.252402930685024</c:v>
                </c:pt>
                <c:pt idx="4">
                  <c:v>-0.336537240913366</c:v>
                </c:pt>
                <c:pt idx="5">
                  <c:v>-0.420671551141707</c:v>
                </c:pt>
                <c:pt idx="6">
                  <c:v>-0.504805861370049</c:v>
                </c:pt>
                <c:pt idx="7">
                  <c:v>-0.58894017159839</c:v>
                </c:pt>
                <c:pt idx="8">
                  <c:v>-0.673074481826731</c:v>
                </c:pt>
                <c:pt idx="9">
                  <c:v>-0.757208792055073</c:v>
                </c:pt>
                <c:pt idx="10">
                  <c:v>-0.841343102283414</c:v>
                </c:pt>
                <c:pt idx="11">
                  <c:v>32.8572601996356</c:v>
                </c:pt>
                <c:pt idx="12">
                  <c:v>32.43463203662812</c:v>
                </c:pt>
                <c:pt idx="13">
                  <c:v>32.01200387362064</c:v>
                </c:pt>
                <c:pt idx="14">
                  <c:v>31.58937571061315</c:v>
                </c:pt>
                <c:pt idx="15">
                  <c:v>31.16674754760567</c:v>
                </c:pt>
                <c:pt idx="16">
                  <c:v>30.74411938459819</c:v>
                </c:pt>
                <c:pt idx="17">
                  <c:v>30.3214912215907</c:v>
                </c:pt>
                <c:pt idx="18">
                  <c:v>29.89886305858322</c:v>
                </c:pt>
                <c:pt idx="19">
                  <c:v>29.47623489557574</c:v>
                </c:pt>
                <c:pt idx="20">
                  <c:v>29.05360673256826</c:v>
                </c:pt>
                <c:pt idx="21">
                  <c:v>28.63097856956077</c:v>
                </c:pt>
                <c:pt idx="22">
                  <c:v>-20.38720948482813</c:v>
                </c:pt>
                <c:pt idx="23">
                  <c:v>-20.55841302308348</c:v>
                </c:pt>
                <c:pt idx="24">
                  <c:v>-20.72961656133883</c:v>
                </c:pt>
                <c:pt idx="25">
                  <c:v>-20.90082009959417</c:v>
                </c:pt>
                <c:pt idx="26">
                  <c:v>-21.07202363784952</c:v>
                </c:pt>
                <c:pt idx="27">
                  <c:v>-21.24322717610486</c:v>
                </c:pt>
                <c:pt idx="28">
                  <c:v>-53.11785437996815</c:v>
                </c:pt>
                <c:pt idx="29">
                  <c:v>-53.2890579182235</c:v>
                </c:pt>
                <c:pt idx="30">
                  <c:v>-53.46026145647885</c:v>
                </c:pt>
                <c:pt idx="31">
                  <c:v>-53.63146499473419</c:v>
                </c:pt>
                <c:pt idx="32">
                  <c:v>-53.80266853298954</c:v>
                </c:pt>
                <c:pt idx="33">
                  <c:v>-53.97387207124488</c:v>
                </c:pt>
                <c:pt idx="34">
                  <c:v>-8.247341855899116</c:v>
                </c:pt>
                <c:pt idx="35">
                  <c:v>-8.836771180463948</c:v>
                </c:pt>
                <c:pt idx="36">
                  <c:v>-9.42620050502878</c:v>
                </c:pt>
                <c:pt idx="37">
                  <c:v>-10.01562982959361</c:v>
                </c:pt>
                <c:pt idx="38">
                  <c:v>-10.60505915415845</c:v>
                </c:pt>
                <c:pt idx="39">
                  <c:v>-11.19448847872329</c:v>
                </c:pt>
                <c:pt idx="40">
                  <c:v>-11.78391780328812</c:v>
                </c:pt>
                <c:pt idx="41">
                  <c:v>-12.37334712785295</c:v>
                </c:pt>
                <c:pt idx="42">
                  <c:v>-12.96277645241778</c:v>
                </c:pt>
                <c:pt idx="43">
                  <c:v>-13.55220577698262</c:v>
                </c:pt>
                <c:pt idx="44">
                  <c:v>-14.14163510154746</c:v>
                </c:pt>
                <c:pt idx="45">
                  <c:v>0.342407076510696</c:v>
                </c:pt>
                <c:pt idx="46">
                  <c:v>0.273925661208558</c:v>
                </c:pt>
                <c:pt idx="47">
                  <c:v>0.205444245906421</c:v>
                </c:pt>
                <c:pt idx="48">
                  <c:v>0.136962830604283</c:v>
                </c:pt>
                <c:pt idx="49">
                  <c:v>0.0684814153021449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93-E941-8136-8B124872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7376"/>
        <c:axId val="2105153584"/>
      </c:scatterChart>
      <c:valAx>
        <c:axId val="21051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3584"/>
        <c:crosses val="autoZero"/>
        <c:crossBetween val="midCat"/>
      </c:valAx>
      <c:valAx>
        <c:axId val="21051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V_y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</a:t>
            </a:r>
            <a:r>
              <a:rPr lang="en-US" baseline="0"/>
              <a:t> moment about z-axis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Diagrams'!$E$3:$E$53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-1.616660005064202</c:v>
                </c:pt>
                <c:pt idx="13">
                  <c:v>-3.233320010128405</c:v>
                </c:pt>
                <c:pt idx="14">
                  <c:v>-4.849980015192607</c:v>
                </c:pt>
                <c:pt idx="15">
                  <c:v>-6.46664002025681</c:v>
                </c:pt>
                <c:pt idx="16">
                  <c:v>-8.083300025321012</c:v>
                </c:pt>
                <c:pt idx="17">
                  <c:v>-9.699960030385213</c:v>
                </c:pt>
                <c:pt idx="18">
                  <c:v>-11.31662003544942</c:v>
                </c:pt>
                <c:pt idx="19">
                  <c:v>-12.93328004051362</c:v>
                </c:pt>
                <c:pt idx="20">
                  <c:v>-14.54994004557782</c:v>
                </c:pt>
                <c:pt idx="21">
                  <c:v>-16.16660005064202</c:v>
                </c:pt>
                <c:pt idx="22">
                  <c:v>-16.16660005064202</c:v>
                </c:pt>
                <c:pt idx="23">
                  <c:v>-13.16709767636106</c:v>
                </c:pt>
                <c:pt idx="24">
                  <c:v>-10.16759530208011</c:v>
                </c:pt>
                <c:pt idx="25">
                  <c:v>-7.168092927799147</c:v>
                </c:pt>
                <c:pt idx="26">
                  <c:v>-4.168590553518186</c:v>
                </c:pt>
                <c:pt idx="27">
                  <c:v>-1.169088179237228</c:v>
                </c:pt>
                <c:pt idx="28">
                  <c:v>-1.169088179237228</c:v>
                </c:pt>
                <c:pt idx="29">
                  <c:v>1.837261883279658</c:v>
                </c:pt>
                <c:pt idx="30">
                  <c:v>4.843611945796547</c:v>
                </c:pt>
                <c:pt idx="31">
                  <c:v>7.849962008313436</c:v>
                </c:pt>
                <c:pt idx="32">
                  <c:v>10.85631207083031</c:v>
                </c:pt>
                <c:pt idx="33">
                  <c:v>13.8626621333472</c:v>
                </c:pt>
                <c:pt idx="34">
                  <c:v>13.8626621333472</c:v>
                </c:pt>
                <c:pt idx="35">
                  <c:v>12.47639592001248</c:v>
                </c:pt>
                <c:pt idx="36">
                  <c:v>11.09012970667776</c:v>
                </c:pt>
                <c:pt idx="37">
                  <c:v>9.70386349334305</c:v>
                </c:pt>
                <c:pt idx="38">
                  <c:v>8.317597280008335</c:v>
                </c:pt>
                <c:pt idx="39">
                  <c:v>6.931331066673593</c:v>
                </c:pt>
                <c:pt idx="40">
                  <c:v>5.545064853338886</c:v>
                </c:pt>
                <c:pt idx="41">
                  <c:v>4.158798640004164</c:v>
                </c:pt>
                <c:pt idx="42">
                  <c:v>2.772532426669457</c:v>
                </c:pt>
                <c:pt idx="43">
                  <c:v>1.386266213334736</c:v>
                </c:pt>
                <c:pt idx="44">
                  <c:v>0.0</c:v>
                </c:pt>
                <c:pt idx="45">
                  <c:v>-1.4210854715202E-14</c:v>
                </c:pt>
                <c:pt idx="46">
                  <c:v>-5.05151476204446E-15</c:v>
                </c:pt>
                <c:pt idx="47">
                  <c:v>4.10782519111308E-15</c:v>
                </c:pt>
                <c:pt idx="48">
                  <c:v>1.32671651442706E-14</c:v>
                </c:pt>
                <c:pt idx="49">
                  <c:v>2.24265050974282E-14</c:v>
                </c:pt>
                <c:pt idx="50">
                  <c:v>3.1641356201817E-14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01-2C4B-82D6-A7B18FB30DC0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Diagrams'!$J$3:$J$53</c:f>
              <c:numCache>
                <c:formatCode>General</c:formatCode>
                <c:ptCount val="51"/>
                <c:pt idx="0">
                  <c:v>0.0</c:v>
                </c:pt>
                <c:pt idx="1">
                  <c:v>0.000384721053962781</c:v>
                </c:pt>
                <c:pt idx="2">
                  <c:v>0.00153888421585112</c:v>
                </c:pt>
                <c:pt idx="3">
                  <c:v>0.00346248948566503</c:v>
                </c:pt>
                <c:pt idx="4">
                  <c:v>0.00615553686340449</c:v>
                </c:pt>
                <c:pt idx="5">
                  <c:v>0.00961802634906952</c:v>
                </c:pt>
                <c:pt idx="6">
                  <c:v>0.0138499579426601</c:v>
                </c:pt>
                <c:pt idx="7">
                  <c:v>0.0188513316441763</c:v>
                </c:pt>
                <c:pt idx="8">
                  <c:v>0.024622147453618</c:v>
                </c:pt>
                <c:pt idx="9">
                  <c:v>0.0311624053709852</c:v>
                </c:pt>
                <c:pt idx="10">
                  <c:v>0.0384721053962781</c:v>
                </c:pt>
                <c:pt idx="11">
                  <c:v>0.0384721053962781</c:v>
                </c:pt>
                <c:pt idx="12">
                  <c:v>-13.71444826335661</c:v>
                </c:pt>
                <c:pt idx="13">
                  <c:v>-27.44795322324667</c:v>
                </c:pt>
                <c:pt idx="14">
                  <c:v>-41.1620427742739</c:v>
                </c:pt>
                <c:pt idx="15">
                  <c:v>-54.85671691643829</c:v>
                </c:pt>
                <c:pt idx="16">
                  <c:v>-68.53197564973984</c:v>
                </c:pt>
                <c:pt idx="17">
                  <c:v>-82.18781897417857</c:v>
                </c:pt>
                <c:pt idx="18">
                  <c:v>-95.82424688975448</c:v>
                </c:pt>
                <c:pt idx="19">
                  <c:v>-109.4412593964675</c:v>
                </c:pt>
                <c:pt idx="20">
                  <c:v>-123.0388564943178</c:v>
                </c:pt>
                <c:pt idx="21">
                  <c:v>-136.6170381833052</c:v>
                </c:pt>
                <c:pt idx="22">
                  <c:v>-136.6170381833052</c:v>
                </c:pt>
                <c:pt idx="23">
                  <c:v>-138.8852903283513</c:v>
                </c:pt>
                <c:pt idx="24">
                  <c:v>-141.1503564046365</c:v>
                </c:pt>
                <c:pt idx="25">
                  <c:v>-143.4122364121608</c:v>
                </c:pt>
                <c:pt idx="26">
                  <c:v>-145.6709303509243</c:v>
                </c:pt>
                <c:pt idx="27">
                  <c:v>-147.9264382209271</c:v>
                </c:pt>
                <c:pt idx="28">
                  <c:v>-147.9264382209271</c:v>
                </c:pt>
                <c:pt idx="29">
                  <c:v>-141.6074676932633</c:v>
                </c:pt>
                <c:pt idx="30">
                  <c:v>-135.2853110968386</c:v>
                </c:pt>
                <c:pt idx="31">
                  <c:v>-128.9599684316531</c:v>
                </c:pt>
                <c:pt idx="32">
                  <c:v>-122.6314396977068</c:v>
                </c:pt>
                <c:pt idx="33">
                  <c:v>-116.2997248949996</c:v>
                </c:pt>
                <c:pt idx="34">
                  <c:v>-116.2997248949996</c:v>
                </c:pt>
                <c:pt idx="35">
                  <c:v>-104.8390591241238</c:v>
                </c:pt>
                <c:pt idx="36">
                  <c:v>-93.34062803494225</c:v>
                </c:pt>
                <c:pt idx="37">
                  <c:v>-81.80443162745472</c:v>
                </c:pt>
                <c:pt idx="38">
                  <c:v>-70.23046990166137</c:v>
                </c:pt>
                <c:pt idx="39">
                  <c:v>-58.6187428575622</c:v>
                </c:pt>
                <c:pt idx="40">
                  <c:v>-46.96925049515713</c:v>
                </c:pt>
                <c:pt idx="41">
                  <c:v>-35.28199281444626</c:v>
                </c:pt>
                <c:pt idx="42">
                  <c:v>-23.55696981542934</c:v>
                </c:pt>
                <c:pt idx="43">
                  <c:v>-11.79418149810681</c:v>
                </c:pt>
                <c:pt idx="44">
                  <c:v>0.00637213752173693</c:v>
                </c:pt>
                <c:pt idx="45">
                  <c:v>0.00637213752173693</c:v>
                </c:pt>
                <c:pt idx="46">
                  <c:v>0.00407816801392857</c:v>
                </c:pt>
                <c:pt idx="47">
                  <c:v>0.00229396950785121</c:v>
                </c:pt>
                <c:pt idx="48">
                  <c:v>0.00101954200354726</c:v>
                </c:pt>
                <c:pt idx="49">
                  <c:v>0.000254885500946322</c:v>
                </c:pt>
                <c:pt idx="50">
                  <c:v>3.37507799486048E-14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01-2C4B-82D6-A7B18FB30DC0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Diagrams'!$O$3:$O$53</c:f>
              <c:numCache>
                <c:formatCode>General</c:formatCode>
                <c:ptCount val="51"/>
                <c:pt idx="0">
                  <c:v>0.0</c:v>
                </c:pt>
                <c:pt idx="1">
                  <c:v>-0.000384721053962781</c:v>
                </c:pt>
                <c:pt idx="2">
                  <c:v>-0.00153888421585112</c:v>
                </c:pt>
                <c:pt idx="3">
                  <c:v>-0.00346248948566503</c:v>
                </c:pt>
                <c:pt idx="4">
                  <c:v>-0.00615553686340449</c:v>
                </c:pt>
                <c:pt idx="5">
                  <c:v>-0.00961802634906952</c:v>
                </c:pt>
                <c:pt idx="6">
                  <c:v>-0.0138499579426601</c:v>
                </c:pt>
                <c:pt idx="7">
                  <c:v>-0.0188513316441763</c:v>
                </c:pt>
                <c:pt idx="8">
                  <c:v>-0.024622147453618</c:v>
                </c:pt>
                <c:pt idx="9">
                  <c:v>-0.0311624053709852</c:v>
                </c:pt>
                <c:pt idx="10">
                  <c:v>-0.0384721053962781</c:v>
                </c:pt>
                <c:pt idx="11">
                  <c:v>-0.0384721053962781</c:v>
                </c:pt>
                <c:pt idx="12">
                  <c:v>10.85959614347113</c:v>
                </c:pt>
                <c:pt idx="13">
                  <c:v>21.73824898347572</c:v>
                </c:pt>
                <c:pt idx="14">
                  <c:v>32.59748641461747</c:v>
                </c:pt>
                <c:pt idx="15">
                  <c:v>43.43730843689638</c:v>
                </c:pt>
                <c:pt idx="16">
                  <c:v>54.25771505031246</c:v>
                </c:pt>
                <c:pt idx="17">
                  <c:v>65.05870625486571</c:v>
                </c:pt>
                <c:pt idx="18">
                  <c:v>75.84028205055614</c:v>
                </c:pt>
                <c:pt idx="19">
                  <c:v>86.60244243738373</c:v>
                </c:pt>
                <c:pt idx="20">
                  <c:v>97.34518741534847</c:v>
                </c:pt>
                <c:pt idx="21">
                  <c:v>108.0685169844504</c:v>
                </c:pt>
                <c:pt idx="22">
                  <c:v>108.0685169844504</c:v>
                </c:pt>
                <c:pt idx="23">
                  <c:v>115.6335759317885</c:v>
                </c:pt>
                <c:pt idx="24">
                  <c:v>123.1954488103657</c:v>
                </c:pt>
                <c:pt idx="25">
                  <c:v>130.7541356201821</c:v>
                </c:pt>
                <c:pt idx="26">
                  <c:v>138.3096363612377</c:v>
                </c:pt>
                <c:pt idx="27">
                  <c:v>145.8619510335324</c:v>
                </c:pt>
                <c:pt idx="28">
                  <c:v>145.8619510335324</c:v>
                </c:pt>
                <c:pt idx="29">
                  <c:v>144.8518796078497</c:v>
                </c:pt>
                <c:pt idx="30">
                  <c:v>143.8386221134062</c:v>
                </c:pt>
                <c:pt idx="31">
                  <c:v>142.8221785502018</c:v>
                </c:pt>
                <c:pt idx="32">
                  <c:v>141.8025489182367</c:v>
                </c:pt>
                <c:pt idx="33">
                  <c:v>140.7797332175106</c:v>
                </c:pt>
                <c:pt idx="34">
                  <c:v>140.7797332175106</c:v>
                </c:pt>
                <c:pt idx="35">
                  <c:v>126.8710666143837</c:v>
                </c:pt>
                <c:pt idx="36">
                  <c:v>112.9246346929511</c:v>
                </c:pt>
                <c:pt idx="37">
                  <c:v>98.94043745321245</c:v>
                </c:pt>
                <c:pt idx="38">
                  <c:v>84.91847489516801</c:v>
                </c:pt>
                <c:pt idx="39">
                  <c:v>70.85874701881774</c:v>
                </c:pt>
                <c:pt idx="40">
                  <c:v>56.76125382416156</c:v>
                </c:pt>
                <c:pt idx="41">
                  <c:v>42.62599531119957</c:v>
                </c:pt>
                <c:pt idx="42">
                  <c:v>28.45297147993156</c:v>
                </c:pt>
                <c:pt idx="43">
                  <c:v>14.242182330358</c:v>
                </c:pt>
                <c:pt idx="44">
                  <c:v>-0.00637213752170851</c:v>
                </c:pt>
                <c:pt idx="45">
                  <c:v>-0.00637213752170851</c:v>
                </c:pt>
                <c:pt idx="46">
                  <c:v>-0.00407816801388439</c:v>
                </c:pt>
                <c:pt idx="47">
                  <c:v>-0.00229396950776284</c:v>
                </c:pt>
                <c:pt idx="48">
                  <c:v>-0.0010195420034993</c:v>
                </c:pt>
                <c:pt idx="49">
                  <c:v>-0.000254885500826418</c:v>
                </c:pt>
                <c:pt idx="50">
                  <c:v>7.46069872548105E-14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01-2C4B-82D6-A7B18FB3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56128"/>
        <c:axId val="2105262144"/>
      </c:scatterChart>
      <c:valAx>
        <c:axId val="2105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62144"/>
        <c:crosses val="autoZero"/>
        <c:crossBetween val="midCat"/>
      </c:valAx>
      <c:valAx>
        <c:axId val="21052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M_z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Bending monent about</a:t>
            </a:r>
            <a:r>
              <a:rPr lang="en-US" baseline="0"/>
              <a:t> y-axis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Diagrams'!$F$3:$F$53</c:f>
              <c:numCache>
                <c:formatCode>General</c:formatCode>
                <c:ptCount val="51"/>
                <c:pt idx="0">
                  <c:v>0.0</c:v>
                </c:pt>
                <c:pt idx="1">
                  <c:v>-0.0008194768</c:v>
                </c:pt>
                <c:pt idx="2">
                  <c:v>-0.0032779072</c:v>
                </c:pt>
                <c:pt idx="3">
                  <c:v>-0.0073752912</c:v>
                </c:pt>
                <c:pt idx="4">
                  <c:v>-0.0131116288</c:v>
                </c:pt>
                <c:pt idx="5">
                  <c:v>-0.02048692</c:v>
                </c:pt>
                <c:pt idx="6">
                  <c:v>-0.0295011648</c:v>
                </c:pt>
                <c:pt idx="7">
                  <c:v>-0.0401543632</c:v>
                </c:pt>
                <c:pt idx="8">
                  <c:v>-0.0524465152</c:v>
                </c:pt>
                <c:pt idx="9">
                  <c:v>-0.0663776208</c:v>
                </c:pt>
                <c:pt idx="10">
                  <c:v>-0.0819476799999999</c:v>
                </c:pt>
                <c:pt idx="11">
                  <c:v>-0.0819476799999999</c:v>
                </c:pt>
                <c:pt idx="12">
                  <c:v>2.252997068940555</c:v>
                </c:pt>
                <c:pt idx="13">
                  <c:v>4.546585939481112</c:v>
                </c:pt>
                <c:pt idx="14">
                  <c:v>6.798818931621667</c:v>
                </c:pt>
                <c:pt idx="15">
                  <c:v>9.00969604536222</c:v>
                </c:pt>
                <c:pt idx="16">
                  <c:v>11.17921728070278</c:v>
                </c:pt>
                <c:pt idx="17">
                  <c:v>13.30738263764333</c:v>
                </c:pt>
                <c:pt idx="18">
                  <c:v>15.39419211618389</c:v>
                </c:pt>
                <c:pt idx="19">
                  <c:v>17.43964571632444</c:v>
                </c:pt>
                <c:pt idx="20">
                  <c:v>19.443743438065</c:v>
                </c:pt>
                <c:pt idx="21">
                  <c:v>21.40648528140555</c:v>
                </c:pt>
                <c:pt idx="22">
                  <c:v>21.40648528140555</c:v>
                </c:pt>
                <c:pt idx="23">
                  <c:v>22.18980773331434</c:v>
                </c:pt>
                <c:pt idx="24">
                  <c:v>22.96634368522313</c:v>
                </c:pt>
                <c:pt idx="25">
                  <c:v>23.73609313713192</c:v>
                </c:pt>
                <c:pt idx="26">
                  <c:v>24.49905608904071</c:v>
                </c:pt>
                <c:pt idx="27">
                  <c:v>25.2552325409495</c:v>
                </c:pt>
                <c:pt idx="28">
                  <c:v>25.2552325409495</c:v>
                </c:pt>
                <c:pt idx="29">
                  <c:v>24.74475478809934</c:v>
                </c:pt>
                <c:pt idx="30">
                  <c:v>24.22749053524916</c:v>
                </c:pt>
                <c:pt idx="31">
                  <c:v>23.703439782399</c:v>
                </c:pt>
                <c:pt idx="32">
                  <c:v>23.17260252954883</c:v>
                </c:pt>
                <c:pt idx="33">
                  <c:v>22.63497877669865</c:v>
                </c:pt>
                <c:pt idx="34">
                  <c:v>22.63497877669865</c:v>
                </c:pt>
                <c:pt idx="35">
                  <c:v>20.73211343152879</c:v>
                </c:pt>
                <c:pt idx="36">
                  <c:v>18.74880590135893</c:v>
                </c:pt>
                <c:pt idx="37">
                  <c:v>16.68505618618906</c:v>
                </c:pt>
                <c:pt idx="38">
                  <c:v>14.54086428601919</c:v>
                </c:pt>
                <c:pt idx="39">
                  <c:v>12.31623020084933</c:v>
                </c:pt>
                <c:pt idx="40">
                  <c:v>10.01115393067946</c:v>
                </c:pt>
                <c:pt idx="41">
                  <c:v>7.625635475509597</c:v>
                </c:pt>
                <c:pt idx="42">
                  <c:v>5.159674835339722</c:v>
                </c:pt>
                <c:pt idx="43">
                  <c:v>2.613272010169872</c:v>
                </c:pt>
                <c:pt idx="44">
                  <c:v>-0.013573000000008</c:v>
                </c:pt>
                <c:pt idx="45">
                  <c:v>-0.013573000000008</c:v>
                </c:pt>
                <c:pt idx="46">
                  <c:v>-0.00868671999999965</c:v>
                </c:pt>
                <c:pt idx="47">
                  <c:v>-0.00488628000000724</c:v>
                </c:pt>
                <c:pt idx="48">
                  <c:v>-0.00217168000000234</c:v>
                </c:pt>
                <c:pt idx="49">
                  <c:v>-0.000542919999999336</c:v>
                </c:pt>
                <c:pt idx="50">
                  <c:v>-1.19904086659517E-14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A-B94A-97E1-8D69C40B9E4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Diagrams'!$K$3:$K$53</c:f>
              <c:numCache>
                <c:formatCode>General</c:formatCode>
                <c:ptCount val="51"/>
                <c:pt idx="0">
                  <c:v>0.0</c:v>
                </c:pt>
                <c:pt idx="1">
                  <c:v>0.000384721053962781</c:v>
                </c:pt>
                <c:pt idx="2">
                  <c:v>0.00153888421585112</c:v>
                </c:pt>
                <c:pt idx="3">
                  <c:v>0.00346248948566503</c:v>
                </c:pt>
                <c:pt idx="4">
                  <c:v>0.00615553686340449</c:v>
                </c:pt>
                <c:pt idx="5">
                  <c:v>0.00961802634906952</c:v>
                </c:pt>
                <c:pt idx="6">
                  <c:v>0.0138499579426601</c:v>
                </c:pt>
                <c:pt idx="7">
                  <c:v>0.0188513316441763</c:v>
                </c:pt>
                <c:pt idx="8">
                  <c:v>0.024622147453618</c:v>
                </c:pt>
                <c:pt idx="9">
                  <c:v>0.0311624053709852</c:v>
                </c:pt>
                <c:pt idx="10">
                  <c:v>0.0384721053962781</c:v>
                </c:pt>
                <c:pt idx="11">
                  <c:v>-0.0723555067963736</c:v>
                </c:pt>
                <c:pt idx="12">
                  <c:v>1.230302439668344</c:v>
                </c:pt>
                <c:pt idx="13">
                  <c:v>2.496445312849216</c:v>
                </c:pt>
                <c:pt idx="14">
                  <c:v>3.726073112746241</c:v>
                </c:pt>
                <c:pt idx="15">
                  <c:v>4.919185839359419</c:v>
                </c:pt>
                <c:pt idx="16">
                  <c:v>6.07578349268875</c:v>
                </c:pt>
                <c:pt idx="17">
                  <c:v>7.195866072734235</c:v>
                </c:pt>
                <c:pt idx="18">
                  <c:v>8.279433579495876</c:v>
                </c:pt>
                <c:pt idx="19">
                  <c:v>9.326486012973665</c:v>
                </c:pt>
                <c:pt idx="20">
                  <c:v>10.33702337316761</c:v>
                </c:pt>
                <c:pt idx="21">
                  <c:v>11.31104566007771</c:v>
                </c:pt>
                <c:pt idx="22">
                  <c:v>11.31104566007771</c:v>
                </c:pt>
                <c:pt idx="23">
                  <c:v>13.4108594006566</c:v>
                </c:pt>
                <c:pt idx="24">
                  <c:v>15.50468101739656</c:v>
                </c:pt>
                <c:pt idx="25">
                  <c:v>17.59251051029757</c:v>
                </c:pt>
                <c:pt idx="26">
                  <c:v>19.67434787935965</c:v>
                </c:pt>
                <c:pt idx="27">
                  <c:v>21.75019312458279</c:v>
                </c:pt>
                <c:pt idx="28">
                  <c:v>21.75019312458279</c:v>
                </c:pt>
                <c:pt idx="29">
                  <c:v>22.71086388362697</c:v>
                </c:pt>
                <c:pt idx="30">
                  <c:v>23.6655425188322</c:v>
                </c:pt>
                <c:pt idx="31">
                  <c:v>24.6142290301985</c:v>
                </c:pt>
                <c:pt idx="32">
                  <c:v>25.55692341772586</c:v>
                </c:pt>
                <c:pt idx="33">
                  <c:v>26.49362568141429</c:v>
                </c:pt>
                <c:pt idx="34">
                  <c:v>26.49362568141429</c:v>
                </c:pt>
                <c:pt idx="35">
                  <c:v>24.16268273975035</c:v>
                </c:pt>
                <c:pt idx="36">
                  <c:v>21.76071356447635</c:v>
                </c:pt>
                <c:pt idx="37">
                  <c:v>19.28771815559229</c:v>
                </c:pt>
                <c:pt idx="38">
                  <c:v>16.74369651309818</c:v>
                </c:pt>
                <c:pt idx="39">
                  <c:v>14.12864863699399</c:v>
                </c:pt>
                <c:pt idx="40">
                  <c:v>11.44257452727975</c:v>
                </c:pt>
                <c:pt idx="41">
                  <c:v>8.685474183955442</c:v>
                </c:pt>
                <c:pt idx="42">
                  <c:v>5.857347607021069</c:v>
                </c:pt>
                <c:pt idx="43">
                  <c:v>2.958194796476632</c:v>
                </c:pt>
                <c:pt idx="44">
                  <c:v>-0.0119842476778658</c:v>
                </c:pt>
                <c:pt idx="45">
                  <c:v>-0.0119842476778658</c:v>
                </c:pt>
                <c:pt idx="46">
                  <c:v>-0.00766991851383453</c:v>
                </c:pt>
                <c:pt idx="47">
                  <c:v>-0.0043143291640334</c:v>
                </c:pt>
                <c:pt idx="48">
                  <c:v>-0.00191747962845512</c:v>
                </c:pt>
                <c:pt idx="49">
                  <c:v>-0.000479369907093074</c:v>
                </c:pt>
                <c:pt idx="50">
                  <c:v>1.79856129989275E-14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A-B94A-97E1-8D69C40B9E4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Diagrams'!$P$3:$P$53</c:f>
              <c:numCache>
                <c:formatCode>General</c:formatCode>
                <c:ptCount val="51"/>
                <c:pt idx="0">
                  <c:v>0.0</c:v>
                </c:pt>
                <c:pt idx="1">
                  <c:v>-0.000723555067963736</c:v>
                </c:pt>
                <c:pt idx="2">
                  <c:v>-0.00289422027185494</c:v>
                </c:pt>
                <c:pt idx="3">
                  <c:v>-0.00651199561167362</c:v>
                </c:pt>
                <c:pt idx="4">
                  <c:v>-0.0115768810874198</c:v>
                </c:pt>
                <c:pt idx="5">
                  <c:v>-0.0180888766990934</c:v>
                </c:pt>
                <c:pt idx="6">
                  <c:v>-0.0260479824466945</c:v>
                </c:pt>
                <c:pt idx="7">
                  <c:v>-0.0354541983302231</c:v>
                </c:pt>
                <c:pt idx="8">
                  <c:v>-0.0463075243496791</c:v>
                </c:pt>
                <c:pt idx="9">
                  <c:v>-0.0586079605050626</c:v>
                </c:pt>
                <c:pt idx="10">
                  <c:v>-0.0723555067963736</c:v>
                </c:pt>
                <c:pt idx="11">
                  <c:v>-0.0723555067963736</c:v>
                </c:pt>
                <c:pt idx="12">
                  <c:v>2.74825423781022</c:v>
                </c:pt>
                <c:pt idx="13">
                  <c:v>5.532348909132966</c:v>
                </c:pt>
                <c:pt idx="14">
                  <c:v>8.279928507171867</c:v>
                </c:pt>
                <c:pt idx="15">
                  <c:v>10.99099303192692</c:v>
                </c:pt>
                <c:pt idx="16">
                  <c:v>13.66554248339812</c:v>
                </c:pt>
                <c:pt idx="17">
                  <c:v>16.30357686158548</c:v>
                </c:pt>
                <c:pt idx="18">
                  <c:v>18.905096166489</c:v>
                </c:pt>
                <c:pt idx="19">
                  <c:v>21.47010039810866</c:v>
                </c:pt>
                <c:pt idx="20">
                  <c:v>23.99858955644449</c:v>
                </c:pt>
                <c:pt idx="21">
                  <c:v>26.49056364149646</c:v>
                </c:pt>
                <c:pt idx="22">
                  <c:v>26.49056364149646</c:v>
                </c:pt>
                <c:pt idx="23">
                  <c:v>25.77401524760801</c:v>
                </c:pt>
                <c:pt idx="24">
                  <c:v>25.05147472988061</c:v>
                </c:pt>
                <c:pt idx="25">
                  <c:v>24.32294208831429</c:v>
                </c:pt>
                <c:pt idx="26">
                  <c:v>23.58841732290903</c:v>
                </c:pt>
                <c:pt idx="27">
                  <c:v>22.84790043366482</c:v>
                </c:pt>
                <c:pt idx="28">
                  <c:v>22.84790043366482</c:v>
                </c:pt>
                <c:pt idx="29">
                  <c:v>20.98577946844647</c:v>
                </c:pt>
                <c:pt idx="30">
                  <c:v>19.11766637938918</c:v>
                </c:pt>
                <c:pt idx="31">
                  <c:v>17.24356116649295</c:v>
                </c:pt>
                <c:pt idx="32">
                  <c:v>15.36346382975779</c:v>
                </c:pt>
                <c:pt idx="33">
                  <c:v>13.47737436918368</c:v>
                </c:pt>
                <c:pt idx="34">
                  <c:v>13.47737436918368</c:v>
                </c:pt>
                <c:pt idx="35">
                  <c:v>12.44805655874281</c:v>
                </c:pt>
                <c:pt idx="36">
                  <c:v>11.34771251469188</c:v>
                </c:pt>
                <c:pt idx="37">
                  <c:v>10.17634223703087</c:v>
                </c:pt>
                <c:pt idx="38">
                  <c:v>8.933945725759809</c:v>
                </c:pt>
                <c:pt idx="39">
                  <c:v>7.620522980878686</c:v>
                </c:pt>
                <c:pt idx="40">
                  <c:v>6.2360740023875</c:v>
                </c:pt>
                <c:pt idx="41">
                  <c:v>4.780598790286255</c:v>
                </c:pt>
                <c:pt idx="42">
                  <c:v>3.25409734457493</c:v>
                </c:pt>
                <c:pt idx="43">
                  <c:v>1.656569665253563</c:v>
                </c:pt>
                <c:pt idx="44">
                  <c:v>-0.0119842476778729</c:v>
                </c:pt>
                <c:pt idx="45">
                  <c:v>-0.0119842476778729</c:v>
                </c:pt>
                <c:pt idx="46">
                  <c:v>-0.00766991851383705</c:v>
                </c:pt>
                <c:pt idx="47">
                  <c:v>-0.00431432916403845</c:v>
                </c:pt>
                <c:pt idx="48">
                  <c:v>-0.00191747962846278</c:v>
                </c:pt>
                <c:pt idx="49">
                  <c:v>-0.000479369907131599</c:v>
                </c:pt>
                <c:pt idx="50">
                  <c:v>-1.62092561595273E-14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BA-B94A-97E1-8D69C40B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19360"/>
        <c:axId val="2111913328"/>
      </c:scatterChart>
      <c:valAx>
        <c:axId val="21119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3328"/>
        <c:crosses val="autoZero"/>
        <c:crossBetween val="midCat"/>
      </c:valAx>
      <c:valAx>
        <c:axId val="21119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M_y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'Internal Force Diagrams'!$C$1:$G$1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Diagrams'!$G$3:$G$53</c:f>
              <c:numCache>
                <c:formatCode>General</c:formatCode>
                <c:ptCount val="51"/>
                <c:pt idx="0">
                  <c:v>0.0</c:v>
                </c:pt>
                <c:pt idx="1">
                  <c:v>-0.00464529</c:v>
                </c:pt>
                <c:pt idx="2">
                  <c:v>-0.00929058</c:v>
                </c:pt>
                <c:pt idx="3">
                  <c:v>-0.01393587</c:v>
                </c:pt>
                <c:pt idx="4">
                  <c:v>-0.01858116</c:v>
                </c:pt>
                <c:pt idx="5">
                  <c:v>-0.02322645</c:v>
                </c:pt>
                <c:pt idx="6">
                  <c:v>-0.02787174</c:v>
                </c:pt>
                <c:pt idx="7">
                  <c:v>-0.03251703</c:v>
                </c:pt>
                <c:pt idx="8">
                  <c:v>-0.03716232</c:v>
                </c:pt>
                <c:pt idx="9">
                  <c:v>-0.04180761</c:v>
                </c:pt>
                <c:pt idx="10">
                  <c:v>-0.0464529</c:v>
                </c:pt>
                <c:pt idx="11">
                  <c:v>-0.0464529</c:v>
                </c:pt>
                <c:pt idx="12">
                  <c:v>-0.06978738</c:v>
                </c:pt>
                <c:pt idx="13">
                  <c:v>-0.09312186</c:v>
                </c:pt>
                <c:pt idx="14">
                  <c:v>-0.11645634</c:v>
                </c:pt>
                <c:pt idx="15">
                  <c:v>-0.13979082</c:v>
                </c:pt>
                <c:pt idx="16">
                  <c:v>-0.1631253</c:v>
                </c:pt>
                <c:pt idx="17">
                  <c:v>-0.18645978</c:v>
                </c:pt>
                <c:pt idx="18">
                  <c:v>-0.20979426</c:v>
                </c:pt>
                <c:pt idx="19">
                  <c:v>-0.23312874</c:v>
                </c:pt>
                <c:pt idx="20">
                  <c:v>-0.25646322</c:v>
                </c:pt>
                <c:pt idx="21">
                  <c:v>-0.2797977</c:v>
                </c:pt>
                <c:pt idx="22">
                  <c:v>10.422371875</c:v>
                </c:pt>
                <c:pt idx="23">
                  <c:v>10.41291925</c:v>
                </c:pt>
                <c:pt idx="24">
                  <c:v>10.403466625</c:v>
                </c:pt>
                <c:pt idx="25">
                  <c:v>10.394014</c:v>
                </c:pt>
                <c:pt idx="26">
                  <c:v>10.384561375</c:v>
                </c:pt>
                <c:pt idx="27">
                  <c:v>10.37510875</c:v>
                </c:pt>
                <c:pt idx="28">
                  <c:v>10.37510875</c:v>
                </c:pt>
                <c:pt idx="29">
                  <c:v>10.365656125</c:v>
                </c:pt>
                <c:pt idx="30">
                  <c:v>10.3562035</c:v>
                </c:pt>
                <c:pt idx="31">
                  <c:v>10.346750875</c:v>
                </c:pt>
                <c:pt idx="32">
                  <c:v>10.33729825</c:v>
                </c:pt>
                <c:pt idx="33">
                  <c:v>10.327845625</c:v>
                </c:pt>
                <c:pt idx="34">
                  <c:v>0.344345624999999</c:v>
                </c:pt>
                <c:pt idx="35">
                  <c:v>0.3118015875</c:v>
                </c:pt>
                <c:pt idx="36">
                  <c:v>0.27925755</c:v>
                </c:pt>
                <c:pt idx="37">
                  <c:v>0.246713512499999</c:v>
                </c:pt>
                <c:pt idx="38">
                  <c:v>0.214169475</c:v>
                </c:pt>
                <c:pt idx="39">
                  <c:v>0.181625437499999</c:v>
                </c:pt>
                <c:pt idx="40">
                  <c:v>0.1490814</c:v>
                </c:pt>
                <c:pt idx="41">
                  <c:v>0.116537362499999</c:v>
                </c:pt>
                <c:pt idx="42">
                  <c:v>0.0839933249999998</c:v>
                </c:pt>
                <c:pt idx="43">
                  <c:v>0.0514492875000005</c:v>
                </c:pt>
                <c:pt idx="44">
                  <c:v>0.0189052499999995</c:v>
                </c:pt>
                <c:pt idx="45">
                  <c:v>0.0189052499999995</c:v>
                </c:pt>
                <c:pt idx="46">
                  <c:v>0.0151241999999989</c:v>
                </c:pt>
                <c:pt idx="47">
                  <c:v>0.0113431500000001</c:v>
                </c:pt>
                <c:pt idx="48">
                  <c:v>0.00756209999999946</c:v>
                </c:pt>
                <c:pt idx="49">
                  <c:v>0.00378105000000062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A7-6D46-9109-745CF1C03CA6}"/>
            </c:ext>
          </c:extLst>
        </c:ser>
        <c:ser>
          <c:idx val="1"/>
          <c:order val="1"/>
          <c:tx>
            <c:strRef>
              <c:f>'Internal Force Diagrams'!$H$1:$L$1</c:f>
              <c:strCache>
                <c:ptCount val="1"/>
                <c:pt idx="0">
                  <c:v>Rotation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Diagrams'!$L$3:$L$53</c:f>
              <c:numCache>
                <c:formatCode>General</c:formatCode>
                <c:ptCount val="51"/>
                <c:pt idx="0">
                  <c:v>0.0</c:v>
                </c:pt>
                <c:pt idx="1">
                  <c:v>-0.00410154762363164</c:v>
                </c:pt>
                <c:pt idx="2">
                  <c:v>-0.00820309524726329</c:v>
                </c:pt>
                <c:pt idx="3">
                  <c:v>-0.0123046428708949</c:v>
                </c:pt>
                <c:pt idx="4">
                  <c:v>-0.0164061904945266</c:v>
                </c:pt>
                <c:pt idx="5">
                  <c:v>-0.0205077381181582</c:v>
                </c:pt>
                <c:pt idx="6">
                  <c:v>-0.0246092857417899</c:v>
                </c:pt>
                <c:pt idx="7">
                  <c:v>-0.0287108333654215</c:v>
                </c:pt>
                <c:pt idx="8">
                  <c:v>-0.0328123809890532</c:v>
                </c:pt>
                <c:pt idx="9">
                  <c:v>-0.0369139286126848</c:v>
                </c:pt>
                <c:pt idx="10">
                  <c:v>-0.0410154762363164</c:v>
                </c:pt>
                <c:pt idx="11">
                  <c:v>-0.0410154762363164</c:v>
                </c:pt>
                <c:pt idx="12">
                  <c:v>-0.0616185991829312</c:v>
                </c:pt>
                <c:pt idx="13">
                  <c:v>-0.082221722129546</c:v>
                </c:pt>
                <c:pt idx="14">
                  <c:v>-0.102824845076161</c:v>
                </c:pt>
                <c:pt idx="15">
                  <c:v>-0.123427968022776</c:v>
                </c:pt>
                <c:pt idx="16">
                  <c:v>-0.14403109096939</c:v>
                </c:pt>
                <c:pt idx="17">
                  <c:v>-0.164634213916005</c:v>
                </c:pt>
                <c:pt idx="18">
                  <c:v>-0.18523733686262</c:v>
                </c:pt>
                <c:pt idx="19">
                  <c:v>-0.205840459809235</c:v>
                </c:pt>
                <c:pt idx="20">
                  <c:v>-0.226443582755849</c:v>
                </c:pt>
                <c:pt idx="21">
                  <c:v>-0.247046705702464</c:v>
                </c:pt>
                <c:pt idx="22">
                  <c:v>9.202408158911831</c:v>
                </c:pt>
                <c:pt idx="23">
                  <c:v>9.194061986421884</c:v>
                </c:pt>
                <c:pt idx="24">
                  <c:v>9.185715813931935</c:v>
                </c:pt>
                <c:pt idx="25">
                  <c:v>9.177369641441988</c:v>
                </c:pt>
                <c:pt idx="26">
                  <c:v>9.169023468952039</c:v>
                </c:pt>
                <c:pt idx="27">
                  <c:v>9.16067729646209</c:v>
                </c:pt>
                <c:pt idx="28">
                  <c:v>9.16067729646209</c:v>
                </c:pt>
                <c:pt idx="29">
                  <c:v>9.152331123972143</c:v>
                </c:pt>
                <c:pt idx="30">
                  <c:v>9.143984951482195</c:v>
                </c:pt>
                <c:pt idx="31">
                  <c:v>9.135638778992246</c:v>
                </c:pt>
                <c:pt idx="32">
                  <c:v>9.127292606502297</c:v>
                </c:pt>
                <c:pt idx="33">
                  <c:v>9.118946434012351</c:v>
                </c:pt>
                <c:pt idx="34">
                  <c:v>0.304039140705253</c:v>
                </c:pt>
                <c:pt idx="35">
                  <c:v>0.275304461132718</c:v>
                </c:pt>
                <c:pt idx="36">
                  <c:v>0.246569781560181</c:v>
                </c:pt>
                <c:pt idx="37">
                  <c:v>0.217835101987646</c:v>
                </c:pt>
                <c:pt idx="38">
                  <c:v>0.189100422415111</c:v>
                </c:pt>
                <c:pt idx="39">
                  <c:v>0.160365742842576</c:v>
                </c:pt>
                <c:pt idx="40">
                  <c:v>0.131631063270039</c:v>
                </c:pt>
                <c:pt idx="41">
                  <c:v>0.102896383697503</c:v>
                </c:pt>
                <c:pt idx="42">
                  <c:v>0.0741617041249682</c:v>
                </c:pt>
                <c:pt idx="43">
                  <c:v>0.0454270245524313</c:v>
                </c:pt>
                <c:pt idx="44">
                  <c:v>0.0166923449798961</c:v>
                </c:pt>
                <c:pt idx="45">
                  <c:v>0.0166923449798961</c:v>
                </c:pt>
                <c:pt idx="46">
                  <c:v>0.0133538759839169</c:v>
                </c:pt>
                <c:pt idx="47">
                  <c:v>0.0100154069879377</c:v>
                </c:pt>
                <c:pt idx="48">
                  <c:v>0.00667693799195845</c:v>
                </c:pt>
                <c:pt idx="49">
                  <c:v>0.00333846899597923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A7-6D46-9109-745CF1C03CA6}"/>
            </c:ext>
          </c:extLst>
        </c:ser>
        <c:ser>
          <c:idx val="2"/>
          <c:order val="2"/>
          <c:tx>
            <c:strRef>
              <c:f>'Internal Force Diagrams'!$M$1:$Q$1</c:f>
              <c:strCache>
                <c:ptCount val="1"/>
                <c:pt idx="0">
                  <c:v>Rotation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'Internal Force Diagrams'!$B$3:$B$53</c:f>
              <c:numCache>
                <c:formatCode>General</c:formatCode>
                <c:ptCount val="51"/>
                <c:pt idx="0">
                  <c:v>0.0</c:v>
                </c:pt>
                <c:pt idx="1">
                  <c:v>17.2</c:v>
                </c:pt>
                <c:pt idx="2">
                  <c:v>34.4</c:v>
                </c:pt>
                <c:pt idx="3">
                  <c:v>51.6</c:v>
                </c:pt>
                <c:pt idx="4">
                  <c:v>68.8</c:v>
                </c:pt>
                <c:pt idx="5">
                  <c:v>86.0</c:v>
                </c:pt>
                <c:pt idx="6">
                  <c:v>103.2</c:v>
                </c:pt>
                <c:pt idx="7">
                  <c:v>120.4</c:v>
                </c:pt>
                <c:pt idx="8">
                  <c:v>137.6</c:v>
                </c:pt>
                <c:pt idx="9">
                  <c:v>154.8</c:v>
                </c:pt>
                <c:pt idx="10">
                  <c:v>172</c:v>
                </c:pt>
                <c:pt idx="11">
                  <c:v>172</c:v>
                </c:pt>
                <c:pt idx="12">
                  <c:v>258.4</c:v>
                </c:pt>
                <c:pt idx="13">
                  <c:v>344.8</c:v>
                </c:pt>
                <c:pt idx="14">
                  <c:v>431.2</c:v>
                </c:pt>
                <c:pt idx="15">
                  <c:v>517.6</c:v>
                </c:pt>
                <c:pt idx="16">
                  <c:v>604.0</c:v>
                </c:pt>
                <c:pt idx="17">
                  <c:v>690.4</c:v>
                </c:pt>
                <c:pt idx="18">
                  <c:v>776.8</c:v>
                </c:pt>
                <c:pt idx="19">
                  <c:v>863.2</c:v>
                </c:pt>
                <c:pt idx="20">
                  <c:v>949.6</c:v>
                </c:pt>
                <c:pt idx="21">
                  <c:v>1036.0</c:v>
                </c:pt>
                <c:pt idx="22">
                  <c:v>1036.0</c:v>
                </c:pt>
                <c:pt idx="23">
                  <c:v>1071.0</c:v>
                </c:pt>
                <c:pt idx="24">
                  <c:v>1106.0</c:v>
                </c:pt>
                <c:pt idx="25">
                  <c:v>1141.0</c:v>
                </c:pt>
                <c:pt idx="26">
                  <c:v>1176.0</c:v>
                </c:pt>
                <c:pt idx="27">
                  <c:v>1211.0</c:v>
                </c:pt>
                <c:pt idx="28">
                  <c:v>1211.0</c:v>
                </c:pt>
                <c:pt idx="29">
                  <c:v>1246.0</c:v>
                </c:pt>
                <c:pt idx="30">
                  <c:v>1281.0</c:v>
                </c:pt>
                <c:pt idx="31">
                  <c:v>1316.0</c:v>
                </c:pt>
                <c:pt idx="32">
                  <c:v>1351.0</c:v>
                </c:pt>
                <c:pt idx="33">
                  <c:v>1386.0</c:v>
                </c:pt>
                <c:pt idx="34">
                  <c:v>1386.0</c:v>
                </c:pt>
                <c:pt idx="35">
                  <c:v>1506.5</c:v>
                </c:pt>
                <c:pt idx="36">
                  <c:v>1627.0</c:v>
                </c:pt>
                <c:pt idx="37">
                  <c:v>1747.5</c:v>
                </c:pt>
                <c:pt idx="38">
                  <c:v>1868.0</c:v>
                </c:pt>
                <c:pt idx="39">
                  <c:v>1988.5</c:v>
                </c:pt>
                <c:pt idx="40">
                  <c:v>2109.0</c:v>
                </c:pt>
                <c:pt idx="41">
                  <c:v>2229.5</c:v>
                </c:pt>
                <c:pt idx="42">
                  <c:v>2350.0</c:v>
                </c:pt>
                <c:pt idx="43">
                  <c:v>2470.5</c:v>
                </c:pt>
                <c:pt idx="44">
                  <c:v>2591.0</c:v>
                </c:pt>
                <c:pt idx="45">
                  <c:v>2591.0</c:v>
                </c:pt>
                <c:pt idx="46">
                  <c:v>2605.0</c:v>
                </c:pt>
                <c:pt idx="47">
                  <c:v>2619.0</c:v>
                </c:pt>
                <c:pt idx="48">
                  <c:v>2633.0</c:v>
                </c:pt>
                <c:pt idx="49">
                  <c:v>2647.0</c:v>
                </c:pt>
                <c:pt idx="50">
                  <c:v>2661.0</c:v>
                </c:pt>
              </c:numCache>
            </c:numRef>
          </c:xVal>
          <c:yVal>
            <c:numRef>
              <c:f>'Internal Force Diagrams'!$Q$3:$Q$53</c:f>
              <c:numCache>
                <c:formatCode>General</c:formatCode>
                <c:ptCount val="51"/>
                <c:pt idx="0">
                  <c:v>0.0</c:v>
                </c:pt>
                <c:pt idx="1">
                  <c:v>-0.00410154762363164</c:v>
                </c:pt>
                <c:pt idx="2">
                  <c:v>-0.00820309524726329</c:v>
                </c:pt>
                <c:pt idx="3">
                  <c:v>-0.0123046428708949</c:v>
                </c:pt>
                <c:pt idx="4">
                  <c:v>-0.0164061904945266</c:v>
                </c:pt>
                <c:pt idx="5">
                  <c:v>-0.0205077381181582</c:v>
                </c:pt>
                <c:pt idx="6">
                  <c:v>-0.0246092857417899</c:v>
                </c:pt>
                <c:pt idx="7">
                  <c:v>-0.0287108333654215</c:v>
                </c:pt>
                <c:pt idx="8">
                  <c:v>-0.0328123809890532</c:v>
                </c:pt>
                <c:pt idx="9">
                  <c:v>-0.0369139286126848</c:v>
                </c:pt>
                <c:pt idx="10">
                  <c:v>-0.0410154762363164</c:v>
                </c:pt>
                <c:pt idx="11">
                  <c:v>-0.0410154762363164</c:v>
                </c:pt>
                <c:pt idx="12">
                  <c:v>-0.0616185991829312</c:v>
                </c:pt>
                <c:pt idx="13">
                  <c:v>-0.082221722129546</c:v>
                </c:pt>
                <c:pt idx="14">
                  <c:v>-0.102824845076161</c:v>
                </c:pt>
                <c:pt idx="15">
                  <c:v>-0.123427968022776</c:v>
                </c:pt>
                <c:pt idx="16">
                  <c:v>-0.14403109096939</c:v>
                </c:pt>
                <c:pt idx="17">
                  <c:v>-0.164634213916005</c:v>
                </c:pt>
                <c:pt idx="18">
                  <c:v>-0.18523733686262</c:v>
                </c:pt>
                <c:pt idx="19">
                  <c:v>-0.205840459809235</c:v>
                </c:pt>
                <c:pt idx="20">
                  <c:v>-0.226443582755849</c:v>
                </c:pt>
                <c:pt idx="21">
                  <c:v>-0.247046705702464</c:v>
                </c:pt>
                <c:pt idx="22">
                  <c:v>9.202408158911831</c:v>
                </c:pt>
                <c:pt idx="23">
                  <c:v>9.194061986421884</c:v>
                </c:pt>
                <c:pt idx="24">
                  <c:v>9.185715813931935</c:v>
                </c:pt>
                <c:pt idx="25">
                  <c:v>9.177369641441988</c:v>
                </c:pt>
                <c:pt idx="26">
                  <c:v>9.169023468952039</c:v>
                </c:pt>
                <c:pt idx="27">
                  <c:v>9.16067729646209</c:v>
                </c:pt>
                <c:pt idx="28">
                  <c:v>9.16067729646209</c:v>
                </c:pt>
                <c:pt idx="29">
                  <c:v>9.152331123972143</c:v>
                </c:pt>
                <c:pt idx="30">
                  <c:v>9.143984951482195</c:v>
                </c:pt>
                <c:pt idx="31">
                  <c:v>9.135638778992246</c:v>
                </c:pt>
                <c:pt idx="32">
                  <c:v>9.127292606502297</c:v>
                </c:pt>
                <c:pt idx="33">
                  <c:v>9.118946434012351</c:v>
                </c:pt>
                <c:pt idx="34">
                  <c:v>0.304039140705253</c:v>
                </c:pt>
                <c:pt idx="35">
                  <c:v>0.275304461132718</c:v>
                </c:pt>
                <c:pt idx="36">
                  <c:v>0.246569781560181</c:v>
                </c:pt>
                <c:pt idx="37">
                  <c:v>0.217835101987646</c:v>
                </c:pt>
                <c:pt idx="38">
                  <c:v>0.189100422415111</c:v>
                </c:pt>
                <c:pt idx="39">
                  <c:v>0.160365742842576</c:v>
                </c:pt>
                <c:pt idx="40">
                  <c:v>0.131631063270039</c:v>
                </c:pt>
                <c:pt idx="41">
                  <c:v>0.102896383697503</c:v>
                </c:pt>
                <c:pt idx="42">
                  <c:v>0.0741617041249682</c:v>
                </c:pt>
                <c:pt idx="43">
                  <c:v>0.0454270245524313</c:v>
                </c:pt>
                <c:pt idx="44">
                  <c:v>0.0166923449798961</c:v>
                </c:pt>
                <c:pt idx="45">
                  <c:v>0.0166923449798961</c:v>
                </c:pt>
                <c:pt idx="46">
                  <c:v>0.0133538759839169</c:v>
                </c:pt>
                <c:pt idx="47">
                  <c:v>0.0100154069879377</c:v>
                </c:pt>
                <c:pt idx="48">
                  <c:v>0.00667693799195845</c:v>
                </c:pt>
                <c:pt idx="49">
                  <c:v>0.00333846899597923</c:v>
                </c:pt>
                <c:pt idx="5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A7-6D46-9109-745CF1C0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41584"/>
        <c:axId val="2111835552"/>
      </c:scatterChart>
      <c:valAx>
        <c:axId val="2111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35552"/>
        <c:crosses val="autoZero"/>
        <c:crossBetween val="midCat"/>
      </c:valAx>
      <c:valAx>
        <c:axId val="2111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[kN]m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2BC4C7-472D-3E4B-9933-A6677CF1B4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7A342C-C4A4-8943-A548-B10AD8F4F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347263-DE93-5A41-BDB4-F912F6110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E843FD-8AFC-D543-9722-1E564CD7C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6058" cy="62943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6957833-F082-5F48-AC50-90C12C5AD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opLeftCell="A5" workbookViewId="0">
      <selection activeCell="G19" sqref="G19"/>
    </sheetView>
  </sheetViews>
  <sheetFormatPr baseColWidth="10" defaultRowHeight="34" customHeight="1" x14ac:dyDescent="0.2"/>
  <cols>
    <col min="1" max="1" width="32.83203125" style="3" customWidth="1"/>
    <col min="2" max="4" width="10.83203125" style="3"/>
  </cols>
  <sheetData>
    <row r="1" spans="1:4" ht="34" customHeight="1" thickBot="1" x14ac:dyDescent="0.25">
      <c r="A1" s="1" t="s">
        <v>0</v>
      </c>
      <c r="B1" s="4" t="s">
        <v>1</v>
      </c>
      <c r="C1" s="4" t="s">
        <v>2</v>
      </c>
      <c r="D1" s="4" t="s">
        <v>3</v>
      </c>
    </row>
    <row r="2" spans="1:4" ht="34" customHeight="1" thickBot="1" x14ac:dyDescent="0.25">
      <c r="A2" s="2" t="s">
        <v>4</v>
      </c>
      <c r="B2" s="5" t="s">
        <v>32</v>
      </c>
      <c r="C2" s="7">
        <v>0.60499999999999998</v>
      </c>
      <c r="D2" s="7" t="s">
        <v>5</v>
      </c>
    </row>
    <row r="3" spans="1:4" ht="34" customHeight="1" thickBot="1" x14ac:dyDescent="0.25">
      <c r="A3" s="2" t="s">
        <v>6</v>
      </c>
      <c r="B3" s="5" t="s">
        <v>33</v>
      </c>
      <c r="C3" s="41">
        <v>2.661</v>
      </c>
      <c r="D3" s="7" t="s">
        <v>5</v>
      </c>
    </row>
    <row r="4" spans="1:4" ht="34" customHeight="1" thickBot="1" x14ac:dyDescent="0.25">
      <c r="A4" s="2" t="s">
        <v>7</v>
      </c>
      <c r="B4" s="5" t="s">
        <v>34</v>
      </c>
      <c r="C4" s="7">
        <v>0.17199999999999999</v>
      </c>
      <c r="D4" s="7" t="s">
        <v>5</v>
      </c>
    </row>
    <row r="5" spans="1:4" ht="34" customHeight="1" thickBot="1" x14ac:dyDescent="0.25">
      <c r="A5" s="2" t="s">
        <v>8</v>
      </c>
      <c r="B5" s="5" t="s">
        <v>35</v>
      </c>
      <c r="C5" s="41">
        <v>1.2110000000000001</v>
      </c>
      <c r="D5" s="7" t="s">
        <v>5</v>
      </c>
    </row>
    <row r="6" spans="1:4" ht="34" customHeight="1" thickBot="1" x14ac:dyDescent="0.25">
      <c r="A6" s="2" t="s">
        <v>9</v>
      </c>
      <c r="B6" s="5" t="s">
        <v>36</v>
      </c>
      <c r="C6" s="41">
        <v>2.5910000000000002</v>
      </c>
      <c r="D6" s="7" t="s">
        <v>5</v>
      </c>
    </row>
    <row r="7" spans="1:4" ht="34" customHeight="1" thickBot="1" x14ac:dyDescent="0.25">
      <c r="A7" s="2" t="s">
        <v>10</v>
      </c>
      <c r="B7" s="5" t="s">
        <v>37</v>
      </c>
      <c r="C7" s="7">
        <v>35</v>
      </c>
      <c r="D7" s="7" t="s">
        <v>11</v>
      </c>
    </row>
    <row r="8" spans="1:4" ht="34" customHeight="1" thickBot="1" x14ac:dyDescent="0.25">
      <c r="A8" s="2" t="s">
        <v>12</v>
      </c>
      <c r="B8" s="5" t="s">
        <v>13</v>
      </c>
      <c r="C8" s="7">
        <v>20.5</v>
      </c>
      <c r="D8" s="7" t="s">
        <v>11</v>
      </c>
    </row>
    <row r="9" spans="1:4" ht="34" customHeight="1" thickBot="1" x14ac:dyDescent="0.25">
      <c r="A9" s="2" t="s">
        <v>14</v>
      </c>
      <c r="B9" s="5" t="s">
        <v>38</v>
      </c>
      <c r="C9" s="7">
        <v>1.1000000000000001</v>
      </c>
      <c r="D9" s="7" t="s">
        <v>15</v>
      </c>
    </row>
    <row r="10" spans="1:4" ht="34" customHeight="1" thickBot="1" x14ac:dyDescent="0.25">
      <c r="A10" s="2" t="s">
        <v>16</v>
      </c>
      <c r="B10" s="5" t="s">
        <v>39</v>
      </c>
      <c r="C10" s="7">
        <v>2.8</v>
      </c>
      <c r="D10" s="7" t="s">
        <v>15</v>
      </c>
    </row>
    <row r="11" spans="1:4" ht="34" customHeight="1" thickBot="1" x14ac:dyDescent="0.25">
      <c r="A11" s="2" t="s">
        <v>17</v>
      </c>
      <c r="B11" s="5" t="s">
        <v>40</v>
      </c>
      <c r="C11" s="7">
        <v>1.2</v>
      </c>
      <c r="D11" s="7" t="s">
        <v>15</v>
      </c>
    </row>
    <row r="12" spans="1:4" ht="34" customHeight="1" thickBot="1" x14ac:dyDescent="0.25">
      <c r="A12" s="2" t="s">
        <v>18</v>
      </c>
      <c r="B12" s="5" t="s">
        <v>41</v>
      </c>
      <c r="C12" s="7">
        <v>1.6</v>
      </c>
      <c r="D12" s="7" t="s">
        <v>11</v>
      </c>
    </row>
    <row r="13" spans="1:4" ht="34" customHeight="1" thickBot="1" x14ac:dyDescent="0.25">
      <c r="A13" s="2" t="s">
        <v>19</v>
      </c>
      <c r="B13" s="5" t="s">
        <v>42</v>
      </c>
      <c r="C13" s="7">
        <v>1.9</v>
      </c>
      <c r="D13" s="7" t="s">
        <v>11</v>
      </c>
    </row>
    <row r="14" spans="1:4" ht="34" customHeight="1" thickBot="1" x14ac:dyDescent="0.25">
      <c r="A14" s="2" t="s">
        <v>20</v>
      </c>
      <c r="B14" s="5" t="s">
        <v>43</v>
      </c>
      <c r="C14" s="7">
        <v>15</v>
      </c>
      <c r="D14" s="7" t="s">
        <v>21</v>
      </c>
    </row>
    <row r="15" spans="1:4" ht="34" customHeight="1" thickBot="1" x14ac:dyDescent="0.25">
      <c r="A15" s="2" t="s">
        <v>22</v>
      </c>
      <c r="B15" s="5" t="s">
        <v>44</v>
      </c>
      <c r="C15" s="7">
        <v>1.1539999999999999</v>
      </c>
      <c r="D15" s="7" t="s">
        <v>11</v>
      </c>
    </row>
    <row r="16" spans="1:4" ht="34" customHeight="1" thickBot="1" x14ac:dyDescent="0.25">
      <c r="A16" s="2" t="s">
        <v>23</v>
      </c>
      <c r="B16" s="5" t="s">
        <v>45</v>
      </c>
      <c r="C16" s="7">
        <v>1.84</v>
      </c>
      <c r="D16" s="7" t="s">
        <v>11</v>
      </c>
    </row>
    <row r="17" spans="1:4" ht="34" customHeight="1" thickBot="1" x14ac:dyDescent="0.25">
      <c r="A17" s="2" t="s">
        <v>24</v>
      </c>
      <c r="B17" s="6" t="s">
        <v>25</v>
      </c>
      <c r="C17" s="7">
        <v>28</v>
      </c>
      <c r="D17" s="7" t="s">
        <v>26</v>
      </c>
    </row>
    <row r="18" spans="1:4" ht="34" customHeight="1" thickBot="1" x14ac:dyDescent="0.25">
      <c r="A18" s="2" t="s">
        <v>27</v>
      </c>
      <c r="B18" s="7" t="s">
        <v>28</v>
      </c>
      <c r="C18" s="7">
        <v>97.4</v>
      </c>
      <c r="D18" s="7" t="s">
        <v>29</v>
      </c>
    </row>
    <row r="19" spans="1:4" ht="34" customHeight="1" thickBot="1" x14ac:dyDescent="0.25">
      <c r="A19" s="2" t="s">
        <v>30</v>
      </c>
      <c r="B19" s="7" t="s">
        <v>25</v>
      </c>
      <c r="C19" s="7">
        <v>5.54</v>
      </c>
      <c r="D19" s="7" t="s">
        <v>31</v>
      </c>
    </row>
    <row r="20" spans="1:4" ht="34" customHeight="1" thickBot="1" x14ac:dyDescent="0.25">
      <c r="A20" s="2" t="s">
        <v>98</v>
      </c>
      <c r="B20" s="7" t="s">
        <v>99</v>
      </c>
      <c r="C20" s="7">
        <v>73.099999999999994</v>
      </c>
      <c r="D20" s="7" t="s">
        <v>100</v>
      </c>
    </row>
    <row r="21" spans="1:4" ht="34" customHeight="1" thickBot="1" x14ac:dyDescent="0.25">
      <c r="A21" s="2" t="s">
        <v>128</v>
      </c>
      <c r="B21" s="7" t="s">
        <v>129</v>
      </c>
      <c r="C21" s="7">
        <v>28</v>
      </c>
      <c r="D21" s="7" t="s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6" x14ac:dyDescent="0.2"/>
  <cols>
    <col min="1" max="1" width="12" style="9" bestFit="1" customWidth="1"/>
    <col min="2" max="2" width="12.1640625" bestFit="1" customWidth="1"/>
    <col min="3" max="3" width="24.6640625" bestFit="1" customWidth="1"/>
    <col min="4" max="5" width="20.5" bestFit="1" customWidth="1"/>
    <col min="10" max="11" width="11.83203125" bestFit="1" customWidth="1"/>
    <col min="12" max="12" width="10.83203125" style="24"/>
    <col min="13" max="13" width="26.33203125" style="29" bestFit="1" customWidth="1"/>
    <col min="14" max="14" width="10.83203125" style="29"/>
    <col min="15" max="15" width="7.83203125" style="29" bestFit="1" customWidth="1"/>
  </cols>
  <sheetData>
    <row r="1" spans="1:15" s="8" customFormat="1" ht="17" thickBot="1" x14ac:dyDescent="0.25">
      <c r="A1" s="18" t="s">
        <v>46</v>
      </c>
      <c r="B1" s="19" t="s">
        <v>71</v>
      </c>
      <c r="C1" s="19" t="s">
        <v>94</v>
      </c>
      <c r="D1" s="20" t="s">
        <v>77</v>
      </c>
      <c r="E1" s="20" t="s">
        <v>73</v>
      </c>
      <c r="F1" s="20" t="s">
        <v>72</v>
      </c>
      <c r="G1" s="20" t="s">
        <v>78</v>
      </c>
      <c r="H1" s="20" t="s">
        <v>79</v>
      </c>
      <c r="I1" s="20" t="s">
        <v>74</v>
      </c>
      <c r="J1" s="20" t="s">
        <v>80</v>
      </c>
      <c r="K1" s="20" t="s">
        <v>75</v>
      </c>
      <c r="L1" s="23"/>
      <c r="M1" s="25" t="s">
        <v>81</v>
      </c>
      <c r="N1" s="25"/>
      <c r="O1" s="25"/>
    </row>
    <row r="2" spans="1:15" x14ac:dyDescent="0.2">
      <c r="A2" s="17" t="s">
        <v>70</v>
      </c>
      <c r="B2" s="15">
        <f>PI()*N2*Input!C9</f>
        <v>354.21457169224919</v>
      </c>
      <c r="C2" s="15">
        <v>0</v>
      </c>
      <c r="D2" s="12">
        <f>PI()*N2^3*Input!C9/2</f>
        <v>1860733.4219208467</v>
      </c>
      <c r="E2" s="12">
        <f>PI()*N2^3*Input!C9/2</f>
        <v>1860733.4219208467</v>
      </c>
      <c r="F2" s="12">
        <v>0</v>
      </c>
      <c r="G2" s="12">
        <v>0</v>
      </c>
      <c r="H2" s="12">
        <f>$B2*G2^2</f>
        <v>0</v>
      </c>
      <c r="I2" s="12">
        <f>$B2*F2^2</f>
        <v>0</v>
      </c>
      <c r="J2" s="12">
        <f>D2+H2</f>
        <v>1860733.4219208467</v>
      </c>
      <c r="K2" s="12">
        <f>E2+I2</f>
        <v>1860733.4219208467</v>
      </c>
      <c r="M2" s="26" t="s">
        <v>82</v>
      </c>
      <c r="N2" s="26">
        <f>Input!C8*10/2</f>
        <v>102.5</v>
      </c>
      <c r="O2" s="26" t="s">
        <v>85</v>
      </c>
    </row>
    <row r="3" spans="1:15" x14ac:dyDescent="0.2">
      <c r="A3" s="14" t="s">
        <v>47</v>
      </c>
      <c r="B3" s="13">
        <f>SQRT((Input!C8*10/2)^2+N3^2)*Input!C9</f>
        <v>564.13218752345631</v>
      </c>
      <c r="C3" s="13">
        <f>-N9</f>
        <v>-0.2012196329874848</v>
      </c>
      <c r="D3" s="10">
        <f>(SQRT(N$2^2+N$3^2))^3*Input!C$9*(SIN(C3))^2/12</f>
        <v>493909.48293069255</v>
      </c>
      <c r="E3" s="10">
        <f>(SQRT(N$2^2+N$3^2))^3*Input!C$9*(COS(C3))^2/12</f>
        <v>11870575.264653722</v>
      </c>
      <c r="F3" s="10">
        <f>-N3/2</f>
        <v>-251.25</v>
      </c>
      <c r="G3" s="10">
        <f>N2/2</f>
        <v>51.25</v>
      </c>
      <c r="H3" s="12">
        <f>$B3*G3^2</f>
        <v>1481728.4487920783</v>
      </c>
      <c r="I3" s="12">
        <f>$B3*F3^2</f>
        <v>35611725.793961182</v>
      </c>
      <c r="J3" s="12">
        <f t="shared" ref="J3:J26" si="0">D3+H3</f>
        <v>1975637.9317227709</v>
      </c>
      <c r="K3" s="12">
        <f t="shared" ref="K3:K26" si="1">E3+I3</f>
        <v>47482301.058614902</v>
      </c>
      <c r="M3" s="27" t="s">
        <v>84</v>
      </c>
      <c r="N3" s="27">
        <f>Input!C2*1000-Input!C8*10/2</f>
        <v>502.5</v>
      </c>
      <c r="O3" s="27" t="s">
        <v>85</v>
      </c>
    </row>
    <row r="4" spans="1:15" x14ac:dyDescent="0.2">
      <c r="A4" s="14" t="s">
        <v>48</v>
      </c>
      <c r="B4" s="13">
        <f>SQRT((Input!C8*10/2)^2+N3^2)*Input!C9</f>
        <v>564.13218752345631</v>
      </c>
      <c r="C4" s="13">
        <f>N9</f>
        <v>0.2012196329874848</v>
      </c>
      <c r="D4" s="10">
        <f>(SQRT(N$2^2+N$3^2))^3*Input!C$9*(SIN(C4))^2/12</f>
        <v>493909.48293069255</v>
      </c>
      <c r="E4" s="10">
        <f>(SQRT(N$2^2+N$3^2))^3*Input!C$9*(COS(C4))^2/12</f>
        <v>11870575.264653722</v>
      </c>
      <c r="F4" s="10">
        <f>-N3/2</f>
        <v>-251.25</v>
      </c>
      <c r="G4" s="10">
        <f>-N2/2</f>
        <v>-51.25</v>
      </c>
      <c r="H4" s="12">
        <f t="shared" ref="H3:H4" si="2">$B4*G4^2</f>
        <v>1481728.4487920783</v>
      </c>
      <c r="I4" s="12">
        <f>$B4*F4^2</f>
        <v>35611725.793961182</v>
      </c>
      <c r="J4" s="12">
        <f t="shared" si="0"/>
        <v>1975637.9317227709</v>
      </c>
      <c r="K4" s="12">
        <f t="shared" si="1"/>
        <v>47482301.058614902</v>
      </c>
      <c r="M4" s="27" t="s">
        <v>83</v>
      </c>
      <c r="N4" s="27">
        <f>PI()*N2+2*(SQRT(N2^2+N3^2))</f>
        <v>1347.7081333992378</v>
      </c>
      <c r="O4" s="27" t="s">
        <v>85</v>
      </c>
    </row>
    <row r="5" spans="1:15" x14ac:dyDescent="0.2">
      <c r="A5" s="14" t="s">
        <v>96</v>
      </c>
      <c r="B5" s="13">
        <f>2*N2*Input!C10</f>
        <v>574</v>
      </c>
      <c r="C5" s="13">
        <v>0</v>
      </c>
      <c r="D5" s="10">
        <f>1/12*(2*N2)^3*Input!C10</f>
        <v>2010195.833333333</v>
      </c>
      <c r="E5" s="10">
        <v>0</v>
      </c>
      <c r="F5" s="10">
        <v>0</v>
      </c>
      <c r="G5" s="10">
        <v>0</v>
      </c>
      <c r="H5" s="12">
        <f t="shared" ref="H5" si="3">$B5*G5^2</f>
        <v>0</v>
      </c>
      <c r="I5" s="12">
        <f>$B5*F5^2</f>
        <v>0</v>
      </c>
      <c r="J5" s="12">
        <f t="shared" ref="J5" si="4">D5+H5</f>
        <v>2010195.833333333</v>
      </c>
      <c r="K5" s="12">
        <f t="shared" ref="K5" si="5">E5+I5</f>
        <v>0</v>
      </c>
      <c r="M5" s="28" t="s">
        <v>86</v>
      </c>
      <c r="N5" s="27">
        <f>(Input!C12*10+Input!C13*10)*Input!C11</f>
        <v>42</v>
      </c>
      <c r="O5" s="28" t="s">
        <v>87</v>
      </c>
    </row>
    <row r="6" spans="1:15" x14ac:dyDescent="0.2">
      <c r="A6" s="14" t="s">
        <v>49</v>
      </c>
      <c r="B6" s="13">
        <f>IF(L6&gt;Input!C$14,0,N$5)</f>
        <v>42</v>
      </c>
      <c r="C6" s="13">
        <f>IF(L6&lt;=N$7,PI()+N$9,IF(L6&lt;=2*N$7,N$9,IF(L6&lt;=Input!C$14,(PI()-N$10)/2+N$10/(N$8-1)*(L6-2*N$7-1),0)))</f>
        <v>3.3428122865772778</v>
      </c>
      <c r="D6" s="10">
        <f>IF(B6=0,0,(Input!C$13*10)^3*Input!C$11*(SIN(C6))^2/12+(Input!C$13*10*Input!C$11)*(N$11*COS(C6))^2+(Input!C$12*10)^3*Input!C$11*(COS(C6))^2/12+(Input!C$12*10*Input!C$11)*((0.5*Input!C$12-N$11)*SIN(C6))^2)</f>
        <v>719.65974734847111</v>
      </c>
      <c r="E6" s="10">
        <f>IF(B6=0,0,(Input!C$13*10)^3*Input!C$11*(COS(C6))^2/12+(Input!C$13*10*Input!C$11)*(N$11*SIN(C6))^2+(Input!C$12*10)^3*Input!C$11*(SIN(C6))^2/12+(Input!C$12*10*Input!C$11)*((0.5*Input!C$12-N$11)*COS(C6))^2)</f>
        <v>837.51796693724293</v>
      </c>
      <c r="F6" s="10">
        <f>-N3+N6*COS(N9)/2-(N$11+Input!C9/2)*SIN(C6)</f>
        <v>-460.393011437734</v>
      </c>
      <c r="G6" s="10">
        <f>N6*SIN(N9)/2+(N$11+Input!C9/2)*COS(C6)</f>
        <v>4.2952116819028561</v>
      </c>
      <c r="H6" s="12">
        <f t="shared" ref="H6:H26" si="6">$B6*G6^2</f>
        <v>774.85142247889996</v>
      </c>
      <c r="I6" s="12">
        <f t="shared" ref="I6:I26" si="7">$B6*F6^2</f>
        <v>8902392.4491896294</v>
      </c>
      <c r="J6" s="12">
        <f t="shared" si="0"/>
        <v>1494.5111698273711</v>
      </c>
      <c r="K6" s="12">
        <f t="shared" si="1"/>
        <v>8903229.9671565667</v>
      </c>
      <c r="L6" s="24">
        <v>1</v>
      </c>
      <c r="M6" s="28" t="s">
        <v>88</v>
      </c>
      <c r="N6" s="27">
        <f>N4/(Input!C14+1)</f>
        <v>84.231758337452362</v>
      </c>
      <c r="O6" s="28" t="s">
        <v>85</v>
      </c>
    </row>
    <row r="7" spans="1:15" x14ac:dyDescent="0.2">
      <c r="A7" s="14" t="s">
        <v>50</v>
      </c>
      <c r="B7" s="13">
        <f>IF(L7&gt;Input!C$14,0,N$5)</f>
        <v>42</v>
      </c>
      <c r="C7" s="13">
        <f>IF(L7&lt;=N$7,PI()+N$9,IF(L7&lt;=2*N$7,N$9,IF(L7&lt;=Input!C$14,(PI()-N$10)/2+N$10/(N$8-1)*(L7-2*N$7-1),0)))</f>
        <v>3.3428122865772778</v>
      </c>
      <c r="D7" s="10">
        <f>IF(B7=0,0,(Input!C$13*10)^3*Input!C$11*(SIN(C7))^2/12+(Input!C$13*10*Input!C$11)*(N$11*COS(C7))^2+(Input!C$12*10)^3*Input!C$11*(COS(C7))^2/12+(Input!C$12*10*Input!C$11)*((0.5*Input!C$12-N$11)*SIN(C7))^2)</f>
        <v>719.65974734847111</v>
      </c>
      <c r="E7" s="10">
        <f>IF(B7=0,0,(Input!C$13*10)^3*Input!C$11*(COS(C7))^2/12+(Input!C$13*10*Input!C$11)*(N$11*SIN(C7))^2+(Input!C$12*10)^3*Input!C$11*(SIN(C7))^2/12+(Input!C$12*10*Input!C$11)*((0.5*Input!C$12-N$11)*COS(C7))^2)</f>
        <v>837.51796693724293</v>
      </c>
      <c r="F7" s="10">
        <f>IF(L7&lt;=N$7,F6+N$6*COS(N$9),IF(L7=N$7+1,F$6,IF(L7&lt;=2*N$7,F6+N$6*COS(N$9),IF(L7&lt;=(N$7*2+N$8),(N$2-N$11)*SIN(C7),0))))</f>
        <v>-377.86075135624219</v>
      </c>
      <c r="G7" s="10">
        <f>IF(L7&lt;=N$7,G6+N$6*SIN(N$9),IF(L7=N$7+1,-G$6,IF(L7&lt;=2*N$7,G6-(N$6*SIN(N$9)),IF(L7&lt;=(N$7*2+N$8),-(N$2-N$11)*COS(C7),0))))</f>
        <v>21.130150305490734</v>
      </c>
      <c r="H7" s="12">
        <f t="shared" si="6"/>
        <v>18752.296581170467</v>
      </c>
      <c r="I7" s="12">
        <f t="shared" si="7"/>
        <v>5996707.3914511632</v>
      </c>
      <c r="J7" s="12">
        <f t="shared" si="0"/>
        <v>19471.95632851894</v>
      </c>
      <c r="K7" s="12">
        <f t="shared" si="1"/>
        <v>5997544.9094181005</v>
      </c>
      <c r="L7" s="24">
        <v>2</v>
      </c>
      <c r="M7" s="28" t="s">
        <v>91</v>
      </c>
      <c r="N7" s="27">
        <f>ROUND(SQRT(N2^2+N3^2)/N6,0)</f>
        <v>6</v>
      </c>
      <c r="O7" s="28" t="s">
        <v>89</v>
      </c>
    </row>
    <row r="8" spans="1:15" x14ac:dyDescent="0.2">
      <c r="A8" s="14" t="s">
        <v>51</v>
      </c>
      <c r="B8" s="13">
        <f>IF(L8&gt;Input!C$14,0,N$5)</f>
        <v>42</v>
      </c>
      <c r="C8" s="13">
        <f>IF(L8&lt;=N$7,PI()+N$9,IF(L8&lt;=2*N$7,N$9,IF(L8&lt;=Input!C$14,(PI()-N$10)/2+N$10/(N$8-1)*(L8-2*N$7-1),0)))</f>
        <v>3.3428122865772778</v>
      </c>
      <c r="D8" s="10">
        <f>IF(B8=0,0,(Input!C$13*10)^3*Input!C$11*(SIN(C8))^2/12+(Input!C$13*10*Input!C$11)*(N$11*COS(C8))^2+(Input!C$12*10)^3*Input!C$11*(COS(C8))^2/12+(Input!C$12*10*Input!C$11)*((0.5*Input!C$12-N$11)*SIN(C8))^2)</f>
        <v>719.65974734847111</v>
      </c>
      <c r="E8" s="10">
        <f>IF(B8=0,0,(Input!C$13*10)^3*Input!C$11*(COS(C8))^2/12+(Input!C$13*10*Input!C$11)*(N$11*SIN(C8))^2+(Input!C$12*10)^3*Input!C$11*(SIN(C8))^2/12+(Input!C$12*10*Input!C$11)*((0.5*Input!C$12-N$11)*COS(C8))^2)</f>
        <v>837.51796693724293</v>
      </c>
      <c r="F8" s="10">
        <f t="shared" ref="F8:F26" si="8">IF(L8&lt;=N$7,F7+N$6*COS(N$9),IF(L8=N$7+1,F$6,IF(L8&lt;=2*N$7,F7+N$6*COS(N$9),IF(L8&lt;=(N$7*2+N$8),(N$2-N$11)*SIN(C8),0))))</f>
        <v>-295.32849127475038</v>
      </c>
      <c r="G8" s="10">
        <f t="shared" ref="G8:G26" si="9">IF(L8&lt;=N$7,G7+N$6*SIN(N$9),IF(L8=N$7+1,-G$6,IF(L8&lt;=2*N$7,G7-(N$6*SIN(N$9)),IF(L8&lt;=(N$7*2+N$8),-(N$2-N$11)*COS(C8),0))))</f>
        <v>37.965088929078611</v>
      </c>
      <c r="H8" s="12">
        <f t="shared" si="6"/>
        <v>60536.615050499582</v>
      </c>
      <c r="I8" s="12">
        <f t="shared" si="7"/>
        <v>3663194.5458620531</v>
      </c>
      <c r="J8" s="12">
        <f t="shared" si="0"/>
        <v>61256.274797848055</v>
      </c>
      <c r="K8" s="12">
        <f t="shared" si="1"/>
        <v>3664032.0638289903</v>
      </c>
      <c r="L8" s="24">
        <v>3</v>
      </c>
      <c r="M8" s="28" t="s">
        <v>90</v>
      </c>
      <c r="N8" s="27">
        <f>Input!C14-2*'Cross-sectional properties'!N7</f>
        <v>3</v>
      </c>
      <c r="O8" s="28" t="s">
        <v>89</v>
      </c>
    </row>
    <row r="9" spans="1:15" x14ac:dyDescent="0.2">
      <c r="A9" s="14" t="s">
        <v>52</v>
      </c>
      <c r="B9" s="13">
        <f>IF(L9&gt;Input!C$14,0,N$5)</f>
        <v>42</v>
      </c>
      <c r="C9" s="13">
        <f>IF(L9&lt;=N$7,PI()+N$9,IF(L9&lt;=2*N$7,N$9,IF(L9&lt;=Input!C$14,(PI()-N$10)/2+N$10/(N$8-1)*(L9-2*N$7-1),0)))</f>
        <v>3.3428122865772778</v>
      </c>
      <c r="D9" s="10">
        <f>IF(B9=0,0,(Input!C$13*10)^3*Input!C$11*(SIN(C9))^2/12+(Input!C$13*10*Input!C$11)*(N$11*COS(C9))^2+(Input!C$12*10)^3*Input!C$11*(COS(C9))^2/12+(Input!C$12*10*Input!C$11)*((0.5*Input!C$12-N$11)*SIN(C9))^2)</f>
        <v>719.65974734847111</v>
      </c>
      <c r="E9" s="10">
        <f>IF(B9=0,0,(Input!C$13*10)^3*Input!C$11*(COS(C9))^2/12+(Input!C$13*10*Input!C$11)*(N$11*SIN(C9))^2+(Input!C$12*10)^3*Input!C$11*(SIN(C9))^2/12+(Input!C$12*10*Input!C$11)*((0.5*Input!C$12-N$11)*COS(C9))^2)</f>
        <v>837.51796693724293</v>
      </c>
      <c r="F9" s="10">
        <f t="shared" si="8"/>
        <v>-212.79623119325856</v>
      </c>
      <c r="G9" s="10">
        <f t="shared" si="9"/>
        <v>54.800027552666492</v>
      </c>
      <c r="H9" s="12">
        <f t="shared" si="6"/>
        <v>126127.80683046627</v>
      </c>
      <c r="I9" s="12">
        <f t="shared" si="7"/>
        <v>1901853.9124222996</v>
      </c>
      <c r="J9" s="12">
        <f t="shared" si="0"/>
        <v>126847.46657781475</v>
      </c>
      <c r="K9" s="12">
        <f t="shared" si="1"/>
        <v>1902691.4303892369</v>
      </c>
      <c r="L9" s="24">
        <v>4</v>
      </c>
      <c r="M9" s="27" t="s">
        <v>92</v>
      </c>
      <c r="N9" s="27">
        <f>ATAN(N2/N3)</f>
        <v>0.2012196329874848</v>
      </c>
      <c r="O9" s="27" t="s">
        <v>93</v>
      </c>
    </row>
    <row r="10" spans="1:15" x14ac:dyDescent="0.2">
      <c r="A10" s="14" t="s">
        <v>53</v>
      </c>
      <c r="B10" s="13">
        <f>IF(L10&gt;Input!C$14,0,N$5)</f>
        <v>42</v>
      </c>
      <c r="C10" s="13">
        <f>IF(L10&lt;=N$7,PI()+N$9,IF(L10&lt;=2*N$7,N$9,IF(L10&lt;=Input!C$14,(PI()-N$10)/2+N$10/(N$8-1)*(L10-2*N$7-1),0)))</f>
        <v>3.3428122865772778</v>
      </c>
      <c r="D10" s="10">
        <f>IF(B10=0,0,(Input!C$13*10)^3*Input!C$11*(SIN(C10))^2/12+(Input!C$13*10*Input!C$11)*(N$11*COS(C10))^2+(Input!C$12*10)^3*Input!C$11*(COS(C10))^2/12+(Input!C$12*10*Input!C$11)*((0.5*Input!C$12-N$11)*SIN(C10))^2)</f>
        <v>719.65974734847111</v>
      </c>
      <c r="E10" s="10">
        <f>IF(B10=0,0,(Input!C$13*10)^3*Input!C$11*(COS(C10))^2/12+(Input!C$13*10*Input!C$11)*(N$11*SIN(C10))^2+(Input!C$12*10)^3*Input!C$11*(SIN(C10))^2/12+(Input!C$12*10*Input!C$11)*((0.5*Input!C$12-N$11)*COS(C10))^2)</f>
        <v>837.51796693724293</v>
      </c>
      <c r="F10" s="10">
        <f t="shared" si="8"/>
        <v>-130.26397111176675</v>
      </c>
      <c r="G10" s="10">
        <f t="shared" si="9"/>
        <v>71.634966176254366</v>
      </c>
      <c r="H10" s="12">
        <f t="shared" si="6"/>
        <v>215525.8719210705</v>
      </c>
      <c r="I10" s="12">
        <f t="shared" si="7"/>
        <v>712685.49113190244</v>
      </c>
      <c r="J10" s="12">
        <f t="shared" si="0"/>
        <v>216245.53166841896</v>
      </c>
      <c r="K10" s="12">
        <f t="shared" si="1"/>
        <v>713523.00909883971</v>
      </c>
      <c r="L10" s="24">
        <v>5</v>
      </c>
      <c r="M10" s="38" t="s">
        <v>95</v>
      </c>
      <c r="N10" s="32">
        <f>(PI()*N2+(SQRT(N2^2+N3^2)-(N7+0.5)*N6)*2)/N2</f>
        <v>2.4653197562181184</v>
      </c>
      <c r="O10" s="32" t="s">
        <v>93</v>
      </c>
    </row>
    <row r="11" spans="1:15" s="39" customFormat="1" x14ac:dyDescent="0.2">
      <c r="A11" s="33" t="s">
        <v>54</v>
      </c>
      <c r="B11" s="34">
        <f>IF(L11&gt;Input!C$14,0,N$5)</f>
        <v>42</v>
      </c>
      <c r="C11" s="13">
        <f>IF(L11&lt;=N$7,PI()+N$9,IF(L11&lt;=2*N$7,N$9,IF(L11&lt;=Input!C$14,(PI()-N$10)/2+N$10/(N$8-1)*(L11-2*N$7-1),0)))</f>
        <v>3.3428122865772778</v>
      </c>
      <c r="D11" s="10">
        <f>IF(B11=0,0,(Input!C$13*10)^3*Input!C$11*(SIN(C11))^2/12+(Input!C$13*10*Input!C$11)*(N$11*COS(C11))^2+(Input!C$12*10)^3*Input!C$11*(COS(C11))^2/12+(Input!C$12*10*Input!C$11)*((0.5*Input!C$12-N$11)*SIN(C11))^2)</f>
        <v>719.65974734847111</v>
      </c>
      <c r="E11" s="10">
        <f>IF(B11=0,0,(Input!C$13*10)^3*Input!C$11*(COS(C11))^2/12+(Input!C$13*10*Input!C$11)*(N$11*SIN(C11))^2+(Input!C$12*10)^3*Input!C$11*(SIN(C11))^2/12+(Input!C$12*10*Input!C$11)*((0.5*Input!C$12-N$11)*COS(C11))^2)</f>
        <v>837.51796693724293</v>
      </c>
      <c r="F11" s="10">
        <f t="shared" si="8"/>
        <v>-47.731711030274951</v>
      </c>
      <c r="G11" s="10">
        <f t="shared" si="9"/>
        <v>88.46990479984224</v>
      </c>
      <c r="H11" s="36">
        <f t="shared" si="6"/>
        <v>328730.81032231223</v>
      </c>
      <c r="I11" s="36">
        <f t="shared" si="7"/>
        <v>95689.281990862204</v>
      </c>
      <c r="J11" s="36">
        <f t="shared" si="0"/>
        <v>329450.47006966069</v>
      </c>
      <c r="K11" s="36">
        <f t="shared" si="1"/>
        <v>96526.799957799449</v>
      </c>
      <c r="L11" s="37">
        <v>6</v>
      </c>
      <c r="M11" s="35" t="s">
        <v>97</v>
      </c>
      <c r="N11" s="35">
        <f>0.5*(Input!C12*10)^2/(Input!C12*10+Input!C13*10)</f>
        <v>3.657142857142857</v>
      </c>
      <c r="O11" s="35" t="s">
        <v>85</v>
      </c>
    </row>
    <row r="12" spans="1:15" x14ac:dyDescent="0.2">
      <c r="A12" s="14" t="s">
        <v>55</v>
      </c>
      <c r="B12" s="13">
        <f>IF(L12&gt;Input!C$14,0,N$5)</f>
        <v>42</v>
      </c>
      <c r="C12" s="13">
        <f>IF(L12&lt;=N$7,PI()+N$9,IF(L12&lt;=2*N$7,N$9,IF(L12&lt;=Input!C$14,(PI()-N$10)/2+N$10/(N$8-1)*(L12-2*N$7-1),0)))</f>
        <v>0.2012196329874848</v>
      </c>
      <c r="D12" s="10">
        <f>IF(B12=0,0,(Input!C$13*10)^3*Input!C$11*(SIN(C12))^2/12+(Input!C$13*10*Input!C$11)*(N$11*COS(C12))^2+(Input!C$12*10)^3*Input!C$11*(COS(C12))^2/12+(Input!C$12*10*Input!C$11)*((0.5*Input!C$12-N$11)*SIN(C12))^2)</f>
        <v>719.65974734847111</v>
      </c>
      <c r="E12" s="10">
        <f>IF(B12=0,0,(Input!C$13*10)^3*Input!C$11*(COS(C12))^2/12+(Input!C$13*10*Input!C$11)*(N$11*SIN(C12))^2+(Input!C$12*10)^3*Input!C$11*(SIN(C12))^2/12+(Input!C$12*10*Input!C$11)*((0.5*Input!C$12-N$11)*COS(C12))^2)</f>
        <v>837.51796693724282</v>
      </c>
      <c r="F12" s="10">
        <f t="shared" si="8"/>
        <v>-460.393011437734</v>
      </c>
      <c r="G12" s="10">
        <f t="shared" si="9"/>
        <v>-4.2952116819028561</v>
      </c>
      <c r="H12" s="12">
        <f t="shared" si="6"/>
        <v>774.85142247889996</v>
      </c>
      <c r="I12" s="12">
        <f t="shared" si="7"/>
        <v>8902392.4491896294</v>
      </c>
      <c r="J12" s="12">
        <f t="shared" si="0"/>
        <v>1494.5111698273711</v>
      </c>
      <c r="K12" s="12">
        <f t="shared" si="1"/>
        <v>8903229.9671565667</v>
      </c>
      <c r="L12" s="24">
        <v>7</v>
      </c>
    </row>
    <row r="13" spans="1:15" x14ac:dyDescent="0.2">
      <c r="A13" s="14" t="s">
        <v>56</v>
      </c>
      <c r="B13" s="13">
        <f>IF(L13&gt;Input!C$14,0,N$5)</f>
        <v>42</v>
      </c>
      <c r="C13" s="13">
        <f>IF(L13&lt;=N$7,PI()+N$9,IF(L13&lt;=2*N$7,N$9,IF(L13&lt;=Input!C$14,(PI()-N$10)/2+N$10/(N$8-1)*(L13-2*N$7-1),0)))</f>
        <v>0.2012196329874848</v>
      </c>
      <c r="D13" s="10">
        <f>IF(B13=0,0,(Input!C$13*10)^3*Input!C$11*(SIN(C13))^2/12+(Input!C$13*10*Input!C$11)*(N$11*COS(C13))^2+(Input!C$12*10)^3*Input!C$11*(COS(C13))^2/12+(Input!C$12*10*Input!C$11)*((0.5*Input!C$12-N$11)*SIN(C13))^2)</f>
        <v>719.65974734847111</v>
      </c>
      <c r="E13" s="10">
        <f>IF(B13=0,0,(Input!C$13*10)^3*Input!C$11*(COS(C13))^2/12+(Input!C$13*10*Input!C$11)*(N$11*SIN(C13))^2+(Input!C$12*10)^3*Input!C$11*(SIN(C13))^2/12+(Input!C$12*10*Input!C$11)*((0.5*Input!C$12-N$11)*COS(C13))^2)</f>
        <v>837.51796693724282</v>
      </c>
      <c r="F13" s="10">
        <f t="shared" si="8"/>
        <v>-377.86075135624219</v>
      </c>
      <c r="G13" s="10">
        <f t="shared" si="9"/>
        <v>-21.130150305490734</v>
      </c>
      <c r="H13" s="12">
        <f t="shared" si="6"/>
        <v>18752.296581170467</v>
      </c>
      <c r="I13" s="12">
        <f t="shared" si="7"/>
        <v>5996707.3914511632</v>
      </c>
      <c r="J13" s="12">
        <f t="shared" si="0"/>
        <v>19471.95632851894</v>
      </c>
      <c r="K13" s="12">
        <f t="shared" si="1"/>
        <v>5997544.9094181005</v>
      </c>
      <c r="L13" s="24">
        <v>8</v>
      </c>
    </row>
    <row r="14" spans="1:15" x14ac:dyDescent="0.2">
      <c r="A14" s="14" t="s">
        <v>57</v>
      </c>
      <c r="B14" s="13">
        <f>IF(L14&gt;Input!C$14,0,N$5)</f>
        <v>42</v>
      </c>
      <c r="C14" s="13">
        <f>IF(L14&lt;=N$7,PI()+N$9,IF(L14&lt;=2*N$7,N$9,IF(L14&lt;=Input!C$14,(PI()-N$10)/2+N$10/(N$8-1)*(L14-2*N$7-1),0)))</f>
        <v>0.2012196329874848</v>
      </c>
      <c r="D14" s="10">
        <f>IF(B14=0,0,(Input!C$13*10)^3*Input!C$11*(SIN(C14))^2/12+(Input!C$13*10*Input!C$11)*(N$11*COS(C14))^2+(Input!C$12*10)^3*Input!C$11*(COS(C14))^2/12+(Input!C$12*10*Input!C$11)*((0.5*Input!C$12-N$11)*SIN(C14))^2)</f>
        <v>719.65974734847111</v>
      </c>
      <c r="E14" s="10">
        <f>IF(B14=0,0,(Input!C$13*10)^3*Input!C$11*(COS(C14))^2/12+(Input!C$13*10*Input!C$11)*(N$11*SIN(C14))^2+(Input!C$12*10)^3*Input!C$11*(SIN(C14))^2/12+(Input!C$12*10*Input!C$11)*((0.5*Input!C$12-N$11)*COS(C14))^2)</f>
        <v>837.51796693724282</v>
      </c>
      <c r="F14" s="10">
        <f t="shared" si="8"/>
        <v>-295.32849127475038</v>
      </c>
      <c r="G14" s="10">
        <f t="shared" si="9"/>
        <v>-37.965088929078611</v>
      </c>
      <c r="H14" s="12">
        <f t="shared" si="6"/>
        <v>60536.615050499582</v>
      </c>
      <c r="I14" s="12">
        <f t="shared" si="7"/>
        <v>3663194.5458620531</v>
      </c>
      <c r="J14" s="12">
        <f t="shared" si="0"/>
        <v>61256.274797848055</v>
      </c>
      <c r="K14" s="12">
        <f t="shared" si="1"/>
        <v>3664032.0638289903</v>
      </c>
      <c r="L14" s="24">
        <v>9</v>
      </c>
    </row>
    <row r="15" spans="1:15" x14ac:dyDescent="0.2">
      <c r="A15" s="14" t="s">
        <v>58</v>
      </c>
      <c r="B15" s="13">
        <f>IF(L15&gt;Input!C$14,0,N$5)</f>
        <v>42</v>
      </c>
      <c r="C15" s="13">
        <f>IF(L15&lt;=N$7,PI()+N$9,IF(L15&lt;=2*N$7,N$9,IF(L15&lt;=Input!C$14,(PI()-N$10)/2+N$10/(N$8-1)*(L15-2*N$7-1),0)))</f>
        <v>0.2012196329874848</v>
      </c>
      <c r="D15" s="10">
        <f>IF(B15=0,0,(Input!C$13*10)^3*Input!C$11*(SIN(C15))^2/12+(Input!C$13*10*Input!C$11)*(N$11*COS(C15))^2+(Input!C$12*10)^3*Input!C$11*(COS(C15))^2/12+(Input!C$12*10*Input!C$11)*((0.5*Input!C$12-N$11)*SIN(C15))^2)</f>
        <v>719.65974734847111</v>
      </c>
      <c r="E15" s="10">
        <f>IF(B15=0,0,(Input!C$13*10)^3*Input!C$11*(COS(C15))^2/12+(Input!C$13*10*Input!C$11)*(N$11*SIN(C15))^2+(Input!C$12*10)^3*Input!C$11*(SIN(C15))^2/12+(Input!C$12*10*Input!C$11)*((0.5*Input!C$12-N$11)*COS(C15))^2)</f>
        <v>837.51796693724282</v>
      </c>
      <c r="F15" s="10">
        <f t="shared" si="8"/>
        <v>-212.79623119325856</v>
      </c>
      <c r="G15" s="10">
        <f t="shared" si="9"/>
        <v>-54.800027552666492</v>
      </c>
      <c r="H15" s="12">
        <f t="shared" si="6"/>
        <v>126127.80683046627</v>
      </c>
      <c r="I15" s="12">
        <f t="shared" si="7"/>
        <v>1901853.9124222996</v>
      </c>
      <c r="J15" s="12">
        <f t="shared" si="0"/>
        <v>126847.46657781475</v>
      </c>
      <c r="K15" s="12">
        <f t="shared" si="1"/>
        <v>1902691.4303892369</v>
      </c>
      <c r="L15" s="24">
        <v>10</v>
      </c>
    </row>
    <row r="16" spans="1:15" x14ac:dyDescent="0.2">
      <c r="A16" s="14" t="s">
        <v>59</v>
      </c>
      <c r="B16" s="13">
        <f>IF(L16&gt;Input!C$14,0,N$5)</f>
        <v>42</v>
      </c>
      <c r="C16" s="13">
        <f>IF(L16&lt;=N$7,PI()+N$9,IF(L16&lt;=2*N$7,N$9,IF(L16&lt;=Input!C$14,(PI()-N$10)/2+N$10/(N$8-1)*(L16-2*N$7-1),0)))</f>
        <v>0.2012196329874848</v>
      </c>
      <c r="D16" s="10">
        <f>IF(B16=0,0,(Input!C$13*10)^3*Input!C$11*(SIN(C16))^2/12+(Input!C$13*10*Input!C$11)*(N$11*COS(C16))^2+(Input!C$12*10)^3*Input!C$11*(COS(C16))^2/12+(Input!C$12*10*Input!C$11)*((0.5*Input!C$12-N$11)*SIN(C16))^2)</f>
        <v>719.65974734847111</v>
      </c>
      <c r="E16" s="10">
        <f>IF(B16=0,0,(Input!C$13*10)^3*Input!C$11*(COS(C16))^2/12+(Input!C$13*10*Input!C$11)*(N$11*SIN(C16))^2+(Input!C$12*10)^3*Input!C$11*(SIN(C16))^2/12+(Input!C$12*10*Input!C$11)*((0.5*Input!C$12-N$11)*COS(C16))^2)</f>
        <v>837.51796693724282</v>
      </c>
      <c r="F16" s="10">
        <f t="shared" si="8"/>
        <v>-130.26397111176675</v>
      </c>
      <c r="G16" s="10">
        <f t="shared" si="9"/>
        <v>-71.634966176254366</v>
      </c>
      <c r="H16" s="12">
        <f t="shared" si="6"/>
        <v>215525.8719210705</v>
      </c>
      <c r="I16" s="12">
        <f t="shared" si="7"/>
        <v>712685.49113190244</v>
      </c>
      <c r="J16" s="12">
        <f t="shared" si="0"/>
        <v>216245.53166841896</v>
      </c>
      <c r="K16" s="12">
        <f t="shared" si="1"/>
        <v>713523.00909883971</v>
      </c>
      <c r="L16" s="24">
        <v>11</v>
      </c>
    </row>
    <row r="17" spans="1:15" x14ac:dyDescent="0.2">
      <c r="A17" s="14" t="s">
        <v>60</v>
      </c>
      <c r="B17" s="13">
        <f>IF(L17&gt;Input!C$14,0,N$5)</f>
        <v>42</v>
      </c>
      <c r="C17" s="13">
        <f>IF(L17&lt;=N$7,PI()+N$9,IF(L17&lt;=2*N$7,N$9,IF(L17&lt;=Input!C$14,(PI()-N$10)/2+N$10/(N$8-1)*(L17-2*N$7-1),0)))</f>
        <v>0.2012196329874848</v>
      </c>
      <c r="D17" s="10">
        <f>IF(B17=0,0,(Input!C$13*10)^3*Input!C$11*(SIN(C17))^2/12+(Input!C$13*10*Input!C$11)*(N$11*COS(C17))^2+(Input!C$12*10)^3*Input!C$11*(COS(C17))^2/12+(Input!C$12*10*Input!C$11)*((0.5*Input!C$12-N$11)*SIN(C17))^2)</f>
        <v>719.65974734847111</v>
      </c>
      <c r="E17" s="10">
        <f>IF(B17=0,0,(Input!C$13*10)^3*Input!C$11*(COS(C17))^2/12+(Input!C$13*10*Input!C$11)*(N$11*SIN(C17))^2+(Input!C$12*10)^3*Input!C$11*(SIN(C17))^2/12+(Input!C$12*10*Input!C$11)*((0.5*Input!C$12-N$11)*COS(C17))^2)</f>
        <v>837.51796693724282</v>
      </c>
      <c r="F17" s="10">
        <f t="shared" si="8"/>
        <v>-47.731711030274951</v>
      </c>
      <c r="G17" s="10">
        <f t="shared" si="9"/>
        <v>-88.46990479984224</v>
      </c>
      <c r="H17" s="12">
        <f t="shared" si="6"/>
        <v>328730.81032231223</v>
      </c>
      <c r="I17" s="12">
        <f t="shared" si="7"/>
        <v>95689.281990862204</v>
      </c>
      <c r="J17" s="12">
        <f t="shared" si="0"/>
        <v>329450.47006966069</v>
      </c>
      <c r="K17" s="12">
        <f t="shared" si="1"/>
        <v>96526.799957799449</v>
      </c>
      <c r="L17" s="24">
        <v>12</v>
      </c>
      <c r="O17"/>
    </row>
    <row r="18" spans="1:15" x14ac:dyDescent="0.2">
      <c r="A18" s="14" t="s">
        <v>61</v>
      </c>
      <c r="B18" s="13">
        <f>IF(L18&gt;Input!C$14,0,N$5)</f>
        <v>42</v>
      </c>
      <c r="C18" s="13">
        <f>IF(L18&lt;=N$7,PI()+N$9,IF(L18&lt;=2*N$7,N$9,IF(L18&lt;=Input!C$14,(PI()-N$10)/2+N$10/(N$8-1)*(L18-2*N$7-1),0)))</f>
        <v>0.33813644868583737</v>
      </c>
      <c r="D18" s="10">
        <f>IF(B18=0,0,(Input!C$13*10)^3*Input!C$11*(SIN(C18))^2/12+(Input!C$13*10*Input!C$11)*(N$11*COS(C18))^2+(Input!C$12*10)^3*Input!C$11*(COS(C18))^2/12+(Input!C$12*10*Input!C$11)*((0.5*Input!C$12-N$11)*SIN(C18))^2)</f>
        <v>728.63881169640331</v>
      </c>
      <c r="E18" s="10">
        <f>IF(B18=0,0,(Input!C$13*10)^3*Input!C$11*(COS(C18))^2/12+(Input!C$13*10*Input!C$11)*(N$11*SIN(C18))^2+(Input!C$12*10)^3*Input!C$11*(SIN(C18))^2/12+(Input!C$12*10*Input!C$11)*((0.5*Input!C$12-N$11)*COS(C18))^2)</f>
        <v>828.53890258931096</v>
      </c>
      <c r="F18" s="10">
        <f t="shared" si="8"/>
        <v>32.789105652912845</v>
      </c>
      <c r="G18" s="10">
        <f t="shared" si="9"/>
        <v>-93.245830784252149</v>
      </c>
      <c r="H18" s="12">
        <f t="shared" si="6"/>
        <v>365180.96826310619</v>
      </c>
      <c r="I18" s="12">
        <f t="shared" si="7"/>
        <v>45155.268879751013</v>
      </c>
      <c r="J18" s="12">
        <f t="shared" si="0"/>
        <v>365909.60707480257</v>
      </c>
      <c r="K18" s="12">
        <f t="shared" si="1"/>
        <v>45983.807782340322</v>
      </c>
      <c r="L18" s="24">
        <v>13</v>
      </c>
      <c r="O18"/>
    </row>
    <row r="19" spans="1:15" x14ac:dyDescent="0.2">
      <c r="A19" s="14" t="s">
        <v>62</v>
      </c>
      <c r="B19" s="13">
        <f>IF(L19&gt;Input!C$14,0,N$5)</f>
        <v>42</v>
      </c>
      <c r="C19" s="13">
        <f>IF(L19&lt;=N$7,PI()+N$9,IF(L19&lt;=2*N$7,N$9,IF(L19&lt;=Input!C$14,(PI()-N$10)/2+N$10/(N$8-1)*(L19-2*N$7-1),0)))</f>
        <v>1.5707963267948966</v>
      </c>
      <c r="D19" s="10">
        <f>IF(B19=0,0,(Input!C$13*10)^3*Input!C$11*(SIN(C19))^2/12+(Input!C$13*10*Input!C$11)*(N$11*COS(C19))^2+(Input!C$12*10)^3*Input!C$11*(COS(C19))^2/12+(Input!C$12*10*Input!C$11)*((0.5*Input!C$12-N$11)*SIN(C19))^2)</f>
        <v>842.63469387755094</v>
      </c>
      <c r="E19" s="10">
        <f>IF(B19=0,0,(Input!C$13*10)^3*Input!C$11*(COS(C19))^2/12+(Input!C$13*10*Input!C$11)*(N$11*SIN(C19))^2+(Input!C$12*10)^3*Input!C$11*(SIN(C19))^2/12+(Input!C$12*10*Input!C$11)*((0.5*Input!C$12-N$11)*COS(C19))^2)</f>
        <v>714.54302040816322</v>
      </c>
      <c r="F19" s="10">
        <f t="shared" si="8"/>
        <v>98.842857142857142</v>
      </c>
      <c r="G19" s="10">
        <f t="shared" si="9"/>
        <v>-6.0548586853662438E-15</v>
      </c>
      <c r="H19" s="12">
        <f t="shared" si="6"/>
        <v>1.5397751753897116E-27</v>
      </c>
      <c r="I19" s="12">
        <f t="shared" si="7"/>
        <v>410336.23714285711</v>
      </c>
      <c r="J19" s="12">
        <f t="shared" si="0"/>
        <v>842.63469387755094</v>
      </c>
      <c r="K19" s="12">
        <f t="shared" si="1"/>
        <v>411050.78016326524</v>
      </c>
      <c r="L19" s="24">
        <v>14</v>
      </c>
    </row>
    <row r="20" spans="1:15" x14ac:dyDescent="0.2">
      <c r="A20" s="14" t="s">
        <v>63</v>
      </c>
      <c r="B20" s="13">
        <f>IF(L20&gt;Input!C$14,0,N$5)</f>
        <v>42</v>
      </c>
      <c r="C20" s="13">
        <f>IF(L20&lt;=N$7,PI()+N$9,IF(L20&lt;=2*N$7,N$9,IF(L20&lt;=Input!C$14,(PI()-N$10)/2+N$10/(N$8-1)*(L20-2*N$7-1),0)))</f>
        <v>2.8034562049039558</v>
      </c>
      <c r="D20" s="10">
        <f>IF(B20=0,0,(Input!C$13*10)^3*Input!C$11*(SIN(C20))^2/12+(Input!C$13*10*Input!C$11)*(N$11*COS(C20))^2+(Input!C$12*10)^3*Input!C$11*(COS(C20))^2/12+(Input!C$12*10*Input!C$11)*((0.5*Input!C$12-N$11)*SIN(C20))^2)</f>
        <v>728.6388116964032</v>
      </c>
      <c r="E20" s="10">
        <f>IF(B20=0,0,(Input!C$13*10)^3*Input!C$11*(COS(C20))^2/12+(Input!C$13*10*Input!C$11)*(N$11*SIN(C20))^2+(Input!C$12*10)^3*Input!C$11*(SIN(C20))^2/12+(Input!C$12*10*Input!C$11)*((0.5*Input!C$12-N$11)*COS(C20))^2)</f>
        <v>828.53890258931085</v>
      </c>
      <c r="F20" s="10">
        <f t="shared" si="8"/>
        <v>32.789105652912852</v>
      </c>
      <c r="G20" s="10">
        <f t="shared" si="9"/>
        <v>93.245830784252135</v>
      </c>
      <c r="H20" s="12">
        <f t="shared" si="6"/>
        <v>365180.96826310607</v>
      </c>
      <c r="I20" s="12">
        <f t="shared" si="7"/>
        <v>45155.268879751027</v>
      </c>
      <c r="J20" s="12">
        <f t="shared" si="0"/>
        <v>365909.60707480245</v>
      </c>
      <c r="K20" s="12">
        <f t="shared" si="1"/>
        <v>45983.807782340336</v>
      </c>
      <c r="L20" s="24">
        <v>15</v>
      </c>
    </row>
    <row r="21" spans="1:15" x14ac:dyDescent="0.2">
      <c r="A21" s="14" t="s">
        <v>64</v>
      </c>
      <c r="B21" s="13">
        <f>IF(L21&gt;Input!C$14,0,N$5)</f>
        <v>0</v>
      </c>
      <c r="C21" s="13">
        <f>IF(L21&lt;=N$7,PI()+N$9,IF(L21&lt;=2*N$7,N$9,IF(L21&lt;=Input!C$14,(PI()-N$10)/2+N$10/(N$8-1)*(L21-2*N$7-1),0)))</f>
        <v>0</v>
      </c>
      <c r="D21" s="10">
        <f>IF(B21=0,0,(Input!C$13*10)^3*Input!C$11*(SIN(C21))^2/12+(Input!C$13*10*Input!C$11)*(N$11*COS(C21))^2+(Input!C$12*10)^3*Input!C$11*(COS(C21))^2/12+(Input!C$12*10*Input!C$11)*((0.5*Input!C$12-N$11)*SIN(C21))^2)</f>
        <v>0</v>
      </c>
      <c r="E21" s="10">
        <f>IF(B21=0,0,(Input!C$13*10)^3*Input!C$11*(COS(C21))^2/12+(Input!C$13*10*Input!C$11)*(N$11*SIN(C21))^2+(Input!C$12*10)^3*Input!C$11*(SIN(C21))^2/12+(Input!C$12*10*Input!C$11)*((0.5*Input!C$12-N$11)*COS(C21))^2)</f>
        <v>0</v>
      </c>
      <c r="F21" s="10">
        <f t="shared" si="8"/>
        <v>0</v>
      </c>
      <c r="G21" s="10">
        <f t="shared" si="9"/>
        <v>0</v>
      </c>
      <c r="H21" s="12">
        <f t="shared" si="6"/>
        <v>0</v>
      </c>
      <c r="I21" s="12">
        <f t="shared" si="7"/>
        <v>0</v>
      </c>
      <c r="J21" s="12">
        <f t="shared" si="0"/>
        <v>0</v>
      </c>
      <c r="K21" s="12">
        <f t="shared" si="1"/>
        <v>0</v>
      </c>
      <c r="L21" s="24">
        <v>16</v>
      </c>
    </row>
    <row r="22" spans="1:15" x14ac:dyDescent="0.2">
      <c r="A22" s="14" t="s">
        <v>65</v>
      </c>
      <c r="B22" s="13">
        <f>IF(L22&gt;Input!C$14,0,N$5)</f>
        <v>0</v>
      </c>
      <c r="C22" s="13">
        <f>IF(L22&lt;=N$7,PI()+N$9,IF(L22&lt;=2*N$7,N$9,IF(L22&lt;=Input!C$14,(PI()-N$10)/2+N$10/(N$8-1)*(L22-2*N$7-1),0)))</f>
        <v>0</v>
      </c>
      <c r="D22" s="10">
        <f>IF(B22=0,0,(Input!C$13*10)^3*Input!C$11*(SIN(C22))^2/12+(Input!C$13*10*Input!C$11)*(N$11*COS(C22))^2+(Input!C$12*10)^3*Input!C$11*(COS(C22))^2/12+(Input!C$12*10*Input!C$11)*((0.5*Input!C$12-N$11)*SIN(C22))^2)</f>
        <v>0</v>
      </c>
      <c r="E22" s="10">
        <f>IF(B22=0,0,(Input!C$13*10)^3*Input!C$11*(COS(C22))^2/12+(Input!C$13*10*Input!C$11)*(N$11*SIN(C22))^2+(Input!C$12*10)^3*Input!C$11*(SIN(C22))^2/12+(Input!C$12*10*Input!C$11)*((0.5*Input!C$12-N$11)*COS(C22))^2)</f>
        <v>0</v>
      </c>
      <c r="F22" s="10">
        <f t="shared" si="8"/>
        <v>0</v>
      </c>
      <c r="G22" s="10">
        <f t="shared" si="9"/>
        <v>0</v>
      </c>
      <c r="H22" s="12">
        <f t="shared" si="6"/>
        <v>0</v>
      </c>
      <c r="I22" s="12">
        <f t="shared" si="7"/>
        <v>0</v>
      </c>
      <c r="J22" s="12">
        <f t="shared" si="0"/>
        <v>0</v>
      </c>
      <c r="K22" s="12">
        <f t="shared" si="1"/>
        <v>0</v>
      </c>
      <c r="L22" s="24">
        <v>17</v>
      </c>
    </row>
    <row r="23" spans="1:15" x14ac:dyDescent="0.2">
      <c r="A23" s="14" t="s">
        <v>66</v>
      </c>
      <c r="B23" s="13">
        <f>IF(L23&gt;Input!C$14,0,N$5)</f>
        <v>0</v>
      </c>
      <c r="C23" s="13">
        <f>IF(L23&lt;=N$7,PI()+N$9,IF(L23&lt;=2*N$7,N$9,IF(L23&lt;=Input!C$14,(PI()-N$10)/2+N$10/(N$8-1)*(L23-2*N$7-1),0)))</f>
        <v>0</v>
      </c>
      <c r="D23" s="10">
        <f>IF(B23=0,0,(Input!C$13*10)^3*Input!C$11*(SIN(C23))^2/12+(Input!C$13*10*Input!C$11)*(N$11*COS(C23))^2+(Input!C$12*10)^3*Input!C$11*(COS(C23))^2/12+(Input!C$12*10*Input!C$11)*((0.5*Input!C$12-N$11)*SIN(C23))^2)</f>
        <v>0</v>
      </c>
      <c r="E23" s="10">
        <f>IF(B23=0,0,(Input!C$13*10)^3*Input!C$11*(COS(C23))^2/12+(Input!C$13*10*Input!C$11)*(N$11*SIN(C23))^2+(Input!C$12*10)^3*Input!C$11*(SIN(C23))^2/12+(Input!C$12*10*Input!C$11)*((0.5*Input!C$12-N$11)*COS(C23))^2)</f>
        <v>0</v>
      </c>
      <c r="F23" s="10">
        <f t="shared" si="8"/>
        <v>0</v>
      </c>
      <c r="G23" s="10">
        <f t="shared" si="9"/>
        <v>0</v>
      </c>
      <c r="H23" s="12">
        <f t="shared" si="6"/>
        <v>0</v>
      </c>
      <c r="I23" s="12">
        <f t="shared" si="7"/>
        <v>0</v>
      </c>
      <c r="J23" s="12">
        <f t="shared" si="0"/>
        <v>0</v>
      </c>
      <c r="K23" s="12">
        <f t="shared" si="1"/>
        <v>0</v>
      </c>
      <c r="L23" s="24">
        <v>18</v>
      </c>
    </row>
    <row r="24" spans="1:15" x14ac:dyDescent="0.2">
      <c r="A24" s="14" t="s">
        <v>67</v>
      </c>
      <c r="B24" s="13">
        <f>IF(L24&gt;Input!C$14,0,N$5)</f>
        <v>0</v>
      </c>
      <c r="C24" s="13">
        <f>IF(L24&lt;=N$7,PI()+N$9,IF(L24&lt;=2*N$7,N$9,IF(L24&lt;=Input!C$14,(PI()-N$10)/2+N$10/(N$8-1)*(L24-2*N$7-1),0)))</f>
        <v>0</v>
      </c>
      <c r="D24" s="10">
        <f>IF(B24=0,0,(Input!C$13*10)^3*Input!C$11*(SIN(C24))^2/12+(Input!C$13*10*Input!C$11)*(N$11*COS(C24))^2+(Input!C$12*10)^3*Input!C$11*(COS(C24))^2/12+(Input!C$12*10*Input!C$11)*((0.5*Input!C$12-N$11)*SIN(C24))^2)</f>
        <v>0</v>
      </c>
      <c r="E24" s="10">
        <f>IF(B24=0,0,(Input!C$13*10)^3*Input!C$11*(COS(C24))^2/12+(Input!C$13*10*Input!C$11)*(N$11*SIN(C24))^2+(Input!C$12*10)^3*Input!C$11*(SIN(C24))^2/12+(Input!C$12*10*Input!C$11)*((0.5*Input!C$12-N$11)*COS(C24))^2)</f>
        <v>0</v>
      </c>
      <c r="F24" s="10">
        <f t="shared" si="8"/>
        <v>0</v>
      </c>
      <c r="G24" s="10">
        <f t="shared" si="9"/>
        <v>0</v>
      </c>
      <c r="H24" s="12">
        <f t="shared" si="6"/>
        <v>0</v>
      </c>
      <c r="I24" s="12">
        <f t="shared" si="7"/>
        <v>0</v>
      </c>
      <c r="J24" s="12">
        <f t="shared" si="0"/>
        <v>0</v>
      </c>
      <c r="K24" s="12">
        <f t="shared" si="1"/>
        <v>0</v>
      </c>
      <c r="L24" s="24">
        <v>19</v>
      </c>
    </row>
    <row r="25" spans="1:15" x14ac:dyDescent="0.2">
      <c r="A25" s="14" t="s">
        <v>68</v>
      </c>
      <c r="B25" s="13">
        <f>IF(L25&gt;Input!C$14,0,N$5)</f>
        <v>0</v>
      </c>
      <c r="C25" s="13">
        <f>IF(L25&lt;=N$7,PI()+N$9,IF(L25&lt;=2*N$7,N$9,IF(L25&lt;=Input!C$14,(PI()-N$10)/2+N$10/(N$8-1)*(L25-2*N$7-1),0)))</f>
        <v>0</v>
      </c>
      <c r="D25" s="10">
        <f>IF(B25=0,0,(Input!C$13*10)^3*Input!C$11*(SIN(C25))^2/12+(Input!C$13*10*Input!C$11)*(N$11*COS(C25))^2+(Input!C$12*10)^3*Input!C$11*(COS(C25))^2/12+(Input!C$12*10*Input!C$11)*((0.5*Input!C$12-N$11)*SIN(C25))^2)</f>
        <v>0</v>
      </c>
      <c r="E25" s="10">
        <f>IF(B25=0,0,(Input!C$13*10)^3*Input!C$11*(COS(C25))^2/12+(Input!C$13*10*Input!C$11)*(N$11*SIN(C25))^2+(Input!C$12*10)^3*Input!C$11*(SIN(C25))^2/12+(Input!C$12*10*Input!C$11)*((0.5*Input!C$12-N$11)*COS(C25))^2)</f>
        <v>0</v>
      </c>
      <c r="F25" s="10">
        <f t="shared" si="8"/>
        <v>0</v>
      </c>
      <c r="G25" s="10">
        <f t="shared" si="9"/>
        <v>0</v>
      </c>
      <c r="H25" s="12">
        <f t="shared" si="6"/>
        <v>0</v>
      </c>
      <c r="I25" s="12">
        <f t="shared" si="7"/>
        <v>0</v>
      </c>
      <c r="J25" s="12">
        <f t="shared" si="0"/>
        <v>0</v>
      </c>
      <c r="K25" s="12">
        <f t="shared" si="1"/>
        <v>0</v>
      </c>
      <c r="L25" s="24">
        <v>20</v>
      </c>
    </row>
    <row r="26" spans="1:15" x14ac:dyDescent="0.2">
      <c r="A26" s="14" t="s">
        <v>69</v>
      </c>
      <c r="B26" s="13">
        <f>IF(L26&gt;Input!C$14,0,N$5)</f>
        <v>0</v>
      </c>
      <c r="C26" s="13">
        <f>IF(L26&lt;=N$7,PI()+N$9,IF(L26&lt;=2*N$7,N$9,IF(L26&lt;=Input!C$14,(PI()-N$10)/2+N$10/(N$8-1)*(L26-2*N$7-1),0)))</f>
        <v>0</v>
      </c>
      <c r="D26" s="10">
        <f>IF(B26=0,0,(Input!C$13*10)^3*Input!C$11*(SIN(C26))^2/12+(Input!C$13*10*Input!C$11)*(N$11*COS(C26))^2+(Input!C$12*10)^3*Input!C$11*(COS(C26))^2/12+(Input!C$12*10*Input!C$11)*((0.5*Input!C$12-N$11)*SIN(C26))^2)</f>
        <v>0</v>
      </c>
      <c r="E26" s="10">
        <f>IF(B26=0,0,(Input!C$13*10)^3*Input!C$11*(COS(C26))^2/12+(Input!C$13*10*Input!C$11)*(N$11*SIN(C26))^2+(Input!C$12*10)^3*Input!C$11*(SIN(C26))^2/12+(Input!C$12*10*Input!C$11)*((0.5*Input!C$12-N$11)*COS(C26))^2)</f>
        <v>0</v>
      </c>
      <c r="F26" s="10">
        <f t="shared" si="8"/>
        <v>0</v>
      </c>
      <c r="G26" s="10">
        <f t="shared" si="9"/>
        <v>0</v>
      </c>
      <c r="H26" s="12">
        <f t="shared" si="6"/>
        <v>0</v>
      </c>
      <c r="I26" s="12">
        <f t="shared" si="7"/>
        <v>0</v>
      </c>
      <c r="J26" s="12">
        <f t="shared" si="0"/>
        <v>0</v>
      </c>
      <c r="K26" s="12">
        <f t="shared" si="1"/>
        <v>0</v>
      </c>
      <c r="L26" s="24">
        <v>21</v>
      </c>
    </row>
    <row r="28" spans="1:15" ht="17" thickBot="1" x14ac:dyDescent="0.25">
      <c r="B28" s="11" t="s">
        <v>71</v>
      </c>
      <c r="C28" s="30"/>
      <c r="D28" s="8"/>
      <c r="E28" s="8"/>
      <c r="F28" s="8"/>
      <c r="G28" s="8"/>
      <c r="H28" s="8"/>
      <c r="I28" s="8"/>
      <c r="J28" s="11" t="s">
        <v>80</v>
      </c>
      <c r="K28" s="11" t="s">
        <v>75</v>
      </c>
      <c r="L28" s="11" t="s">
        <v>125</v>
      </c>
    </row>
    <row r="29" spans="1:15" x14ac:dyDescent="0.2">
      <c r="A29" s="16" t="s">
        <v>76</v>
      </c>
      <c r="B29" s="21">
        <f>SUM(B2:B26)</f>
        <v>2686.478946739162</v>
      </c>
      <c r="C29" s="31"/>
      <c r="J29" s="22">
        <f>SUM(J2:J26)</f>
        <v>10064399.38876738</v>
      </c>
      <c r="K29" s="22">
        <f>SUM(K2:K26)</f>
        <v>139883450.29457769</v>
      </c>
      <c r="L29" s="22">
        <f>(4*(0.5*PI()*N2^2+0.5*N3*N2*2)^2)/(N4/Input!C9+2*N2/Input!C10)</f>
        <v>14249137.276485611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topLeftCell="A13" workbookViewId="0">
      <selection activeCell="N1" sqref="N1:S1"/>
    </sheetView>
  </sheetViews>
  <sheetFormatPr baseColWidth="10" defaultRowHeight="16" x14ac:dyDescent="0.2"/>
  <cols>
    <col min="1" max="1" width="10.83203125" style="29"/>
    <col min="2" max="2" width="11.1640625" style="29" bestFit="1" customWidth="1"/>
    <col min="3" max="3" width="10.83203125" style="29"/>
    <col min="5" max="5" width="8" bestFit="1" customWidth="1"/>
    <col min="8" max="8" width="12.83203125" bestFit="1" customWidth="1"/>
    <col min="21" max="21" width="12.83203125" hidden="1" customWidth="1"/>
    <col min="22" max="22" width="0" hidden="1" customWidth="1"/>
    <col min="23" max="23" width="12.83203125" hidden="1" customWidth="1"/>
    <col min="24" max="26" width="0" hidden="1" customWidth="1"/>
  </cols>
  <sheetData>
    <row r="1" spans="1:19" ht="17" thickBot="1" x14ac:dyDescent="0.25">
      <c r="A1" s="115" t="s">
        <v>101</v>
      </c>
      <c r="B1" s="116"/>
      <c r="C1" s="117"/>
      <c r="F1" s="106" t="s">
        <v>109</v>
      </c>
      <c r="G1" s="107"/>
      <c r="H1" s="107"/>
      <c r="I1" s="107"/>
      <c r="J1" s="107"/>
      <c r="K1" s="108"/>
      <c r="N1" s="100" t="s">
        <v>124</v>
      </c>
      <c r="O1" s="101"/>
      <c r="P1" s="101"/>
      <c r="Q1" s="101"/>
      <c r="R1" s="101"/>
      <c r="S1" s="102"/>
    </row>
    <row r="2" spans="1:19" ht="17" thickBot="1" x14ac:dyDescent="0.25">
      <c r="A2" s="44" t="s">
        <v>105</v>
      </c>
      <c r="B2" s="27">
        <f>'Cross-sectional properties'!K29*Input!C20</f>
        <v>10225480216.533628</v>
      </c>
      <c r="C2" s="45" t="s">
        <v>106</v>
      </c>
      <c r="F2" s="103" t="s">
        <v>107</v>
      </c>
      <c r="G2" s="104"/>
      <c r="H2" s="118"/>
      <c r="I2" s="103" t="s">
        <v>108</v>
      </c>
      <c r="J2" s="104"/>
      <c r="K2" s="105"/>
      <c r="N2" s="103" t="s">
        <v>107</v>
      </c>
      <c r="O2" s="104"/>
      <c r="P2" s="105"/>
      <c r="Q2" s="103" t="s">
        <v>108</v>
      </c>
      <c r="R2" s="104"/>
      <c r="S2" s="105"/>
    </row>
    <row r="3" spans="1:19" ht="17" thickBot="1" x14ac:dyDescent="0.25">
      <c r="A3" s="44" t="s">
        <v>104</v>
      </c>
      <c r="B3" s="27">
        <f>Input!C20*'Cross-sectional properties'!J29</f>
        <v>735707595.31889546</v>
      </c>
      <c r="C3" s="45" t="s">
        <v>106</v>
      </c>
      <c r="E3" s="56" t="s">
        <v>123</v>
      </c>
      <c r="F3" s="57" t="s">
        <v>112</v>
      </c>
      <c r="G3" s="58" t="s">
        <v>111</v>
      </c>
      <c r="H3" s="60" t="s">
        <v>110</v>
      </c>
      <c r="I3" s="57" t="s">
        <v>112</v>
      </c>
      <c r="J3" s="58" t="s">
        <v>111</v>
      </c>
      <c r="K3" s="59" t="s">
        <v>110</v>
      </c>
      <c r="M3" s="56" t="s">
        <v>123</v>
      </c>
      <c r="N3" s="57" t="s">
        <v>112</v>
      </c>
      <c r="O3" s="58" t="s">
        <v>117</v>
      </c>
      <c r="P3" s="59" t="s">
        <v>118</v>
      </c>
      <c r="Q3" s="57" t="s">
        <v>112</v>
      </c>
      <c r="R3" s="58" t="s">
        <v>117</v>
      </c>
      <c r="S3" s="59" t="s">
        <v>118</v>
      </c>
    </row>
    <row r="4" spans="1:19" x14ac:dyDescent="0.2">
      <c r="A4" s="44" t="s">
        <v>127</v>
      </c>
      <c r="B4" s="27">
        <f>Input!C4*1000</f>
        <v>172</v>
      </c>
      <c r="C4" s="45" t="s">
        <v>85</v>
      </c>
      <c r="E4" s="98" t="s">
        <v>119</v>
      </c>
      <c r="F4" s="51" t="s">
        <v>115</v>
      </c>
      <c r="G4" s="26">
        <v>0</v>
      </c>
      <c r="H4" s="61">
        <f>Input!C15*10</f>
        <v>11.54</v>
      </c>
      <c r="I4" s="51" t="s">
        <v>115</v>
      </c>
      <c r="J4" s="109">
        <v>0</v>
      </c>
      <c r="K4" s="112">
        <f>Input!C15*10</f>
        <v>11.54</v>
      </c>
      <c r="M4" s="97" t="s">
        <v>119</v>
      </c>
      <c r="N4" s="51" t="s">
        <v>115</v>
      </c>
      <c r="O4" s="26">
        <f>3*$B$2*(G4/$B$5+G7/$B$6)/($B$5^2+$B$5*$B$6)</f>
        <v>0</v>
      </c>
      <c r="P4" s="50">
        <f>3*$B$3*(H4/$B$5+H7/$B$6)/($B$5^2+$B$5*$B$6)</f>
        <v>21.462447434162357</v>
      </c>
      <c r="Q4" s="51" t="s">
        <v>115</v>
      </c>
      <c r="R4" s="26">
        <f>O4</f>
        <v>0</v>
      </c>
      <c r="S4" s="50">
        <f>P4</f>
        <v>21.462447434162357</v>
      </c>
    </row>
    <row r="5" spans="1:19" x14ac:dyDescent="0.2">
      <c r="A5" s="44" t="s">
        <v>102</v>
      </c>
      <c r="B5" s="42">
        <f>(Input!C5-Input!C4)*1000</f>
        <v>1039.0000000000002</v>
      </c>
      <c r="C5" s="45" t="s">
        <v>85</v>
      </c>
      <c r="E5" s="98"/>
      <c r="F5" s="44" t="s">
        <v>113</v>
      </c>
      <c r="G5" s="27">
        <f>-H4*SIN(PI()/180*Input!C17)</f>
        <v>-5.4177018345491792</v>
      </c>
      <c r="H5" s="62">
        <f>H4*COS(PI()/180*Input!C17)</f>
        <v>10.189215221592017</v>
      </c>
      <c r="I5" s="44" t="s">
        <v>113</v>
      </c>
      <c r="J5" s="110"/>
      <c r="K5" s="113"/>
      <c r="M5" s="98"/>
      <c r="N5" s="44" t="s">
        <v>113</v>
      </c>
      <c r="O5" s="27">
        <f>3*$B$2*(G5/$B$5+G8/$B$6)/($B$5^2+$B$5*$B$6)</f>
        <v>-140.04480675324564</v>
      </c>
      <c r="P5" s="45">
        <f>3*$B$3*(H5/$B$5+H8/$B$6)/($B$5^2+$B$5*$B$6)</f>
        <v>18.950216298854908</v>
      </c>
      <c r="Q5" s="44" t="s">
        <v>113</v>
      </c>
      <c r="R5" s="27">
        <f>O5*COS(PI()/180*Input!C17)+P5*SIN(PI()/180*Input!C17)</f>
        <v>-114.75563735421777</v>
      </c>
      <c r="S5" s="45">
        <f>O5*SIN(PI()/180*Input!C17)+P5*COS(PI()/180*Input!C17)</f>
        <v>-49.01500642126436</v>
      </c>
    </row>
    <row r="6" spans="1:19" ht="17" thickBot="1" x14ac:dyDescent="0.25">
      <c r="A6" s="44" t="s">
        <v>103</v>
      </c>
      <c r="B6" s="42">
        <f>(Input!C6-Input!C5)*1000</f>
        <v>1380.0000000000002</v>
      </c>
      <c r="C6" s="45" t="s">
        <v>85</v>
      </c>
      <c r="E6" s="99"/>
      <c r="F6" s="46" t="s">
        <v>114</v>
      </c>
      <c r="G6" s="47">
        <f>-G5</f>
        <v>5.4177018345491792</v>
      </c>
      <c r="H6" s="63">
        <f>H4*COS(PI()/180*Input!C17)</f>
        <v>10.189215221592017</v>
      </c>
      <c r="I6" s="46" t="s">
        <v>114</v>
      </c>
      <c r="J6" s="111"/>
      <c r="K6" s="114"/>
      <c r="M6" s="99"/>
      <c r="N6" s="46" t="s">
        <v>114</v>
      </c>
      <c r="O6" s="47">
        <f>3*$B$2*(G6/$B$5+G9/$B$6)/($B$5^2+$B$5*$B$6)</f>
        <v>140.04480675324564</v>
      </c>
      <c r="P6" s="48">
        <f>3*$B$3*(H6/$B$5+H9/$B$6)/($B$5^2+$B$5*$B$6)</f>
        <v>18.950216298854908</v>
      </c>
      <c r="Q6" s="46" t="s">
        <v>114</v>
      </c>
      <c r="R6" s="47">
        <f>O5*COS(-PI()/180*Input!C17)+P5*SIN(-PI()/180*Input!C17)</f>
        <v>-132.54881267612592</v>
      </c>
      <c r="S6" s="48">
        <f>O5*SIN(-PI()/180*Input!C17)+P5*COS(-PI()/180*Input!C17)</f>
        <v>82.479102151724248</v>
      </c>
    </row>
    <row r="7" spans="1:19" ht="17" thickBot="1" x14ac:dyDescent="0.25">
      <c r="A7" s="64" t="s">
        <v>126</v>
      </c>
      <c r="B7" s="47">
        <f>Input!C3*1000-Input!C6*1000</f>
        <v>70</v>
      </c>
      <c r="C7" s="48" t="s">
        <v>85</v>
      </c>
      <c r="E7" s="98" t="s">
        <v>121</v>
      </c>
      <c r="F7" s="51" t="s">
        <v>115</v>
      </c>
      <c r="G7" s="26">
        <v>0</v>
      </c>
      <c r="H7" s="61">
        <f>Input!C16*10</f>
        <v>18.400000000000002</v>
      </c>
      <c r="I7" s="51" t="s">
        <v>115</v>
      </c>
      <c r="J7" s="109">
        <v>0</v>
      </c>
      <c r="K7" s="112">
        <f>Input!C16*10</f>
        <v>18.400000000000002</v>
      </c>
      <c r="M7" s="97" t="s">
        <v>120</v>
      </c>
      <c r="N7" s="51" t="s">
        <v>115</v>
      </c>
      <c r="O7" s="26">
        <f>-O4-O10</f>
        <v>0</v>
      </c>
      <c r="P7" s="50">
        <f>-P4-P10</f>
        <v>-37.621493002346917</v>
      </c>
      <c r="Q7" s="51" t="s">
        <v>115</v>
      </c>
      <c r="R7" s="26">
        <f>O7</f>
        <v>0</v>
      </c>
      <c r="S7" s="50">
        <f>P7</f>
        <v>-37.621493002346917</v>
      </c>
    </row>
    <row r="8" spans="1:19" x14ac:dyDescent="0.2">
      <c r="E8" s="98"/>
      <c r="F8" s="44" t="s">
        <v>113</v>
      </c>
      <c r="G8" s="27">
        <f>-H7*SIN(PI()/180*Input!C17)</f>
        <v>-8.6382767552603923</v>
      </c>
      <c r="H8" s="62">
        <f>H7*COS(PI()/180*Input!C17)</f>
        <v>16.24623570860426</v>
      </c>
      <c r="I8" s="44" t="s">
        <v>113</v>
      </c>
      <c r="J8" s="110"/>
      <c r="K8" s="113"/>
      <c r="M8" s="98"/>
      <c r="N8" s="44" t="s">
        <v>113</v>
      </c>
      <c r="O8" s="27">
        <f t="shared" ref="O8:O9" si="0">-O5-O11</f>
        <v>245.48433879427625</v>
      </c>
      <c r="P8" s="45">
        <f t="shared" ref="P8:P9" si="1">-P5-P11</f>
        <v>-33.217806686181177</v>
      </c>
      <c r="Q8" s="44" t="s">
        <v>113</v>
      </c>
      <c r="R8" s="27">
        <f>O8*COS(PI()/180*Input!C20)+P8*SIN(PI()/180*Input!C20)</f>
        <v>39.579587111574966</v>
      </c>
      <c r="S8" s="45">
        <f>O8*SIN(PI()/180*Input!C20)+P8*COS(PI()/180*Input!C20)</f>
        <v>225.22626076156783</v>
      </c>
    </row>
    <row r="9" spans="1:19" ht="17" thickBot="1" x14ac:dyDescent="0.25">
      <c r="E9" s="99"/>
      <c r="F9" s="46" t="s">
        <v>114</v>
      </c>
      <c r="G9" s="47">
        <f>-G8</f>
        <v>8.6382767552603923</v>
      </c>
      <c r="H9" s="63">
        <f>H7*COS(PI()/180*Input!C17)</f>
        <v>16.24623570860426</v>
      </c>
      <c r="I9" s="46" t="s">
        <v>114</v>
      </c>
      <c r="J9" s="111"/>
      <c r="K9" s="114"/>
      <c r="M9" s="99"/>
      <c r="N9" s="46" t="s">
        <v>114</v>
      </c>
      <c r="O9" s="47">
        <f t="shared" si="0"/>
        <v>-245.48433879427625</v>
      </c>
      <c r="P9" s="48">
        <f t="shared" si="1"/>
        <v>-33.217806686181177</v>
      </c>
      <c r="Q9" s="46" t="s">
        <v>114</v>
      </c>
      <c r="R9" s="47">
        <f>O8*COS(-PI()/180*Input!C20)+P8*SIN(-PI()/180*Input!C20)</f>
        <v>103.14608445145049</v>
      </c>
      <c r="S9" s="48">
        <f>O8*SIN(-PI()/180*Input!C20)+P8*COS(-PI()/180*Input!C20)</f>
        <v>-244.53923930195899</v>
      </c>
    </row>
    <row r="10" spans="1:19" x14ac:dyDescent="0.2">
      <c r="M10" s="97" t="s">
        <v>121</v>
      </c>
      <c r="N10" s="51" t="s">
        <v>115</v>
      </c>
      <c r="O10" s="26">
        <f>O4*$B$5/$B$6</f>
        <v>0</v>
      </c>
      <c r="P10" s="50">
        <f>P4*$B$5/$B$6</f>
        <v>16.15904556818456</v>
      </c>
      <c r="Q10" s="51" t="s">
        <v>115</v>
      </c>
      <c r="R10" s="26">
        <f>O10</f>
        <v>0</v>
      </c>
      <c r="S10" s="50">
        <f>P10</f>
        <v>16.15904556818456</v>
      </c>
    </row>
    <row r="11" spans="1:19" x14ac:dyDescent="0.2">
      <c r="M11" s="98"/>
      <c r="N11" s="44" t="s">
        <v>113</v>
      </c>
      <c r="O11" s="27">
        <f t="shared" ref="O11:O12" si="2">O5*$B$5/$B$6</f>
        <v>-105.4395320410306</v>
      </c>
      <c r="P11" s="45">
        <f t="shared" ref="P11:P12" si="3">P5*$B$5/$B$6</f>
        <v>14.267590387326269</v>
      </c>
      <c r="Q11" s="44" t="s">
        <v>113</v>
      </c>
      <c r="R11" s="27">
        <f>O11*COS(PI()/180*Input!C23)+P11*SIN(PI()/180*Input!C23)</f>
        <v>-105.4395320410306</v>
      </c>
      <c r="S11" s="45">
        <f>O11*SIN(PI()/180*Input!C23)+P11*COS(PI()/180*Input!C23)</f>
        <v>14.267590387326269</v>
      </c>
    </row>
    <row r="12" spans="1:19" ht="17" thickBot="1" x14ac:dyDescent="0.25">
      <c r="M12" s="99"/>
      <c r="N12" s="46" t="s">
        <v>114</v>
      </c>
      <c r="O12" s="47">
        <f t="shared" si="2"/>
        <v>105.4395320410306</v>
      </c>
      <c r="P12" s="48">
        <f t="shared" si="3"/>
        <v>14.267590387326269</v>
      </c>
      <c r="Q12" s="46" t="s">
        <v>114</v>
      </c>
      <c r="R12" s="47">
        <f>O11*COS(-PI()/180*Input!C23)+P11*SIN(-PI()/180*Input!C23)</f>
        <v>-105.4395320410306</v>
      </c>
      <c r="S12" s="48">
        <f>O11*SIN(-PI()/180*Input!C23)+P11*COS(-PI()/180*Input!C23)</f>
        <v>14.267590387326269</v>
      </c>
    </row>
    <row r="13" spans="1:19" ht="17" thickBot="1" x14ac:dyDescent="0.25"/>
    <row r="14" spans="1:19" ht="17" thickBot="1" x14ac:dyDescent="0.25">
      <c r="N14" s="100" t="s">
        <v>146</v>
      </c>
      <c r="O14" s="101"/>
      <c r="P14" s="101"/>
      <c r="Q14" s="101"/>
      <c r="R14" s="101"/>
      <c r="S14" s="102"/>
    </row>
    <row r="15" spans="1:19" ht="17" thickBot="1" x14ac:dyDescent="0.25">
      <c r="N15" s="103" t="s">
        <v>107</v>
      </c>
      <c r="O15" s="104"/>
      <c r="P15" s="105"/>
      <c r="Q15" s="103" t="s">
        <v>108</v>
      </c>
      <c r="R15" s="104"/>
      <c r="S15" s="105"/>
    </row>
    <row r="16" spans="1:19" ht="17" thickBot="1" x14ac:dyDescent="0.25">
      <c r="M16" s="56" t="s">
        <v>123</v>
      </c>
      <c r="N16" s="57" t="s">
        <v>112</v>
      </c>
      <c r="O16" s="58" t="s">
        <v>117</v>
      </c>
      <c r="P16" s="59" t="s">
        <v>118</v>
      </c>
      <c r="Q16" s="57" t="s">
        <v>112</v>
      </c>
      <c r="R16" s="58" t="s">
        <v>117</v>
      </c>
      <c r="S16" s="59" t="s">
        <v>118</v>
      </c>
    </row>
    <row r="17" spans="13:26" x14ac:dyDescent="0.2">
      <c r="M17" s="97" t="s">
        <v>119</v>
      </c>
      <c r="N17" s="51" t="s">
        <v>115</v>
      </c>
      <c r="O17" s="26">
        <v>0</v>
      </c>
      <c r="P17" s="50">
        <f>-Superpositioning!D20/1000*(SUM($B$4:$B$7) - (($B$5+$B$6+$B$7)^2-$B$4^2)/(2*($B$5+$B$6)))+3*V20*($B$5-$B$6)/($B$5^3*$B$6+$B$5^2*$B$6^2)</f>
        <v>6.7545840489459223</v>
      </c>
      <c r="Q17" s="51" t="s">
        <v>115</v>
      </c>
      <c r="R17" s="26">
        <f>O17</f>
        <v>0</v>
      </c>
      <c r="S17" s="50">
        <f>P17</f>
        <v>6.7545840489459223</v>
      </c>
    </row>
    <row r="18" spans="13:26" x14ac:dyDescent="0.2">
      <c r="M18" s="98"/>
      <c r="N18" s="44" t="s">
        <v>113</v>
      </c>
      <c r="O18" s="27">
        <f>-Superpositioning!C21/1000*(SUM($B$4:$B$7) - (($B$5+$B$6+$B$7)^2-$B$4^2)/(2*($B$5+$B$6)))+3*U21*($B$5-$B$6)/($B$5^3*$B$6+$B$5^2*$B$6^2)</f>
        <v>-3.1710851294272926</v>
      </c>
      <c r="P18" s="45">
        <f>-Superpositioning!D21/1000*(SUM($B$4:$B$7) - (($B$5+$B$6+$B$7)^2-$B$4^2)/(2*($B$5+$B$6)))+3*V21*($B$5-$B$6)/($B$5^3*$B$6+$B$5^2*$B$6^2)</f>
        <v>5.9639437267801076</v>
      </c>
      <c r="Q18" s="44" t="s">
        <v>113</v>
      </c>
      <c r="R18" s="27">
        <f>O18*COS(PI()/180*Input!C30)+P18*SIN(PI()/180*Input!C30)</f>
        <v>-3.1710851294272926</v>
      </c>
      <c r="S18" s="45">
        <f>O18*SIN(PI()/180*Input!C30)+P18*COS(PI()/180*Input!C30)</f>
        <v>5.9639437267801076</v>
      </c>
    </row>
    <row r="19" spans="13:26" ht="17" thickBot="1" x14ac:dyDescent="0.25">
      <c r="M19" s="99"/>
      <c r="N19" s="46" t="s">
        <v>114</v>
      </c>
      <c r="O19" s="47">
        <f>-Superpositioning!C22/1000*(SUM($B$4:$B$7) - (($B$5+$B$6+$B$7)^2-$B$4^2)/(2*($B$5+$B$6)))+3*U22*($B$5-$B$6)/($B$5^3*$B$6+$B$5^2*$B$6^2)</f>
        <v>3.1710851294272926</v>
      </c>
      <c r="P19" s="48">
        <f>-Superpositioning!D22/1000*(SUM($B$4:$B$7) - (($B$5+$B$6+$B$7)^2-$B$4^2)/(2*($B$5+$B$6)))+3*V22*($B$5-$B$6)/($B$5^3*$B$6+$B$5^2*$B$6^2)</f>
        <v>5.9639437267801076</v>
      </c>
      <c r="Q19" s="46" t="s">
        <v>114</v>
      </c>
      <c r="R19" s="47">
        <f>O18*COS(-PI()/180*Input!C30)+P18*SIN(-PI()/180*Input!C30)</f>
        <v>-3.1710851294272926</v>
      </c>
      <c r="S19" s="48">
        <f>O18*SIN(-PI()/180*Input!C30)+P18*COS(-PI()/180*Input!C30)</f>
        <v>5.9639437267801076</v>
      </c>
    </row>
    <row r="20" spans="13:26" x14ac:dyDescent="0.2">
      <c r="M20" s="97" t="s">
        <v>120</v>
      </c>
      <c r="N20" s="51" t="s">
        <v>115</v>
      </c>
      <c r="O20" s="26">
        <v>0</v>
      </c>
      <c r="P20" s="50">
        <f>-3*V20*($B$5-$B$6)/($B$5^3*$B$6+$B$5^2*$B$6^2)-3*V20*($B$5-$B$6)/($B$5^2*$B$6^2+$B$5*$B$6^3)</f>
        <v>1.6252728663766782</v>
      </c>
      <c r="Q20" s="51" t="s">
        <v>115</v>
      </c>
      <c r="R20" s="26">
        <f>O20</f>
        <v>0</v>
      </c>
      <c r="S20" s="50">
        <f>P20</f>
        <v>1.6252728663766782</v>
      </c>
      <c r="U20">
        <f>Superpositioning!C20/1000*(-1/24*($B$5^4-$B$5*($B$5+$B$6)^3)+1/6*(SUM($B$4:$B$7)-(($B$5+$B$6+$B$7)^2-$B$4^2)/(2*($B$5+$B$6)))*($B$5^3-$B$5*($B$5+$B$6)^2)-1/4*$B$4^2*($B$5^2-($B$5+$B$6)))</f>
        <v>0</v>
      </c>
      <c r="V20">
        <f>Superpositioning!D20/1000*(-1/24*($B$5^4-$B$5*($B$5+$B$6)^3)+1/6*(SUM($B$4:$B$7)-(($B$5+$B$6+$B$7)^2-$B$4^2)/(2*($B$5+$B$6)))*($B$5^3-$B$5*($B$5+$B$6)^2)-1/4*$B$4^2*($B$5^2-($B$5+$B$6)))</f>
        <v>3266178526.1047759</v>
      </c>
    </row>
    <row r="21" spans="13:26" x14ac:dyDescent="0.2">
      <c r="M21" s="98"/>
      <c r="N21" s="44" t="s">
        <v>113</v>
      </c>
      <c r="O21" s="27">
        <f t="shared" ref="O21:P22" si="4">-3*U21*($B$5-$B$6)/($B$5^3*$B$6+$B$5^2*$B$6^2)-3*U21*($B$5-$B$6)/($B$5^2*$B$6^2+$B$5*$B$6^3)</f>
        <v>-0.76301939253136353</v>
      </c>
      <c r="P21" s="45">
        <f t="shared" si="4"/>
        <v>1.4350307651062169</v>
      </c>
      <c r="Q21" s="44" t="s">
        <v>113</v>
      </c>
      <c r="R21" s="27">
        <f>O21*COS(PI()/180*Input!C33)+P21*SIN(PI()/180*Input!C33)</f>
        <v>-0.76301939253136353</v>
      </c>
      <c r="S21" s="45">
        <f>O21*SIN(PI()/180*Input!C33)+P21*COS(PI()/180*Input!C33)</f>
        <v>1.4350307651062169</v>
      </c>
      <c r="U21">
        <f>Superpositioning!C21/1000*(-1/24*($B$5^4-$B$5*($B$5+$B$6)^3)+1/6*(SUM($B$4:$B$7)-(($B$5+$B$6+$B$7)^2-$B$4^2)/(2*($B$5+$B$6)))*($B$5^3-$B$5*($B$5+$B$6)^2)-1/4*$B$4^2*($B$5^2-($B$5+$B$6)))</f>
        <v>-1533377936.9881268</v>
      </c>
      <c r="V21">
        <f>Superpositioning!D21/1000*(-1/24*($B$5^4-$B$5*($B$5+$B$6)^3)+1/6*(SUM($B$4:$B$7)-(($B$5+$B$6+$B$7)^2-$B$4^2)/(2*($B$5+$B$6)))*($B$5^3-$B$5*($B$5+$B$6)^2)-1/4*$B$4^2*($B$5^2-($B$5+$B$6)))</f>
        <v>2883864467.4717302</v>
      </c>
    </row>
    <row r="22" spans="13:26" ht="17" thickBot="1" x14ac:dyDescent="0.25">
      <c r="M22" s="99"/>
      <c r="N22" s="46" t="s">
        <v>114</v>
      </c>
      <c r="O22" s="47">
        <f t="shared" si="4"/>
        <v>0.76301939253136353</v>
      </c>
      <c r="P22" s="48">
        <f t="shared" si="4"/>
        <v>1.4350307651062169</v>
      </c>
      <c r="Q22" s="46" t="s">
        <v>114</v>
      </c>
      <c r="R22" s="47">
        <f>O21*COS(-PI()/180*Input!C33)+P21*SIN(-PI()/180*Input!C33)</f>
        <v>-0.76301939253136353</v>
      </c>
      <c r="S22" s="48">
        <f>O21*SIN(-PI()/180*Input!C33)+P21*COS(-PI()/180*Input!C33)</f>
        <v>1.4350307651062169</v>
      </c>
      <c r="U22">
        <f>Superpositioning!C22/1000*(-1/24*($B$5^4-$B$5*($B$5+$B$6)^3)+1/6*(SUM($B$4:$B$7)-(($B$5+$B$6+$B$7)^2-$B$4^2)/(2*($B$5+$B$6)))*($B$5^3-$B$5*($B$5+$B$6)^2)-1/4*$B$4^2*($B$5^2-($B$5+$B$6)))</f>
        <v>1533377936.9881268</v>
      </c>
      <c r="V22">
        <f>Superpositioning!D22/1000*(-1/24*($B$5^4-$B$5*($B$5+$B$6)^3)+1/6*(SUM($B$4:$B$7)-(($B$5+$B$6+$B$7)^2-$B$4^2)/(2*($B$5+$B$6)))*($B$5^3-$B$5*($B$5+$B$6)^2)-1/4*$B$4^2*($B$5^2-($B$5+$B$6)))</f>
        <v>2883864467.4717302</v>
      </c>
    </row>
    <row r="23" spans="13:26" x14ac:dyDescent="0.2">
      <c r="M23" s="97" t="s">
        <v>121</v>
      </c>
      <c r="N23" s="51" t="s">
        <v>115</v>
      </c>
      <c r="O23" s="26">
        <f>-Superpositioning!C20/1000*(($B$5+$B$6+$B$7)^2-$B$4^2)/(2*($B$5+$B$6))+3*U20*($B$5-$B$6)/($B$5^2*$B$6^2+$B$5*$B$6^3)</f>
        <v>0</v>
      </c>
      <c r="P23" s="50">
        <f>-Superpositioning!D20/1000*(($B$5+$B$6+$B$7)^2-$B$4^2)/(2*($B$5+$B$6))+3*V20*($B$5-$B$6)/($B$5^2*$B$6^2+$B$5*$B$6^3)</f>
        <v>6.3620830846774012</v>
      </c>
      <c r="Q23" s="51" t="s">
        <v>115</v>
      </c>
      <c r="R23" s="26">
        <f>O23</f>
        <v>0</v>
      </c>
      <c r="S23" s="50">
        <f>P23</f>
        <v>6.3620830846774012</v>
      </c>
    </row>
    <row r="24" spans="13:26" x14ac:dyDescent="0.2">
      <c r="M24" s="98"/>
      <c r="N24" s="44" t="s">
        <v>113</v>
      </c>
      <c r="O24" s="27">
        <f>-Superpositioning!C21/1000*(($B$5+$B$6+$B$7)^2-$B$4^2)/(2*($B$5+$B$6))+3*U21*($B$5-$B$6)/($B$5^2*$B$6^2+$B$5*$B$6^3)</f>
        <v>-2.9868170883371805</v>
      </c>
      <c r="P24" s="45">
        <f>-Superpositioning!D21/1000*(($B$5+$B$6+$B$7)^2-$B$4^2)/(2*($B$5+$B$6))+3*V21*($B$5-$B$6)/($B$5^2*$B$6^2+$B$5*$B$6^3)</f>
        <v>5.6173859451844086</v>
      </c>
      <c r="Q24" s="44" t="s">
        <v>113</v>
      </c>
      <c r="R24" s="27">
        <f>O24*COS(PI()/180*Input!C36)+P24*SIN(PI()/180*Input!C36)</f>
        <v>-2.9868170883371805</v>
      </c>
      <c r="S24" s="45">
        <f>O24*SIN(PI()/180*Input!C36)+P24*COS(PI()/180*Input!C36)</f>
        <v>5.6173859451844086</v>
      </c>
    </row>
    <row r="25" spans="13:26" ht="17" thickBot="1" x14ac:dyDescent="0.25">
      <c r="M25" s="99"/>
      <c r="N25" s="46" t="s">
        <v>114</v>
      </c>
      <c r="O25" s="47">
        <f>-Superpositioning!C22/1000*(($B$5+$B$6+$B$7)^2-$B$4^2)/(2*($B$5+$B$6))+3*U22*($B$5-$B$6)/($B$5^2*$B$6^2+$B$5*$B$6^3)</f>
        <v>2.9868170883371805</v>
      </c>
      <c r="P25" s="48">
        <f>-Superpositioning!D22/1000*(($B$5+$B$6+$B$7)^2-$B$4^2)/(2*($B$5+$B$6))+3*V22*($B$5-$B$6)/($B$5^2*$B$6^2+$B$5*$B$6^3)</f>
        <v>5.6173859451844086</v>
      </c>
      <c r="Q25" s="46" t="s">
        <v>114</v>
      </c>
      <c r="R25" s="47">
        <f>O24*COS(-PI()/180*Input!C36)+P24*SIN(-PI()/180*Input!C36)</f>
        <v>-2.9868170883371805</v>
      </c>
      <c r="S25" s="48">
        <f>O24*SIN(-PI()/180*Input!C36)+P24*COS(-PI()/180*Input!C36)</f>
        <v>5.6173859451844086</v>
      </c>
    </row>
    <row r="26" spans="13:26" ht="17" thickBot="1" x14ac:dyDescent="0.25"/>
    <row r="27" spans="13:26" ht="17" thickBot="1" x14ac:dyDescent="0.25">
      <c r="N27" s="100" t="s">
        <v>147</v>
      </c>
      <c r="O27" s="101"/>
      <c r="P27" s="101"/>
      <c r="Q27" s="101"/>
      <c r="R27" s="101"/>
      <c r="S27" s="102"/>
    </row>
    <row r="28" spans="13:26" ht="17" thickBot="1" x14ac:dyDescent="0.25">
      <c r="N28" s="103" t="s">
        <v>107</v>
      </c>
      <c r="O28" s="104"/>
      <c r="P28" s="105"/>
      <c r="Q28" s="103" t="s">
        <v>108</v>
      </c>
      <c r="R28" s="104"/>
      <c r="S28" s="105"/>
    </row>
    <row r="29" spans="13:26" ht="17" thickBot="1" x14ac:dyDescent="0.25">
      <c r="M29" s="56" t="s">
        <v>123</v>
      </c>
      <c r="N29" s="57" t="s">
        <v>112</v>
      </c>
      <c r="O29" s="58" t="s">
        <v>117</v>
      </c>
      <c r="P29" s="59" t="s">
        <v>118</v>
      </c>
      <c r="Q29" s="57" t="s">
        <v>112</v>
      </c>
      <c r="R29" s="58" t="s">
        <v>117</v>
      </c>
      <c r="S29" s="59" t="s">
        <v>118</v>
      </c>
    </row>
    <row r="30" spans="13:26" x14ac:dyDescent="0.2">
      <c r="M30" s="97" t="s">
        <v>119</v>
      </c>
      <c r="N30" s="52" t="s">
        <v>115</v>
      </c>
      <c r="O30" s="53">
        <f>-W30-Y30+3*U33*($B$5-$B$6)/($B$5^3*$B$6+$B$5^2*$B$6^2)</f>
        <v>-18.711342651206046</v>
      </c>
      <c r="P30" s="53">
        <f>-X30-Z30+3*V33*($B$5-$B$6)/($B$5^3*$B$6+$B$5^2*$B$6^2)</f>
        <v>0</v>
      </c>
      <c r="Q30" s="52" t="s">
        <v>115</v>
      </c>
      <c r="R30" s="53">
        <f>O30</f>
        <v>-18.711342651206046</v>
      </c>
      <c r="S30" s="54">
        <f>P30</f>
        <v>0</v>
      </c>
      <c r="W30">
        <f>Superpositioning!C13*(1-(Superpositioning!$I$6-Superpositioning!$I$5)/($B$5+$B$6))</f>
        <v>67.118537953094901</v>
      </c>
      <c r="X30">
        <f>Superpositioning!D13*(1-(Superpositioning!$I$6-Superpositioning!$I$5)/($B$5+$B$6))</f>
        <v>0</v>
      </c>
      <c r="Y30">
        <f>Superpositioning!C23*(1-(Superpositioning!$I$7-Superpositioning!$I$5)/($B$5+$B$6))</f>
        <v>-48.518809425382393</v>
      </c>
      <c r="Z30">
        <f>Superpositioning!D23*(1-(Superpositioning!$I$7-Superpositioning!$I$5)/($B$5+$B$6))</f>
        <v>0</v>
      </c>
    </row>
    <row r="31" spans="13:26" x14ac:dyDescent="0.2">
      <c r="M31" s="98"/>
      <c r="N31" s="44" t="s">
        <v>113</v>
      </c>
      <c r="O31" s="26">
        <f t="shared" ref="O31:P32" si="5">-W31-Y31+3*U34*($B$5-$B$6)/($B$5^3*$B$6+$B$5^2*$B$6^2)</f>
        <v>-16.521134953040953</v>
      </c>
      <c r="P31" s="26">
        <f t="shared" si="5"/>
        <v>-8.7844432762839961</v>
      </c>
      <c r="Q31" s="44" t="s">
        <v>113</v>
      </c>
      <c r="R31" s="27">
        <f>O31*COS(PI()/180*Input!C43)+P31*SIN(PI()/180*Input!C43)</f>
        <v>-16.521134953040953</v>
      </c>
      <c r="S31" s="45">
        <f>O31*SIN(PI()/180*Input!C43)+P31*COS(PI()/180*Input!C43)</f>
        <v>-8.7844432762839961</v>
      </c>
      <c r="W31">
        <f>Superpositioning!C14*(1-(Superpositioning!$I$6-Superpositioning!$I$5)/($B$5+$B$6))</f>
        <v>59.262151521895674</v>
      </c>
      <c r="X31">
        <f>Superpositioning!D14*(1-(Superpositioning!$I$6-Superpositioning!$I$5)/($B$5+$B$6))</f>
        <v>31.510244904743587</v>
      </c>
      <c r="Y31">
        <f>Superpositioning!C24*(1-(Superpositioning!$I$7-Superpositioning!$I$5)/($B$5+$B$6))</f>
        <v>-42.839565990522402</v>
      </c>
      <c r="Z31">
        <f>Superpositioning!D24*(1-(Superpositioning!$I$7-Superpositioning!$I$5)/($B$5+$B$6))</f>
        <v>-22.778201285445078</v>
      </c>
    </row>
    <row r="32" spans="13:26" ht="17" thickBot="1" x14ac:dyDescent="0.25">
      <c r="M32" s="99"/>
      <c r="N32" s="46" t="s">
        <v>114</v>
      </c>
      <c r="O32" s="26">
        <f t="shared" si="5"/>
        <v>-16.521134953040953</v>
      </c>
      <c r="P32" s="26">
        <f t="shared" si="5"/>
        <v>8.7844432762839961</v>
      </c>
      <c r="Q32" s="46" t="s">
        <v>114</v>
      </c>
      <c r="R32" s="47">
        <f>O31*COS(-PI()/180*Input!C43)+P31*SIN(-PI()/180*Input!C43)</f>
        <v>-16.521134953040953</v>
      </c>
      <c r="S32" s="48">
        <f>O31*SIN(-PI()/180*Input!C43)+P31*COS(-PI()/180*Input!C43)</f>
        <v>-8.7844432762839961</v>
      </c>
      <c r="W32">
        <f>Superpositioning!C15*(1-(Superpositioning!$I$6-Superpositioning!$I$5)/($B$5+$B$6))</f>
        <v>59.262151521895674</v>
      </c>
      <c r="X32">
        <f>Superpositioning!D15*(1-(Superpositioning!$I$6-Superpositioning!$I$5)/($B$5+$B$6))</f>
        <v>-31.510244904743587</v>
      </c>
      <c r="Y32">
        <f>Superpositioning!C25*(1-(Superpositioning!$I$7-Superpositioning!$I$5)/($B$5+$B$6))</f>
        <v>-42.839565990522402</v>
      </c>
      <c r="Z32">
        <f>Superpositioning!D25*(1-(Superpositioning!$I$7-Superpositioning!$I$5)/($B$5+$B$6))</f>
        <v>22.778201285445078</v>
      </c>
    </row>
    <row r="33" spans="13:26" x14ac:dyDescent="0.2">
      <c r="M33" s="97" t="s">
        <v>120</v>
      </c>
      <c r="N33" s="51" t="s">
        <v>115</v>
      </c>
      <c r="O33" s="26">
        <f>-3*U33*($B$5-$B$6)/($B$5^3*$B$6+$B$5^2*$B$6^2)-3*U33*($B$5-$B$6)/($B$5^2*$B$6^2+$B$5*$B$6^3)</f>
        <v>0.19564823531222592</v>
      </c>
      <c r="P33" s="50">
        <f>-3*V33*($B$5-$B$6)/($B$5^3*$B$6+$B$5^2*$B$6^2)-3*V33*($B$5-$B$6)/($B$5^2*$B$6^2+$B$5*$B$6^3)</f>
        <v>0</v>
      </c>
      <c r="Q33" s="51" t="s">
        <v>115</v>
      </c>
      <c r="R33" s="26">
        <f>O33</f>
        <v>0.19564823531222592</v>
      </c>
      <c r="S33" s="50">
        <f>P33</f>
        <v>0</v>
      </c>
      <c r="U33">
        <f>W33+Y33</f>
        <v>393178325.97039413</v>
      </c>
      <c r="V33">
        <f>X33+Z33</f>
        <v>0</v>
      </c>
      <c r="W33">
        <f>-((W30*((1/2*$B$5^2*$B$6+1/6*$B$5^3))+1/3*W36*$B$6^3)/($B$5+$B$6)*$B$5-1/6*W30*$B$5^3)</f>
        <v>-28347713542.247894</v>
      </c>
      <c r="X33">
        <f t="shared" ref="X33:Z33" si="6">-((X30*((1/2*$B$5^2*$B$6+1/6*$B$5^3))+1/3*X36*$B$6^3)/($B$5+$B$6)*$B$5-1/6*X30*$B$5^3)</f>
        <v>0</v>
      </c>
      <c r="Y33">
        <f t="shared" si="6"/>
        <v>28740891868.218288</v>
      </c>
      <c r="Z33">
        <f t="shared" si="6"/>
        <v>0</v>
      </c>
    </row>
    <row r="34" spans="13:26" x14ac:dyDescent="0.2">
      <c r="M34" s="98"/>
      <c r="N34" s="44" t="s">
        <v>113</v>
      </c>
      <c r="O34" s="27">
        <f t="shared" ref="O34:O35" si="7">-3*U34*($B$5-$B$6)/($B$5^3*$B$6+$B$5^2*$B$6^2)-3*U34*($B$5-$B$6)/($B$5^2*$B$6^2+$B$5*$B$6^3)</f>
        <v>0.17274713841603068</v>
      </c>
      <c r="P34" s="45">
        <f t="shared" ref="P34:P35" si="8">-3*V34*($B$5-$B$6)/($B$5^3*$B$6+$B$5^2*$B$6^2)-3*V34*($B$5-$B$6)/($B$5^2*$B$6^2+$B$5*$B$6^3)</f>
        <v>9.1851282788330851E-2</v>
      </c>
      <c r="Q34" s="44" t="s">
        <v>113</v>
      </c>
      <c r="R34" s="27">
        <f>O34*COS(PI()/180*Input!C46)+P34*SIN(PI()/180*Input!C46)</f>
        <v>0.17274713841603068</v>
      </c>
      <c r="S34" s="45">
        <f>O34*SIN(PI()/180*Input!C46)+P34*COS(PI()/180*Input!C46)</f>
        <v>9.1851282788330851E-2</v>
      </c>
      <c r="U34">
        <f t="shared" ref="U34:U35" si="9">W34+Y34</f>
        <v>347155856.47986984</v>
      </c>
      <c r="V34">
        <f t="shared" ref="V34:V35" si="10">X34+Z34</f>
        <v>184586043.14685822</v>
      </c>
      <c r="W34">
        <f t="shared" ref="W34:Z35" si="11">-((W31*((1/2*$B$5^2*$B$6+1/6*$B$5^3))+1/3*W37*$B$6^3)/($B$5+$B$6)*$B$5-1/6*W31*$B$5^3)</f>
        <v>-25029545435.182171</v>
      </c>
      <c r="X34">
        <f t="shared" si="11"/>
        <v>-13308445378.08588</v>
      </c>
      <c r="Y34">
        <f t="shared" si="11"/>
        <v>25376701291.662041</v>
      </c>
      <c r="Z34">
        <f t="shared" si="11"/>
        <v>13493031421.232738</v>
      </c>
    </row>
    <row r="35" spans="13:26" ht="17" thickBot="1" x14ac:dyDescent="0.25">
      <c r="M35" s="99"/>
      <c r="N35" s="46" t="s">
        <v>114</v>
      </c>
      <c r="O35" s="47">
        <f t="shared" si="7"/>
        <v>0.17274713841603068</v>
      </c>
      <c r="P35" s="48">
        <f t="shared" si="8"/>
        <v>-9.1851282788330851E-2</v>
      </c>
      <c r="Q35" s="46" t="s">
        <v>114</v>
      </c>
      <c r="R35" s="47">
        <f>O34*COS(-PI()/180*Input!C46)+P34*SIN(-PI()/180*Input!C46)</f>
        <v>0.17274713841603068</v>
      </c>
      <c r="S35" s="48">
        <f>O34*SIN(-PI()/180*Input!C46)+P34*COS(-PI()/180*Input!C46)</f>
        <v>9.1851282788330851E-2</v>
      </c>
      <c r="U35">
        <f t="shared" si="9"/>
        <v>347155856.47986984</v>
      </c>
      <c r="V35">
        <f t="shared" si="10"/>
        <v>-184586043.14685822</v>
      </c>
      <c r="W35">
        <f t="shared" si="11"/>
        <v>-25029545435.182171</v>
      </c>
      <c r="X35">
        <f t="shared" si="11"/>
        <v>13308445378.08588</v>
      </c>
      <c r="Y35">
        <f t="shared" si="11"/>
        <v>25376701291.662041</v>
      </c>
      <c r="Z35">
        <f t="shared" si="11"/>
        <v>-13493031421.232738</v>
      </c>
    </row>
    <row r="36" spans="13:26" x14ac:dyDescent="0.2">
      <c r="M36" s="97" t="s">
        <v>121</v>
      </c>
      <c r="N36" s="51" t="s">
        <v>115</v>
      </c>
      <c r="O36" s="26">
        <f>-W36-Y36+3*U33*($B$5-$B$6)/($B$5^2*$B$6^2+$B$5*$B$6^3)</f>
        <v>11.504283928088954</v>
      </c>
      <c r="P36" s="26">
        <f>-X36-Z36+3*V33*($B$5-$B$6)/($B$5^2*$B$6^2+$B$5*$B$6^3)</f>
        <v>0</v>
      </c>
      <c r="Q36" s="51" t="s">
        <v>115</v>
      </c>
      <c r="R36" s="26">
        <f>O36</f>
        <v>11.504283928088954</v>
      </c>
      <c r="S36" s="50">
        <f>P36</f>
        <v>0</v>
      </c>
      <c r="W36">
        <f>Superpositioning!C13*(Superpositioning!$I$6-Superpositioning!$I$5)/($B$5+$B$6)</f>
        <v>37.292872534709971</v>
      </c>
      <c r="X36">
        <f>Superpositioning!D13*(Superpositioning!$I$6-Superpositioning!$I$5)/($B$5+$B$6)</f>
        <v>0</v>
      </c>
      <c r="Y36">
        <f>Superpositioning!C23*(Superpositioning!$I$7-Superpositioning!$I$5)/($B$5+$B$6)</f>
        <v>-48.881190574617612</v>
      </c>
      <c r="Z36">
        <f>Superpositioning!D23*(Superpositioning!$I$7-Superpositioning!$I$5)/($B$5+$B$6)</f>
        <v>0</v>
      </c>
    </row>
    <row r="37" spans="13:26" x14ac:dyDescent="0.2">
      <c r="M37" s="98"/>
      <c r="N37" s="44" t="s">
        <v>113</v>
      </c>
      <c r="O37" s="26">
        <f t="shared" ref="O37:P38" si="12">-W37-Y37+3*U34*($B$5-$B$6)/($B$5^2*$B$6^2+$B$5*$B$6^3)</f>
        <v>10.157679801871781</v>
      </c>
      <c r="P37" s="26">
        <f t="shared" si="12"/>
        <v>5.4009341544525267</v>
      </c>
      <c r="Q37" s="44" t="s">
        <v>113</v>
      </c>
      <c r="R37" s="27">
        <f>O37*COS(PI()/180*Input!C49)+P37*SIN(PI()/180*Input!C49)</f>
        <v>10.157679801871781</v>
      </c>
      <c r="S37" s="45">
        <f>O37*SIN(PI()/180*Input!C49)+P37*COS(PI()/180*Input!C49)</f>
        <v>5.4009341544525267</v>
      </c>
      <c r="W37">
        <f>Superpositioning!C14*(Superpositioning!$I$6-Superpositioning!$I$5)/($B$5+$B$6)</f>
        <v>32.92765203531696</v>
      </c>
      <c r="X37">
        <f>Superpositioning!D14*(Superpositioning!$I$6-Superpositioning!$I$5)/($B$5+$B$6)</f>
        <v>17.507943149645318</v>
      </c>
      <c r="Y37">
        <f>Superpositioning!C24*(Superpositioning!$I$7-Superpositioning!$I$5)/($B$5+$B$6)</f>
        <v>-43.159529553937091</v>
      </c>
      <c r="Z37">
        <f>Superpositioning!D24*(Superpositioning!$I$7-Superpositioning!$I$5)/($B$5+$B$6)</f>
        <v>-22.948328929900686</v>
      </c>
    </row>
    <row r="38" spans="13:26" ht="17" thickBot="1" x14ac:dyDescent="0.25">
      <c r="M38" s="99"/>
      <c r="N38" s="46" t="s">
        <v>114</v>
      </c>
      <c r="O38" s="96">
        <f t="shared" si="12"/>
        <v>10.157679801871781</v>
      </c>
      <c r="P38" s="96">
        <f t="shared" si="12"/>
        <v>-5.4009341544525267</v>
      </c>
      <c r="Q38" s="46" t="s">
        <v>114</v>
      </c>
      <c r="R38" s="47">
        <f>O37*COS(-PI()/180*Input!C49)+P37*SIN(-PI()/180*Input!C49)</f>
        <v>10.157679801871781</v>
      </c>
      <c r="S38" s="48">
        <f>O37*SIN(-PI()/180*Input!C49)+P37*COS(-PI()/180*Input!C49)</f>
        <v>5.4009341544525267</v>
      </c>
      <c r="W38">
        <f>Superpositioning!C15*(Superpositioning!$I$6-Superpositioning!$I$5)/($B$5+$B$6)</f>
        <v>32.92765203531696</v>
      </c>
      <c r="X38">
        <f>Superpositioning!D15*(Superpositioning!$I$6-Superpositioning!$I$5)/($B$5+$B$6)</f>
        <v>-17.507943149645318</v>
      </c>
      <c r="Y38">
        <f>Superpositioning!C25*(Superpositioning!$I$7-Superpositioning!$I$5)/($B$5+$B$6)</f>
        <v>-43.159529553937091</v>
      </c>
      <c r="Z38">
        <f>Superpositioning!D25*(Superpositioning!$I$7-Superpositioning!$I$5)/($B$5+$B$6)</f>
        <v>22.948328929900686</v>
      </c>
    </row>
    <row r="39" spans="13:26" ht="17" thickBot="1" x14ac:dyDescent="0.25"/>
    <row r="40" spans="13:26" ht="17" thickBot="1" x14ac:dyDescent="0.25">
      <c r="N40" s="100" t="s">
        <v>148</v>
      </c>
      <c r="O40" s="101"/>
      <c r="P40" s="101"/>
      <c r="Q40" s="101"/>
      <c r="R40" s="101"/>
      <c r="S40" s="102"/>
    </row>
    <row r="41" spans="13:26" ht="17" thickBot="1" x14ac:dyDescent="0.25">
      <c r="N41" s="103" t="s">
        <v>107</v>
      </c>
      <c r="O41" s="104"/>
      <c r="P41" s="105"/>
      <c r="Q41" s="103" t="s">
        <v>108</v>
      </c>
      <c r="R41" s="104"/>
      <c r="S41" s="105"/>
    </row>
    <row r="42" spans="13:26" ht="17" thickBot="1" x14ac:dyDescent="0.25">
      <c r="M42" s="56" t="s">
        <v>123</v>
      </c>
      <c r="N42" s="57" t="s">
        <v>112</v>
      </c>
      <c r="O42" s="58" t="s">
        <v>117</v>
      </c>
      <c r="P42" s="59" t="s">
        <v>118</v>
      </c>
      <c r="Q42" s="57" t="s">
        <v>112</v>
      </c>
      <c r="R42" s="58" t="s">
        <v>117</v>
      </c>
      <c r="S42" s="59" t="s">
        <v>118</v>
      </c>
    </row>
    <row r="43" spans="13:26" x14ac:dyDescent="0.2">
      <c r="M43" s="97" t="s">
        <v>119</v>
      </c>
      <c r="N43" s="51" t="s">
        <v>115</v>
      </c>
      <c r="O43" s="26">
        <f>O4+O17+O30</f>
        <v>-18.711342651206046</v>
      </c>
      <c r="P43" s="50">
        <f>P4+P17+P30</f>
        <v>28.217031483108279</v>
      </c>
      <c r="Q43" s="51" t="s">
        <v>115</v>
      </c>
      <c r="R43" s="26">
        <f>R4+R17+R30</f>
        <v>-18.711342651206046</v>
      </c>
      <c r="S43" s="50">
        <f>S4+S17+S30</f>
        <v>28.217031483108279</v>
      </c>
    </row>
    <row r="44" spans="13:26" x14ac:dyDescent="0.2">
      <c r="M44" s="98"/>
      <c r="N44" s="44" t="s">
        <v>113</v>
      </c>
      <c r="O44" s="27">
        <f t="shared" ref="O44:P44" si="13">O5+O18+O31</f>
        <v>-159.73702683571389</v>
      </c>
      <c r="P44" s="45">
        <f t="shared" si="13"/>
        <v>16.129716749351019</v>
      </c>
      <c r="Q44" s="44" t="s">
        <v>113</v>
      </c>
      <c r="R44" s="27">
        <f t="shared" ref="R44:S44" si="14">R5+R18+R31</f>
        <v>-134.44785743668601</v>
      </c>
      <c r="S44" s="45">
        <f t="shared" si="14"/>
        <v>-51.835505970768246</v>
      </c>
    </row>
    <row r="45" spans="13:26" ht="17" thickBot="1" x14ac:dyDescent="0.25">
      <c r="M45" s="99"/>
      <c r="N45" s="46" t="s">
        <v>114</v>
      </c>
      <c r="O45" s="47">
        <f t="shared" ref="O45:P45" si="15">O6+O19+O32</f>
        <v>126.69475692963198</v>
      </c>
      <c r="P45" s="48">
        <f t="shared" si="15"/>
        <v>33.698603301919015</v>
      </c>
      <c r="Q45" s="46" t="s">
        <v>114</v>
      </c>
      <c r="R45" s="47">
        <f t="shared" ref="R45:S45" si="16">R6+R19+R32</f>
        <v>-152.24103275859417</v>
      </c>
      <c r="S45" s="48">
        <f t="shared" si="16"/>
        <v>79.658602602220355</v>
      </c>
    </row>
    <row r="46" spans="13:26" x14ac:dyDescent="0.2">
      <c r="M46" s="97" t="s">
        <v>120</v>
      </c>
      <c r="N46" s="51" t="s">
        <v>115</v>
      </c>
      <c r="O46" s="26">
        <f t="shared" ref="O46:P46" si="17">O7+O20+O33</f>
        <v>0.19564823531222592</v>
      </c>
      <c r="P46" s="50">
        <f t="shared" si="17"/>
        <v>-35.996220135970241</v>
      </c>
      <c r="Q46" s="51" t="s">
        <v>115</v>
      </c>
      <c r="R46" s="26">
        <f t="shared" ref="R46:S46" si="18">R7+R20+R33</f>
        <v>0.19564823531222592</v>
      </c>
      <c r="S46" s="50">
        <f t="shared" si="18"/>
        <v>-35.996220135970241</v>
      </c>
    </row>
    <row r="47" spans="13:26" x14ac:dyDescent="0.2">
      <c r="M47" s="98"/>
      <c r="N47" s="44" t="s">
        <v>113</v>
      </c>
      <c r="O47" s="27">
        <f t="shared" ref="O47:P47" si="19">O8+O21+O34</f>
        <v>244.89406654016094</v>
      </c>
      <c r="P47" s="45">
        <f t="shared" si="19"/>
        <v>-31.690924638286631</v>
      </c>
      <c r="Q47" s="44" t="s">
        <v>113</v>
      </c>
      <c r="R47" s="27">
        <f t="shared" ref="R47:S47" si="20">R8+R21+R34</f>
        <v>38.989314857459632</v>
      </c>
      <c r="S47" s="45">
        <f t="shared" si="20"/>
        <v>226.75314280946236</v>
      </c>
    </row>
    <row r="48" spans="13:26" ht="17" thickBot="1" x14ac:dyDescent="0.25">
      <c r="M48" s="99"/>
      <c r="N48" s="46" t="s">
        <v>114</v>
      </c>
      <c r="O48" s="47">
        <f t="shared" ref="O48:P48" si="21">O9+O22+O35</f>
        <v>-244.54857226332885</v>
      </c>
      <c r="P48" s="48">
        <f t="shared" si="21"/>
        <v>-31.874627203863291</v>
      </c>
      <c r="Q48" s="46" t="s">
        <v>114</v>
      </c>
      <c r="R48" s="47">
        <f t="shared" ref="R48:S48" si="22">R9+R22+R35</f>
        <v>102.55581219733516</v>
      </c>
      <c r="S48" s="48">
        <f t="shared" si="22"/>
        <v>-243.01235725406445</v>
      </c>
    </row>
    <row r="49" spans="13:19" x14ac:dyDescent="0.2">
      <c r="M49" s="97" t="s">
        <v>121</v>
      </c>
      <c r="N49" s="51" t="s">
        <v>115</v>
      </c>
      <c r="O49" s="26">
        <f t="shared" ref="O49:P49" si="23">O10+O23+O36</f>
        <v>11.504283928088954</v>
      </c>
      <c r="P49" s="50">
        <f t="shared" si="23"/>
        <v>22.521128652861961</v>
      </c>
      <c r="Q49" s="51" t="s">
        <v>115</v>
      </c>
      <c r="R49" s="26">
        <f t="shared" ref="R49:S49" si="24">R10+R23+R36</f>
        <v>11.504283928088954</v>
      </c>
      <c r="S49" s="50">
        <f t="shared" si="24"/>
        <v>22.521128652861961</v>
      </c>
    </row>
    <row r="50" spans="13:19" x14ac:dyDescent="0.2">
      <c r="M50" s="98"/>
      <c r="N50" s="44" t="s">
        <v>113</v>
      </c>
      <c r="O50" s="27">
        <f t="shared" ref="O50:P50" si="25">O11+O24+O37</f>
        <v>-98.268669327495999</v>
      </c>
      <c r="P50" s="45">
        <f t="shared" si="25"/>
        <v>25.285910486963203</v>
      </c>
      <c r="Q50" s="44" t="s">
        <v>113</v>
      </c>
      <c r="R50" s="27">
        <f t="shared" ref="R50:S50" si="26">R11+R24+R37</f>
        <v>-98.268669327495999</v>
      </c>
      <c r="S50" s="45">
        <f t="shared" si="26"/>
        <v>25.285910486963203</v>
      </c>
    </row>
    <row r="51" spans="13:19" ht="17" thickBot="1" x14ac:dyDescent="0.25">
      <c r="M51" s="99"/>
      <c r="N51" s="46" t="s">
        <v>114</v>
      </c>
      <c r="O51" s="47">
        <f t="shared" ref="O51:P51" si="27">O12+O25+O38</f>
        <v>118.58402893123956</v>
      </c>
      <c r="P51" s="48">
        <f t="shared" si="27"/>
        <v>14.484042178058152</v>
      </c>
      <c r="Q51" s="46" t="s">
        <v>114</v>
      </c>
      <c r="R51" s="47">
        <f t="shared" ref="R51:S51" si="28">R12+R25+R38</f>
        <v>-98.268669327495999</v>
      </c>
      <c r="S51" s="48">
        <f t="shared" si="28"/>
        <v>25.285910486963203</v>
      </c>
    </row>
  </sheetData>
  <mergeCells count="34">
    <mergeCell ref="A1:C1"/>
    <mergeCell ref="F2:H2"/>
    <mergeCell ref="I2:K2"/>
    <mergeCell ref="E4:E6"/>
    <mergeCell ref="E7:E9"/>
    <mergeCell ref="J4:J6"/>
    <mergeCell ref="K4:K6"/>
    <mergeCell ref="J7:J9"/>
    <mergeCell ref="K7:K9"/>
    <mergeCell ref="M4:M6"/>
    <mergeCell ref="M7:M9"/>
    <mergeCell ref="M10:M12"/>
    <mergeCell ref="Q2:S2"/>
    <mergeCell ref="F1:K1"/>
    <mergeCell ref="N14:S14"/>
    <mergeCell ref="N15:P15"/>
    <mergeCell ref="Q15:S15"/>
    <mergeCell ref="N1:S1"/>
    <mergeCell ref="N2:P2"/>
    <mergeCell ref="N40:S40"/>
    <mergeCell ref="N41:P41"/>
    <mergeCell ref="Q41:S41"/>
    <mergeCell ref="M17:M19"/>
    <mergeCell ref="M20:M22"/>
    <mergeCell ref="M23:M25"/>
    <mergeCell ref="N27:S27"/>
    <mergeCell ref="N28:P28"/>
    <mergeCell ref="Q28:S28"/>
    <mergeCell ref="M43:M45"/>
    <mergeCell ref="M46:M48"/>
    <mergeCell ref="M49:M51"/>
    <mergeCell ref="M30:M32"/>
    <mergeCell ref="M33:M35"/>
    <mergeCell ref="M36:M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workbookViewId="0">
      <selection activeCell="B23" sqref="B23"/>
    </sheetView>
  </sheetViews>
  <sheetFormatPr baseColWidth="10" defaultRowHeight="16" x14ac:dyDescent="0.2"/>
  <cols>
    <col min="1" max="1" width="16" bestFit="1" customWidth="1"/>
    <col min="5" max="5" width="7.1640625" style="29" bestFit="1" customWidth="1"/>
    <col min="6" max="6" width="12.83203125" style="29" bestFit="1" customWidth="1"/>
    <col min="7" max="7" width="17" bestFit="1" customWidth="1"/>
    <col min="8" max="8" width="16.83203125" bestFit="1" customWidth="1"/>
    <col min="9" max="9" width="7.1640625" bestFit="1" customWidth="1"/>
    <col min="10" max="10" width="10" bestFit="1" customWidth="1"/>
    <col min="11" max="11" width="17" bestFit="1" customWidth="1"/>
    <col min="12" max="12" width="16.83203125" bestFit="1" customWidth="1"/>
    <col min="13" max="13" width="7.1640625" bestFit="1" customWidth="1"/>
    <col min="14" max="14" width="10" bestFit="1" customWidth="1"/>
    <col min="15" max="15" width="17" bestFit="1" customWidth="1"/>
    <col min="16" max="16" width="16.83203125" bestFit="1" customWidth="1"/>
  </cols>
  <sheetData>
    <row r="1" spans="1:16" ht="17" thickBot="1" x14ac:dyDescent="0.25">
      <c r="A1" s="115" t="s">
        <v>101</v>
      </c>
      <c r="B1" s="116"/>
      <c r="C1" s="117"/>
      <c r="E1" s="124" t="s">
        <v>115</v>
      </c>
      <c r="F1" s="125"/>
      <c r="G1" s="125"/>
      <c r="H1" s="126"/>
      <c r="I1" s="124" t="s">
        <v>137</v>
      </c>
      <c r="J1" s="125"/>
      <c r="K1" s="125"/>
      <c r="L1" s="126"/>
      <c r="M1" s="124" t="s">
        <v>114</v>
      </c>
      <c r="N1" s="125"/>
      <c r="O1" s="125"/>
      <c r="P1" s="126"/>
    </row>
    <row r="2" spans="1:16" ht="17" thickBot="1" x14ac:dyDescent="0.25">
      <c r="A2" s="44" t="s">
        <v>130</v>
      </c>
      <c r="B2" s="27">
        <f>'Cross-sectional properties'!L29*Input!C21</f>
        <v>398975843.74159712</v>
      </c>
      <c r="C2" s="45" t="s">
        <v>106</v>
      </c>
      <c r="E2" s="130" t="s">
        <v>112</v>
      </c>
      <c r="F2" s="131"/>
      <c r="G2" s="131" t="s">
        <v>134</v>
      </c>
      <c r="H2" s="132"/>
      <c r="I2" s="130" t="s">
        <v>112</v>
      </c>
      <c r="J2" s="131"/>
      <c r="K2" s="131" t="s">
        <v>134</v>
      </c>
      <c r="L2" s="132"/>
      <c r="M2" s="133" t="s">
        <v>112</v>
      </c>
      <c r="N2" s="122"/>
      <c r="O2" s="122" t="s">
        <v>134</v>
      </c>
      <c r="P2" s="123"/>
    </row>
    <row r="3" spans="1:16" ht="17" thickBot="1" x14ac:dyDescent="0.25">
      <c r="A3" s="44" t="s">
        <v>144</v>
      </c>
      <c r="B3" s="27">
        <f>0.25*Input!C2*1000-'Cross-sectional properties'!N2</f>
        <v>48.75</v>
      </c>
      <c r="C3" s="45" t="s">
        <v>85</v>
      </c>
      <c r="E3" s="57" t="s">
        <v>132</v>
      </c>
      <c r="F3" s="85" t="s">
        <v>133</v>
      </c>
      <c r="G3" s="85" t="s">
        <v>135</v>
      </c>
      <c r="H3" s="86" t="s">
        <v>136</v>
      </c>
      <c r="I3" s="57" t="s">
        <v>132</v>
      </c>
      <c r="J3" s="85" t="s">
        <v>133</v>
      </c>
      <c r="K3" s="85" t="s">
        <v>135</v>
      </c>
      <c r="L3" s="86" t="s">
        <v>136</v>
      </c>
      <c r="M3" s="57" t="s">
        <v>132</v>
      </c>
      <c r="N3" s="85" t="s">
        <v>133</v>
      </c>
      <c r="O3" s="85" t="s">
        <v>135</v>
      </c>
      <c r="P3" s="86" t="s">
        <v>136</v>
      </c>
    </row>
    <row r="4" spans="1:16" x14ac:dyDescent="0.2">
      <c r="A4" s="44" t="s">
        <v>131</v>
      </c>
      <c r="B4" s="27">
        <f>Input!C7*10</f>
        <v>350</v>
      </c>
      <c r="C4" s="45" t="s">
        <v>85</v>
      </c>
      <c r="E4" s="51">
        <v>0</v>
      </c>
      <c r="F4" s="26">
        <f>$B$11*E6^2/$B$2/2</f>
        <v>-3.6326812982158792E-4</v>
      </c>
      <c r="G4" s="12">
        <f>-F4*'Cross-sectional properties'!$N$2</f>
        <v>3.7234983306712759E-2</v>
      </c>
      <c r="H4" s="74">
        <f>F4*'Cross-sectional properties'!$N$3</f>
        <v>-0.18254223523534793</v>
      </c>
      <c r="I4" s="51">
        <v>0</v>
      </c>
      <c r="J4" s="26">
        <f>$B$16*I6^2/$B$2/2</f>
        <v>-3.2074672078833522E-4</v>
      </c>
      <c r="K4" s="12">
        <f>-J4*'Cross-sectional properties'!$N$2</f>
        <v>3.2876538880804357E-2</v>
      </c>
      <c r="L4" s="74">
        <f>J4*'Cross-sectional properties'!$N$3</f>
        <v>-0.16117522719613844</v>
      </c>
      <c r="M4" s="51">
        <v>0</v>
      </c>
      <c r="N4" s="26">
        <f>$B$21*M6^2/$B$2/2</f>
        <v>-3.2074672078833522E-4</v>
      </c>
      <c r="O4" s="12">
        <f>-N4*'Cross-sectional properties'!$N$2</f>
        <v>3.2876538880804357E-2</v>
      </c>
      <c r="P4" s="74">
        <f>N4*'Cross-sectional properties'!$N$3</f>
        <v>-0.16117522719613844</v>
      </c>
    </row>
    <row r="5" spans="1:16" x14ac:dyDescent="0.2">
      <c r="A5" s="44" t="s">
        <v>127</v>
      </c>
      <c r="B5" s="27">
        <f>Input!C4*1000</f>
        <v>172</v>
      </c>
      <c r="C5" s="45" t="s">
        <v>85</v>
      </c>
      <c r="E5" s="44">
        <f>$B5</f>
        <v>172</v>
      </c>
      <c r="F5" s="27">
        <f>$F$4+$B$11*(E5^2)/$B$2/2</f>
        <v>-3.732811405405712E-4</v>
      </c>
      <c r="G5" s="10">
        <f>-F5*'Cross-sectional properties'!$N$2</f>
        <v>3.826131690540855E-2</v>
      </c>
      <c r="H5" s="68">
        <f>F5*'Cross-sectional properties'!$N$3</f>
        <v>-0.18757377312163703</v>
      </c>
      <c r="I5" s="44">
        <f>$B5</f>
        <v>172</v>
      </c>
      <c r="J5" s="27">
        <f>$F$4+$B$16*(I5^2)/$B$2/2</f>
        <v>-3.721090935331848E-4</v>
      </c>
      <c r="K5" s="10">
        <f>-J5*'Cross-sectional properties'!$N$2</f>
        <v>3.8141182087151441E-2</v>
      </c>
      <c r="L5" s="68">
        <f>J5*'Cross-sectional properties'!$N$3</f>
        <v>-0.18698481950042536</v>
      </c>
      <c r="M5" s="44">
        <f>$B5</f>
        <v>172</v>
      </c>
      <c r="N5" s="27">
        <f>$F$4+$B$21*(M5^2)/$B$2/2</f>
        <v>-3.721090935331848E-4</v>
      </c>
      <c r="O5" s="10">
        <f>-N5*'Cross-sectional properties'!$N$2</f>
        <v>3.8141182087151441E-2</v>
      </c>
      <c r="P5" s="68">
        <f>N5*'Cross-sectional properties'!$N$3</f>
        <v>-0.18698481950042536</v>
      </c>
    </row>
    <row r="6" spans="1:16" x14ac:dyDescent="0.2">
      <c r="A6" s="44" t="s">
        <v>102</v>
      </c>
      <c r="B6" s="42">
        <f>(Input!C5-Input!C4)*1000</f>
        <v>1039.0000000000002</v>
      </c>
      <c r="C6" s="45" t="s">
        <v>85</v>
      </c>
      <c r="E6" s="44">
        <f>$B6-$B4/2+$B5</f>
        <v>1036.0000000000002</v>
      </c>
      <c r="F6" s="27">
        <v>0</v>
      </c>
      <c r="G6" s="10">
        <f>-F6*'Cross-sectional properties'!$N$2</f>
        <v>0</v>
      </c>
      <c r="H6" s="68">
        <f>F6*'Cross-sectional properties'!$N$3</f>
        <v>0</v>
      </c>
      <c r="I6" s="44">
        <f>$B6-$B4/2+$B5</f>
        <v>1036.0000000000002</v>
      </c>
      <c r="J6" s="27">
        <v>0</v>
      </c>
      <c r="K6" s="10">
        <f>-J6*'Cross-sectional properties'!$N$2</f>
        <v>0</v>
      </c>
      <c r="L6" s="68">
        <f>J6*'Cross-sectional properties'!$N$3</f>
        <v>0</v>
      </c>
      <c r="M6" s="44">
        <f>$B6-$B4/2+$B5</f>
        <v>1036.0000000000002</v>
      </c>
      <c r="N6" s="27">
        <v>0</v>
      </c>
      <c r="O6" s="10">
        <f>-N6*'Cross-sectional properties'!$N$2</f>
        <v>0</v>
      </c>
      <c r="P6" s="68">
        <f>N6*'Cross-sectional properties'!$N$3</f>
        <v>0</v>
      </c>
    </row>
    <row r="7" spans="1:16" x14ac:dyDescent="0.2">
      <c r="A7" s="44" t="s">
        <v>103</v>
      </c>
      <c r="B7" s="42">
        <f>(Input!C6-Input!C5)*1000</f>
        <v>1380.0000000000002</v>
      </c>
      <c r="C7" s="45" t="s">
        <v>85</v>
      </c>
      <c r="E7" s="44">
        <f>$B6+$B4/2+$B5</f>
        <v>1386.0000000000002</v>
      </c>
      <c r="F7" s="27">
        <f>$F$4+$B$11*(E7^2)/$B$2/2+(E7-E6)*$B$13*1000/$B$2</f>
        <v>-9.7714354568166975E-3</v>
      </c>
      <c r="G7" s="10">
        <f>-F7*'Cross-sectional properties'!$N$2</f>
        <v>1.0015721343237114</v>
      </c>
      <c r="H7" s="68">
        <f>F7*'Cross-sectional properties'!$N$3</f>
        <v>-4.9101463170503905</v>
      </c>
      <c r="I7" s="44">
        <f>$B6+$B4/2+$B5</f>
        <v>1386.0000000000002</v>
      </c>
      <c r="J7" s="27">
        <f>$F$4+$B$16*(I7^2)/$B$2/2+(I7-I6)*$B$18*1000/$B$2</f>
        <v>-8.6701868244059253E-3</v>
      </c>
      <c r="K7" s="10">
        <f>-J7*'Cross-sectional properties'!$N$2</f>
        <v>0.8886941495016073</v>
      </c>
      <c r="L7" s="68">
        <f>J7*'Cross-sectional properties'!$N$3</f>
        <v>-4.3567688792639778</v>
      </c>
      <c r="M7" s="44">
        <f>$B6+$B4/2+$B5</f>
        <v>1386.0000000000002</v>
      </c>
      <c r="N7" s="27">
        <f>$F$4+$B$21*(M7^2)/$B$2/2+(M7-M6)*$B$23*1000/$B$2</f>
        <v>-8.6701868244059253E-3</v>
      </c>
      <c r="O7" s="10">
        <f>-N7*'Cross-sectional properties'!$N$2</f>
        <v>0.8886941495016073</v>
      </c>
      <c r="P7" s="68">
        <f>N7*'Cross-sectional properties'!$N$3</f>
        <v>-4.3567688792639778</v>
      </c>
    </row>
    <row r="8" spans="1:16" ht="17" thickBot="1" x14ac:dyDescent="0.25">
      <c r="A8" s="64" t="s">
        <v>126</v>
      </c>
      <c r="B8" s="47">
        <f>Input!C3*1000-Input!C6*1000</f>
        <v>70</v>
      </c>
      <c r="C8" s="48" t="s">
        <v>85</v>
      </c>
      <c r="E8" s="69">
        <f>$B5+$B6+$B7</f>
        <v>2591.0000000000005</v>
      </c>
      <c r="F8" s="27">
        <f>$F$4+$B$11*(E8^2)/$B$2/2+(E7-E6)*$B$13*1000/$B$2</f>
        <v>-1.1393433870601943E-2</v>
      </c>
      <c r="G8" s="10">
        <f>-F8*'Cross-sectional properties'!$N$2</f>
        <v>1.1678269717366991</v>
      </c>
      <c r="H8" s="68">
        <f>F8*'Cross-sectional properties'!$N$3</f>
        <v>-5.7252005199774763</v>
      </c>
      <c r="I8" s="69">
        <f>$B5+$B6+$B7</f>
        <v>2591.0000000000005</v>
      </c>
      <c r="J8" s="27">
        <f>$F$4+$B$16*(I8^2)/$B$2/2+(I7-I6)*$B$18*1000/$B$2</f>
        <v>-1.0102326419478605E-2</v>
      </c>
      <c r="K8" s="10">
        <f>-J8*'Cross-sectional properties'!$N$2</f>
        <v>1.0354884579965569</v>
      </c>
      <c r="L8" s="68">
        <f>J8*'Cross-sectional properties'!$N$3</f>
        <v>-5.0764190257879989</v>
      </c>
      <c r="M8" s="69">
        <f>$B5+$B6+$B7</f>
        <v>2591.0000000000005</v>
      </c>
      <c r="N8" s="27">
        <f>$F$4+$B$21*(M8^2)/$B$2/2+(M7-M6)*$B$23*1000/$B$2</f>
        <v>-1.0102326419478605E-2</v>
      </c>
      <c r="O8" s="10">
        <f>-N8*'Cross-sectional properties'!$N$2</f>
        <v>1.0354884579965569</v>
      </c>
      <c r="P8" s="68">
        <f>N8*'Cross-sectional properties'!$N$3</f>
        <v>-5.0764190257879989</v>
      </c>
    </row>
    <row r="9" spans="1:16" ht="17" thickBot="1" x14ac:dyDescent="0.25">
      <c r="E9" s="70">
        <f>$B5+$B6+$B7+$B8</f>
        <v>2661.0000000000005</v>
      </c>
      <c r="F9" s="47">
        <f>$F$4+$B$11*(E9^2)/$B$2/2+(E7-E6)*$B$13*1000/$B$2</f>
        <v>-1.1517865430253342E-2</v>
      </c>
      <c r="G9" s="67">
        <f>-F9*'Cross-sectional properties'!$N$2</f>
        <v>1.1805812066009675</v>
      </c>
      <c r="H9" s="71">
        <f>F9*'Cross-sectional properties'!$N$3</f>
        <v>-5.7877273787023045</v>
      </c>
      <c r="I9" s="70">
        <f>$B5+$B6+$B7+$B8</f>
        <v>2661.0000000000005</v>
      </c>
      <c r="J9" s="47">
        <f>$F$4+$B$16*(I9^2)/$B$2/2+(I7-I6)*$B$18*1000/$B$2</f>
        <v>-1.021219296554849E-2</v>
      </c>
      <c r="K9" s="67">
        <f>-J9*'Cross-sectional properties'!$N$2</f>
        <v>1.0467497789687203</v>
      </c>
      <c r="L9" s="71">
        <f>J9*'Cross-sectional properties'!$N$3</f>
        <v>-5.1316269651881168</v>
      </c>
      <c r="M9" s="70">
        <f>$B5+$B6+$B7+$B8</f>
        <v>2661.0000000000005</v>
      </c>
      <c r="N9" s="47">
        <f>$F$4+$B$21*(M9^2)/$B$2/2+(M7-M6)*$B$23*1000/$B$2</f>
        <v>-1.021219296554849E-2</v>
      </c>
      <c r="O9" s="67">
        <f>-N9*'Cross-sectional properties'!$N$2</f>
        <v>1.0467497789687203</v>
      </c>
      <c r="P9" s="71">
        <f>N9*'Cross-sectional properties'!$N$3</f>
        <v>-5.1316269651881168</v>
      </c>
    </row>
    <row r="10" spans="1:16" x14ac:dyDescent="0.2">
      <c r="A10" s="127" t="s">
        <v>115</v>
      </c>
      <c r="B10" s="128"/>
      <c r="C10" s="129"/>
    </row>
    <row r="11" spans="1:16" x14ac:dyDescent="0.2">
      <c r="A11" s="65" t="s">
        <v>138</v>
      </c>
      <c r="B11" s="10">
        <f>-Input!C$19*B$3/1000</f>
        <v>-0.27007500000000001</v>
      </c>
      <c r="C11" s="66" t="s">
        <v>142</v>
      </c>
      <c r="E11" s="84" t="s">
        <v>168</v>
      </c>
    </row>
    <row r="12" spans="1:16" x14ac:dyDescent="0.2">
      <c r="A12" s="65" t="s">
        <v>143</v>
      </c>
      <c r="B12" s="10">
        <f>-B$11*(B$5+B$6+B$7+B$8)/1000-B13</f>
        <v>10.702169574999999</v>
      </c>
      <c r="C12" s="66" t="s">
        <v>141</v>
      </c>
    </row>
    <row r="13" spans="1:16" x14ac:dyDescent="0.2">
      <c r="A13" s="65" t="s">
        <v>139</v>
      </c>
      <c r="B13" s="10">
        <f>-Input!C$18*'Cross-sectional properties'!N$2/1000</f>
        <v>-9.9834999999999994</v>
      </c>
      <c r="C13" s="66" t="s">
        <v>141</v>
      </c>
    </row>
    <row r="14" spans="1:16" ht="17" thickBot="1" x14ac:dyDescent="0.25">
      <c r="A14" s="64" t="s">
        <v>145</v>
      </c>
      <c r="B14" s="67">
        <f>B12/('Cross-sectional properties'!N$2/1000)</f>
        <v>104.41141048780487</v>
      </c>
      <c r="C14" s="48" t="s">
        <v>140</v>
      </c>
    </row>
    <row r="15" spans="1:16" x14ac:dyDescent="0.2">
      <c r="A15" s="119" t="s">
        <v>113</v>
      </c>
      <c r="B15" s="120"/>
      <c r="C15" s="121"/>
      <c r="E15" s="40"/>
    </row>
    <row r="16" spans="1:16" x14ac:dyDescent="0.2">
      <c r="A16" s="65" t="s">
        <v>138</v>
      </c>
      <c r="B16" s="10">
        <f>-Input!C$19*B$3/1000*COS(PI()/180*Input!C$17)</f>
        <v>-0.23846207114137472</v>
      </c>
      <c r="C16" s="66" t="s">
        <v>142</v>
      </c>
    </row>
    <row r="17" spans="1:3" x14ac:dyDescent="0.2">
      <c r="A17" s="65" t="s">
        <v>143</v>
      </c>
      <c r="B17" s="10">
        <f>-B$16*(B$5+B$6+B$7+B$8)/1000-B18</f>
        <v>9.449454864614296</v>
      </c>
      <c r="C17" s="66" t="s">
        <v>141</v>
      </c>
    </row>
    <row r="18" spans="1:3" x14ac:dyDescent="0.2">
      <c r="A18" s="65" t="s">
        <v>139</v>
      </c>
      <c r="B18" s="10">
        <f>-Input!C$18*'Cross-sectional properties'!N$2/1000*COS(PI()/180*Input!C$17)</f>
        <v>-8.8149072933070975</v>
      </c>
      <c r="C18" s="66" t="s">
        <v>141</v>
      </c>
    </row>
    <row r="19" spans="1:3" ht="17" thickBot="1" x14ac:dyDescent="0.25">
      <c r="A19" s="64" t="s">
        <v>145</v>
      </c>
      <c r="B19" s="67">
        <f>B17/('Cross-sectional properties'!N$2/1000*COS(PI()/180*Input!C$17))</f>
        <v>104.41141048780489</v>
      </c>
      <c r="C19" s="48" t="s">
        <v>140</v>
      </c>
    </row>
    <row r="20" spans="1:3" x14ac:dyDescent="0.2">
      <c r="A20" s="119" t="s">
        <v>114</v>
      </c>
      <c r="B20" s="120"/>
      <c r="C20" s="121"/>
    </row>
    <row r="21" spans="1:3" x14ac:dyDescent="0.2">
      <c r="A21" s="65" t="s">
        <v>138</v>
      </c>
      <c r="B21" s="10">
        <f>-Input!C$19*B$3/1000*COS(PI()/180*Input!C$17)</f>
        <v>-0.23846207114137472</v>
      </c>
      <c r="C21" s="66" t="s">
        <v>142</v>
      </c>
    </row>
    <row r="22" spans="1:3" x14ac:dyDescent="0.2">
      <c r="A22" s="65" t="s">
        <v>143</v>
      </c>
      <c r="B22" s="10">
        <f>-B$21*(B$5+B$6+B$7+B$8)/1000-B23</f>
        <v>9.449454864614296</v>
      </c>
      <c r="C22" s="66" t="s">
        <v>141</v>
      </c>
    </row>
    <row r="23" spans="1:3" x14ac:dyDescent="0.2">
      <c r="A23" s="65" t="s">
        <v>139</v>
      </c>
      <c r="B23" s="10">
        <f>-Input!C$18*'Cross-sectional properties'!N$2/1000*COS(PI()/180*Input!C$17)</f>
        <v>-8.8149072933070975</v>
      </c>
      <c r="C23" s="66" t="s">
        <v>141</v>
      </c>
    </row>
    <row r="24" spans="1:3" ht="17" thickBot="1" x14ac:dyDescent="0.25">
      <c r="A24" s="64" t="s">
        <v>145</v>
      </c>
      <c r="B24" s="67">
        <f>B22/('Cross-sectional properties'!N$2/1000*COS(PI()/180*Input!C$17))</f>
        <v>104.41141048780489</v>
      </c>
      <c r="C24" s="48" t="s">
        <v>140</v>
      </c>
    </row>
  </sheetData>
  <mergeCells count="13">
    <mergeCell ref="A15:C15"/>
    <mergeCell ref="A20:C20"/>
    <mergeCell ref="O2:P2"/>
    <mergeCell ref="E1:H1"/>
    <mergeCell ref="I1:L1"/>
    <mergeCell ref="M1:P1"/>
    <mergeCell ref="A10:C10"/>
    <mergeCell ref="A1:C1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showGridLines="0" topLeftCell="C1" workbookViewId="0">
      <selection activeCell="K9" sqref="K9"/>
    </sheetView>
  </sheetViews>
  <sheetFormatPr baseColWidth="10" defaultRowHeight="16" x14ac:dyDescent="0.2"/>
  <cols>
    <col min="9" max="9" width="18" style="29" bestFit="1" customWidth="1"/>
    <col min="10" max="10" width="10" style="29" bestFit="1" customWidth="1"/>
    <col min="11" max="11" width="12.1640625" style="29" bestFit="1" customWidth="1"/>
    <col min="12" max="13" width="10" style="29" bestFit="1" customWidth="1"/>
    <col min="14" max="21" width="10.83203125" style="29"/>
    <col min="24" max="35" width="7.5" hidden="1" customWidth="1"/>
  </cols>
  <sheetData>
    <row r="1" spans="1:35" ht="17" thickBot="1" x14ac:dyDescent="0.25">
      <c r="B1" s="100" t="s">
        <v>116</v>
      </c>
      <c r="C1" s="101"/>
      <c r="D1" s="101"/>
      <c r="E1" s="101"/>
      <c r="F1" s="101"/>
      <c r="G1" s="102"/>
      <c r="I1" t="s">
        <v>159</v>
      </c>
      <c r="J1" s="135" t="s">
        <v>161</v>
      </c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35" ht="17" thickBot="1" x14ac:dyDescent="0.25">
      <c r="B2" s="103" t="s">
        <v>107</v>
      </c>
      <c r="C2" s="104"/>
      <c r="D2" s="105"/>
      <c r="E2" s="103" t="s">
        <v>108</v>
      </c>
      <c r="F2" s="104"/>
      <c r="G2" s="105"/>
      <c r="I2" t="s">
        <v>160</v>
      </c>
      <c r="J2" s="138" t="s">
        <v>115</v>
      </c>
      <c r="K2" s="139"/>
      <c r="L2" s="139"/>
      <c r="M2" s="140"/>
      <c r="N2" s="138" t="s">
        <v>153</v>
      </c>
      <c r="O2" s="139"/>
      <c r="P2" s="139"/>
      <c r="Q2" s="140"/>
      <c r="R2" s="138" t="s">
        <v>154</v>
      </c>
      <c r="S2" s="139"/>
      <c r="T2" s="139"/>
      <c r="U2" s="140"/>
    </row>
    <row r="3" spans="1:35" ht="17" thickBot="1" x14ac:dyDescent="0.25">
      <c r="A3" s="56" t="s">
        <v>123</v>
      </c>
      <c r="B3" s="57" t="s">
        <v>112</v>
      </c>
      <c r="C3" s="58" t="s">
        <v>117</v>
      </c>
      <c r="D3" s="59" t="s">
        <v>118</v>
      </c>
      <c r="E3" s="57" t="s">
        <v>112</v>
      </c>
      <c r="F3" s="58" t="s">
        <v>117</v>
      </c>
      <c r="G3" s="59" t="s">
        <v>118</v>
      </c>
      <c r="I3" s="79" t="s">
        <v>132</v>
      </c>
      <c r="J3" s="46" t="s">
        <v>156</v>
      </c>
      <c r="K3" s="47" t="s">
        <v>155</v>
      </c>
      <c r="L3" s="46" t="s">
        <v>158</v>
      </c>
      <c r="M3" s="48" t="s">
        <v>157</v>
      </c>
      <c r="N3" s="46" t="s">
        <v>156</v>
      </c>
      <c r="O3" s="47" t="s">
        <v>155</v>
      </c>
      <c r="P3" s="46" t="s">
        <v>158</v>
      </c>
      <c r="Q3" s="48" t="s">
        <v>157</v>
      </c>
      <c r="R3" s="46" t="s">
        <v>156</v>
      </c>
      <c r="S3" s="47" t="s">
        <v>155</v>
      </c>
      <c r="T3" s="46" t="s">
        <v>158</v>
      </c>
      <c r="U3" s="48" t="s">
        <v>157</v>
      </c>
    </row>
    <row r="4" spans="1:35" x14ac:dyDescent="0.2">
      <c r="A4" s="97" t="s">
        <v>119</v>
      </c>
      <c r="B4" s="51" t="s">
        <v>115</v>
      </c>
      <c r="C4" s="26">
        <f>'Aileron shear'!O43</f>
        <v>-18.711342651206046</v>
      </c>
      <c r="D4" s="50">
        <f>'Aileron shear'!P43</f>
        <v>28.217031483108279</v>
      </c>
      <c r="E4" s="51" t="s">
        <v>115</v>
      </c>
      <c r="F4" s="26">
        <f>'Aileron shear'!R43</f>
        <v>-18.711342651206046</v>
      </c>
      <c r="G4" s="50">
        <f>'Aileron shear'!S43</f>
        <v>28.217031483108279</v>
      </c>
      <c r="I4" s="55">
        <f>'Aileron torsion'!E$4</f>
        <v>0</v>
      </c>
      <c r="J4" s="76">
        <f t="shared" ref="J4:U4" si="0">J14+J24+J34+J44</f>
        <v>0</v>
      </c>
      <c r="K4" s="77">
        <f t="shared" si="0"/>
        <v>12.584829580829823</v>
      </c>
      <c r="L4" s="75">
        <f t="shared" si="0"/>
        <v>0</v>
      </c>
      <c r="M4" s="78">
        <f t="shared" si="0"/>
        <v>12.365052362287763</v>
      </c>
      <c r="N4" s="52">
        <f t="shared" si="0"/>
        <v>-5.8907388449029749</v>
      </c>
      <c r="O4" s="54">
        <f t="shared" si="0"/>
        <v>11.111744984933511</v>
      </c>
      <c r="P4" s="82">
        <f t="shared" si="0"/>
        <v>-5.8907388449029749</v>
      </c>
      <c r="Q4" s="83">
        <f t="shared" si="0"/>
        <v>10.917693218856567</v>
      </c>
      <c r="R4" s="52">
        <f t="shared" si="0"/>
        <v>5.8907388449029749</v>
      </c>
      <c r="S4" s="54">
        <f t="shared" si="0"/>
        <v>11.111744984933511</v>
      </c>
      <c r="T4" s="82">
        <f t="shared" si="0"/>
        <v>5.8907388449029749</v>
      </c>
      <c r="U4" s="54">
        <f t="shared" si="0"/>
        <v>10.917693218856567</v>
      </c>
      <c r="X4" s="27" t="str">
        <f>'Aileron shear'!A2</f>
        <v>EI_yy</v>
      </c>
      <c r="Y4" s="27">
        <f>'Aileron shear'!B2</f>
        <v>10225480216.533628</v>
      </c>
    </row>
    <row r="5" spans="1:35" x14ac:dyDescent="0.2">
      <c r="A5" s="98"/>
      <c r="B5" s="44" t="s">
        <v>113</v>
      </c>
      <c r="C5" s="27">
        <f>'Aileron shear'!O44</f>
        <v>-159.73702683571389</v>
      </c>
      <c r="D5" s="45">
        <f>'Aileron shear'!P44</f>
        <v>16.129716749351019</v>
      </c>
      <c r="E5" s="44" t="s">
        <v>113</v>
      </c>
      <c r="F5" s="27">
        <f>'Aileron shear'!R44</f>
        <v>-134.44785743668601</v>
      </c>
      <c r="G5" s="45">
        <f>'Aileron shear'!S44</f>
        <v>-51.835505970768246</v>
      </c>
      <c r="I5" s="72">
        <f>'Aileron torsion'!E$5</f>
        <v>172</v>
      </c>
      <c r="J5" s="44">
        <f t="shared" ref="J5:U5" si="1">J15+J25+J35+J45</f>
        <v>0</v>
      </c>
      <c r="K5" s="45">
        <f t="shared" si="1"/>
        <v>11.578261316905408</v>
      </c>
      <c r="L5" s="43">
        <f t="shared" si="1"/>
        <v>0</v>
      </c>
      <c r="M5" s="62">
        <f t="shared" si="1"/>
        <v>11.352426226878363</v>
      </c>
      <c r="N5" s="44">
        <f t="shared" si="1"/>
        <v>-5.4177018345491792</v>
      </c>
      <c r="O5" s="45">
        <f t="shared" si="1"/>
        <v>10.227356403679169</v>
      </c>
      <c r="P5" s="43">
        <f t="shared" si="1"/>
        <v>-5.4177018345491792</v>
      </c>
      <c r="Q5" s="62">
        <f t="shared" si="1"/>
        <v>10.002230402091591</v>
      </c>
      <c r="R5" s="44">
        <f t="shared" si="1"/>
        <v>5.4177018345491792</v>
      </c>
      <c r="S5" s="45">
        <f t="shared" si="1"/>
        <v>10.227356403679169</v>
      </c>
      <c r="T5" s="43">
        <f t="shared" si="1"/>
        <v>5.4177018345491792</v>
      </c>
      <c r="U5" s="45">
        <f t="shared" si="1"/>
        <v>10.002230402091591</v>
      </c>
      <c r="X5" s="27" t="str">
        <f>'Aileron shear'!A3</f>
        <v>EI_zz</v>
      </c>
      <c r="Y5" s="27">
        <f>'Aileron shear'!B3</f>
        <v>735707595.31889546</v>
      </c>
    </row>
    <row r="6" spans="1:35" ht="17" thickBot="1" x14ac:dyDescent="0.25">
      <c r="A6" s="99"/>
      <c r="B6" s="46" t="s">
        <v>114</v>
      </c>
      <c r="C6" s="47">
        <f>'Aileron shear'!O45</f>
        <v>126.69475692963198</v>
      </c>
      <c r="D6" s="48">
        <f>'Aileron shear'!P45</f>
        <v>33.698603301919015</v>
      </c>
      <c r="E6" s="46" t="s">
        <v>114</v>
      </c>
      <c r="F6" s="47">
        <f>'Aileron shear'!R45</f>
        <v>-152.24103275859417</v>
      </c>
      <c r="G6" s="48">
        <f>'Aileron shear'!S45</f>
        <v>79.658602602220355</v>
      </c>
      <c r="I6" s="72">
        <f>'Aileron torsion'!E$6</f>
        <v>1036.0000000000002</v>
      </c>
      <c r="J6" s="44">
        <f t="shared" ref="J6:U6" si="2">J16+J26+J36+J46</f>
        <v>0</v>
      </c>
      <c r="K6" s="45">
        <f t="shared" si="2"/>
        <v>0.54470997255137021</v>
      </c>
      <c r="L6" s="43">
        <f t="shared" si="2"/>
        <v>0</v>
      </c>
      <c r="M6" s="62">
        <f t="shared" si="2"/>
        <v>0.54470997255137021</v>
      </c>
      <c r="N6" s="44">
        <f t="shared" si="2"/>
        <v>-0.2557258420787516</v>
      </c>
      <c r="O6" s="45">
        <f t="shared" si="2"/>
        <v>0.48095035907048356</v>
      </c>
      <c r="P6" s="43">
        <f t="shared" si="2"/>
        <v>-0.2557258420787516</v>
      </c>
      <c r="Q6" s="62">
        <f t="shared" si="2"/>
        <v>0.48095035907048356</v>
      </c>
      <c r="R6" s="44">
        <f t="shared" si="2"/>
        <v>0.2557258420787516</v>
      </c>
      <c r="S6" s="45">
        <f t="shared" si="2"/>
        <v>0.48095035907048356</v>
      </c>
      <c r="T6" s="43">
        <f t="shared" si="2"/>
        <v>0.2557258420787516</v>
      </c>
      <c r="U6" s="45">
        <f t="shared" si="2"/>
        <v>0.48095035907048356</v>
      </c>
      <c r="X6" s="27" t="str">
        <f>'Aileron shear'!A4</f>
        <v>L01</v>
      </c>
      <c r="Y6" s="27">
        <f>'Aileron shear'!B4</f>
        <v>172</v>
      </c>
    </row>
    <row r="7" spans="1:35" x14ac:dyDescent="0.2">
      <c r="A7" s="97" t="s">
        <v>120</v>
      </c>
      <c r="B7" s="51" t="s">
        <v>115</v>
      </c>
      <c r="C7" s="26">
        <f>'Aileron shear'!O46</f>
        <v>0.19564823531222592</v>
      </c>
      <c r="D7" s="50">
        <f>'Aileron shear'!P46</f>
        <v>-35.996220135970241</v>
      </c>
      <c r="E7" s="51" t="s">
        <v>115</v>
      </c>
      <c r="F7" s="26">
        <f>'Aileron shear'!R46</f>
        <v>0.19564823531222592</v>
      </c>
      <c r="G7" s="50">
        <f>'Aileron shear'!S46</f>
        <v>-35.996220135970241</v>
      </c>
      <c r="I7" s="72">
        <f>'Aileron torsion'!E$7</f>
        <v>1386.0000000000002</v>
      </c>
      <c r="J7" s="44">
        <f t="shared" ref="J7:U7" si="3">J17+J27+J37+J47</f>
        <v>0</v>
      </c>
      <c r="K7" s="45">
        <f t="shared" si="3"/>
        <v>1.3394370496946397</v>
      </c>
      <c r="L7" s="43">
        <f t="shared" si="3"/>
        <v>0</v>
      </c>
      <c r="M7" s="62">
        <f t="shared" si="3"/>
        <v>-4.5722814016794624</v>
      </c>
      <c r="N7" s="44">
        <f t="shared" si="3"/>
        <v>-0.15861796982971296</v>
      </c>
      <c r="O7" s="45">
        <f t="shared" si="3"/>
        <v>1.1870111632398537</v>
      </c>
      <c r="P7" s="43">
        <f t="shared" si="3"/>
        <v>-0.15861796982971296</v>
      </c>
      <c r="Q7" s="62">
        <f t="shared" si="3"/>
        <v>-4.0584518655257318</v>
      </c>
      <c r="R7" s="44">
        <f t="shared" si="3"/>
        <v>0.15861796982971296</v>
      </c>
      <c r="S7" s="45">
        <f t="shared" si="3"/>
        <v>1.1870111632398537</v>
      </c>
      <c r="T7" s="43">
        <f t="shared" si="3"/>
        <v>0.15861796982971296</v>
      </c>
      <c r="U7" s="45">
        <f t="shared" si="3"/>
        <v>-4.0584518655257318</v>
      </c>
      <c r="X7" s="27" t="str">
        <f>'Aileron shear'!A5</f>
        <v>L12</v>
      </c>
      <c r="Y7" s="27">
        <f>'Aileron shear'!B5</f>
        <v>1039.0000000000002</v>
      </c>
    </row>
    <row r="8" spans="1:35" x14ac:dyDescent="0.2">
      <c r="A8" s="98"/>
      <c r="B8" s="44" t="s">
        <v>113</v>
      </c>
      <c r="C8" s="27">
        <f>'Aileron shear'!O47</f>
        <v>244.89406654016094</v>
      </c>
      <c r="D8" s="45">
        <f>'Aileron shear'!P47</f>
        <v>-31.690924638286631</v>
      </c>
      <c r="E8" s="44" t="s">
        <v>113</v>
      </c>
      <c r="F8" s="27">
        <f>'Aileron shear'!R47</f>
        <v>38.989314857459632</v>
      </c>
      <c r="G8" s="45">
        <f>'Aileron shear'!S47</f>
        <v>226.75314280946236</v>
      </c>
      <c r="I8" s="80">
        <f>'Aileron torsion'!E$8</f>
        <v>2591.0000000000005</v>
      </c>
      <c r="J8" s="44">
        <f t="shared" ref="J8:U8" si="4">J18+J28+J38+J48</f>
        <v>0</v>
      </c>
      <c r="K8" s="45">
        <f t="shared" si="4"/>
        <v>19.5678269717367</v>
      </c>
      <c r="L8" s="43">
        <f t="shared" si="4"/>
        <v>0</v>
      </c>
      <c r="M8" s="62">
        <f t="shared" si="4"/>
        <v>12.674799480022525</v>
      </c>
      <c r="N8" s="44">
        <f t="shared" si="4"/>
        <v>-8.6382767552603923</v>
      </c>
      <c r="O8" s="45">
        <f t="shared" si="4"/>
        <v>17.281724166600817</v>
      </c>
      <c r="P8" s="43">
        <f t="shared" si="4"/>
        <v>-8.6382767552603923</v>
      </c>
      <c r="Q8" s="62">
        <f t="shared" si="4"/>
        <v>11.169816682816261</v>
      </c>
      <c r="R8" s="44">
        <f t="shared" si="4"/>
        <v>8.6382767552603923</v>
      </c>
      <c r="S8" s="45">
        <f t="shared" si="4"/>
        <v>17.281724166600817</v>
      </c>
      <c r="T8" s="43">
        <f t="shared" si="4"/>
        <v>8.6382767552603923</v>
      </c>
      <c r="U8" s="45">
        <f t="shared" si="4"/>
        <v>11.169816682816261</v>
      </c>
      <c r="X8" s="27" t="str">
        <f>'Aileron shear'!A6</f>
        <v>L23</v>
      </c>
      <c r="Y8" s="27">
        <f>'Aileron shear'!B6</f>
        <v>1380.0000000000002</v>
      </c>
    </row>
    <row r="9" spans="1:35" ht="17" thickBot="1" x14ac:dyDescent="0.25">
      <c r="A9" s="99"/>
      <c r="B9" s="46" t="s">
        <v>114</v>
      </c>
      <c r="C9" s="47">
        <f>'Aileron shear'!O48</f>
        <v>-244.54857226332885</v>
      </c>
      <c r="D9" s="48">
        <f>'Aileron shear'!P48</f>
        <v>-31.874627203863291</v>
      </c>
      <c r="E9" s="46" t="s">
        <v>114</v>
      </c>
      <c r="F9" s="47">
        <f>'Aileron shear'!R48</f>
        <v>102.55581219733516</v>
      </c>
      <c r="G9" s="48">
        <f>'Aileron shear'!S48</f>
        <v>-243.01235725406445</v>
      </c>
      <c r="I9" s="81">
        <f>'Aileron torsion'!E$9</f>
        <v>2661.0000000000005</v>
      </c>
      <c r="J9" s="46">
        <f t="shared" ref="J9:U9" si="5">J19+J29+J39+J49</f>
        <v>0</v>
      </c>
      <c r="K9" s="48">
        <f t="shared" si="5"/>
        <v>21.001909603079334</v>
      </c>
      <c r="L9" s="49">
        <f t="shared" si="5"/>
        <v>0</v>
      </c>
      <c r="M9" s="63">
        <f t="shared" si="5"/>
        <v>14.033601017776064</v>
      </c>
      <c r="N9" s="46">
        <f t="shared" si="5"/>
        <v>-9.3055500187870557</v>
      </c>
      <c r="O9" s="48">
        <f t="shared" si="5"/>
        <v>18.547943973905593</v>
      </c>
      <c r="P9" s="49">
        <f t="shared" si="5"/>
        <v>-9.3055500187870557</v>
      </c>
      <c r="Q9" s="63">
        <f t="shared" si="5"/>
        <v>12.369567229748755</v>
      </c>
      <c r="R9" s="46">
        <f t="shared" si="5"/>
        <v>9.3055500187870557</v>
      </c>
      <c r="S9" s="48">
        <f t="shared" si="5"/>
        <v>18.547943973905593</v>
      </c>
      <c r="T9" s="49">
        <f t="shared" si="5"/>
        <v>9.3055500187870557</v>
      </c>
      <c r="U9" s="48">
        <f t="shared" si="5"/>
        <v>12.369567229748755</v>
      </c>
      <c r="X9" s="27" t="str">
        <f>'Aileron shear'!A7</f>
        <v>L34</v>
      </c>
      <c r="Y9" s="27">
        <f>'Aileron shear'!B7</f>
        <v>70</v>
      </c>
    </row>
    <row r="10" spans="1:35" ht="17" thickBot="1" x14ac:dyDescent="0.25">
      <c r="A10" s="97" t="s">
        <v>121</v>
      </c>
      <c r="B10" s="51" t="s">
        <v>115</v>
      </c>
      <c r="C10" s="26">
        <f>'Aileron shear'!O49</f>
        <v>11.504283928088954</v>
      </c>
      <c r="D10" s="50">
        <f>'Aileron shear'!P49</f>
        <v>22.521128652861961</v>
      </c>
      <c r="E10" s="51" t="s">
        <v>115</v>
      </c>
      <c r="F10" s="26">
        <f>'Aileron shear'!R49</f>
        <v>11.504283928088954</v>
      </c>
      <c r="G10" s="50">
        <f>'Aileron shear'!S49</f>
        <v>22.521128652861961</v>
      </c>
    </row>
    <row r="11" spans="1:35" ht="17" thickBot="1" x14ac:dyDescent="0.25">
      <c r="A11" s="98"/>
      <c r="B11" s="44" t="s">
        <v>113</v>
      </c>
      <c r="C11" s="27">
        <f>'Aileron shear'!O50</f>
        <v>-98.268669327495999</v>
      </c>
      <c r="D11" s="45">
        <f>'Aileron shear'!P50</f>
        <v>25.285910486963203</v>
      </c>
      <c r="E11" s="44" t="s">
        <v>113</v>
      </c>
      <c r="F11" s="27">
        <f>'Aileron shear'!R50</f>
        <v>-98.268669327495999</v>
      </c>
      <c r="G11" s="45">
        <f>'Aileron shear'!S50</f>
        <v>25.285910486963203</v>
      </c>
      <c r="I11" t="s">
        <v>159</v>
      </c>
      <c r="J11" s="135" t="s">
        <v>163</v>
      </c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7"/>
      <c r="X11" s="134" t="s">
        <v>176</v>
      </c>
      <c r="Y11" s="134"/>
      <c r="Z11" s="134" t="s">
        <v>177</v>
      </c>
      <c r="AA11" s="134"/>
      <c r="AB11" s="134" t="s">
        <v>178</v>
      </c>
      <c r="AC11" s="134"/>
      <c r="AD11" s="134" t="s">
        <v>179</v>
      </c>
      <c r="AE11" s="134"/>
      <c r="AF11" s="134" t="s">
        <v>180</v>
      </c>
      <c r="AG11" s="134"/>
      <c r="AH11" s="134" t="s">
        <v>181</v>
      </c>
      <c r="AI11" s="134"/>
    </row>
    <row r="12" spans="1:35" ht="17" thickBot="1" x14ac:dyDescent="0.25">
      <c r="A12" s="99"/>
      <c r="B12" s="46" t="s">
        <v>114</v>
      </c>
      <c r="C12" s="47">
        <f>'Aileron shear'!O51</f>
        <v>118.58402893123956</v>
      </c>
      <c r="D12" s="48">
        <f>'Aileron shear'!P51</f>
        <v>14.484042178058152</v>
      </c>
      <c r="E12" s="46" t="s">
        <v>114</v>
      </c>
      <c r="F12" s="47">
        <f>'Aileron shear'!R51</f>
        <v>-98.268669327495999</v>
      </c>
      <c r="G12" s="48">
        <f>'Aileron shear'!S51</f>
        <v>25.285910486963203</v>
      </c>
      <c r="I12" t="s">
        <v>160</v>
      </c>
      <c r="J12" s="138" t="s">
        <v>115</v>
      </c>
      <c r="K12" s="139"/>
      <c r="L12" s="139"/>
      <c r="M12" s="140"/>
      <c r="N12" s="138" t="s">
        <v>153</v>
      </c>
      <c r="O12" s="139"/>
      <c r="P12" s="139"/>
      <c r="Q12" s="140"/>
      <c r="R12" s="138" t="s">
        <v>154</v>
      </c>
      <c r="S12" s="139"/>
      <c r="T12" s="139"/>
      <c r="U12" s="140"/>
      <c r="X12" s="28" t="s">
        <v>174</v>
      </c>
      <c r="Y12" s="28" t="s">
        <v>175</v>
      </c>
      <c r="Z12" s="28" t="s">
        <v>174</v>
      </c>
      <c r="AA12" s="28" t="s">
        <v>175</v>
      </c>
      <c r="AB12" s="27" t="s">
        <v>174</v>
      </c>
      <c r="AC12" s="27" t="s">
        <v>175</v>
      </c>
      <c r="AD12" s="27" t="s">
        <v>174</v>
      </c>
      <c r="AE12" s="27" t="s">
        <v>175</v>
      </c>
      <c r="AF12" s="27" t="s">
        <v>174</v>
      </c>
      <c r="AG12" s="27" t="s">
        <v>175</v>
      </c>
      <c r="AH12" s="27" t="s">
        <v>174</v>
      </c>
      <c r="AI12" s="27" t="s">
        <v>175</v>
      </c>
    </row>
    <row r="13" spans="1:35" ht="17" thickBot="1" x14ac:dyDescent="0.25">
      <c r="A13" s="97" t="s">
        <v>122</v>
      </c>
      <c r="B13" s="51" t="s">
        <v>115</v>
      </c>
      <c r="C13" s="26">
        <f>F13</f>
        <v>104.41141048780487</v>
      </c>
      <c r="D13" s="50">
        <f>G13</f>
        <v>0</v>
      </c>
      <c r="E13" s="51" t="s">
        <v>115</v>
      </c>
      <c r="F13" s="26">
        <f>'Aileron torsion'!B14</f>
        <v>104.41141048780487</v>
      </c>
      <c r="G13" s="50">
        <v>0</v>
      </c>
      <c r="I13" s="79" t="s">
        <v>132</v>
      </c>
      <c r="J13" s="46" t="s">
        <v>156</v>
      </c>
      <c r="K13" s="47" t="s">
        <v>155</v>
      </c>
      <c r="L13" s="46" t="s">
        <v>158</v>
      </c>
      <c r="M13" s="48" t="s">
        <v>157</v>
      </c>
      <c r="N13" s="46" t="s">
        <v>156</v>
      </c>
      <c r="O13" s="47" t="s">
        <v>155</v>
      </c>
      <c r="P13" s="46" t="s">
        <v>158</v>
      </c>
      <c r="Q13" s="48" t="s">
        <v>157</v>
      </c>
      <c r="R13" s="46" t="s">
        <v>156</v>
      </c>
      <c r="S13" s="47" t="s">
        <v>155</v>
      </c>
      <c r="T13" s="46" t="s">
        <v>158</v>
      </c>
      <c r="U13" s="48" t="s">
        <v>157</v>
      </c>
      <c r="X13" s="10">
        <f>'Aileron shear'!O4</f>
        <v>0</v>
      </c>
      <c r="Y13" s="10">
        <f>'Aileron shear'!O10</f>
        <v>0</v>
      </c>
      <c r="Z13" s="10">
        <f>'Aileron shear'!P4</f>
        <v>21.462447434162357</v>
      </c>
      <c r="AA13" s="10">
        <f>'Aileron shear'!P10</f>
        <v>16.15904556818456</v>
      </c>
      <c r="AB13" s="10">
        <f>'Aileron shear'!O5</f>
        <v>-140.04480675324564</v>
      </c>
      <c r="AC13" s="10">
        <f>'Aileron shear'!O11</f>
        <v>-105.4395320410306</v>
      </c>
      <c r="AD13" s="10">
        <f>'Aileron shear'!P5</f>
        <v>18.950216298854908</v>
      </c>
      <c r="AE13" s="10">
        <f>'Aileron shear'!P11</f>
        <v>14.267590387326269</v>
      </c>
      <c r="AF13" s="10">
        <f>'Aileron shear'!O6</f>
        <v>140.04480675324564</v>
      </c>
      <c r="AG13" s="10">
        <f>'Aileron shear'!O12</f>
        <v>105.4395320410306</v>
      </c>
      <c r="AH13" s="10">
        <f>'Aileron shear'!P6</f>
        <v>18.950216298854908</v>
      </c>
      <c r="AI13" s="10">
        <f>'Aileron shear'!P12</f>
        <v>14.267590387326269</v>
      </c>
    </row>
    <row r="14" spans="1:35" x14ac:dyDescent="0.2">
      <c r="A14" s="98"/>
      <c r="B14" s="44" t="s">
        <v>113</v>
      </c>
      <c r="C14" s="27">
        <f>F14*COS(PI()/180*Input!$C$17)</f>
        <v>92.189803557212642</v>
      </c>
      <c r="D14" s="45">
        <f>F14*SIN(PI()/180*Input!$C$17)</f>
        <v>49.018188054388908</v>
      </c>
      <c r="E14" s="44" t="s">
        <v>113</v>
      </c>
      <c r="F14" s="27">
        <f>'Aileron torsion'!B19</f>
        <v>104.41141048780489</v>
      </c>
      <c r="G14" s="45">
        <v>0</v>
      </c>
      <c r="I14" s="55">
        <f>'Aileron torsion'!E$4</f>
        <v>0</v>
      </c>
      <c r="J14" s="76">
        <v>0</v>
      </c>
      <c r="K14" s="77">
        <f>-Z13*$Y$6*$Y$7^2/(6*$Y$5)+K15*$Y$6/$Y$7+K15</f>
        <v>12.54759459752311</v>
      </c>
      <c r="L14" s="76">
        <f>J14</f>
        <v>0</v>
      </c>
      <c r="M14" s="77">
        <f>K14</f>
        <v>12.54759459752311</v>
      </c>
      <c r="N14" s="76">
        <f>-AB13*$Y$6*$Y$7^2/(6*$Y$4)+N15*$Y$6/$Y$7+N15</f>
        <v>-5.8907388449029749</v>
      </c>
      <c r="O14" s="77">
        <f>-AD13*$Y$6*$Y$7^2/(6*$Y$5)+O15*$Y$6/$Y$7+O15</f>
        <v>11.078868446052706</v>
      </c>
      <c r="P14" s="76">
        <f>N14</f>
        <v>-5.8907388449029749</v>
      </c>
      <c r="Q14" s="77">
        <f>O14</f>
        <v>11.078868446052706</v>
      </c>
      <c r="R14" s="76">
        <f>-AF13*$Y$6*$Y$7^2/(6*$Y$4)+R15*$Y$6/$Y$7+R15</f>
        <v>5.8907388449029749</v>
      </c>
      <c r="S14" s="77">
        <f>-AH13*$Y$6*$Y$7^2/(6*$Y$5)+S15*$Y$6/$Y$7+S15</f>
        <v>11.078868446052706</v>
      </c>
      <c r="T14" s="75">
        <f>R14</f>
        <v>5.8907388449029749</v>
      </c>
      <c r="U14" s="77">
        <f>S14</f>
        <v>11.078868446052706</v>
      </c>
    </row>
    <row r="15" spans="1:35" ht="17" thickBot="1" x14ac:dyDescent="0.25">
      <c r="A15" s="99"/>
      <c r="B15" s="46" t="s">
        <v>114</v>
      </c>
      <c r="C15" s="47">
        <f>F15*COS(PI()/180*Input!$C$17)</f>
        <v>92.189803557212642</v>
      </c>
      <c r="D15" s="48">
        <f>F15*SIN(-PI()/180*Input!$C$17)</f>
        <v>-49.018188054388908</v>
      </c>
      <c r="E15" s="46" t="s">
        <v>114</v>
      </c>
      <c r="F15" s="47">
        <f>'Aileron torsion'!B24</f>
        <v>104.41141048780489</v>
      </c>
      <c r="G15" s="48">
        <v>0</v>
      </c>
      <c r="I15" s="72">
        <f>'Aileron torsion'!E$5</f>
        <v>172</v>
      </c>
      <c r="J15" s="44">
        <v>0</v>
      </c>
      <c r="K15" s="45">
        <f>'Aileron shear'!$H$4</f>
        <v>11.54</v>
      </c>
      <c r="L15" s="44">
        <f>J15</f>
        <v>0</v>
      </c>
      <c r="M15" s="45">
        <f>K15</f>
        <v>11.54</v>
      </c>
      <c r="N15" s="44">
        <f>'Aileron shear'!G5</f>
        <v>-5.4177018345491792</v>
      </c>
      <c r="O15" s="45">
        <f>'Aileron shear'!H5</f>
        <v>10.189215221592017</v>
      </c>
      <c r="P15" s="44">
        <f t="shared" ref="P15" si="6">N15</f>
        <v>-5.4177018345491792</v>
      </c>
      <c r="Q15" s="45">
        <f t="shared" ref="Q15" si="7">O15</f>
        <v>10.189215221592017</v>
      </c>
      <c r="R15" s="43">
        <f>'Aileron shear'!G6</f>
        <v>5.4177018345491792</v>
      </c>
      <c r="S15" s="45">
        <f>'Aileron shear'!H6</f>
        <v>10.189215221592017</v>
      </c>
      <c r="T15" s="43">
        <f t="shared" ref="T15:T18" si="8">R15</f>
        <v>5.4177018345491792</v>
      </c>
      <c r="U15" s="45">
        <f t="shared" ref="U15:U18" si="9">S15</f>
        <v>10.189215221592017</v>
      </c>
    </row>
    <row r="16" spans="1:35" ht="17" thickBot="1" x14ac:dyDescent="0.25">
      <c r="I16" s="72">
        <f>'Aileron torsion'!E$6</f>
        <v>1036.0000000000002</v>
      </c>
      <c r="J16" s="44">
        <v>0</v>
      </c>
      <c r="K16" s="45">
        <f>K15+1/$Y$5*(1/6*Z13*($I$16-$I$15)^3-(1/6*Z13*$Y$7^2+$Y$5*K15/$Y$7)*($I$16-$I$15))</f>
        <v>0.54470997255137021</v>
      </c>
      <c r="L16" s="44">
        <f t="shared" ref="L16:L18" si="10">J16</f>
        <v>0</v>
      </c>
      <c r="M16" s="45">
        <f t="shared" ref="M16:M18" si="11">K16</f>
        <v>0.54470997255137021</v>
      </c>
      <c r="N16" s="44">
        <f>N15+1/$Y$4*(1/6*AB13*($I$16-$I$15)^3-(1/6*AB13*$Y$7^2+$Y$4*N15/$Y$7)*($I$16-$I$15))</f>
        <v>-0.2557258420787516</v>
      </c>
      <c r="O16" s="45">
        <f>O15+1/$Y$5*(1/6*AD13*($I$16-$I$15)^3-(1/6*AD13*$Y$7^2+$Y$5*O15/$Y$7)*($I$16-$I$15))</f>
        <v>0.48095035907048356</v>
      </c>
      <c r="P16" s="44">
        <f t="shared" ref="P16:P17" si="12">N16</f>
        <v>-0.2557258420787516</v>
      </c>
      <c r="Q16" s="45">
        <f t="shared" ref="Q16:Q17" si="13">O16</f>
        <v>0.48095035907048356</v>
      </c>
      <c r="R16" s="44">
        <f>R15+1/$Y$4*(1/6*AF13*($I$16-$I$15)^3-(1/6*AF13*$Y$7^2+$Y$4*R15/$Y$7)*($I$16-$I$15))</f>
        <v>0.2557258420787516</v>
      </c>
      <c r="S16" s="45">
        <f>S15+1/$Y$5*(1/6*AH13*($I$16-$I$15)^3-(1/6*AH13*$Y$7^2+$Y$5*S15/$Y$7)*($I$16-$I$15))</f>
        <v>0.48095035907048356</v>
      </c>
      <c r="T16" s="43">
        <f t="shared" si="8"/>
        <v>0.2557258420787516</v>
      </c>
      <c r="U16" s="45">
        <f t="shared" si="9"/>
        <v>0.48095035907048356</v>
      </c>
    </row>
    <row r="17" spans="1:35" ht="17" thickBot="1" x14ac:dyDescent="0.25">
      <c r="B17" s="100" t="s">
        <v>150</v>
      </c>
      <c r="C17" s="101"/>
      <c r="D17" s="101"/>
      <c r="E17" s="101"/>
      <c r="F17" s="101"/>
      <c r="G17" s="102"/>
      <c r="I17" s="72">
        <f>'Aileron torsion'!E$7</f>
        <v>1386.0000000000002</v>
      </c>
      <c r="J17" s="44">
        <v>0</v>
      </c>
      <c r="K17" s="45">
        <f>-1/$Y$5*(1/6*AA13*($I$17-$Y$6-$Y$7)^3-1/2*AA13*$Y$8*($I$17-$Y$6-$Y$7)^2+(1/3*AA13*$Y$8^2-$Y$5*K18/$Y$8)*($I$17-$Y$6-$Y$7))</f>
        <v>0.33786491537092833</v>
      </c>
      <c r="L17" s="44">
        <f t="shared" si="10"/>
        <v>0</v>
      </c>
      <c r="M17" s="45">
        <f t="shared" si="11"/>
        <v>0.33786491537092833</v>
      </c>
      <c r="N17" s="43">
        <f>-1/$Y$4*(1/6*AC13*($I$17-$Y$6-$Y$7)^3-1/2*AC13*$Y$8*($I$17-$Y$6-$Y$7)^2+(1/3*AC13*$Y$8^2-$Y$4*N18/$Y$8)*($I$17-$Y$6-$Y$7))</f>
        <v>-0.15861796982971296</v>
      </c>
      <c r="O17" s="45">
        <f>-1/$Y$5*(1/6*AE13*($I$17-$Y$6-$Y$7)^3-1/2*AE13*$Y$8*($I$17-$Y$6-$Y$7)^2+(1/3*AE13*$Y$8^2-$Y$5*O18/$Y$8)*($I$17-$Y$6-$Y$7))</f>
        <v>0.29831701373824632</v>
      </c>
      <c r="P17" s="44">
        <f t="shared" si="12"/>
        <v>-0.15861796982971296</v>
      </c>
      <c r="Q17" s="45">
        <f t="shared" si="13"/>
        <v>0.29831701373824632</v>
      </c>
      <c r="R17" s="43">
        <f>-1/$Y$4*(1/6*AG13*($I$17-$Y$6-$Y$7)^3-1/2*AG13*$Y$8*($I$17-$Y$6-$Y$7)^2+(1/3*AG13*$Y$8^2-$Y$4*R18/$Y$8)*($I$17-$Y$6-$Y$7))</f>
        <v>0.15861796982971296</v>
      </c>
      <c r="S17" s="45">
        <f>-1/$Y$5*(1/6*AI13*($I$17-$Y$6-$Y$7)^3-1/2*AI13*$Y$8*($I$17-$Y$6-$Y$7)^2+(1/3*AI13*$Y$8^2-$Y$5*S18/$Y$8)*($I$17-$Y$6-$Y$7))</f>
        <v>0.29831701373824632</v>
      </c>
      <c r="T17" s="43">
        <f t="shared" si="8"/>
        <v>0.15861796982971296</v>
      </c>
      <c r="U17" s="45">
        <f t="shared" si="9"/>
        <v>0.29831701373824632</v>
      </c>
    </row>
    <row r="18" spans="1:35" ht="17" thickBot="1" x14ac:dyDescent="0.25">
      <c r="B18" s="103" t="s">
        <v>107</v>
      </c>
      <c r="C18" s="104"/>
      <c r="D18" s="105"/>
      <c r="E18" s="103" t="s">
        <v>108</v>
      </c>
      <c r="F18" s="104"/>
      <c r="G18" s="105"/>
      <c r="I18" s="80">
        <f>'Aileron torsion'!E$8</f>
        <v>2591.0000000000005</v>
      </c>
      <c r="J18" s="44">
        <v>0</v>
      </c>
      <c r="K18" s="45">
        <f>'Aileron shear'!$H$7</f>
        <v>18.400000000000002</v>
      </c>
      <c r="L18" s="44">
        <f t="shared" si="10"/>
        <v>0</v>
      </c>
      <c r="M18" s="45">
        <f t="shared" si="11"/>
        <v>18.400000000000002</v>
      </c>
      <c r="N18" s="44">
        <f>'Aileron shear'!G8</f>
        <v>-8.6382767552603923</v>
      </c>
      <c r="O18" s="45">
        <f>'Aileron shear'!H8</f>
        <v>16.24623570860426</v>
      </c>
      <c r="P18" s="44">
        <f t="shared" ref="P18" si="14">N18</f>
        <v>-8.6382767552603923</v>
      </c>
      <c r="Q18" s="45">
        <f t="shared" ref="Q18" si="15">O18</f>
        <v>16.24623570860426</v>
      </c>
      <c r="R18" s="43">
        <f>'Aileron shear'!G9</f>
        <v>8.6382767552603923</v>
      </c>
      <c r="S18" s="45">
        <f>'Aileron shear'!H9</f>
        <v>16.24623570860426</v>
      </c>
      <c r="T18" s="43">
        <f t="shared" si="8"/>
        <v>8.6382767552603923</v>
      </c>
      <c r="U18" s="45">
        <f t="shared" si="9"/>
        <v>16.24623570860426</v>
      </c>
    </row>
    <row r="19" spans="1:35" ht="17" thickBot="1" x14ac:dyDescent="0.25">
      <c r="A19" s="56" t="s">
        <v>123</v>
      </c>
      <c r="B19" s="57" t="s">
        <v>112</v>
      </c>
      <c r="C19" s="58" t="s">
        <v>172</v>
      </c>
      <c r="D19" s="59" t="s">
        <v>173</v>
      </c>
      <c r="E19" s="57" t="s">
        <v>112</v>
      </c>
      <c r="F19" s="58" t="s">
        <v>172</v>
      </c>
      <c r="G19" s="59" t="s">
        <v>173</v>
      </c>
      <c r="I19" s="81">
        <f>'Aileron torsion'!E$9</f>
        <v>2661.0000000000005</v>
      </c>
      <c r="J19" s="46">
        <v>0</v>
      </c>
      <c r="K19" s="48">
        <f>K18+$Y$9/$Y$5*(1/6*AA13*$Y$8^2+$Y$5*K18/$Y$8)</f>
        <v>19.821328396478368</v>
      </c>
      <c r="L19" s="46">
        <f>J19</f>
        <v>0</v>
      </c>
      <c r="M19" s="48">
        <f>K19</f>
        <v>19.821328396478368</v>
      </c>
      <c r="N19" s="46">
        <f>N18+$Y$9/$Y$4*(1/6*AC13*$Y$8^2+$Y$4*N18/$Y$8)</f>
        <v>-9.3055500187870557</v>
      </c>
      <c r="O19" s="48">
        <f>O18+$Y$9/$Y$5*(1/6*AE13*$Y$8^2+$Y$5*O18/$Y$8)</f>
        <v>17.501194194936872</v>
      </c>
      <c r="P19" s="46">
        <f>N19</f>
        <v>-9.3055500187870557</v>
      </c>
      <c r="Q19" s="48">
        <f>O19</f>
        <v>17.501194194936872</v>
      </c>
      <c r="R19" s="46">
        <f>R18+$Y$9/$Y$4*(1/6*AG13*$Y$8^2+$Y$4*R18/$Y$8)</f>
        <v>9.3055500187870557</v>
      </c>
      <c r="S19" s="48">
        <f>S18+$Y$9/$Y$5*(1/6*AI13*$Y$8^2+$Y$5*S18/$Y$8)</f>
        <v>17.501194194936872</v>
      </c>
      <c r="T19" s="49">
        <f>R19</f>
        <v>9.3055500187870557</v>
      </c>
      <c r="U19" s="48">
        <f>S19</f>
        <v>17.501194194936872</v>
      </c>
    </row>
    <row r="20" spans="1:35" ht="17" thickBot="1" x14ac:dyDescent="0.25">
      <c r="A20" s="97" t="s">
        <v>25</v>
      </c>
      <c r="B20" s="52" t="s">
        <v>115</v>
      </c>
      <c r="C20" s="53">
        <f>F20</f>
        <v>0</v>
      </c>
      <c r="D20" s="54">
        <f>G20</f>
        <v>-5.54</v>
      </c>
      <c r="E20" s="52" t="s">
        <v>115</v>
      </c>
      <c r="F20" s="109">
        <v>0</v>
      </c>
      <c r="G20" s="112">
        <f>-Input!C19</f>
        <v>-5.54</v>
      </c>
    </row>
    <row r="21" spans="1:35" ht="17" thickBot="1" x14ac:dyDescent="0.25">
      <c r="A21" s="98"/>
      <c r="B21" s="44" t="s">
        <v>113</v>
      </c>
      <c r="C21" s="27">
        <f>-G20*SIN(PI()/180*Input!$C$17)</f>
        <v>2.6008724578338351</v>
      </c>
      <c r="D21" s="45">
        <f>G20*COS(PI()/180*Input!$C$17)</f>
        <v>-4.8915296644384556</v>
      </c>
      <c r="E21" s="44" t="s">
        <v>113</v>
      </c>
      <c r="F21" s="110"/>
      <c r="G21" s="113"/>
      <c r="I21" t="s">
        <v>159</v>
      </c>
      <c r="J21" s="135" t="s">
        <v>164</v>
      </c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7"/>
      <c r="X21" s="134" t="s">
        <v>176</v>
      </c>
      <c r="Y21" s="134"/>
      <c r="Z21" s="134" t="s">
        <v>177</v>
      </c>
      <c r="AA21" s="134"/>
      <c r="AB21" s="134" t="s">
        <v>178</v>
      </c>
      <c r="AC21" s="134"/>
      <c r="AD21" s="134" t="s">
        <v>179</v>
      </c>
      <c r="AE21" s="134"/>
      <c r="AF21" s="134" t="s">
        <v>180</v>
      </c>
      <c r="AG21" s="134"/>
      <c r="AH21" s="134" t="s">
        <v>181</v>
      </c>
      <c r="AI21" s="134"/>
    </row>
    <row r="22" spans="1:35" ht="17" thickBot="1" x14ac:dyDescent="0.25">
      <c r="A22" s="99"/>
      <c r="B22" s="46" t="s">
        <v>114</v>
      </c>
      <c r="C22" s="47">
        <f>G20*SIN(PI()/180*Input!$C$17)</f>
        <v>-2.6008724578338351</v>
      </c>
      <c r="D22" s="48">
        <f>G20*COS(-PI()/180*Input!$C$17)</f>
        <v>-4.8915296644384556</v>
      </c>
      <c r="E22" s="46" t="s">
        <v>114</v>
      </c>
      <c r="F22" s="111"/>
      <c r="G22" s="114"/>
      <c r="I22" t="s">
        <v>160</v>
      </c>
      <c r="J22" s="138" t="s">
        <v>115</v>
      </c>
      <c r="K22" s="139"/>
      <c r="L22" s="139"/>
      <c r="M22" s="140"/>
      <c r="N22" s="138" t="s">
        <v>153</v>
      </c>
      <c r="O22" s="139"/>
      <c r="P22" s="139"/>
      <c r="Q22" s="140"/>
      <c r="R22" s="138" t="s">
        <v>154</v>
      </c>
      <c r="S22" s="139"/>
      <c r="T22" s="139"/>
      <c r="U22" s="140"/>
      <c r="X22" s="28" t="s">
        <v>174</v>
      </c>
      <c r="Y22" s="28" t="s">
        <v>175</v>
      </c>
      <c r="Z22" s="28" t="s">
        <v>174</v>
      </c>
      <c r="AA22" s="28" t="s">
        <v>175</v>
      </c>
      <c r="AB22" s="27" t="s">
        <v>174</v>
      </c>
      <c r="AC22" s="27" t="s">
        <v>175</v>
      </c>
      <c r="AD22" s="27" t="s">
        <v>174</v>
      </c>
      <c r="AE22" s="27" t="s">
        <v>175</v>
      </c>
      <c r="AF22" s="27" t="s">
        <v>174</v>
      </c>
      <c r="AG22" s="27" t="s">
        <v>175</v>
      </c>
      <c r="AH22" s="27" t="s">
        <v>174</v>
      </c>
      <c r="AI22" s="27" t="s">
        <v>175</v>
      </c>
    </row>
    <row r="23" spans="1:35" ht="17" thickBot="1" x14ac:dyDescent="0.25">
      <c r="A23" s="97" t="s">
        <v>149</v>
      </c>
      <c r="B23" s="52" t="s">
        <v>115</v>
      </c>
      <c r="C23" s="53">
        <f>-F23</f>
        <v>-97.4</v>
      </c>
      <c r="D23" s="54">
        <f>G23</f>
        <v>0</v>
      </c>
      <c r="E23" s="52" t="s">
        <v>115</v>
      </c>
      <c r="F23" s="109">
        <f>Input!$C$18</f>
        <v>97.4</v>
      </c>
      <c r="G23" s="112">
        <v>0</v>
      </c>
      <c r="I23" s="79" t="s">
        <v>132</v>
      </c>
      <c r="J23" s="46" t="s">
        <v>156</v>
      </c>
      <c r="K23" s="47" t="s">
        <v>155</v>
      </c>
      <c r="L23" s="46" t="s">
        <v>158</v>
      </c>
      <c r="M23" s="48" t="s">
        <v>157</v>
      </c>
      <c r="N23" s="46" t="s">
        <v>156</v>
      </c>
      <c r="O23" s="47" t="s">
        <v>155</v>
      </c>
      <c r="P23" s="46" t="s">
        <v>158</v>
      </c>
      <c r="Q23" s="48" t="s">
        <v>157</v>
      </c>
      <c r="R23" s="46" t="s">
        <v>156</v>
      </c>
      <c r="S23" s="47" t="s">
        <v>155</v>
      </c>
      <c r="T23" s="46" t="s">
        <v>158</v>
      </c>
      <c r="U23" s="48" t="s">
        <v>157</v>
      </c>
      <c r="X23" s="10">
        <f>'Aileron shear'!O17</f>
        <v>0</v>
      </c>
      <c r="Y23" s="10">
        <f>'Aileron shear'!O23</f>
        <v>0</v>
      </c>
      <c r="Z23" s="10">
        <f>'Aileron shear'!P17</f>
        <v>6.7545840489459223</v>
      </c>
      <c r="AA23" s="10">
        <f>'Aileron shear'!P23</f>
        <v>6.3620830846774012</v>
      </c>
      <c r="AB23" s="10">
        <f>'Aileron shear'!O18</f>
        <v>-3.1710851294272926</v>
      </c>
      <c r="AC23" s="10">
        <f>'Aileron shear'!O24</f>
        <v>-2.9868170883371805</v>
      </c>
      <c r="AD23" s="10">
        <f>'Aileron shear'!P18</f>
        <v>5.9639437267801076</v>
      </c>
      <c r="AE23" s="10">
        <f>'Aileron shear'!P24</f>
        <v>5.6173859451844086</v>
      </c>
      <c r="AF23" s="10">
        <f>'Aileron shear'!O19</f>
        <v>3.1710851294272926</v>
      </c>
      <c r="AG23" s="10">
        <f>'Aileron shear'!O25</f>
        <v>2.9868170883371805</v>
      </c>
      <c r="AH23" s="10">
        <f>'Aileron shear'!P19</f>
        <v>5.9639437267801076</v>
      </c>
      <c r="AI23" s="10">
        <f>'Aileron shear'!P25</f>
        <v>5.6173859451844086</v>
      </c>
    </row>
    <row r="24" spans="1:35" x14ac:dyDescent="0.2">
      <c r="A24" s="98"/>
      <c r="B24" s="44" t="s">
        <v>113</v>
      </c>
      <c r="C24" s="27">
        <f>-F23*COS(PI()/180*Input!$C$17)</f>
        <v>-85.999095544459493</v>
      </c>
      <c r="D24" s="45">
        <f>-F23*SIN(PI()/180*Input!$C$17)</f>
        <v>-45.726530215345768</v>
      </c>
      <c r="E24" s="44" t="s">
        <v>113</v>
      </c>
      <c r="F24" s="110"/>
      <c r="G24" s="113"/>
      <c r="I24" s="55">
        <f>'Aileron torsion'!E$4</f>
        <v>0</v>
      </c>
      <c r="J24" s="76"/>
      <c r="K24" s="77"/>
      <c r="L24" s="75"/>
      <c r="M24" s="78"/>
      <c r="N24" s="76"/>
      <c r="O24" s="77"/>
      <c r="P24" s="75"/>
      <c r="Q24" s="78"/>
      <c r="R24" s="76"/>
      <c r="S24" s="77"/>
      <c r="T24" s="75"/>
      <c r="U24" s="77"/>
    </row>
    <row r="25" spans="1:35" ht="17" thickBot="1" x14ac:dyDescent="0.25">
      <c r="A25" s="99"/>
      <c r="B25" s="46" t="s">
        <v>114</v>
      </c>
      <c r="C25" s="47">
        <f>-F23*COS(PI()/180*Input!$C$17)</f>
        <v>-85.999095544459493</v>
      </c>
      <c r="D25" s="48">
        <f>-F23*SIN(-PI()/180*Input!$C$17)</f>
        <v>45.726530215345768</v>
      </c>
      <c r="E25" s="46" t="s">
        <v>114</v>
      </c>
      <c r="F25" s="111"/>
      <c r="G25" s="114"/>
      <c r="I25" s="72">
        <f>'Aileron torsion'!E$5</f>
        <v>172</v>
      </c>
      <c r="J25" s="44"/>
      <c r="K25" s="45"/>
      <c r="L25" s="43"/>
      <c r="M25" s="45"/>
      <c r="N25" s="44"/>
      <c r="O25" s="45"/>
      <c r="P25" s="43"/>
      <c r="Q25" s="45"/>
      <c r="R25" s="44"/>
      <c r="S25" s="45"/>
      <c r="T25" s="43"/>
      <c r="U25" s="45"/>
    </row>
    <row r="26" spans="1:35" x14ac:dyDescent="0.2">
      <c r="I26" s="72">
        <f>'Aileron torsion'!E$6</f>
        <v>1036.0000000000002</v>
      </c>
      <c r="J26" s="44"/>
      <c r="K26" s="45"/>
      <c r="L26" s="43"/>
      <c r="M26" s="45"/>
      <c r="N26" s="44"/>
      <c r="O26" s="45"/>
      <c r="P26" s="43"/>
      <c r="Q26" s="45"/>
      <c r="R26" s="44"/>
      <c r="S26" s="45"/>
      <c r="T26" s="43"/>
      <c r="U26" s="45"/>
    </row>
    <row r="27" spans="1:35" x14ac:dyDescent="0.2">
      <c r="A27" s="84" t="s">
        <v>166</v>
      </c>
      <c r="I27" s="72">
        <f>'Aileron torsion'!E$7</f>
        <v>1386.0000000000002</v>
      </c>
      <c r="J27" s="44"/>
      <c r="K27" s="45"/>
      <c r="L27" s="43"/>
      <c r="M27" s="45"/>
      <c r="N27" s="44"/>
      <c r="O27" s="45"/>
      <c r="P27" s="43"/>
      <c r="Q27" s="45"/>
      <c r="R27" s="44"/>
      <c r="S27" s="45"/>
      <c r="T27" s="43"/>
      <c r="U27" s="45"/>
    </row>
    <row r="28" spans="1:35" x14ac:dyDescent="0.2">
      <c r="I28" s="80">
        <f>'Aileron torsion'!E$8</f>
        <v>2591.0000000000005</v>
      </c>
      <c r="J28" s="44"/>
      <c r="K28" s="45"/>
      <c r="L28" s="43"/>
      <c r="M28" s="45"/>
      <c r="N28" s="44"/>
      <c r="O28" s="45"/>
      <c r="P28" s="43"/>
      <c r="Q28" s="45"/>
      <c r="R28" s="44"/>
      <c r="S28" s="45"/>
      <c r="T28" s="43"/>
      <c r="U28" s="45"/>
    </row>
    <row r="29" spans="1:35" ht="17" thickBot="1" x14ac:dyDescent="0.25">
      <c r="I29" s="81">
        <f>'Aileron torsion'!E$9</f>
        <v>2661.0000000000005</v>
      </c>
      <c r="J29" s="46"/>
      <c r="K29" s="48"/>
      <c r="L29" s="49"/>
      <c r="M29" s="63"/>
      <c r="N29" s="46"/>
      <c r="O29" s="48"/>
      <c r="P29" s="49"/>
      <c r="Q29" s="63"/>
      <c r="R29" s="46"/>
      <c r="S29" s="48"/>
      <c r="T29" s="49"/>
      <c r="U29" s="48"/>
    </row>
    <row r="30" spans="1:35" ht="17" thickBot="1" x14ac:dyDescent="0.25"/>
    <row r="31" spans="1:35" ht="17" thickBot="1" x14ac:dyDescent="0.25">
      <c r="I31" t="s">
        <v>159</v>
      </c>
      <c r="J31" s="135" t="s">
        <v>165</v>
      </c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7"/>
      <c r="X31" s="134" t="s">
        <v>176</v>
      </c>
      <c r="Y31" s="134"/>
      <c r="Z31" s="134" t="s">
        <v>177</v>
      </c>
      <c r="AA31" s="134"/>
      <c r="AB31" s="134" t="s">
        <v>178</v>
      </c>
      <c r="AC31" s="134"/>
      <c r="AD31" s="134" t="s">
        <v>179</v>
      </c>
      <c r="AE31" s="134"/>
      <c r="AF31" s="134" t="s">
        <v>180</v>
      </c>
      <c r="AG31" s="134"/>
      <c r="AH31" s="134" t="s">
        <v>181</v>
      </c>
      <c r="AI31" s="134"/>
    </row>
    <row r="32" spans="1:35" ht="17" thickBot="1" x14ac:dyDescent="0.25">
      <c r="I32" t="s">
        <v>160</v>
      </c>
      <c r="J32" s="138" t="s">
        <v>115</v>
      </c>
      <c r="K32" s="139"/>
      <c r="L32" s="139"/>
      <c r="M32" s="140"/>
      <c r="N32" s="138" t="s">
        <v>153</v>
      </c>
      <c r="O32" s="139"/>
      <c r="P32" s="139"/>
      <c r="Q32" s="140"/>
      <c r="R32" s="138" t="s">
        <v>154</v>
      </c>
      <c r="S32" s="139"/>
      <c r="T32" s="139"/>
      <c r="U32" s="140"/>
      <c r="X32" s="28" t="s">
        <v>174</v>
      </c>
      <c r="Y32" s="28" t="s">
        <v>175</v>
      </c>
      <c r="Z32" s="28" t="s">
        <v>174</v>
      </c>
      <c r="AA32" s="28" t="s">
        <v>175</v>
      </c>
      <c r="AB32" s="27" t="s">
        <v>174</v>
      </c>
      <c r="AC32" s="27" t="s">
        <v>175</v>
      </c>
      <c r="AD32" s="27" t="s">
        <v>174</v>
      </c>
      <c r="AE32" s="27" t="s">
        <v>175</v>
      </c>
      <c r="AF32" s="27" t="s">
        <v>174</v>
      </c>
      <c r="AG32" s="27" t="s">
        <v>175</v>
      </c>
      <c r="AH32" s="27" t="s">
        <v>174</v>
      </c>
      <c r="AI32" s="27" t="s">
        <v>175</v>
      </c>
    </row>
    <row r="33" spans="9:35" ht="17" thickBot="1" x14ac:dyDescent="0.25">
      <c r="I33" s="79" t="s">
        <v>132</v>
      </c>
      <c r="J33" s="46" t="s">
        <v>156</v>
      </c>
      <c r="K33" s="47" t="s">
        <v>155</v>
      </c>
      <c r="L33" s="46" t="s">
        <v>158</v>
      </c>
      <c r="M33" s="48" t="s">
        <v>157</v>
      </c>
      <c r="N33" s="46" t="s">
        <v>156</v>
      </c>
      <c r="O33" s="47" t="s">
        <v>155</v>
      </c>
      <c r="P33" s="46" t="s">
        <v>158</v>
      </c>
      <c r="Q33" s="48" t="s">
        <v>157</v>
      </c>
      <c r="R33" s="46" t="s">
        <v>156</v>
      </c>
      <c r="S33" s="47" t="s">
        <v>155</v>
      </c>
      <c r="T33" s="46" t="s">
        <v>158</v>
      </c>
      <c r="U33" s="48" t="s">
        <v>157</v>
      </c>
      <c r="X33" s="10">
        <f>'Aileron shear'!O30</f>
        <v>-18.711342651206046</v>
      </c>
      <c r="Y33" s="10">
        <f>'Aileron shear'!O36</f>
        <v>11.504283928088954</v>
      </c>
      <c r="Z33" s="10">
        <f>'Aileron shear'!P30</f>
        <v>0</v>
      </c>
      <c r="AA33" s="10">
        <f>'Aileron shear'!P36</f>
        <v>0</v>
      </c>
      <c r="AB33" s="10">
        <f>'Aileron shear'!O31</f>
        <v>-16.521134953040953</v>
      </c>
      <c r="AC33" s="10">
        <f>'Aileron shear'!O37</f>
        <v>10.157679801871781</v>
      </c>
      <c r="AD33" s="10">
        <f>'Aileron shear'!P31</f>
        <v>-8.7844432762839961</v>
      </c>
      <c r="AE33" s="10">
        <f>'Aileron shear'!P37</f>
        <v>5.4009341544525267</v>
      </c>
      <c r="AF33" s="10">
        <f>'Aileron shear'!O32</f>
        <v>-16.521134953040953</v>
      </c>
      <c r="AG33" s="10">
        <f>'Aileron shear'!O38</f>
        <v>10.157679801871781</v>
      </c>
      <c r="AH33" s="10">
        <f>'Aileron shear'!P32</f>
        <v>8.7844432762839961</v>
      </c>
      <c r="AI33" s="10">
        <f>'Aileron shear'!P38</f>
        <v>-5.4009341544525267</v>
      </c>
    </row>
    <row r="34" spans="9:35" x14ac:dyDescent="0.2">
      <c r="I34" s="55">
        <f>'Aileron torsion'!E$4</f>
        <v>0</v>
      </c>
      <c r="J34" s="76"/>
      <c r="K34" s="77"/>
      <c r="L34" s="75"/>
      <c r="M34" s="78"/>
      <c r="N34" s="76"/>
      <c r="O34" s="77"/>
      <c r="P34" s="75"/>
      <c r="Q34" s="78"/>
      <c r="R34" s="76"/>
      <c r="S34" s="77"/>
      <c r="T34" s="75"/>
      <c r="U34" s="77"/>
    </row>
    <row r="35" spans="9:35" x14ac:dyDescent="0.2">
      <c r="I35" s="72">
        <f>'Aileron torsion'!E$5</f>
        <v>172</v>
      </c>
      <c r="J35" s="44"/>
      <c r="K35" s="45"/>
      <c r="L35" s="43"/>
      <c r="M35" s="45"/>
      <c r="N35" s="44"/>
      <c r="O35" s="45"/>
      <c r="P35" s="43"/>
      <c r="Q35" s="45"/>
      <c r="R35" s="44"/>
      <c r="S35" s="45"/>
      <c r="T35" s="43"/>
      <c r="U35" s="45"/>
    </row>
    <row r="36" spans="9:35" x14ac:dyDescent="0.2">
      <c r="I36" s="72">
        <f>'Aileron torsion'!E$6</f>
        <v>1036.0000000000002</v>
      </c>
      <c r="J36" s="44"/>
      <c r="K36" s="45"/>
      <c r="L36" s="43"/>
      <c r="M36" s="45"/>
      <c r="N36" s="44"/>
      <c r="O36" s="45"/>
      <c r="P36" s="43"/>
      <c r="Q36" s="45"/>
      <c r="R36" s="44"/>
      <c r="S36" s="45"/>
      <c r="T36" s="43"/>
      <c r="U36" s="45"/>
    </row>
    <row r="37" spans="9:35" x14ac:dyDescent="0.2">
      <c r="I37" s="72">
        <f>'Aileron torsion'!E$7</f>
        <v>1386.0000000000002</v>
      </c>
      <c r="J37" s="44"/>
      <c r="K37" s="45"/>
      <c r="L37" s="43"/>
      <c r="M37" s="45"/>
      <c r="N37" s="44"/>
      <c r="O37" s="45"/>
      <c r="P37" s="43"/>
      <c r="Q37" s="45"/>
      <c r="R37" s="44"/>
      <c r="S37" s="45"/>
      <c r="T37" s="43"/>
      <c r="U37" s="45"/>
    </row>
    <row r="38" spans="9:35" x14ac:dyDescent="0.2">
      <c r="I38" s="80">
        <f>'Aileron torsion'!E$8</f>
        <v>2591.0000000000005</v>
      </c>
      <c r="J38" s="44"/>
      <c r="K38" s="45"/>
      <c r="L38" s="43"/>
      <c r="M38" s="45"/>
      <c r="N38" s="44"/>
      <c r="O38" s="45"/>
      <c r="P38" s="43"/>
      <c r="Q38" s="45"/>
      <c r="R38" s="44"/>
      <c r="S38" s="45"/>
      <c r="T38" s="43"/>
      <c r="U38" s="45"/>
    </row>
    <row r="39" spans="9:35" ht="17" thickBot="1" x14ac:dyDescent="0.25">
      <c r="I39" s="81">
        <f>'Aileron torsion'!E$9</f>
        <v>2661.0000000000005</v>
      </c>
      <c r="J39" s="46"/>
      <c r="K39" s="48"/>
      <c r="L39" s="49"/>
      <c r="M39" s="63"/>
      <c r="N39" s="46"/>
      <c r="O39" s="48"/>
      <c r="P39" s="49"/>
      <c r="Q39" s="63"/>
      <c r="R39" s="46"/>
      <c r="S39" s="48"/>
      <c r="T39" s="49"/>
      <c r="U39" s="48"/>
    </row>
    <row r="40" spans="9:35" ht="17" thickBot="1" x14ac:dyDescent="0.25"/>
    <row r="41" spans="9:35" ht="17" thickBot="1" x14ac:dyDescent="0.25">
      <c r="I41" t="s">
        <v>159</v>
      </c>
      <c r="J41" s="135" t="s">
        <v>162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7"/>
    </row>
    <row r="42" spans="9:35" ht="17" thickBot="1" x14ac:dyDescent="0.25">
      <c r="I42" t="s">
        <v>160</v>
      </c>
      <c r="J42" s="138" t="s">
        <v>115</v>
      </c>
      <c r="K42" s="139"/>
      <c r="L42" s="139"/>
      <c r="M42" s="140"/>
      <c r="N42" s="138" t="s">
        <v>153</v>
      </c>
      <c r="O42" s="139"/>
      <c r="P42" s="139"/>
      <c r="Q42" s="140"/>
      <c r="R42" s="138" t="s">
        <v>154</v>
      </c>
      <c r="S42" s="139"/>
      <c r="T42" s="139"/>
      <c r="U42" s="140"/>
    </row>
    <row r="43" spans="9:35" ht="17" thickBot="1" x14ac:dyDescent="0.25">
      <c r="I43" s="79" t="s">
        <v>132</v>
      </c>
      <c r="J43" s="46" t="s">
        <v>156</v>
      </c>
      <c r="K43" s="47" t="s">
        <v>155</v>
      </c>
      <c r="L43" s="46" t="s">
        <v>158</v>
      </c>
      <c r="M43" s="48" t="s">
        <v>157</v>
      </c>
      <c r="N43" s="46" t="s">
        <v>156</v>
      </c>
      <c r="O43" s="47" t="s">
        <v>155</v>
      </c>
      <c r="P43" s="46" t="s">
        <v>158</v>
      </c>
      <c r="Q43" s="48" t="s">
        <v>157</v>
      </c>
      <c r="R43" s="46" t="s">
        <v>156</v>
      </c>
      <c r="S43" s="47" t="s">
        <v>155</v>
      </c>
      <c r="T43" s="46" t="s">
        <v>158</v>
      </c>
      <c r="U43" s="48" t="s">
        <v>157</v>
      </c>
    </row>
    <row r="44" spans="9:35" x14ac:dyDescent="0.2">
      <c r="I44" s="55">
        <f>'Aileron torsion'!E$4</f>
        <v>0</v>
      </c>
      <c r="J44" s="76">
        <v>0</v>
      </c>
      <c r="K44" s="54">
        <f>'Aileron torsion'!G4</f>
        <v>3.7234983306712759E-2</v>
      </c>
      <c r="L44" s="76">
        <v>0</v>
      </c>
      <c r="M44" s="83">
        <f>'Aileron torsion'!H4</f>
        <v>-0.18254223523534793</v>
      </c>
      <c r="N44" s="76">
        <v>0</v>
      </c>
      <c r="O44" s="54">
        <f>'Aileron torsion'!K4</f>
        <v>3.2876538880804357E-2</v>
      </c>
      <c r="P44" s="76">
        <v>0</v>
      </c>
      <c r="Q44" s="83">
        <f>'Aileron torsion'!L4</f>
        <v>-0.16117522719613844</v>
      </c>
      <c r="R44" s="76">
        <v>0</v>
      </c>
      <c r="S44" s="54">
        <f>'Aileron torsion'!O4</f>
        <v>3.2876538880804357E-2</v>
      </c>
      <c r="T44" s="76">
        <v>0</v>
      </c>
      <c r="U44" s="54">
        <f>'Aileron torsion'!P4</f>
        <v>-0.16117522719613844</v>
      </c>
    </row>
    <row r="45" spans="9:35" x14ac:dyDescent="0.2">
      <c r="I45" s="72">
        <f>'Aileron torsion'!E$5</f>
        <v>172</v>
      </c>
      <c r="J45" s="44">
        <v>0</v>
      </c>
      <c r="K45" s="45">
        <f>'Aileron torsion'!G5</f>
        <v>3.826131690540855E-2</v>
      </c>
      <c r="L45" s="44">
        <v>0</v>
      </c>
      <c r="M45" s="62">
        <f>'Aileron torsion'!H5</f>
        <v>-0.18757377312163703</v>
      </c>
      <c r="N45" s="44">
        <v>0</v>
      </c>
      <c r="O45" s="45">
        <f>'Aileron torsion'!K5</f>
        <v>3.8141182087151441E-2</v>
      </c>
      <c r="P45" s="44">
        <v>0</v>
      </c>
      <c r="Q45" s="62">
        <f>'Aileron torsion'!L5</f>
        <v>-0.18698481950042536</v>
      </c>
      <c r="R45" s="44">
        <v>0</v>
      </c>
      <c r="S45" s="45">
        <f>'Aileron torsion'!O5</f>
        <v>3.8141182087151441E-2</v>
      </c>
      <c r="T45" s="44">
        <v>0</v>
      </c>
      <c r="U45" s="45">
        <f>'Aileron torsion'!P5</f>
        <v>-0.18698481950042536</v>
      </c>
    </row>
    <row r="46" spans="9:35" x14ac:dyDescent="0.2">
      <c r="I46" s="72">
        <f>'Aileron torsion'!E$6</f>
        <v>1036.0000000000002</v>
      </c>
      <c r="J46" s="44">
        <v>0</v>
      </c>
      <c r="K46" s="45">
        <f>'Aileron torsion'!G6</f>
        <v>0</v>
      </c>
      <c r="L46" s="44">
        <v>0</v>
      </c>
      <c r="M46" s="62">
        <f>'Aileron torsion'!H6</f>
        <v>0</v>
      </c>
      <c r="N46" s="44">
        <v>0</v>
      </c>
      <c r="O46" s="45">
        <f>'Aileron torsion'!K6</f>
        <v>0</v>
      </c>
      <c r="P46" s="44">
        <v>0</v>
      </c>
      <c r="Q46" s="62">
        <f>'Aileron torsion'!L6</f>
        <v>0</v>
      </c>
      <c r="R46" s="44">
        <v>0</v>
      </c>
      <c r="S46" s="45">
        <f>'Aileron torsion'!O6</f>
        <v>0</v>
      </c>
      <c r="T46" s="44">
        <v>0</v>
      </c>
      <c r="U46" s="45">
        <f>'Aileron torsion'!P6</f>
        <v>0</v>
      </c>
    </row>
    <row r="47" spans="9:35" x14ac:dyDescent="0.2">
      <c r="I47" s="72">
        <f>'Aileron torsion'!E$7</f>
        <v>1386.0000000000002</v>
      </c>
      <c r="J47" s="44">
        <v>0</v>
      </c>
      <c r="K47" s="45">
        <f>'Aileron torsion'!G7</f>
        <v>1.0015721343237114</v>
      </c>
      <c r="L47" s="44">
        <v>0</v>
      </c>
      <c r="M47" s="62">
        <f>'Aileron torsion'!H7</f>
        <v>-4.9101463170503905</v>
      </c>
      <c r="N47" s="44">
        <v>0</v>
      </c>
      <c r="O47" s="45">
        <f>'Aileron torsion'!K7</f>
        <v>0.8886941495016073</v>
      </c>
      <c r="P47" s="44">
        <v>0</v>
      </c>
      <c r="Q47" s="62">
        <f>'Aileron torsion'!L7</f>
        <v>-4.3567688792639778</v>
      </c>
      <c r="R47" s="44">
        <v>0</v>
      </c>
      <c r="S47" s="45">
        <f>'Aileron torsion'!O7</f>
        <v>0.8886941495016073</v>
      </c>
      <c r="T47" s="44">
        <v>0</v>
      </c>
      <c r="U47" s="45">
        <f>'Aileron torsion'!P7</f>
        <v>-4.3567688792639778</v>
      </c>
    </row>
    <row r="48" spans="9:35" x14ac:dyDescent="0.2">
      <c r="I48" s="80">
        <f>'Aileron torsion'!E$8</f>
        <v>2591.0000000000005</v>
      </c>
      <c r="J48" s="44">
        <v>0</v>
      </c>
      <c r="K48" s="45">
        <f>'Aileron torsion'!G8</f>
        <v>1.1678269717366991</v>
      </c>
      <c r="L48" s="44">
        <v>0</v>
      </c>
      <c r="M48" s="62">
        <f>'Aileron torsion'!H8</f>
        <v>-5.7252005199774763</v>
      </c>
      <c r="N48" s="44">
        <v>0</v>
      </c>
      <c r="O48" s="45">
        <f>'Aileron torsion'!K8</f>
        <v>1.0354884579965569</v>
      </c>
      <c r="P48" s="44">
        <v>0</v>
      </c>
      <c r="Q48" s="62">
        <f>'Aileron torsion'!L8</f>
        <v>-5.0764190257879989</v>
      </c>
      <c r="R48" s="44">
        <v>0</v>
      </c>
      <c r="S48" s="45">
        <f>'Aileron torsion'!O8</f>
        <v>1.0354884579965569</v>
      </c>
      <c r="T48" s="44">
        <v>0</v>
      </c>
      <c r="U48" s="45">
        <f>'Aileron torsion'!P8</f>
        <v>-5.0764190257879989</v>
      </c>
    </row>
    <row r="49" spans="9:21" ht="17" thickBot="1" x14ac:dyDescent="0.25">
      <c r="I49" s="81">
        <f>'Aileron torsion'!E$9</f>
        <v>2661.0000000000005</v>
      </c>
      <c r="J49" s="46">
        <v>0</v>
      </c>
      <c r="K49" s="48">
        <f>'Aileron torsion'!G9</f>
        <v>1.1805812066009675</v>
      </c>
      <c r="L49" s="46">
        <v>0</v>
      </c>
      <c r="M49" s="63">
        <f>'Aileron torsion'!H9</f>
        <v>-5.7877273787023045</v>
      </c>
      <c r="N49" s="46">
        <v>0</v>
      </c>
      <c r="O49" s="48">
        <f>'Aileron torsion'!K9</f>
        <v>1.0467497789687203</v>
      </c>
      <c r="P49" s="46">
        <v>0</v>
      </c>
      <c r="Q49" s="63">
        <f>'Aileron torsion'!L9</f>
        <v>-5.1316269651881168</v>
      </c>
      <c r="R49" s="46">
        <v>0</v>
      </c>
      <c r="S49" s="48">
        <f>'Aileron torsion'!O9</f>
        <v>1.0467497789687203</v>
      </c>
      <c r="T49" s="46">
        <v>0</v>
      </c>
      <c r="U49" s="48">
        <f>'Aileron torsion'!P9</f>
        <v>-5.1316269651881168</v>
      </c>
    </row>
  </sheetData>
  <mergeCells count="54">
    <mergeCell ref="A10:A12"/>
    <mergeCell ref="B1:G1"/>
    <mergeCell ref="B2:D2"/>
    <mergeCell ref="E2:G2"/>
    <mergeCell ref="A4:A6"/>
    <mergeCell ref="A7:A9"/>
    <mergeCell ref="A13:A15"/>
    <mergeCell ref="A23:A25"/>
    <mergeCell ref="B17:G17"/>
    <mergeCell ref="A20:A22"/>
    <mergeCell ref="F23:F25"/>
    <mergeCell ref="G23:G25"/>
    <mergeCell ref="F20:F22"/>
    <mergeCell ref="G20:G22"/>
    <mergeCell ref="B18:D18"/>
    <mergeCell ref="E18:G18"/>
    <mergeCell ref="J2:M2"/>
    <mergeCell ref="N2:Q2"/>
    <mergeCell ref="R2:U2"/>
    <mergeCell ref="J1:U1"/>
    <mergeCell ref="J11:U11"/>
    <mergeCell ref="J41:U41"/>
    <mergeCell ref="J42:M42"/>
    <mergeCell ref="N42:Q42"/>
    <mergeCell ref="R42:U42"/>
    <mergeCell ref="J12:M12"/>
    <mergeCell ref="N12:Q12"/>
    <mergeCell ref="R12:U12"/>
    <mergeCell ref="J21:U21"/>
    <mergeCell ref="J22:M22"/>
    <mergeCell ref="N22:Q22"/>
    <mergeCell ref="R22:U22"/>
    <mergeCell ref="AH11:AI11"/>
    <mergeCell ref="J31:U31"/>
    <mergeCell ref="J32:M32"/>
    <mergeCell ref="N32:Q32"/>
    <mergeCell ref="R32:U32"/>
    <mergeCell ref="X11:Y11"/>
    <mergeCell ref="AB11:AC11"/>
    <mergeCell ref="AF11:AG11"/>
    <mergeCell ref="Z11:AA11"/>
    <mergeCell ref="AD11:AE11"/>
    <mergeCell ref="AH31:AI31"/>
    <mergeCell ref="X21:Y21"/>
    <mergeCell ref="Z21:AA21"/>
    <mergeCell ref="AB21:AC21"/>
    <mergeCell ref="AD21:AE21"/>
    <mergeCell ref="AF21:AG21"/>
    <mergeCell ref="AH21:AI21"/>
    <mergeCell ref="X31:Y31"/>
    <mergeCell ref="Z31:AA31"/>
    <mergeCell ref="AB31:AC31"/>
    <mergeCell ref="AD31:AE31"/>
    <mergeCell ref="AF31:AG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G1"/>
    </sheetView>
  </sheetViews>
  <sheetFormatPr baseColWidth="10" defaultRowHeight="16" x14ac:dyDescent="0.2"/>
  <cols>
    <col min="2" max="7" width="10.83203125" style="29"/>
    <col min="17" max="17" width="12.1640625" bestFit="1" customWidth="1"/>
  </cols>
  <sheetData>
    <row r="1" spans="1:17" s="8" customFormat="1" x14ac:dyDescent="0.2">
      <c r="B1" s="87"/>
      <c r="C1" s="138" t="s">
        <v>115</v>
      </c>
      <c r="D1" s="139"/>
      <c r="E1" s="139"/>
      <c r="F1" s="139"/>
      <c r="G1" s="140"/>
      <c r="H1" s="138" t="s">
        <v>153</v>
      </c>
      <c r="I1" s="139"/>
      <c r="J1" s="139"/>
      <c r="K1" s="139"/>
      <c r="L1" s="140"/>
      <c r="M1" s="138" t="s">
        <v>171</v>
      </c>
      <c r="N1" s="139"/>
      <c r="O1" s="139"/>
      <c r="P1" s="139"/>
      <c r="Q1" s="140"/>
    </row>
    <row r="2" spans="1:17" ht="17" thickBot="1" x14ac:dyDescent="0.25">
      <c r="B2" s="73" t="s">
        <v>132</v>
      </c>
      <c r="C2" s="46" t="s">
        <v>169</v>
      </c>
      <c r="D2" s="47" t="s">
        <v>170</v>
      </c>
      <c r="E2" s="47" t="s">
        <v>151</v>
      </c>
      <c r="F2" s="47" t="s">
        <v>152</v>
      </c>
      <c r="G2" s="48" t="s">
        <v>167</v>
      </c>
      <c r="H2" s="46" t="s">
        <v>169</v>
      </c>
      <c r="I2" s="47" t="s">
        <v>170</v>
      </c>
      <c r="J2" s="47" t="s">
        <v>151</v>
      </c>
      <c r="K2" s="47" t="s">
        <v>152</v>
      </c>
      <c r="L2" s="48" t="s">
        <v>167</v>
      </c>
      <c r="M2" s="46" t="s">
        <v>169</v>
      </c>
      <c r="N2" s="47" t="s">
        <v>170</v>
      </c>
      <c r="O2" s="47" t="s">
        <v>151</v>
      </c>
      <c r="P2" s="47" t="s">
        <v>152</v>
      </c>
      <c r="Q2" s="48" t="s">
        <v>167</v>
      </c>
    </row>
    <row r="3" spans="1:17" x14ac:dyDescent="0.2">
      <c r="B3" s="88">
        <v>0</v>
      </c>
      <c r="C3" s="89">
        <f>Superpositioning!$C$20*$B3/1000</f>
        <v>0</v>
      </c>
      <c r="D3" s="90">
        <f>Superpositioning!$D$20*$B3/1000</f>
        <v>0</v>
      </c>
      <c r="E3" s="90">
        <f>1/2*Superpositioning!$C$20*(B3/1000)^2</f>
        <v>0</v>
      </c>
      <c r="F3" s="90">
        <f>1/2*Superpositioning!$D$20*(B3/1000)^2</f>
        <v>0</v>
      </c>
      <c r="G3" s="91">
        <f>'Aileron torsion'!$B$11*$B3/1000</f>
        <v>0</v>
      </c>
      <c r="H3" s="89">
        <f>Superpositioning!$C$21*$B3/1000</f>
        <v>0</v>
      </c>
      <c r="I3" s="90">
        <f>Superpositioning!$D$21*$B3/1000</f>
        <v>0</v>
      </c>
      <c r="J3" s="90">
        <f>1/2*Superpositioning!$C$21*(B3/1000)^2</f>
        <v>0</v>
      </c>
      <c r="K3" s="90">
        <f>1/2*Superpositioning!$C$21*(B3/1000)^2</f>
        <v>0</v>
      </c>
      <c r="L3" s="91">
        <f>'Aileron torsion'!$B$16*$B3/1000</f>
        <v>0</v>
      </c>
      <c r="M3" s="89">
        <f>Superpositioning!$C$22*$B3/1000</f>
        <v>0</v>
      </c>
      <c r="N3" s="90">
        <f>Superpositioning!$D$22*$B3/1000</f>
        <v>0</v>
      </c>
      <c r="O3" s="90">
        <f>1/2*Superpositioning!$C$22*(B3/1000)^2</f>
        <v>0</v>
      </c>
      <c r="P3" s="90">
        <f>1/2*Superpositioning!$D$22*(B3/1000)^2</f>
        <v>0</v>
      </c>
      <c r="Q3" s="91">
        <f>'Aileron torsion'!$B$21*$B3/1000</f>
        <v>0</v>
      </c>
    </row>
    <row r="4" spans="1:17" x14ac:dyDescent="0.2">
      <c r="A4">
        <v>1</v>
      </c>
      <c r="B4" s="92">
        <f>B3+'Aileron shear'!$B$4/10</f>
        <v>17.2</v>
      </c>
      <c r="C4" s="93">
        <f>Superpositioning!$C$20*$B4/1000</f>
        <v>0</v>
      </c>
      <c r="D4" s="94">
        <f>Superpositioning!$D$20*$B4/1000</f>
        <v>-9.5287999999999998E-2</v>
      </c>
      <c r="E4" s="94">
        <f>1/2*Superpositioning!$C$20*(B4/1000)^2</f>
        <v>0</v>
      </c>
      <c r="F4" s="94">
        <f>1/2*Superpositioning!$D$20*(B4/1000)^2</f>
        <v>-8.1947680000000003E-4</v>
      </c>
      <c r="G4" s="95">
        <f>'Aileron torsion'!$B$11*$B4/1000</f>
        <v>-4.6452899999999998E-3</v>
      </c>
      <c r="H4" s="93">
        <f>Superpositioning!$C$21*$B4/1000</f>
        <v>4.4735006274741966E-2</v>
      </c>
      <c r="I4" s="94">
        <f>Superpositioning!$D$21*$B4/1000</f>
        <v>-8.4134310228341433E-2</v>
      </c>
      <c r="J4" s="94">
        <f>1/2*Superpositioning!$C$21*(B4/1000)^2</f>
        <v>3.8472105396278089E-4</v>
      </c>
      <c r="K4" s="94">
        <f>1/2*Superpositioning!$C$21*(B4/1000)^2</f>
        <v>3.8472105396278089E-4</v>
      </c>
      <c r="L4" s="95">
        <f>'Aileron torsion'!$B$16*$B4/1000</f>
        <v>-4.1015476236316451E-3</v>
      </c>
      <c r="M4" s="93">
        <f>Superpositioning!$C$22*$B4/1000</f>
        <v>-4.4735006274741966E-2</v>
      </c>
      <c r="N4" s="94">
        <f>Superpositioning!$D$22*$B4/1000</f>
        <v>-8.4134310228341433E-2</v>
      </c>
      <c r="O4" s="94">
        <f>1/2*Superpositioning!$C$22*(B4/1000)^2</f>
        <v>-3.8472105396278089E-4</v>
      </c>
      <c r="P4" s="94">
        <f>1/2*Superpositioning!$D$22*(B4/1000)^2</f>
        <v>-7.2355506796373638E-4</v>
      </c>
      <c r="Q4" s="95">
        <f>'Aileron torsion'!$B$21*$B4/1000</f>
        <v>-4.1015476236316451E-3</v>
      </c>
    </row>
    <row r="5" spans="1:17" x14ac:dyDescent="0.2">
      <c r="A5">
        <v>2</v>
      </c>
      <c r="B5" s="92">
        <f>B4+'Aileron shear'!$B$4/10</f>
        <v>34.4</v>
      </c>
      <c r="C5" s="93">
        <f>Superpositioning!$C$20*$B5/1000</f>
        <v>0</v>
      </c>
      <c r="D5" s="94">
        <f>Superpositioning!$D$20*$B5/1000</f>
        <v>-0.190576</v>
      </c>
      <c r="E5" s="94">
        <f>1/2*Superpositioning!$C$20*(B5/1000)^2</f>
        <v>0</v>
      </c>
      <c r="F5" s="94">
        <f>1/2*Superpositioning!$D$20*(B5/1000)^2</f>
        <v>-3.2779072000000001E-3</v>
      </c>
      <c r="G5" s="95">
        <f>'Aileron torsion'!$B$11*$B5/1000</f>
        <v>-9.2905799999999997E-3</v>
      </c>
      <c r="H5" s="93">
        <f>Superpositioning!$C$21*$B5/1000</f>
        <v>8.9470012549483932E-2</v>
      </c>
      <c r="I5" s="94">
        <f>Superpositioning!$D$21*$B5/1000</f>
        <v>-0.16826862045668287</v>
      </c>
      <c r="J5" s="94">
        <f>1/2*Superpositioning!$C$21*(B5/1000)^2</f>
        <v>1.5388842158511236E-3</v>
      </c>
      <c r="K5" s="94">
        <f>1/2*Superpositioning!$C$21*(B5/1000)^2</f>
        <v>1.5388842158511236E-3</v>
      </c>
      <c r="L5" s="95">
        <f>'Aileron torsion'!$B$16*$B5/1000</f>
        <v>-8.2030952472632902E-3</v>
      </c>
      <c r="M5" s="93">
        <f>Superpositioning!$C$22*$B5/1000</f>
        <v>-8.9470012549483932E-2</v>
      </c>
      <c r="N5" s="94">
        <f>Superpositioning!$D$22*$B5/1000</f>
        <v>-0.16826862045668287</v>
      </c>
      <c r="O5" s="94">
        <f>1/2*Superpositioning!$C$22*(B5/1000)^2</f>
        <v>-1.5388842158511236E-3</v>
      </c>
      <c r="P5" s="94">
        <f>1/2*Superpositioning!$D$22*(B5/1000)^2</f>
        <v>-2.8942202718549455E-3</v>
      </c>
      <c r="Q5" s="95">
        <f>'Aileron torsion'!$B$21*$B5/1000</f>
        <v>-8.2030952472632902E-3</v>
      </c>
    </row>
    <row r="6" spans="1:17" x14ac:dyDescent="0.2">
      <c r="A6">
        <v>3</v>
      </c>
      <c r="B6" s="92">
        <f>B5+'Aileron shear'!$B$4/10</f>
        <v>51.599999999999994</v>
      </c>
      <c r="C6" s="93">
        <f>Superpositioning!$C$20*$B6/1000</f>
        <v>0</v>
      </c>
      <c r="D6" s="94">
        <f>Superpositioning!$D$20*$B6/1000</f>
        <v>-0.28586399999999995</v>
      </c>
      <c r="E6" s="94">
        <f>1/2*Superpositioning!$C$20*(B6/1000)^2</f>
        <v>0</v>
      </c>
      <c r="F6" s="94">
        <f>1/2*Superpositioning!$D$20*(B6/1000)^2</f>
        <v>-7.3752911999999974E-3</v>
      </c>
      <c r="G6" s="95">
        <f>'Aileron torsion'!$B$11*$B6/1000</f>
        <v>-1.393587E-2</v>
      </c>
      <c r="H6" s="93">
        <f>Superpositioning!$C$21*$B6/1000</f>
        <v>0.13420501882422586</v>
      </c>
      <c r="I6" s="94">
        <f>Superpositioning!$D$21*$B6/1000</f>
        <v>-0.25240293068502428</v>
      </c>
      <c r="J6" s="94">
        <f>1/2*Superpositioning!$C$21*(B6/1000)^2</f>
        <v>3.4624894856650269E-3</v>
      </c>
      <c r="K6" s="94">
        <f>1/2*Superpositioning!$C$21*(B6/1000)^2</f>
        <v>3.4624894856650269E-3</v>
      </c>
      <c r="L6" s="95">
        <f>'Aileron torsion'!$B$16*$B6/1000</f>
        <v>-1.2304642870894934E-2</v>
      </c>
      <c r="M6" s="93">
        <f>Superpositioning!$C$22*$B6/1000</f>
        <v>-0.13420501882422586</v>
      </c>
      <c r="N6" s="94">
        <f>Superpositioning!$D$22*$B6/1000</f>
        <v>-0.25240293068502428</v>
      </c>
      <c r="O6" s="94">
        <f>1/2*Superpositioning!$C$22*(B6/1000)^2</f>
        <v>-3.4624894856650269E-3</v>
      </c>
      <c r="P6" s="94">
        <f>1/2*Superpositioning!$D$22*(B6/1000)^2</f>
        <v>-6.5119956116736254E-3</v>
      </c>
      <c r="Q6" s="95">
        <f>'Aileron torsion'!$B$21*$B6/1000</f>
        <v>-1.2304642870894934E-2</v>
      </c>
    </row>
    <row r="7" spans="1:17" x14ac:dyDescent="0.2">
      <c r="A7">
        <v>4</v>
      </c>
      <c r="B7" s="92">
        <f>B6+'Aileron shear'!$B$4/10</f>
        <v>68.8</v>
      </c>
      <c r="C7" s="93">
        <f>Superpositioning!$C$20*$B7/1000</f>
        <v>0</v>
      </c>
      <c r="D7" s="94">
        <f>Superpositioning!$D$20*$B7/1000</f>
        <v>-0.38115199999999999</v>
      </c>
      <c r="E7" s="94">
        <f>1/2*Superpositioning!$C$20*(B7/1000)^2</f>
        <v>0</v>
      </c>
      <c r="F7" s="94">
        <f>1/2*Superpositioning!$D$20*(B7/1000)^2</f>
        <v>-1.31116288E-2</v>
      </c>
      <c r="G7" s="95">
        <f>'Aileron torsion'!$B$11*$B7/1000</f>
        <v>-1.8581159999999999E-2</v>
      </c>
      <c r="H7" s="93">
        <f>Superpositioning!$C$21*$B7/1000</f>
        <v>0.17894002509896786</v>
      </c>
      <c r="I7" s="94">
        <f>Superpositioning!$D$21*$B7/1000</f>
        <v>-0.33653724091336573</v>
      </c>
      <c r="J7" s="94">
        <f>1/2*Superpositioning!$C$21*(B7/1000)^2</f>
        <v>6.1555368634044942E-3</v>
      </c>
      <c r="K7" s="94">
        <f>1/2*Superpositioning!$C$21*(B7/1000)^2</f>
        <v>6.1555368634044942E-3</v>
      </c>
      <c r="L7" s="95">
        <f>'Aileron torsion'!$B$16*$B7/1000</f>
        <v>-1.640619049452658E-2</v>
      </c>
      <c r="M7" s="93">
        <f>Superpositioning!$C$22*$B7/1000</f>
        <v>-0.17894002509896786</v>
      </c>
      <c r="N7" s="94">
        <f>Superpositioning!$D$22*$B7/1000</f>
        <v>-0.33653724091336573</v>
      </c>
      <c r="O7" s="94">
        <f>1/2*Superpositioning!$C$22*(B7/1000)^2</f>
        <v>-6.1555368634044942E-3</v>
      </c>
      <c r="P7" s="94">
        <f>1/2*Superpositioning!$D$22*(B7/1000)^2</f>
        <v>-1.1576881087419782E-2</v>
      </c>
      <c r="Q7" s="95">
        <f>'Aileron torsion'!$B$21*$B7/1000</f>
        <v>-1.640619049452658E-2</v>
      </c>
    </row>
    <row r="8" spans="1:17" x14ac:dyDescent="0.2">
      <c r="A8">
        <v>5</v>
      </c>
      <c r="B8" s="92">
        <f>B7+'Aileron shear'!$B$4/10</f>
        <v>86</v>
      </c>
      <c r="C8" s="93">
        <f>Superpositioning!$C$20*$B8/1000</f>
        <v>0</v>
      </c>
      <c r="D8" s="94">
        <f>Superpositioning!$D$20*$B8/1000</f>
        <v>-0.47643999999999997</v>
      </c>
      <c r="E8" s="94">
        <f>1/2*Superpositioning!$C$20*(B8/1000)^2</f>
        <v>0</v>
      </c>
      <c r="F8" s="94">
        <f>1/2*Superpositioning!$D$20*(B8/1000)^2</f>
        <v>-2.0486919999999999E-2</v>
      </c>
      <c r="G8" s="95">
        <f>'Aileron torsion'!$B$11*$B8/1000</f>
        <v>-2.3226449999999999E-2</v>
      </c>
      <c r="H8" s="93">
        <f>Superpositioning!$C$21*$B8/1000</f>
        <v>0.22367503137370984</v>
      </c>
      <c r="I8" s="94">
        <f>Superpositioning!$D$21*$B8/1000</f>
        <v>-0.42067155114170718</v>
      </c>
      <c r="J8" s="94">
        <f>1/2*Superpositioning!$C$21*(B8/1000)^2</f>
        <v>9.6180263490695216E-3</v>
      </c>
      <c r="K8" s="94">
        <f>1/2*Superpositioning!$C$21*(B8/1000)^2</f>
        <v>9.6180263490695216E-3</v>
      </c>
      <c r="L8" s="95">
        <f>'Aileron torsion'!$B$16*$B8/1000</f>
        <v>-2.0507738118158227E-2</v>
      </c>
      <c r="M8" s="93">
        <f>Superpositioning!$C$22*$B8/1000</f>
        <v>-0.22367503137370984</v>
      </c>
      <c r="N8" s="94">
        <f>Superpositioning!$D$22*$B8/1000</f>
        <v>-0.42067155114170718</v>
      </c>
      <c r="O8" s="94">
        <f>1/2*Superpositioning!$C$22*(B8/1000)^2</f>
        <v>-9.6180263490695216E-3</v>
      </c>
      <c r="P8" s="94">
        <f>1/2*Superpositioning!$D$22*(B8/1000)^2</f>
        <v>-1.8088876699093405E-2</v>
      </c>
      <c r="Q8" s="95">
        <f>'Aileron torsion'!$B$21*$B8/1000</f>
        <v>-2.0507738118158227E-2</v>
      </c>
    </row>
    <row r="9" spans="1:17" x14ac:dyDescent="0.2">
      <c r="A9">
        <v>6</v>
      </c>
      <c r="B9" s="92">
        <f>B8+'Aileron shear'!$B$4/10</f>
        <v>103.2</v>
      </c>
      <c r="C9" s="93">
        <f>Superpositioning!$C$20*$B9/1000</f>
        <v>0</v>
      </c>
      <c r="D9" s="94">
        <f>Superpositioning!$D$20*$B9/1000</f>
        <v>-0.57172800000000001</v>
      </c>
      <c r="E9" s="94">
        <f>1/2*Superpositioning!$C$20*(B9/1000)^2</f>
        <v>0</v>
      </c>
      <c r="F9" s="94">
        <f>1/2*Superpositioning!$D$20*(B9/1000)^2</f>
        <v>-2.95011648E-2</v>
      </c>
      <c r="G9" s="95">
        <f>'Aileron torsion'!$B$11*$B9/1000</f>
        <v>-2.7871740000000002E-2</v>
      </c>
      <c r="H9" s="93">
        <f>Superpositioning!$C$21*$B9/1000</f>
        <v>0.26841003764845178</v>
      </c>
      <c r="I9" s="94">
        <f>Superpositioning!$D$21*$B9/1000</f>
        <v>-0.50480586137004868</v>
      </c>
      <c r="J9" s="94">
        <f>1/2*Superpositioning!$C$21*(B9/1000)^2</f>
        <v>1.3849957942660113E-2</v>
      </c>
      <c r="K9" s="94">
        <f>1/2*Superpositioning!$C$21*(B9/1000)^2</f>
        <v>1.3849957942660113E-2</v>
      </c>
      <c r="L9" s="95">
        <f>'Aileron torsion'!$B$16*$B9/1000</f>
        <v>-2.4609285741789871E-2</v>
      </c>
      <c r="M9" s="93">
        <f>Superpositioning!$C$22*$B9/1000</f>
        <v>-0.26841003764845178</v>
      </c>
      <c r="N9" s="94">
        <f>Superpositioning!$D$22*$B9/1000</f>
        <v>-0.50480586137004868</v>
      </c>
      <c r="O9" s="94">
        <f>1/2*Superpositioning!$C$22*(B9/1000)^2</f>
        <v>-1.3849957942660113E-2</v>
      </c>
      <c r="P9" s="94">
        <f>1/2*Superpositioning!$D$22*(B9/1000)^2</f>
        <v>-2.6047982446694509E-2</v>
      </c>
      <c r="Q9" s="95">
        <f>'Aileron torsion'!$B$21*$B9/1000</f>
        <v>-2.4609285741789871E-2</v>
      </c>
    </row>
    <row r="10" spans="1:17" x14ac:dyDescent="0.2">
      <c r="A10">
        <v>7</v>
      </c>
      <c r="B10" s="92">
        <f>B9+'Aileron shear'!$B$4/10</f>
        <v>120.4</v>
      </c>
      <c r="C10" s="93">
        <f>Superpositioning!$C$20*$B10/1000</f>
        <v>0</v>
      </c>
      <c r="D10" s="94">
        <f>Superpositioning!$D$20*$B10/1000</f>
        <v>-0.66701600000000005</v>
      </c>
      <c r="E10" s="94">
        <f>1/2*Superpositioning!$C$20*(B10/1000)^2</f>
        <v>0</v>
      </c>
      <c r="F10" s="94">
        <f>1/2*Superpositioning!$D$20*(B10/1000)^2</f>
        <v>-4.0154363200000001E-2</v>
      </c>
      <c r="G10" s="95">
        <f>'Aileron torsion'!$B$11*$B10/1000</f>
        <v>-3.2517030000000002E-2</v>
      </c>
      <c r="H10" s="93">
        <f>Superpositioning!$C$21*$B10/1000</f>
        <v>0.31314504392319376</v>
      </c>
      <c r="I10" s="94">
        <f>Superpositioning!$D$21*$B10/1000</f>
        <v>-0.58894017159839007</v>
      </c>
      <c r="J10" s="94">
        <f>1/2*Superpositioning!$C$21*(B10/1000)^2</f>
        <v>1.8851331644176263E-2</v>
      </c>
      <c r="K10" s="94">
        <f>1/2*Superpositioning!$C$21*(B10/1000)^2</f>
        <v>1.8851331644176263E-2</v>
      </c>
      <c r="L10" s="95">
        <f>'Aileron torsion'!$B$16*$B10/1000</f>
        <v>-2.8710833365421518E-2</v>
      </c>
      <c r="M10" s="93">
        <f>Superpositioning!$C$22*$B10/1000</f>
        <v>-0.31314504392319376</v>
      </c>
      <c r="N10" s="94">
        <f>Superpositioning!$D$22*$B10/1000</f>
        <v>-0.58894017159839007</v>
      </c>
      <c r="O10" s="94">
        <f>1/2*Superpositioning!$C$22*(B10/1000)^2</f>
        <v>-1.8851331644176263E-2</v>
      </c>
      <c r="P10" s="94">
        <f>1/2*Superpositioning!$D$22*(B10/1000)^2</f>
        <v>-3.5454198330223084E-2</v>
      </c>
      <c r="Q10" s="95">
        <f>'Aileron torsion'!$B$21*$B10/1000</f>
        <v>-2.8710833365421518E-2</v>
      </c>
    </row>
    <row r="11" spans="1:17" x14ac:dyDescent="0.2">
      <c r="A11">
        <v>8</v>
      </c>
      <c r="B11" s="92">
        <f>B10+'Aileron shear'!$B$4/10</f>
        <v>137.6</v>
      </c>
      <c r="C11" s="93">
        <f>Superpositioning!$C$20*$B11/1000</f>
        <v>0</v>
      </c>
      <c r="D11" s="94">
        <f>Superpositioning!$D$20*$B11/1000</f>
        <v>-0.76230399999999998</v>
      </c>
      <c r="E11" s="94">
        <f>1/2*Superpositioning!$C$20*(B11/1000)^2</f>
        <v>0</v>
      </c>
      <c r="F11" s="94">
        <f>1/2*Superpositioning!$D$20*(B11/1000)^2</f>
        <v>-5.2446515200000002E-2</v>
      </c>
      <c r="G11" s="95">
        <f>'Aileron torsion'!$B$11*$B11/1000</f>
        <v>-3.7162319999999999E-2</v>
      </c>
      <c r="H11" s="93">
        <f>Superpositioning!$C$21*$B11/1000</f>
        <v>0.35788005019793573</v>
      </c>
      <c r="I11" s="94">
        <f>Superpositioning!$D$21*$B11/1000</f>
        <v>-0.67307448182673146</v>
      </c>
      <c r="J11" s="94">
        <f>1/2*Superpositioning!$C$21*(B11/1000)^2</f>
        <v>2.4622147453617977E-2</v>
      </c>
      <c r="K11" s="94">
        <f>1/2*Superpositioning!$C$21*(B11/1000)^2</f>
        <v>2.4622147453617977E-2</v>
      </c>
      <c r="L11" s="95">
        <f>'Aileron torsion'!$B$16*$B11/1000</f>
        <v>-3.2812380989053161E-2</v>
      </c>
      <c r="M11" s="93">
        <f>Superpositioning!$C$22*$B11/1000</f>
        <v>-0.35788005019793573</v>
      </c>
      <c r="N11" s="94">
        <f>Superpositioning!$D$22*$B11/1000</f>
        <v>-0.67307448182673146</v>
      </c>
      <c r="O11" s="94">
        <f>1/2*Superpositioning!$C$22*(B11/1000)^2</f>
        <v>-2.4622147453617977E-2</v>
      </c>
      <c r="P11" s="94">
        <f>1/2*Superpositioning!$D$22*(B11/1000)^2</f>
        <v>-4.6307524349679129E-2</v>
      </c>
      <c r="Q11" s="95">
        <f>'Aileron torsion'!$B$21*$B11/1000</f>
        <v>-3.2812380989053161E-2</v>
      </c>
    </row>
    <row r="12" spans="1:17" x14ac:dyDescent="0.2">
      <c r="A12">
        <v>9</v>
      </c>
      <c r="B12" s="92">
        <f>B11+'Aileron shear'!$B$4/10</f>
        <v>154.79999999999998</v>
      </c>
      <c r="C12" s="93">
        <f>Superpositioning!$C$20*$B12/1000</f>
        <v>0</v>
      </c>
      <c r="D12" s="94">
        <f>Superpositioning!$D$20*$B12/1000</f>
        <v>-0.85759199999999991</v>
      </c>
      <c r="E12" s="94">
        <f>1/2*Superpositioning!$C$20*(B12/1000)^2</f>
        <v>0</v>
      </c>
      <c r="F12" s="94">
        <f>1/2*Superpositioning!$D$20*(B12/1000)^2</f>
        <v>-6.6377620799999995E-2</v>
      </c>
      <c r="G12" s="95">
        <f>'Aileron torsion'!$B$11*$B12/1000</f>
        <v>-4.1807609999999995E-2</v>
      </c>
      <c r="H12" s="93">
        <f>Superpositioning!$C$21*$B12/1000</f>
        <v>0.40261505647267765</v>
      </c>
      <c r="I12" s="94">
        <f>Superpositioning!$D$21*$B12/1000</f>
        <v>-0.75720879205507285</v>
      </c>
      <c r="J12" s="94">
        <f>1/2*Superpositioning!$C$21*(B12/1000)^2</f>
        <v>3.116240537098525E-2</v>
      </c>
      <c r="K12" s="94">
        <f>1/2*Superpositioning!$C$21*(B12/1000)^2</f>
        <v>3.116240537098525E-2</v>
      </c>
      <c r="L12" s="95">
        <f>'Aileron torsion'!$B$16*$B12/1000</f>
        <v>-3.6913928612684797E-2</v>
      </c>
      <c r="M12" s="93">
        <f>Superpositioning!$C$22*$B12/1000</f>
        <v>-0.40261505647267765</v>
      </c>
      <c r="N12" s="94">
        <f>Superpositioning!$D$22*$B12/1000</f>
        <v>-0.75720879205507285</v>
      </c>
      <c r="O12" s="94">
        <f>1/2*Superpositioning!$C$22*(B12/1000)^2</f>
        <v>-3.116240537098525E-2</v>
      </c>
      <c r="P12" s="94">
        <f>1/2*Superpositioning!$D$22*(B12/1000)^2</f>
        <v>-5.8607960505062638E-2</v>
      </c>
      <c r="Q12" s="95">
        <f>'Aileron torsion'!$B$21*$B12/1000</f>
        <v>-3.6913928612684797E-2</v>
      </c>
    </row>
    <row r="13" spans="1:17" x14ac:dyDescent="0.2">
      <c r="A13">
        <v>10</v>
      </c>
      <c r="B13" s="92">
        <f>B12+'Aileron shear'!$B$4/10</f>
        <v>171.99999999999997</v>
      </c>
      <c r="C13" s="93">
        <f>Superpositioning!$C$20*$B13/1000</f>
        <v>0</v>
      </c>
      <c r="D13" s="94">
        <f>Superpositioning!$D$20*$B13/1000</f>
        <v>-0.95287999999999984</v>
      </c>
      <c r="E13" s="94">
        <f>1/2*Superpositioning!$C$20*(B13/1000)^2</f>
        <v>0</v>
      </c>
      <c r="F13" s="94">
        <f>1/2*Superpositioning!$D$20*(B13/1000)^2</f>
        <v>-8.1947679999999953E-2</v>
      </c>
      <c r="G13" s="95">
        <f>'Aileron torsion'!$B$11*$B13/1000</f>
        <v>-4.6452899999999991E-2</v>
      </c>
      <c r="H13" s="93">
        <f>Superpositioning!$C$21*$B13/1000</f>
        <v>0.44735006274741956</v>
      </c>
      <c r="I13" s="94">
        <f>Superpositioning!$D$21*$B13/1000</f>
        <v>-0.84134310228341413</v>
      </c>
      <c r="J13" s="94">
        <f>1/2*Superpositioning!$C$21*(B13/1000)^2</f>
        <v>3.8472105396278072E-2</v>
      </c>
      <c r="K13" s="94">
        <f>1/2*Superpositioning!$C$21*(B13/1000)^2</f>
        <v>3.8472105396278072E-2</v>
      </c>
      <c r="L13" s="95">
        <f>'Aileron torsion'!$B$16*$B13/1000</f>
        <v>-4.1015476236316448E-2</v>
      </c>
      <c r="M13" s="93">
        <f>Superpositioning!$C$22*$B13/1000</f>
        <v>-0.44735006274741956</v>
      </c>
      <c r="N13" s="94">
        <f>Superpositioning!$D$22*$B13/1000</f>
        <v>-0.84134310228341413</v>
      </c>
      <c r="O13" s="94">
        <f>1/2*Superpositioning!$C$22*(B13/1000)^2</f>
        <v>-3.8472105396278072E-2</v>
      </c>
      <c r="P13" s="94">
        <f>1/2*Superpositioning!$D$22*(B13/1000)^2</f>
        <v>-7.2355506796373606E-2</v>
      </c>
      <c r="Q13" s="95">
        <f>'Aileron torsion'!$B$21*$B13/1000</f>
        <v>-4.1015476236316448E-2</v>
      </c>
    </row>
    <row r="14" spans="1:17" x14ac:dyDescent="0.2">
      <c r="B14" s="72">
        <f>B13</f>
        <v>171.99999999999997</v>
      </c>
      <c r="C14" s="44">
        <f>Superpositioning!$C$20*$B14/1000+Superpositioning!$C$4</f>
        <v>-18.711342651206046</v>
      </c>
      <c r="D14" s="27">
        <f>Superpositioning!$D$20*$B14/1000+Superpositioning!$D$4</f>
        <v>27.264151483108279</v>
      </c>
      <c r="E14" s="27">
        <f>1/2*Superpositioning!$C$20*(B14/1000)^2+Superpositioning!$C$4*((B14-B$14)/1000)</f>
        <v>0</v>
      </c>
      <c r="F14" s="27">
        <f>1/2*Superpositioning!$D$20*(B14/1000)^2+Superpositioning!$D$4*((B14-B$14)/1000)</f>
        <v>-8.1947679999999953E-2</v>
      </c>
      <c r="G14" s="45">
        <f>'Aileron torsion'!$B$11*$B14/1000</f>
        <v>-4.6452899999999991E-2</v>
      </c>
      <c r="H14" s="44">
        <f>Superpositioning!$C$21*$B14/1000+Superpositioning!$C$5</f>
        <v>-159.28967677296646</v>
      </c>
      <c r="I14" s="27">
        <f>Superpositioning!$D$21*$B14/1000+Superpositioning!$D$5</f>
        <v>15.288373647067605</v>
      </c>
      <c r="J14" s="27">
        <f>1/2*Superpositioning!$C$21*(B14/1000)^2+Superpositioning!$C$5*((B14-B$14)/1000)</f>
        <v>3.8472105396278072E-2</v>
      </c>
      <c r="K14" s="27">
        <f>1/2*Superpositioning!$D$21*(B14/1000)^2+Superpositioning!$D$5*((B14-B$14)/1000)</f>
        <v>-7.2355506796373606E-2</v>
      </c>
      <c r="L14" s="45">
        <f>'Aileron torsion'!$B$16*$B14/1000</f>
        <v>-4.1015476236316448E-2</v>
      </c>
      <c r="M14" s="44">
        <f>Superpositioning!$C$22*$B14/1000+Superpositioning!$C$6</f>
        <v>126.24740686688456</v>
      </c>
      <c r="N14" s="27">
        <f>Superpositioning!$D$22*$B14/1000+Superpositioning!$D$6</f>
        <v>32.857260199635597</v>
      </c>
      <c r="O14" s="27">
        <f>1/2*Superpositioning!$C$22*(B14/1000)^2+Superpositioning!$C$6*((B14-B$14)/1000)</f>
        <v>-3.8472105396278072E-2</v>
      </c>
      <c r="P14" s="27">
        <f>1/2*Superpositioning!$D$22*(B14/1000)^2+Superpositioning!$D$6*((B14-B$14)/1000)</f>
        <v>-7.2355506796373606E-2</v>
      </c>
      <c r="Q14" s="45">
        <f>'Aileron torsion'!$B$21*$B14/1000</f>
        <v>-4.1015476236316448E-2</v>
      </c>
    </row>
    <row r="15" spans="1:17" x14ac:dyDescent="0.2">
      <c r="A15">
        <v>1</v>
      </c>
      <c r="B15" s="72">
        <f>B14+('Aileron shear'!$B$5-Input!$C$7*10/2)/10</f>
        <v>258.39999999999998</v>
      </c>
      <c r="C15" s="44">
        <f>Superpositioning!$C$20*$B15/1000+Superpositioning!$C$4</f>
        <v>-18.711342651206046</v>
      </c>
      <c r="D15" s="27">
        <f>Superpositioning!$D$20*$B15/1000+Superpositioning!$D$4</f>
        <v>26.785495483108278</v>
      </c>
      <c r="E15" s="27">
        <f>1/2*Superpositioning!$C$20*(B15/1000)^2+Superpositioning!$C$4*((B15-B$14)/1000)</f>
        <v>-1.6166600050642024</v>
      </c>
      <c r="F15" s="27">
        <f>1/2*Superpositioning!$D$20*(B15/1000)^2+Superpositioning!$D$4*((B15-B$14)/1000)</f>
        <v>2.2529970689405556</v>
      </c>
      <c r="G15" s="45">
        <f>'Aileron torsion'!$B$11*$B15/1000</f>
        <v>-6.9787379999999996E-2</v>
      </c>
      <c r="H15" s="44">
        <f>Superpositioning!$C$21*$B15/1000+Superpositioning!$C$5</f>
        <v>-159.06496139260963</v>
      </c>
      <c r="I15" s="27">
        <f>Superpositioning!$D$21*$B15/1000+Superpositioning!$D$5</f>
        <v>14.865745484060122</v>
      </c>
      <c r="J15" s="27">
        <f>1/2*Superpositioning!$C$21*(B15/1000)^2+Superpositioning!$C$5*((B15-B$14)/1000)</f>
        <v>-13.71444826335661</v>
      </c>
      <c r="K15" s="27">
        <f>1/2*Superpositioning!$D$21*(B15/1000)^2+Superpositioning!$D$5*((B15-B$14)/1000)</f>
        <v>1.2303024396683442</v>
      </c>
      <c r="L15" s="45">
        <f>'Aileron torsion'!$B$16*$B15/1000</f>
        <v>-6.1618599182931222E-2</v>
      </c>
      <c r="M15" s="44">
        <f>Superpositioning!$C$22*$B15/1000+Superpositioning!$C$6</f>
        <v>126.02269148652772</v>
      </c>
      <c r="N15" s="27">
        <f>Superpositioning!$D$22*$B15/1000+Superpositioning!$D$6</f>
        <v>32.434632036628116</v>
      </c>
      <c r="O15" s="27">
        <f>1/2*Superpositioning!$C$22*(B15/1000)^2+Superpositioning!$C$6*((B15-B$14)/1000)</f>
        <v>10.859596143471133</v>
      </c>
      <c r="P15" s="27">
        <f>1/2*Superpositioning!$D$22*(B15/1000)^2+Superpositioning!$D$6*((B15-B$14)/1000)</f>
        <v>2.7482542378102193</v>
      </c>
      <c r="Q15" s="45">
        <f>'Aileron torsion'!$B$21*$B15/1000</f>
        <v>-6.1618599182931222E-2</v>
      </c>
    </row>
    <row r="16" spans="1:17" x14ac:dyDescent="0.2">
      <c r="A16">
        <v>2</v>
      </c>
      <c r="B16" s="72">
        <f>B15+('Aileron shear'!$B$5-Input!$C$7*10/2)/10</f>
        <v>344.8</v>
      </c>
      <c r="C16" s="44">
        <f>Superpositioning!$C$20*$B16/1000+Superpositioning!$C$4</f>
        <v>-18.711342651206046</v>
      </c>
      <c r="D16" s="27">
        <f>Superpositioning!$D$20*$B16/1000+Superpositioning!$D$4</f>
        <v>26.306839483108281</v>
      </c>
      <c r="E16" s="27">
        <f>1/2*Superpositioning!$C$20*(B16/1000)^2+Superpositioning!$C$4*((B16-B$14)/1000)</f>
        <v>-3.2333200101284052</v>
      </c>
      <c r="F16" s="27">
        <f>1/2*Superpositioning!$D$20*(B16/1000)^2+Superpositioning!$D$4*((B16-B$14)/1000)</f>
        <v>4.5465859394811119</v>
      </c>
      <c r="G16" s="45">
        <f>'Aileron torsion'!$B$11*$B16/1000</f>
        <v>-9.3121860000000015E-2</v>
      </c>
      <c r="H16" s="44">
        <f>Superpositioning!$C$21*$B16/1000+Superpositioning!$C$5</f>
        <v>-158.84024601225278</v>
      </c>
      <c r="I16" s="27">
        <f>Superpositioning!$D$21*$B16/1000+Superpositioning!$D$5</f>
        <v>14.44311732105264</v>
      </c>
      <c r="J16" s="27">
        <f>1/2*Superpositioning!$C$21*(B16/1000)^2+Superpositioning!$C$5*((B16-B$14)/1000)</f>
        <v>-27.447953223246671</v>
      </c>
      <c r="K16" s="27">
        <f>1/2*Superpositioning!$D$21*(B16/1000)^2+Superpositioning!$D$5*((B16-B$14)/1000)</f>
        <v>2.4964453128492159</v>
      </c>
      <c r="L16" s="45">
        <f>'Aileron torsion'!$B$16*$B16/1000</f>
        <v>-8.222172212954601E-2</v>
      </c>
      <c r="M16" s="44">
        <f>Superpositioning!$C$22*$B16/1000+Superpositioning!$C$6</f>
        <v>125.79797610617088</v>
      </c>
      <c r="N16" s="27">
        <f>Superpositioning!$D$22*$B16/1000+Superpositioning!$D$6</f>
        <v>32.012003873620635</v>
      </c>
      <c r="O16" s="27">
        <f>1/2*Superpositioning!$C$22*(B16/1000)^2+Superpositioning!$C$6*((B16-B$14)/1000)</f>
        <v>21.738248983475717</v>
      </c>
      <c r="P16" s="27">
        <f>1/2*Superpositioning!$D$22*(B16/1000)^2+Superpositioning!$D$6*((B16-B$14)/1000)</f>
        <v>5.532348909132967</v>
      </c>
      <c r="Q16" s="45">
        <f>'Aileron torsion'!$B$21*$B16/1000</f>
        <v>-8.222172212954601E-2</v>
      </c>
    </row>
    <row r="17" spans="1:17" x14ac:dyDescent="0.2">
      <c r="A17">
        <v>3</v>
      </c>
      <c r="B17" s="72">
        <f>B16+('Aileron shear'!$B$5-Input!$C$7*10/2)/10</f>
        <v>431.20000000000005</v>
      </c>
      <c r="C17" s="44">
        <f>Superpositioning!$C$20*$B17/1000+Superpositioning!$C$4</f>
        <v>-18.711342651206046</v>
      </c>
      <c r="D17" s="27">
        <f>Superpositioning!$D$20*$B17/1000+Superpositioning!$D$4</f>
        <v>25.82818348310828</v>
      </c>
      <c r="E17" s="27">
        <f>1/2*Superpositioning!$C$20*(B17/1000)^2+Superpositioning!$C$4*((B17-B$14)/1000)</f>
        <v>-4.8499800151926076</v>
      </c>
      <c r="F17" s="27">
        <f>1/2*Superpositioning!$D$20*(B17/1000)^2+Superpositioning!$D$4*((B17-B$14)/1000)</f>
        <v>6.7988189316216676</v>
      </c>
      <c r="G17" s="45">
        <f>'Aileron torsion'!$B$11*$B17/1000</f>
        <v>-0.11645634000000001</v>
      </c>
      <c r="H17" s="44">
        <f>Superpositioning!$C$21*$B17/1000+Superpositioning!$C$5</f>
        <v>-158.61553063189595</v>
      </c>
      <c r="I17" s="27">
        <f>Superpositioning!$D$21*$B17/1000+Superpositioning!$D$5</f>
        <v>14.020489158045155</v>
      </c>
      <c r="J17" s="27">
        <f>1/2*Superpositioning!$C$21*(B17/1000)^2+Superpositioning!$C$5*((B17-B$14)/1000)</f>
        <v>-41.1620427742739</v>
      </c>
      <c r="K17" s="27">
        <f>1/2*Superpositioning!$D$21*(B17/1000)^2+Superpositioning!$D$5*((B17-B$14)/1000)</f>
        <v>3.7260731127462408</v>
      </c>
      <c r="L17" s="45">
        <f>'Aileron torsion'!$B$16*$B17/1000</f>
        <v>-0.10282484507616078</v>
      </c>
      <c r="M17" s="44">
        <f>Superpositioning!$C$22*$B17/1000+Superpositioning!$C$6</f>
        <v>125.57326072581402</v>
      </c>
      <c r="N17" s="27">
        <f>Superpositioning!$D$22*$B17/1000+Superpositioning!$D$6</f>
        <v>31.589375710613151</v>
      </c>
      <c r="O17" s="27">
        <f>1/2*Superpositioning!$C$22*(B17/1000)^2+Superpositioning!$C$6*((B17-B$14)/1000)</f>
        <v>32.597486414617471</v>
      </c>
      <c r="P17" s="27">
        <f>1/2*Superpositioning!$D$22*(B17/1000)^2+Superpositioning!$D$6*((B17-B$14)/1000)</f>
        <v>8.2799285071718671</v>
      </c>
      <c r="Q17" s="45">
        <f>'Aileron torsion'!$B$21*$B17/1000</f>
        <v>-0.10282484507616078</v>
      </c>
    </row>
    <row r="18" spans="1:17" x14ac:dyDescent="0.2">
      <c r="A18">
        <v>4</v>
      </c>
      <c r="B18" s="72">
        <f>B17+('Aileron shear'!$B$5-Input!$C$7*10/2)/10</f>
        <v>517.6</v>
      </c>
      <c r="C18" s="44">
        <f>Superpositioning!$C$20*$B18/1000+Superpositioning!$C$4</f>
        <v>-18.711342651206046</v>
      </c>
      <c r="D18" s="27">
        <f>Superpositioning!$D$20*$B18/1000+Superpositioning!$D$4</f>
        <v>25.349527483108279</v>
      </c>
      <c r="E18" s="27">
        <f>1/2*Superpositioning!$C$20*(B18/1000)^2+Superpositioning!$C$4*((B18-B$14)/1000)</f>
        <v>-6.4666400202568095</v>
      </c>
      <c r="F18" s="27">
        <f>1/2*Superpositioning!$D$20*(B18/1000)^2+Superpositioning!$D$4*((B18-B$14)/1000)</f>
        <v>9.0096960453622223</v>
      </c>
      <c r="G18" s="45">
        <f>'Aileron torsion'!$B$11*$B18/1000</f>
        <v>-0.13979082000000004</v>
      </c>
      <c r="H18" s="44">
        <f>Superpositioning!$C$21*$B18/1000+Superpositioning!$C$5</f>
        <v>-158.3908152515391</v>
      </c>
      <c r="I18" s="27">
        <f>Superpositioning!$D$21*$B18/1000+Superpositioning!$D$5</f>
        <v>13.597860995037674</v>
      </c>
      <c r="J18" s="27">
        <f>1/2*Superpositioning!$C$21*(B18/1000)^2+Superpositioning!$C$5*((B18-B$14)/1000)</f>
        <v>-54.856716916438288</v>
      </c>
      <c r="K18" s="27">
        <f>1/2*Superpositioning!$D$21*(B18/1000)^2+Superpositioning!$D$5*((B18-B$14)/1000)</f>
        <v>4.919185839359419</v>
      </c>
      <c r="L18" s="45">
        <f>'Aileron torsion'!$B$16*$B18/1000</f>
        <v>-0.12342796802277556</v>
      </c>
      <c r="M18" s="44">
        <f>Superpositioning!$C$22*$B18/1000+Superpositioning!$C$6</f>
        <v>125.34854534545718</v>
      </c>
      <c r="N18" s="27">
        <f>Superpositioning!$D$22*$B18/1000+Superpositioning!$D$6</f>
        <v>31.16674754760567</v>
      </c>
      <c r="O18" s="27">
        <f>1/2*Superpositioning!$C$22*(B18/1000)^2+Superpositioning!$C$6*((B18-B$14)/1000)</f>
        <v>43.43730843689638</v>
      </c>
      <c r="P18" s="27">
        <f>1/2*Superpositioning!$D$22*(B18/1000)^2+Superpositioning!$D$6*((B18-B$14)/1000)</f>
        <v>10.990993031926919</v>
      </c>
      <c r="Q18" s="45">
        <f>'Aileron torsion'!$B$21*$B18/1000</f>
        <v>-0.12342796802277556</v>
      </c>
    </row>
    <row r="19" spans="1:17" x14ac:dyDescent="0.2">
      <c r="A19">
        <v>5</v>
      </c>
      <c r="B19" s="72">
        <f>B18+('Aileron shear'!$B$5-Input!$C$7*10/2)/10</f>
        <v>604</v>
      </c>
      <c r="C19" s="44">
        <f>Superpositioning!$C$20*$B19/1000+Superpositioning!$C$4</f>
        <v>-18.711342651206046</v>
      </c>
      <c r="D19" s="27">
        <f>Superpositioning!$D$20*$B19/1000+Superpositioning!$D$4</f>
        <v>24.870871483108278</v>
      </c>
      <c r="E19" s="27">
        <f>1/2*Superpositioning!$C$20*(B19/1000)^2+Superpositioning!$C$4*((B19-B$14)/1000)</f>
        <v>-8.0833000253210123</v>
      </c>
      <c r="F19" s="27">
        <f>1/2*Superpositioning!$D$20*(B19/1000)^2+Superpositioning!$D$4*((B19-B$14)/1000)</f>
        <v>11.179217280702776</v>
      </c>
      <c r="G19" s="45">
        <f>'Aileron torsion'!$B$11*$B19/1000</f>
        <v>-0.1631253</v>
      </c>
      <c r="H19" s="44">
        <f>Superpositioning!$C$21*$B19/1000+Superpositioning!$C$5</f>
        <v>-158.16609987118227</v>
      </c>
      <c r="I19" s="27">
        <f>Superpositioning!$D$21*$B19/1000+Superpositioning!$D$5</f>
        <v>13.175232832030192</v>
      </c>
      <c r="J19" s="27">
        <f>1/2*Superpositioning!$C$21*(B19/1000)^2+Superpositioning!$C$5*((B19-B$14)/1000)</f>
        <v>-68.531975649739849</v>
      </c>
      <c r="K19" s="27">
        <f>1/2*Superpositioning!$D$21*(B19/1000)^2+Superpositioning!$D$5*((B19-B$14)/1000)</f>
        <v>6.0757834926887506</v>
      </c>
      <c r="L19" s="45">
        <f>'Aileron torsion'!$B$16*$B19/1000</f>
        <v>-0.14403109096939035</v>
      </c>
      <c r="M19" s="44">
        <f>Superpositioning!$C$22*$B19/1000+Superpositioning!$C$6</f>
        <v>125.12382996510034</v>
      </c>
      <c r="N19" s="27">
        <f>Superpositioning!$D$22*$B19/1000+Superpositioning!$D$6</f>
        <v>30.744119384598186</v>
      </c>
      <c r="O19" s="27">
        <f>1/2*Superpositioning!$C$22*(B19/1000)^2+Superpositioning!$C$6*((B19-B$14)/1000)</f>
        <v>54.257715050312463</v>
      </c>
      <c r="P19" s="27">
        <f>1/2*Superpositioning!$D$22*(B19/1000)^2+Superpositioning!$D$6*((B19-B$14)/1000)</f>
        <v>13.665542483398124</v>
      </c>
      <c r="Q19" s="45">
        <f>'Aileron torsion'!$B$21*$B19/1000</f>
        <v>-0.14403109096939035</v>
      </c>
    </row>
    <row r="20" spans="1:17" x14ac:dyDescent="0.2">
      <c r="A20">
        <v>6</v>
      </c>
      <c r="B20" s="72">
        <f>B19+('Aileron shear'!$B$5-Input!$C$7*10/2)/10</f>
        <v>690.4</v>
      </c>
      <c r="C20" s="44">
        <f>Superpositioning!$C$20*$B20/1000+Superpositioning!$C$4</f>
        <v>-18.711342651206046</v>
      </c>
      <c r="D20" s="27">
        <f>Superpositioning!$D$20*$B20/1000+Superpositioning!$D$4</f>
        <v>24.392215483108281</v>
      </c>
      <c r="E20" s="27">
        <f>1/2*Superpositioning!$C$20*(B20/1000)^2+Superpositioning!$C$4*((B20-B$14)/1000)</f>
        <v>-9.6999600303852134</v>
      </c>
      <c r="F20" s="27">
        <f>1/2*Superpositioning!$D$20*(B20/1000)^2+Superpositioning!$D$4*((B20-B$14)/1000)</f>
        <v>13.307382637643331</v>
      </c>
      <c r="G20" s="45">
        <f>'Aileron torsion'!$B$11*$B20/1000</f>
        <v>-0.18645977999999999</v>
      </c>
      <c r="H20" s="44">
        <f>Superpositioning!$C$21*$B20/1000+Superpositioning!$C$5</f>
        <v>-157.94138449082541</v>
      </c>
      <c r="I20" s="27">
        <f>Superpositioning!$D$21*$B20/1000+Superpositioning!$D$5</f>
        <v>12.752604669022709</v>
      </c>
      <c r="J20" s="27">
        <f>1/2*Superpositioning!$C$21*(B20/1000)^2+Superpositioning!$C$5*((B20-B$14)/1000)</f>
        <v>-82.187818974178569</v>
      </c>
      <c r="K20" s="27">
        <f>1/2*Superpositioning!$D$21*(B20/1000)^2+Superpositioning!$D$5*((B20-B$14)/1000)</f>
        <v>7.1958660727342352</v>
      </c>
      <c r="L20" s="45">
        <f>'Aileron torsion'!$B$16*$B20/1000</f>
        <v>-0.16463421391600511</v>
      </c>
      <c r="M20" s="44">
        <f>Superpositioning!$C$22*$B20/1000+Superpositioning!$C$6</f>
        <v>124.8991145847435</v>
      </c>
      <c r="N20" s="27">
        <f>Superpositioning!$D$22*$B20/1000+Superpositioning!$D$6</f>
        <v>30.321491221590705</v>
      </c>
      <c r="O20" s="27">
        <f>1/2*Superpositioning!$C$22*(B20/1000)^2+Superpositioning!$C$6*((B20-B$14)/1000)</f>
        <v>65.058706254865712</v>
      </c>
      <c r="P20" s="27">
        <f>1/2*Superpositioning!$D$22*(B20/1000)^2+Superpositioning!$D$6*((B20-B$14)/1000)</f>
        <v>16.303576861585483</v>
      </c>
      <c r="Q20" s="45">
        <f>'Aileron torsion'!$B$21*$B20/1000</f>
        <v>-0.16463421391600511</v>
      </c>
    </row>
    <row r="21" spans="1:17" x14ac:dyDescent="0.2">
      <c r="A21">
        <v>7</v>
      </c>
      <c r="B21" s="72">
        <f>B20+('Aileron shear'!$B$5-Input!$C$7*10/2)/10</f>
        <v>776.8</v>
      </c>
      <c r="C21" s="44">
        <f>Superpositioning!$C$20*$B21/1000+Superpositioning!$C$4</f>
        <v>-18.711342651206046</v>
      </c>
      <c r="D21" s="27">
        <f>Superpositioning!$D$20*$B21/1000+Superpositioning!$D$4</f>
        <v>23.91355948310828</v>
      </c>
      <c r="E21" s="27">
        <f>1/2*Superpositioning!$C$20*(B21/1000)^2+Superpositioning!$C$4*((B21-B$14)/1000)</f>
        <v>-11.316620035449416</v>
      </c>
      <c r="F21" s="27">
        <f>1/2*Superpositioning!$D$20*(B21/1000)^2+Superpositioning!$D$4*((B21-B$14)/1000)</f>
        <v>15.394192116183886</v>
      </c>
      <c r="G21" s="45">
        <f>'Aileron torsion'!$B$11*$B21/1000</f>
        <v>-0.20979426000000001</v>
      </c>
      <c r="H21" s="44">
        <f>Superpositioning!$C$21*$B21/1000+Superpositioning!$C$5</f>
        <v>-157.71666911046856</v>
      </c>
      <c r="I21" s="27">
        <f>Superpositioning!$D$21*$B21/1000+Superpositioning!$D$5</f>
        <v>12.329976506015226</v>
      </c>
      <c r="J21" s="27">
        <f>1/2*Superpositioning!$C$21*(B21/1000)^2+Superpositioning!$C$5*((B21-B$14)/1000)</f>
        <v>-95.824246889754477</v>
      </c>
      <c r="K21" s="27">
        <f>1/2*Superpositioning!$D$21*(B21/1000)^2+Superpositioning!$D$5*((B21-B$14)/1000)</f>
        <v>8.2794335794958762</v>
      </c>
      <c r="L21" s="45">
        <f>'Aileron torsion'!$B$16*$B21/1000</f>
        <v>-0.18523733686261987</v>
      </c>
      <c r="M21" s="44">
        <f>Superpositioning!$C$22*$B21/1000+Superpositioning!$C$6</f>
        <v>124.67439920438666</v>
      </c>
      <c r="N21" s="27">
        <f>Superpositioning!$D$22*$B21/1000+Superpositioning!$D$6</f>
        <v>29.898863058583224</v>
      </c>
      <c r="O21" s="27">
        <f>1/2*Superpositioning!$C$22*(B21/1000)^2+Superpositioning!$C$6*((B21-B$14)/1000)</f>
        <v>75.840282050556141</v>
      </c>
      <c r="P21" s="27">
        <f>1/2*Superpositioning!$D$22*(B21/1000)^2+Superpositioning!$D$6*((B21-B$14)/1000)</f>
        <v>18.905096166488999</v>
      </c>
      <c r="Q21" s="45">
        <f>'Aileron torsion'!$B$21*$B21/1000</f>
        <v>-0.18523733686261987</v>
      </c>
    </row>
    <row r="22" spans="1:17" x14ac:dyDescent="0.2">
      <c r="A22">
        <v>8</v>
      </c>
      <c r="B22" s="72">
        <f>B21+('Aileron shear'!$B$5-Input!$C$7*10/2)/10</f>
        <v>863.19999999999993</v>
      </c>
      <c r="C22" s="44">
        <f>Superpositioning!$C$20*$B22/1000+Superpositioning!$C$4</f>
        <v>-18.711342651206046</v>
      </c>
      <c r="D22" s="27">
        <f>Superpositioning!$D$20*$B22/1000+Superpositioning!$D$4</f>
        <v>23.434903483108279</v>
      </c>
      <c r="E22" s="27">
        <f>1/2*Superpositioning!$C$20*(B22/1000)^2+Superpositioning!$C$4*((B22-B$14)/1000)</f>
        <v>-12.933280040513617</v>
      </c>
      <c r="F22" s="27">
        <f>1/2*Superpositioning!$D$20*(B22/1000)^2+Superpositioning!$D$4*((B22-B$14)/1000)</f>
        <v>17.439645716324442</v>
      </c>
      <c r="G22" s="45">
        <f>'Aileron torsion'!$B$11*$B22/1000</f>
        <v>-0.23312874</v>
      </c>
      <c r="H22" s="44">
        <f>Superpositioning!$C$21*$B22/1000+Superpositioning!$C$5</f>
        <v>-157.49195373011173</v>
      </c>
      <c r="I22" s="27">
        <f>Superpositioning!$D$21*$B22/1000+Superpositioning!$D$5</f>
        <v>11.907348343007744</v>
      </c>
      <c r="J22" s="27">
        <f>1/2*Superpositioning!$C$21*(B22/1000)^2+Superpositioning!$C$5*((B22-B$14)/1000)</f>
        <v>-109.44125939646754</v>
      </c>
      <c r="K22" s="27">
        <f>1/2*Superpositioning!$D$21*(B22/1000)^2+Superpositioning!$D$5*((B22-B$14)/1000)</f>
        <v>9.3264860129736658</v>
      </c>
      <c r="L22" s="45">
        <f>'Aileron torsion'!$B$16*$B22/1000</f>
        <v>-0.20584045980923463</v>
      </c>
      <c r="M22" s="44">
        <f>Superpositioning!$C$22*$B22/1000+Superpositioning!$C$6</f>
        <v>124.44968382402982</v>
      </c>
      <c r="N22" s="27">
        <f>Superpositioning!$D$22*$B22/1000+Superpositioning!$D$6</f>
        <v>29.47623489557574</v>
      </c>
      <c r="O22" s="27">
        <f>1/2*Superpositioning!$C$22*(B22/1000)^2+Superpositioning!$C$6*((B22-B$14)/1000)</f>
        <v>86.602442437383729</v>
      </c>
      <c r="P22" s="27">
        <f>1/2*Superpositioning!$D$22*(B22/1000)^2+Superpositioning!$D$6*((B22-B$14)/1000)</f>
        <v>21.470100398108663</v>
      </c>
      <c r="Q22" s="45">
        <f>'Aileron torsion'!$B$21*$B22/1000</f>
        <v>-0.20584045980923463</v>
      </c>
    </row>
    <row r="23" spans="1:17" x14ac:dyDescent="0.2">
      <c r="A23">
        <v>9</v>
      </c>
      <c r="B23" s="72">
        <f>B22+('Aileron shear'!$B$5-Input!$C$7*10/2)/10</f>
        <v>949.59999999999991</v>
      </c>
      <c r="C23" s="44">
        <f>Superpositioning!$C$20*$B23/1000+Superpositioning!$C$4</f>
        <v>-18.711342651206046</v>
      </c>
      <c r="D23" s="27">
        <f>Superpositioning!$D$20*$B23/1000+Superpositioning!$D$4</f>
        <v>22.956247483108278</v>
      </c>
      <c r="E23" s="27">
        <f>1/2*Superpositioning!$C$20*(B23/1000)^2+Superpositioning!$C$4*((B23-B$14)/1000)</f>
        <v>-14.54994004557782</v>
      </c>
      <c r="F23" s="27">
        <f>1/2*Superpositioning!$D$20*(B23/1000)^2+Superpositioning!$D$4*((B23-B$14)/1000)</f>
        <v>19.443743438064995</v>
      </c>
      <c r="G23" s="45">
        <f>'Aileron torsion'!$B$11*$B23/1000</f>
        <v>-0.25646321999999999</v>
      </c>
      <c r="H23" s="44">
        <f>Superpositioning!$C$21*$B23/1000+Superpositioning!$C$5</f>
        <v>-157.26723834975488</v>
      </c>
      <c r="I23" s="27">
        <f>Superpositioning!$D$21*$B23/1000+Superpositioning!$D$5</f>
        <v>11.484720180000263</v>
      </c>
      <c r="J23" s="27">
        <f>1/2*Superpositioning!$C$21*(B23/1000)^2+Superpositioning!$C$5*((B23-B$14)/1000)</f>
        <v>-123.03885649431777</v>
      </c>
      <c r="K23" s="27">
        <f>1/2*Superpositioning!$D$21*(B23/1000)^2+Superpositioning!$D$5*((B23-B$14)/1000)</f>
        <v>10.337023373167611</v>
      </c>
      <c r="L23" s="45">
        <f>'Aileron torsion'!$B$16*$B23/1000</f>
        <v>-0.22644358275584942</v>
      </c>
      <c r="M23" s="44">
        <f>Superpositioning!$C$22*$B23/1000+Superpositioning!$C$6</f>
        <v>124.22496844367296</v>
      </c>
      <c r="N23" s="27">
        <f>Superpositioning!$D$22*$B23/1000+Superpositioning!$D$6</f>
        <v>29.053606732568259</v>
      </c>
      <c r="O23" s="27">
        <f>1/2*Superpositioning!$C$22*(B23/1000)^2+Superpositioning!$C$6*((B23-B$14)/1000)</f>
        <v>97.345187415348477</v>
      </c>
      <c r="P23" s="27">
        <f>1/2*Superpositioning!$D$22*(B23/1000)^2+Superpositioning!$D$6*((B23-B$14)/1000)</f>
        <v>23.998589556444486</v>
      </c>
      <c r="Q23" s="45">
        <f>'Aileron torsion'!$B$21*$B23/1000</f>
        <v>-0.22644358275584942</v>
      </c>
    </row>
    <row r="24" spans="1:17" x14ac:dyDescent="0.2">
      <c r="A24">
        <v>10</v>
      </c>
      <c r="B24" s="72">
        <f>B23+('Aileron shear'!$B$5-Input!$C$7*10/2)/10</f>
        <v>1036</v>
      </c>
      <c r="C24" s="44">
        <f>Superpositioning!$C$20*$B24/1000+Superpositioning!$C$4</f>
        <v>-18.711342651206046</v>
      </c>
      <c r="D24" s="27">
        <f>Superpositioning!$D$20*$B24/1000+Superpositioning!$D$4</f>
        <v>22.477591483108281</v>
      </c>
      <c r="E24" s="27">
        <f>1/2*Superpositioning!$C$20*(B24/1000)^2+Superpositioning!$C$4*((B24-B$14)/1000)</f>
        <v>-16.166600050642025</v>
      </c>
      <c r="F24" s="27">
        <f>1/2*Superpositioning!$D$20*(B24/1000)^2+Superpositioning!$D$4*((B24-B$14)/1000)</f>
        <v>21.406485281405551</v>
      </c>
      <c r="G24" s="45">
        <f>'Aileron torsion'!$B$11*$B24/1000</f>
        <v>-0.27979770000000004</v>
      </c>
      <c r="H24" s="44">
        <f>Superpositioning!$C$21*$B24/1000+Superpositioning!$C$5</f>
        <v>-157.04252296939805</v>
      </c>
      <c r="I24" s="27">
        <f>Superpositioning!$D$21*$B24/1000+Superpositioning!$D$5</f>
        <v>11.062092016992779</v>
      </c>
      <c r="J24" s="27">
        <f>1/2*Superpositioning!$C$21*(B24/1000)^2+Superpositioning!$C$5*((B24-B$14)/1000)</f>
        <v>-136.6170381833052</v>
      </c>
      <c r="K24" s="27">
        <f>1/2*Superpositioning!$D$21*(B24/1000)^2+Superpositioning!$D$5*((B24-B$14)/1000)</f>
        <v>11.311045660077712</v>
      </c>
      <c r="L24" s="45">
        <f>'Aileron torsion'!$B$16*$B24/1000</f>
        <v>-0.2470467057024642</v>
      </c>
      <c r="M24" s="44">
        <f>Superpositioning!$C$22*$B24/1000+Superpositioning!$C$6</f>
        <v>124.00025306331612</v>
      </c>
      <c r="N24" s="27">
        <f>Superpositioning!$D$22*$B24/1000+Superpositioning!$D$6</f>
        <v>28.630978569560774</v>
      </c>
      <c r="O24" s="27">
        <f>1/2*Superpositioning!$C$22*(B24/1000)^2+Superpositioning!$C$6*((B24-B$14)/1000)</f>
        <v>108.06851698445041</v>
      </c>
      <c r="P24" s="27">
        <f>1/2*Superpositioning!$D$22*(B24/1000)^2+Superpositioning!$D$6*((B24-B$14)/1000)</f>
        <v>26.490563641496458</v>
      </c>
      <c r="Q24" s="45">
        <f>'Aileron torsion'!$B$21*$B24/1000</f>
        <v>-0.2470467057024642</v>
      </c>
    </row>
    <row r="25" spans="1:17" x14ac:dyDescent="0.2">
      <c r="B25" s="92">
        <f>B24</f>
        <v>1036</v>
      </c>
      <c r="C25" s="93">
        <f>Superpositioning!$C$20*$B25/1000+Superpositioning!$C$4+Superpositioning!$C$13</f>
        <v>85.700067836598834</v>
      </c>
      <c r="D25" s="94">
        <f>Superpositioning!$D$20*$B25/1000+Superpositioning!$D$4+Superpositioning!$D$13</f>
        <v>22.477591483108281</v>
      </c>
      <c r="E25" s="94">
        <f>1/2*Superpositioning!$C$20*(B25/1000)^2+Superpositioning!$C$4*((B25-B$14)/1000)+Superpositioning!$C$13*((B25-B$25)/1000)</f>
        <v>-16.166600050642025</v>
      </c>
      <c r="F25" s="94">
        <f>1/2*Superpositioning!$D$20*(B25/1000)^2+Superpositioning!$D$4*((B25-B$14)/1000)+Superpositioning!$D$13*((B25-B$25)/1000)</f>
        <v>21.406485281405551</v>
      </c>
      <c r="G25" s="95">
        <f>'Aileron torsion'!$B$11*$B25/1000+'Aileron torsion'!$B$12</f>
        <v>10.422371875</v>
      </c>
      <c r="H25" s="93">
        <f>Superpositioning!$C$21*$B25/1000+Superpositioning!$C$5+Superpositioning!$C$14</f>
        <v>-64.852719412185408</v>
      </c>
      <c r="I25" s="94">
        <f>Superpositioning!$D$21*$B25/1000+Superpositioning!$D$5+Superpositioning!$D$14</f>
        <v>60.080280071381686</v>
      </c>
      <c r="J25" s="94">
        <f>1/2*Superpositioning!$C$21*(B25/1000)^2+Superpositioning!$C$5*((B25-B$14)/1000)+Superpositioning!$C$14*((B25-B$25)/1000)</f>
        <v>-136.6170381833052</v>
      </c>
      <c r="K25" s="94">
        <f>1/2*Superpositioning!$D$21*(B25/1000)^2+Superpositioning!$D$5*((B25-B$14)/1000)+Superpositioning!$D$14*((B25-B$25)/1000)</f>
        <v>11.311045660077712</v>
      </c>
      <c r="L25" s="95">
        <f>'Aileron torsion'!$B$16*$B25/1000+'Aileron torsion'!$B$17</f>
        <v>9.2024081589118314</v>
      </c>
      <c r="M25" s="93">
        <f>Superpositioning!$C$22*$B25/1000+Superpositioning!$C$6+Superpositioning!$C$15</f>
        <v>216.19005662052876</v>
      </c>
      <c r="N25" s="94">
        <f>Superpositioning!$D$22*$B25/1000+Superpositioning!$D$6+Superpositioning!$D$15</f>
        <v>-20.387209484828134</v>
      </c>
      <c r="O25" s="94">
        <f>1/2*Superpositioning!$C$22*(B25/1000)^2+Superpositioning!$C$6*((B25-B$14)/1000)+Superpositioning!$C$15*((B25-B$25)/1000)</f>
        <v>108.06851698445041</v>
      </c>
      <c r="P25" s="94">
        <f>1/2*Superpositioning!$D$22*(B25/1000)^2+Superpositioning!$D$6*((B25-B$14)/1000)+Superpositioning!$D$15*((B25-B$25)/1000)</f>
        <v>26.490563641496458</v>
      </c>
      <c r="Q25" s="95">
        <f>'Aileron torsion'!$B$21*$B25/1000+'Aileron torsion'!$B$22</f>
        <v>9.2024081589118314</v>
      </c>
    </row>
    <row r="26" spans="1:17" x14ac:dyDescent="0.2">
      <c r="A26">
        <v>1</v>
      </c>
      <c r="B26" s="92">
        <f>B25+(Input!$C$7*10/2)/5</f>
        <v>1071</v>
      </c>
      <c r="C26" s="93">
        <f>Superpositioning!$C$20*$B26/1000+Superpositioning!$C$4+Superpositioning!$C$13</f>
        <v>85.700067836598834</v>
      </c>
      <c r="D26" s="94">
        <f>Superpositioning!$D$20*$B26/1000+Superpositioning!$D$4+Superpositioning!$D$13</f>
        <v>22.283691483108278</v>
      </c>
      <c r="E26" s="94">
        <f>1/2*Superpositioning!$C$20*(B26/1000)^2+Superpositioning!$C$4*((B26-B$14)/1000)+Superpositioning!$C$13*((B26-B$25)/1000)</f>
        <v>-13.167097676361063</v>
      </c>
      <c r="F26" s="94">
        <f>1/2*Superpositioning!$D$20*(B26/1000)^2+Superpositioning!$D$4*((B26-B$14)/1000)+Superpositioning!$D$13*((B26-B$25)/1000)</f>
        <v>22.189807733314343</v>
      </c>
      <c r="G26" s="95">
        <f>'Aileron torsion'!$B$11*$B26/1000+'Aileron torsion'!$B$12</f>
        <v>10.41291925</v>
      </c>
      <c r="H26" s="93">
        <f>Superpositioning!$C$21*$B26/1000+Superpositioning!$C$5+Superpositioning!$C$14</f>
        <v>-64.761688876161216</v>
      </c>
      <c r="I26" s="94">
        <f>Superpositioning!$D$21*$B26/1000+Superpositioning!$D$5+Superpositioning!$D$14</f>
        <v>59.909076533126338</v>
      </c>
      <c r="J26" s="94">
        <f>1/2*Superpositioning!$C$21*(B26/1000)^2+Superpositioning!$C$5*((B26-B$14)/1000)+Superpositioning!$C$14*((B26-B$25)/1000)</f>
        <v>-138.88529032835129</v>
      </c>
      <c r="K26" s="94">
        <f>1/2*Superpositioning!$D$21*(B26/1000)^2+Superpositioning!$D$5*((B26-B$14)/1000)+Superpositioning!$D$14*((B26-B$25)/1000)</f>
        <v>13.410859400656603</v>
      </c>
      <c r="L26" s="95">
        <f>'Aileron torsion'!$B$16*$B26/1000+'Aileron torsion'!$B$17</f>
        <v>9.1940619864218842</v>
      </c>
      <c r="M26" s="93">
        <f>Superpositioning!$C$22*$B26/1000+Superpositioning!$C$6+Superpositioning!$C$15</f>
        <v>216.0990260845046</v>
      </c>
      <c r="N26" s="94">
        <f>Superpositioning!$D$22*$B26/1000+Superpositioning!$D$6+Superpositioning!$D$15</f>
        <v>-20.558413023083482</v>
      </c>
      <c r="O26" s="94">
        <f>1/2*Superpositioning!$C$22*(B26/1000)^2+Superpositioning!$C$6*((B26-B$14)/1000)+Superpositioning!$C$15*((B26-B$25)/1000)</f>
        <v>115.63357593178851</v>
      </c>
      <c r="P26" s="94">
        <f>1/2*Superpositioning!$D$22*(B26/1000)^2+Superpositioning!$D$6*((B26-B$14)/1000)+Superpositioning!$D$15*((B26-B$25)/1000)</f>
        <v>25.774015247608006</v>
      </c>
      <c r="Q26" s="95">
        <f>'Aileron torsion'!$B$21*$B26/1000+'Aileron torsion'!$B$22</f>
        <v>9.1940619864218842</v>
      </c>
    </row>
    <row r="27" spans="1:17" x14ac:dyDescent="0.2">
      <c r="A27">
        <v>2</v>
      </c>
      <c r="B27" s="92">
        <f>B26+(Input!$C$7*10/2)/5</f>
        <v>1106</v>
      </c>
      <c r="C27" s="93">
        <f>Superpositioning!$C$20*$B27/1000+Superpositioning!$C$4+Superpositioning!$C$13</f>
        <v>85.700067836598834</v>
      </c>
      <c r="D27" s="94">
        <f>Superpositioning!$D$20*$B27/1000+Superpositioning!$D$4+Superpositioning!$D$13</f>
        <v>22.089791483108279</v>
      </c>
      <c r="E27" s="94">
        <f>1/2*Superpositioning!$C$20*(B27/1000)^2+Superpositioning!$C$4*((B27-B$14)/1000)+Superpositioning!$C$13*((B27-B$25)/1000)</f>
        <v>-10.167595302080107</v>
      </c>
      <c r="F27" s="94">
        <f>1/2*Superpositioning!$D$20*(B27/1000)^2+Superpositioning!$D$4*((B27-B$14)/1000)+Superpositioning!$D$13*((B27-B$25)/1000)</f>
        <v>22.966343685223134</v>
      </c>
      <c r="G27" s="95">
        <f>'Aileron torsion'!$B$11*$B27/1000+'Aileron torsion'!$B$12</f>
        <v>10.403466625</v>
      </c>
      <c r="H27" s="93">
        <f>Superpositioning!$C$21*$B27/1000+Superpositioning!$C$5+Superpositioning!$C$14</f>
        <v>-64.670658340137024</v>
      </c>
      <c r="I27" s="94">
        <f>Superpositioning!$D$21*$B27/1000+Superpositioning!$D$5+Superpositioning!$D$14</f>
        <v>59.737872994870997</v>
      </c>
      <c r="J27" s="94">
        <f>1/2*Superpositioning!$C$21*(B27/1000)^2+Superpositioning!$C$5*((B27-B$14)/1000)+Superpositioning!$C$14*((B27-B$25)/1000)</f>
        <v>-141.15035640463648</v>
      </c>
      <c r="K27" s="94">
        <f>1/2*Superpositioning!$D$21*(B27/1000)^2+Superpositioning!$D$5*((B27-B$14)/1000)+Superpositioning!$D$14*((B27-B$25)/1000)</f>
        <v>15.504681017396557</v>
      </c>
      <c r="L27" s="95">
        <f>'Aileron torsion'!$B$16*$B27/1000+'Aileron torsion'!$B$17</f>
        <v>9.1857158139319353</v>
      </c>
      <c r="M27" s="93">
        <f>Superpositioning!$C$22*$B27/1000+Superpositioning!$C$6+Superpositioning!$C$15</f>
        <v>216.00799554848038</v>
      </c>
      <c r="N27" s="94">
        <f>Superpositioning!$D$22*$B27/1000+Superpositioning!$D$6+Superpositioning!$D$15</f>
        <v>-20.729616561338826</v>
      </c>
      <c r="O27" s="94">
        <f>1/2*Superpositioning!$C$22*(B27/1000)^2+Superpositioning!$C$6*((B27-B$14)/1000)+Superpositioning!$C$15*((B27-B$25)/1000)</f>
        <v>123.19544881036575</v>
      </c>
      <c r="P27" s="94">
        <f>1/2*Superpositioning!$D$22*(B27/1000)^2+Superpositioning!$D$6*((B27-B$14)/1000)+Superpositioning!$D$15*((B27-B$25)/1000)</f>
        <v>25.051474729880617</v>
      </c>
      <c r="Q27" s="95">
        <f>'Aileron torsion'!$B$21*$B27/1000+'Aileron torsion'!$B$22</f>
        <v>9.1857158139319353</v>
      </c>
    </row>
    <row r="28" spans="1:17" x14ac:dyDescent="0.2">
      <c r="A28">
        <v>3</v>
      </c>
      <c r="B28" s="92">
        <f>B27+(Input!$C$7*10/2)/5</f>
        <v>1141</v>
      </c>
      <c r="C28" s="93">
        <f>Superpositioning!$C$20*$B28/1000+Superpositioning!$C$4+Superpositioning!$C$13</f>
        <v>85.700067836598834</v>
      </c>
      <c r="D28" s="94">
        <f>Superpositioning!$D$20*$B28/1000+Superpositioning!$D$4+Superpositioning!$D$13</f>
        <v>21.895891483108279</v>
      </c>
      <c r="E28" s="94">
        <f>1/2*Superpositioning!$C$20*(B28/1000)^2+Superpositioning!$C$4*((B28-B$14)/1000)+Superpositioning!$C$13*((B28-B$25)/1000)</f>
        <v>-7.1680929277991474</v>
      </c>
      <c r="F28" s="94">
        <f>1/2*Superpositioning!$D$20*(B28/1000)^2+Superpositioning!$D$4*((B28-B$14)/1000)+Superpositioning!$D$13*((B28-B$25)/1000)</f>
        <v>23.736093137131924</v>
      </c>
      <c r="G28" s="95">
        <f>'Aileron torsion'!$B$11*$B28/1000+'Aileron torsion'!$B$12</f>
        <v>10.394013999999999</v>
      </c>
      <c r="H28" s="93">
        <f>Superpositioning!$C$21*$B28/1000+Superpositioning!$C$5+Superpositioning!$C$14</f>
        <v>-64.579627804112832</v>
      </c>
      <c r="I28" s="94">
        <f>Superpositioning!$D$21*$B28/1000+Superpositioning!$D$5+Superpositioning!$D$14</f>
        <v>59.566669456615649</v>
      </c>
      <c r="J28" s="94">
        <f>1/2*Superpositioning!$C$21*(B28/1000)^2+Superpositioning!$C$5*((B28-B$14)/1000)+Superpositioning!$C$14*((B28-B$25)/1000)</f>
        <v>-143.41223641216084</v>
      </c>
      <c r="K28" s="94">
        <f>1/2*Superpositioning!$D$21*(B28/1000)^2+Superpositioning!$D$5*((B28-B$14)/1000)+Superpositioning!$D$14*((B28-B$25)/1000)</f>
        <v>17.592510510297572</v>
      </c>
      <c r="L28" s="95">
        <f>'Aileron torsion'!$B$16*$B28/1000+'Aileron torsion'!$B$17</f>
        <v>9.1773696414419881</v>
      </c>
      <c r="M28" s="93">
        <f>Superpositioning!$C$22*$B28/1000+Superpositioning!$C$6+Superpositioning!$C$15</f>
        <v>215.91696501245622</v>
      </c>
      <c r="N28" s="94">
        <f>Superpositioning!$D$22*$B28/1000+Superpositioning!$D$6+Superpositioning!$D$15</f>
        <v>-20.900820099594171</v>
      </c>
      <c r="O28" s="94">
        <f>1/2*Superpositioning!$C$22*(B28/1000)^2+Superpositioning!$C$6*((B28-B$14)/1000)+Superpositioning!$C$15*((B28-B$25)/1000)</f>
        <v>130.75413562018213</v>
      </c>
      <c r="P28" s="94">
        <f>1/2*Superpositioning!$D$22*(B28/1000)^2+Superpositioning!$D$6*((B28-B$14)/1000)+Superpositioning!$D$15*((B28-B$25)/1000)</f>
        <v>24.322942088314289</v>
      </c>
      <c r="Q28" s="95">
        <f>'Aileron torsion'!$B$21*$B28/1000+'Aileron torsion'!$B$22</f>
        <v>9.1773696414419881</v>
      </c>
    </row>
    <row r="29" spans="1:17" x14ac:dyDescent="0.2">
      <c r="A29">
        <v>4</v>
      </c>
      <c r="B29" s="92">
        <f>B28+(Input!$C$7*10/2)/5</f>
        <v>1176</v>
      </c>
      <c r="C29" s="93">
        <f>Superpositioning!$C$20*$B29/1000+Superpositioning!$C$4+Superpositioning!$C$13</f>
        <v>85.700067836598834</v>
      </c>
      <c r="D29" s="94">
        <f>Superpositioning!$D$20*$B29/1000+Superpositioning!$D$4+Superpositioning!$D$13</f>
        <v>21.70199148310828</v>
      </c>
      <c r="E29" s="94">
        <f>1/2*Superpositioning!$C$20*(B29/1000)^2+Superpositioning!$C$4*((B29-B$14)/1000)+Superpositioning!$C$13*((B29-B$25)/1000)</f>
        <v>-4.168590553518186</v>
      </c>
      <c r="F29" s="94">
        <f>1/2*Superpositioning!$D$20*(B29/1000)^2+Superpositioning!$D$4*((B29-B$14)/1000)+Superpositioning!$D$13*((B29-B$25)/1000)</f>
        <v>24.499056089040714</v>
      </c>
      <c r="G29" s="95">
        <f>'Aileron torsion'!$B$11*$B29/1000+'Aileron torsion'!$B$12</f>
        <v>10.384561374999999</v>
      </c>
      <c r="H29" s="93">
        <f>Superpositioning!$C$21*$B29/1000+Superpositioning!$C$5+Superpositioning!$C$14</f>
        <v>-64.488597268088668</v>
      </c>
      <c r="I29" s="94">
        <f>Superpositioning!$D$21*$B29/1000+Superpositioning!$D$5+Superpositioning!$D$14</f>
        <v>59.395465918360301</v>
      </c>
      <c r="J29" s="94">
        <f>1/2*Superpositioning!$C$21*(B29/1000)^2+Superpositioning!$C$5*((B29-B$14)/1000)+Superpositioning!$C$14*((B29-B$25)/1000)</f>
        <v>-145.67093035092435</v>
      </c>
      <c r="K29" s="94">
        <f>1/2*Superpositioning!$D$21*(B29/1000)^2+Superpositioning!$D$5*((B29-B$14)/1000)+Superpositioning!$D$14*((B29-B$25)/1000)</f>
        <v>19.674347879359651</v>
      </c>
      <c r="L29" s="95">
        <f>'Aileron torsion'!$B$16*$B29/1000+'Aileron torsion'!$B$17</f>
        <v>9.1690234689520391</v>
      </c>
      <c r="M29" s="93">
        <f>Superpositioning!$C$22*$B29/1000+Superpositioning!$C$6+Superpositioning!$C$15</f>
        <v>215.82593447643202</v>
      </c>
      <c r="N29" s="94">
        <f>Superpositioning!$D$22*$B29/1000+Superpositioning!$D$6+Superpositioning!$D$15</f>
        <v>-21.072023637849519</v>
      </c>
      <c r="O29" s="94">
        <f>1/2*Superpositioning!$C$22*(B29/1000)^2+Superpositioning!$C$6*((B29-B$14)/1000)+Superpositioning!$C$15*((B29-B$25)/1000)</f>
        <v>138.30963636123766</v>
      </c>
      <c r="P29" s="94">
        <f>1/2*Superpositioning!$D$22*(B29/1000)^2+Superpositioning!$D$6*((B29-B$14)/1000)+Superpositioning!$D$15*((B29-B$25)/1000)</f>
        <v>23.588417322909031</v>
      </c>
      <c r="Q29" s="95">
        <f>'Aileron torsion'!$B$21*$B29/1000+'Aileron torsion'!$B$22</f>
        <v>9.1690234689520391</v>
      </c>
    </row>
    <row r="30" spans="1:17" x14ac:dyDescent="0.2">
      <c r="A30">
        <v>5</v>
      </c>
      <c r="B30" s="92">
        <f>B29+(Input!$C$7*10/2)/5</f>
        <v>1211</v>
      </c>
      <c r="C30" s="93">
        <f>Superpositioning!$C$20*$B30/1000+Superpositioning!$C$4+Superpositioning!$C$13</f>
        <v>85.700067836598834</v>
      </c>
      <c r="D30" s="94">
        <f>Superpositioning!$D$20*$B30/1000+Superpositioning!$D$4+Superpositioning!$D$13</f>
        <v>21.508091483108281</v>
      </c>
      <c r="E30" s="94">
        <f>1/2*Superpositioning!$C$20*(B30/1000)^2+Superpositioning!$C$4*((B30-B$14)/1000)+Superpositioning!$C$13*((B30-B$25)/1000)</f>
        <v>-1.1690881792372281</v>
      </c>
      <c r="F30" s="94">
        <f>1/2*Superpositioning!$D$20*(B30/1000)^2+Superpositioning!$D$4*((B30-B$14)/1000)+Superpositioning!$D$13*((B30-B$25)/1000)</f>
        <v>25.2552325409495</v>
      </c>
      <c r="G30" s="95">
        <f>'Aileron torsion'!$B$11*$B30/1000+'Aileron torsion'!$B$12</f>
        <v>10.375108749999999</v>
      </c>
      <c r="H30" s="93">
        <f>Superpositioning!$C$21*$B30/1000+Superpositioning!$C$5+Superpositioning!$C$14</f>
        <v>-64.397566732064476</v>
      </c>
      <c r="I30" s="94">
        <f>Superpositioning!$D$21*$B30/1000+Superpositioning!$D$5+Superpositioning!$D$14</f>
        <v>59.22426238010496</v>
      </c>
      <c r="J30" s="94">
        <f>1/2*Superpositioning!$C$21*(B30/1000)^2+Superpositioning!$C$5*((B30-B$14)/1000)+Superpositioning!$C$14*((B30-B$25)/1000)</f>
        <v>-147.92643822092705</v>
      </c>
      <c r="K30" s="94">
        <f>1/2*Superpositioning!$D$21*(B30/1000)^2+Superpositioning!$D$5*((B30-B$14)/1000)+Superpositioning!$D$14*((B30-B$25)/1000)</f>
        <v>21.750193124582793</v>
      </c>
      <c r="L30" s="95">
        <f>'Aileron torsion'!$B$16*$B30/1000+'Aileron torsion'!$B$17</f>
        <v>9.1606772964620919</v>
      </c>
      <c r="M30" s="93">
        <f>Superpositioning!$C$22*$B30/1000+Superpositioning!$C$6+Superpositioning!$C$15</f>
        <v>215.73490394040783</v>
      </c>
      <c r="N30" s="94">
        <f>Superpositioning!$D$22*$B30/1000+Superpositioning!$D$6+Superpositioning!$D$15</f>
        <v>-21.243227176104863</v>
      </c>
      <c r="O30" s="94">
        <f>1/2*Superpositioning!$C$22*(B30/1000)^2+Superpositioning!$C$6*((B30-B$14)/1000)+Superpositioning!$C$15*((B30-B$25)/1000)</f>
        <v>145.86195103353236</v>
      </c>
      <c r="P30" s="94">
        <f>1/2*Superpositioning!$D$22*(B30/1000)^2+Superpositioning!$D$6*((B30-B$14)/1000)+Superpositioning!$D$15*((B30-B$25)/1000)</f>
        <v>22.847900433664822</v>
      </c>
      <c r="Q30" s="95">
        <f>'Aileron torsion'!$B$21*$B30/1000+'Aileron torsion'!$B$22</f>
        <v>9.1606772964620919</v>
      </c>
    </row>
    <row r="31" spans="1:17" x14ac:dyDescent="0.2">
      <c r="B31" s="72">
        <f>B30</f>
        <v>1211</v>
      </c>
      <c r="C31" s="44">
        <f>Superpositioning!$C$20*$B31/1000+Superpositioning!$C$4+Superpositioning!$C$7+Superpositioning!$C$13</f>
        <v>85.895716071911053</v>
      </c>
      <c r="D31" s="27">
        <f>Superpositioning!$D$20*$B31/1000+Superpositioning!$D$4+Superpositioning!$D$7+Superpositioning!$D$13</f>
        <v>-14.48812865286196</v>
      </c>
      <c r="E31" s="27">
        <f>1/2*Superpositioning!$C$20*(B31/1000)^2+Superpositioning!$C$4*((B31-B$14)/1000)+Superpositioning!$C$13*((B31-B$25)/1000)+Superpositioning!$C$7*((B31-B$31)/1000)</f>
        <v>-1.1690881792372281</v>
      </c>
      <c r="F31" s="27">
        <f>1/2*Superpositioning!$D$20*(B31/1000)^2+Superpositioning!$D$4*((B31-B$14)/1000)+Superpositioning!$D$13*((B31-B$25)/1000)+Superpositioning!$D$7*((B31-B$31)/1000)</f>
        <v>25.2552325409495</v>
      </c>
      <c r="G31" s="45">
        <f>'Aileron torsion'!$B$11*$B31/1000+'Aileron torsion'!$B$12</f>
        <v>10.375108749999999</v>
      </c>
      <c r="H31" s="44">
        <f>Superpositioning!$C$21*$B31/1000+Superpositioning!$C$5+Superpositioning!$C$8+Superpositioning!$C$14</f>
        <v>180.49649980809647</v>
      </c>
      <c r="I31" s="27">
        <f>Superpositioning!$D$21*$B31/1000+Superpositioning!$D$5+Superpositioning!$D$8+Superpositioning!$D$14</f>
        <v>27.533337741818325</v>
      </c>
      <c r="J31" s="27">
        <f>1/2*Superpositioning!$C$21*(B31/1000)^2+Superpositioning!$C$5*((B31-B$14)/1000)+Superpositioning!$C$14*((B31-B$25)/1000)+Superpositioning!$C$8*((B31-B$31)/1000)</f>
        <v>-147.92643822092705</v>
      </c>
      <c r="K31" s="27">
        <f>1/2*Superpositioning!$D$21*(B31/1000)^2+Superpositioning!$D$5*((B31-B$14)/1000)+Superpositioning!$D$14*((B31-B$25)/1000)+Superpositioning!$D$8*((B31-B$31)/1000)</f>
        <v>21.750193124582793</v>
      </c>
      <c r="L31" s="45">
        <f>'Aileron torsion'!$B$16*$B31/1000+'Aileron torsion'!$B$17</f>
        <v>9.1606772964620919</v>
      </c>
      <c r="M31" s="44">
        <f>Superpositioning!$C$22*$B31/1000+Superpositioning!$C$6+Superpositioning!$C$9+Superpositioning!$C$15</f>
        <v>-28.813668322921004</v>
      </c>
      <c r="N31" s="27">
        <f>Superpositioning!$D$22*$B31/1000+Superpositioning!$D$6+Superpositioning!$D$9+Superpositioning!$D$15</f>
        <v>-53.117854379968151</v>
      </c>
      <c r="O31" s="27">
        <f>1/2*Superpositioning!$C$22*(B31/1000)^2+Superpositioning!$C$6*((B31-B$14)/1000)+Superpositioning!$C$15*((B31-B$25)/1000)+Superpositioning!$C$9*((B31-B$31)/1000)</f>
        <v>145.86195103353236</v>
      </c>
      <c r="P31" s="27">
        <f>1/2*Superpositioning!$D$22*(B31/1000)^2+Superpositioning!$D$6*((B31-B$14)/1000)+Superpositioning!$D$15*((B31-B$25)/1000)+Superpositioning!$D$9*((B31-B$31)/1000)</f>
        <v>22.847900433664822</v>
      </c>
      <c r="Q31" s="45">
        <f>'Aileron torsion'!$B$21*$B31/1000+'Aileron torsion'!$B$22</f>
        <v>9.1606772964620919</v>
      </c>
    </row>
    <row r="32" spans="1:17" x14ac:dyDescent="0.2">
      <c r="A32">
        <v>1</v>
      </c>
      <c r="B32" s="72">
        <f>B31+(Input!$C$7*10/2)/5</f>
        <v>1246</v>
      </c>
      <c r="C32" s="44">
        <f>Superpositioning!$C$20*$B32/1000+Superpositioning!$C$4+Superpositioning!$C$7+Superpositioning!$C$13</f>
        <v>85.895716071911053</v>
      </c>
      <c r="D32" s="27">
        <f>Superpositioning!$D$20*$B32/1000+Superpositioning!$D$4+Superpositioning!$D$7+Superpositioning!$D$13</f>
        <v>-14.682028652861963</v>
      </c>
      <c r="E32" s="27">
        <f>1/2*Superpositioning!$C$20*(B32/1000)^2+Superpositioning!$C$4*((B32-B$14)/1000)+Superpositioning!$C$13*((B32-B$25)/1000)+Superpositioning!$C$7*((B32-B$31)/1000)</f>
        <v>1.8372618832796577</v>
      </c>
      <c r="F32" s="27">
        <f>1/2*Superpositioning!$D$20*(B32/1000)^2+Superpositioning!$D$4*((B32-B$14)/1000)+Superpositioning!$D$13*((B32-B$25)/1000)+Superpositioning!$D$7*((B32-B$31)/1000)</f>
        <v>24.744754788099335</v>
      </c>
      <c r="G32" s="45">
        <f>'Aileron torsion'!$B$11*$B32/1000+'Aileron torsion'!$B$12</f>
        <v>10.365656124999999</v>
      </c>
      <c r="H32" s="44">
        <f>Superpositioning!$C$21*$B32/1000+Superpositioning!$C$5+Superpositioning!$C$8+Superpositioning!$C$14</f>
        <v>180.58753034412064</v>
      </c>
      <c r="I32" s="27">
        <f>Superpositioning!$D$21*$B32/1000+Superpositioning!$D$5+Superpositioning!$D$8+Superpositioning!$D$14</f>
        <v>27.362134203562981</v>
      </c>
      <c r="J32" s="27">
        <f>1/2*Superpositioning!$C$21*(B32/1000)^2+Superpositioning!$C$5*((B32-B$14)/1000)+Superpositioning!$C$14*((B32-B$25)/1000)+Superpositioning!$C$8*((B32-B$31)/1000)</f>
        <v>-141.60746769326326</v>
      </c>
      <c r="K32" s="27">
        <f>1/2*Superpositioning!$D$21*(B32/1000)^2+Superpositioning!$D$5*((B32-B$14)/1000)+Superpositioning!$D$14*((B32-B$25)/1000)+Superpositioning!$D$8*((B32-B$31)/1000)</f>
        <v>22.710863883626967</v>
      </c>
      <c r="L32" s="45">
        <f>'Aileron torsion'!$B$16*$B32/1000+'Aileron torsion'!$B$17</f>
        <v>9.152331123972143</v>
      </c>
      <c r="M32" s="44">
        <f>Superpositioning!$C$22*$B32/1000+Superpositioning!$C$6+Superpositioning!$C$9+Superpositioning!$C$15</f>
        <v>-28.904698858945196</v>
      </c>
      <c r="N32" s="27">
        <f>Superpositioning!$D$22*$B32/1000+Superpositioning!$D$6+Superpositioning!$D$9+Superpositioning!$D$15</f>
        <v>-53.289057918223499</v>
      </c>
      <c r="O32" s="27">
        <f>1/2*Superpositioning!$C$22*(B32/1000)^2+Superpositioning!$C$6*((B32-B$14)/1000)+Superpositioning!$C$15*((B32-B$25)/1000)+Superpositioning!$C$9*((B32-B$31)/1000)</f>
        <v>144.85187960784972</v>
      </c>
      <c r="P32" s="27">
        <f>1/2*Superpositioning!$D$22*(B32/1000)^2+Superpositioning!$D$6*((B32-B$14)/1000)+Superpositioning!$D$15*((B32-B$25)/1000)+Superpositioning!$D$9*((B32-B$31)/1000)</f>
        <v>20.98577946844647</v>
      </c>
      <c r="Q32" s="45">
        <f>'Aileron torsion'!$B$21*$B32/1000+'Aileron torsion'!$B$22</f>
        <v>9.152331123972143</v>
      </c>
    </row>
    <row r="33" spans="1:17" x14ac:dyDescent="0.2">
      <c r="A33">
        <v>2</v>
      </c>
      <c r="B33" s="72">
        <f>B32+(Input!$C$7*10/2)/5</f>
        <v>1281</v>
      </c>
      <c r="C33" s="44">
        <f>Superpositioning!$C$20*$B33/1000+Superpositioning!$C$4+Superpositioning!$C$7+Superpositioning!$C$13</f>
        <v>85.895716071911053</v>
      </c>
      <c r="D33" s="27">
        <f>Superpositioning!$D$20*$B33/1000+Superpositioning!$D$4+Superpositioning!$D$7+Superpositioning!$D$13</f>
        <v>-14.875928652861962</v>
      </c>
      <c r="E33" s="27">
        <f>1/2*Superpositioning!$C$20*(B33/1000)^2+Superpositioning!$C$4*((B33-B$14)/1000)+Superpositioning!$C$13*((B33-B$25)/1000)+Superpositioning!$C$7*((B33-B$31)/1000)</f>
        <v>4.843611945796547</v>
      </c>
      <c r="F33" s="27">
        <f>1/2*Superpositioning!$D$20*(B33/1000)^2+Superpositioning!$D$4*((B33-B$14)/1000)+Superpositioning!$D$13*((B33-B$25)/1000)+Superpositioning!$D$7*((B33-B$31)/1000)</f>
        <v>24.227490535249164</v>
      </c>
      <c r="G33" s="45">
        <f>'Aileron torsion'!$B$11*$B33/1000+'Aileron torsion'!$B$12</f>
        <v>10.356203499999999</v>
      </c>
      <c r="H33" s="44">
        <f>Superpositioning!$C$21*$B33/1000+Superpositioning!$C$5+Superpositioning!$C$8+Superpositioning!$C$14</f>
        <v>180.6785608801448</v>
      </c>
      <c r="I33" s="27">
        <f>Superpositioning!$D$21*$B33/1000+Superpositioning!$D$5+Superpositioning!$D$8+Superpositioning!$D$14</f>
        <v>27.190930665307633</v>
      </c>
      <c r="J33" s="27">
        <f>1/2*Superpositioning!$C$21*(B33/1000)^2+Superpositioning!$C$5*((B33-B$14)/1000)+Superpositioning!$C$14*((B33-B$25)/1000)+Superpositioning!$C$8*((B33-B$31)/1000)</f>
        <v>-135.2853110968386</v>
      </c>
      <c r="K33" s="27">
        <f>1/2*Superpositioning!$D$21*(B33/1000)^2+Superpositioning!$D$5*((B33-B$14)/1000)+Superpositioning!$D$14*((B33-B$25)/1000)+Superpositioning!$D$8*((B33-B$31)/1000)</f>
        <v>23.665542518832201</v>
      </c>
      <c r="L33" s="45">
        <f>'Aileron torsion'!$B$16*$B33/1000+'Aileron torsion'!$B$17</f>
        <v>9.1439849514821958</v>
      </c>
      <c r="M33" s="44">
        <f>Superpositioning!$C$22*$B33/1000+Superpositioning!$C$6+Superpositioning!$C$9+Superpositioning!$C$15</f>
        <v>-28.995729394969374</v>
      </c>
      <c r="N33" s="27">
        <f>Superpositioning!$D$22*$B33/1000+Superpositioning!$D$6+Superpositioning!$D$9+Superpositioning!$D$15</f>
        <v>-53.460261456478847</v>
      </c>
      <c r="O33" s="27">
        <f>1/2*Superpositioning!$C$22*(B33/1000)^2+Superpositioning!$C$6*((B33-B$14)/1000)+Superpositioning!$C$15*((B33-B$25)/1000)+Superpositioning!$C$9*((B33-B$31)/1000)</f>
        <v>143.83862211340619</v>
      </c>
      <c r="P33" s="27">
        <f>1/2*Superpositioning!$D$22*(B33/1000)^2+Superpositioning!$D$6*((B33-B$14)/1000)+Superpositioning!$D$15*((B33-B$25)/1000)+Superpositioning!$D$9*((B33-B$31)/1000)</f>
        <v>19.117666379389178</v>
      </c>
      <c r="Q33" s="45">
        <f>'Aileron torsion'!$B$21*$B33/1000+'Aileron torsion'!$B$22</f>
        <v>9.1439849514821958</v>
      </c>
    </row>
    <row r="34" spans="1:17" x14ac:dyDescent="0.2">
      <c r="A34">
        <v>3</v>
      </c>
      <c r="B34" s="72">
        <f>B33+(Input!$C$7*10/2)/5</f>
        <v>1316</v>
      </c>
      <c r="C34" s="44">
        <f>Superpositioning!$C$20*$B34/1000+Superpositioning!$C$4+Superpositioning!$C$7+Superpositioning!$C$13</f>
        <v>85.895716071911053</v>
      </c>
      <c r="D34" s="27">
        <f>Superpositioning!$D$20*$B34/1000+Superpositioning!$D$4+Superpositioning!$D$7+Superpositioning!$D$13</f>
        <v>-15.069828652861961</v>
      </c>
      <c r="E34" s="27">
        <f>1/2*Superpositioning!$C$20*(B34/1000)^2+Superpositioning!$C$4*((B34-B$14)/1000)+Superpositioning!$C$13*((B34-B$25)/1000)+Superpositioning!$C$7*((B34-B$31)/1000)</f>
        <v>7.8499620083134367</v>
      </c>
      <c r="F34" s="27">
        <f>1/2*Superpositioning!$D$20*(B34/1000)^2+Superpositioning!$D$4*((B34-B$14)/1000)+Superpositioning!$D$13*((B34-B$25)/1000)+Superpositioning!$D$7*((B34-B$31)/1000)</f>
        <v>23.703439782398998</v>
      </c>
      <c r="G34" s="45">
        <f>'Aileron torsion'!$B$11*$B34/1000+'Aileron torsion'!$B$12</f>
        <v>10.346750875</v>
      </c>
      <c r="H34" s="44">
        <f>Superpositioning!$C$21*$B34/1000+Superpositioning!$C$5+Superpositioning!$C$8+Superpositioning!$C$14</f>
        <v>180.76959141616902</v>
      </c>
      <c r="I34" s="27">
        <f>Superpositioning!$D$21*$B34/1000+Superpositioning!$D$5+Superpositioning!$D$8+Superpositioning!$D$14</f>
        <v>27.019727127052288</v>
      </c>
      <c r="J34" s="27">
        <f>1/2*Superpositioning!$C$21*(B34/1000)^2+Superpositioning!$C$5*((B34-B$14)/1000)+Superpositioning!$C$14*((B34-B$25)/1000)+Superpositioning!$C$8*((B34-B$31)/1000)</f>
        <v>-128.95996843165312</v>
      </c>
      <c r="K34" s="27">
        <f>1/2*Superpositioning!$D$21*(B34/1000)^2+Superpositioning!$D$5*((B34-B$14)/1000)+Superpositioning!$D$14*((B34-B$25)/1000)+Superpositioning!$D$8*((B34-B$31)/1000)</f>
        <v>24.614229030198501</v>
      </c>
      <c r="L34" s="45">
        <f>'Aileron torsion'!$B$16*$B34/1000+'Aileron torsion'!$B$17</f>
        <v>9.1356387789922469</v>
      </c>
      <c r="M34" s="44">
        <f>Superpositioning!$C$22*$B34/1000+Superpositioning!$C$6+Superpositioning!$C$9+Superpositioning!$C$15</f>
        <v>-29.086759930993551</v>
      </c>
      <c r="N34" s="27">
        <f>Superpositioning!$D$22*$B34/1000+Superpositioning!$D$6+Superpositioning!$D$9+Superpositioning!$D$15</f>
        <v>-53.631464994734188</v>
      </c>
      <c r="O34" s="27">
        <f>1/2*Superpositioning!$C$22*(B34/1000)^2+Superpositioning!$C$6*((B34-B$14)/1000)+Superpositioning!$C$15*((B34-B$25)/1000)+Superpositioning!$C$9*((B34-B$31)/1000)</f>
        <v>142.82217855020184</v>
      </c>
      <c r="P34" s="27">
        <f>1/2*Superpositioning!$D$22*(B34/1000)^2+Superpositioning!$D$6*((B34-B$14)/1000)+Superpositioning!$D$15*((B34-B$25)/1000)+Superpositioning!$D$9*((B34-B$31)/1000)</f>
        <v>17.243561166492945</v>
      </c>
      <c r="Q34" s="45">
        <f>'Aileron torsion'!$B$21*$B34/1000+'Aileron torsion'!$B$22</f>
        <v>9.1356387789922469</v>
      </c>
    </row>
    <row r="35" spans="1:17" x14ac:dyDescent="0.2">
      <c r="A35">
        <v>4</v>
      </c>
      <c r="B35" s="72">
        <f>B34+(Input!$C$7*10/2)/5</f>
        <v>1351</v>
      </c>
      <c r="C35" s="44">
        <f>Superpositioning!$C$20*$B35/1000+Superpositioning!$C$4+Superpositioning!$C$7+Superpositioning!$C$13</f>
        <v>85.895716071911053</v>
      </c>
      <c r="D35" s="27">
        <f>Superpositioning!$D$20*$B35/1000+Superpositioning!$D$4+Superpositioning!$D$7+Superpositioning!$D$13</f>
        <v>-15.26372865286196</v>
      </c>
      <c r="E35" s="27">
        <f>1/2*Superpositioning!$C$20*(B35/1000)^2+Superpositioning!$C$4*((B35-B$14)/1000)+Superpositioning!$C$13*((B35-B$25)/1000)+Superpositioning!$C$7*((B35-B$31)/1000)</f>
        <v>10.856312070830315</v>
      </c>
      <c r="F35" s="27">
        <f>1/2*Superpositioning!$D$20*(B35/1000)^2+Superpositioning!$D$4*((B35-B$14)/1000)+Superpositioning!$D$13*((B35-B$25)/1000)+Superpositioning!$D$7*((B35-B$31)/1000)</f>
        <v>23.172602529548829</v>
      </c>
      <c r="G35" s="45">
        <f>'Aileron torsion'!$B$11*$B35/1000+'Aileron torsion'!$B$12</f>
        <v>10.33729825</v>
      </c>
      <c r="H35" s="44">
        <f>Superpositioning!$C$21*$B35/1000+Superpositioning!$C$5+Superpositioning!$C$8+Superpositioning!$C$14</f>
        <v>180.86062195219318</v>
      </c>
      <c r="I35" s="27">
        <f>Superpositioning!$D$21*$B35/1000+Superpositioning!$D$5+Superpositioning!$D$8+Superpositioning!$D$14</f>
        <v>26.84852358879694</v>
      </c>
      <c r="J35" s="27">
        <f>1/2*Superpositioning!$C$21*(B35/1000)^2+Superpositioning!$C$5*((B35-B$14)/1000)+Superpositioning!$C$14*((B35-B$25)/1000)+Superpositioning!$C$8*((B35-B$31)/1000)</f>
        <v>-122.63143969770678</v>
      </c>
      <c r="K35" s="27">
        <f>1/2*Superpositioning!$D$21*(B35/1000)^2+Superpositioning!$D$5*((B35-B$14)/1000)+Superpositioning!$D$14*((B35-B$25)/1000)+Superpositioning!$D$8*((B35-B$31)/1000)</f>
        <v>25.556923417725862</v>
      </c>
      <c r="L35" s="45">
        <f>'Aileron torsion'!$B$16*$B35/1000+'Aileron torsion'!$B$17</f>
        <v>9.1272926065022979</v>
      </c>
      <c r="M35" s="44">
        <f>Superpositioning!$C$22*$B35/1000+Superpositioning!$C$6+Superpositioning!$C$9+Superpositioning!$C$15</f>
        <v>-29.177790467017743</v>
      </c>
      <c r="N35" s="27">
        <f>Superpositioning!$D$22*$B35/1000+Superpositioning!$D$6+Superpositioning!$D$9+Superpositioning!$D$15</f>
        <v>-53.802668532989543</v>
      </c>
      <c r="O35" s="27">
        <f>1/2*Superpositioning!$C$22*(B35/1000)^2+Superpositioning!$C$6*((B35-B$14)/1000)+Superpositioning!$C$15*((B35-B$25)/1000)+Superpositioning!$C$9*((B35-B$31)/1000)</f>
        <v>141.80254891823668</v>
      </c>
      <c r="P35" s="27">
        <f>1/2*Superpositioning!$D$22*(B35/1000)^2+Superpositioning!$D$6*((B35-B$14)/1000)+Superpositioning!$D$15*((B35-B$25)/1000)+Superpositioning!$D$9*((B35-B$31)/1000)</f>
        <v>15.363463829757787</v>
      </c>
      <c r="Q35" s="45">
        <f>'Aileron torsion'!$B$21*$B35/1000+'Aileron torsion'!$B$22</f>
        <v>9.1272926065022979</v>
      </c>
    </row>
    <row r="36" spans="1:17" x14ac:dyDescent="0.2">
      <c r="A36">
        <v>5</v>
      </c>
      <c r="B36" s="72">
        <f>B35+(Input!$C$7*10/2)/5</f>
        <v>1386</v>
      </c>
      <c r="C36" s="44">
        <f>Superpositioning!$C$20*$B36/1000+Superpositioning!$C$4+Superpositioning!$C$7+Superpositioning!$C$13</f>
        <v>85.895716071911053</v>
      </c>
      <c r="D36" s="27">
        <f>Superpositioning!$D$20*$B36/1000+Superpositioning!$D$4+Superpositioning!$D$7+Superpositioning!$D$13</f>
        <v>-15.45762865286196</v>
      </c>
      <c r="E36" s="27">
        <f>1/2*Superpositioning!$C$20*(B36/1000)^2+Superpositioning!$C$4*((B36-B$14)/1000)+Superpositioning!$C$13*((B36-B$25)/1000)+Superpositioning!$C$7*((B36-B$31)/1000)</f>
        <v>13.8626621333472</v>
      </c>
      <c r="F36" s="27">
        <f>1/2*Superpositioning!$D$20*(B36/1000)^2+Superpositioning!$D$4*((B36-B$14)/1000)+Superpositioning!$D$13*((B36-B$25)/1000)+Superpositioning!$D$7*((B36-B$31)/1000)</f>
        <v>22.634978776698659</v>
      </c>
      <c r="G36" s="45">
        <f>'Aileron torsion'!$B$11*$B36/1000+'Aileron torsion'!$B$12</f>
        <v>10.327845624999998</v>
      </c>
      <c r="H36" s="44">
        <f>Superpositioning!$C$21*$B36/1000+Superpositioning!$C$5+Superpositioning!$C$8+Superpositioning!$C$14</f>
        <v>180.95165248821741</v>
      </c>
      <c r="I36" s="27">
        <f>Superpositioning!$D$21*$B36/1000+Superpositioning!$D$5+Superpositioning!$D$8+Superpositioning!$D$14</f>
        <v>26.677320050541596</v>
      </c>
      <c r="J36" s="27">
        <f>1/2*Superpositioning!$C$21*(B36/1000)^2+Superpositioning!$C$5*((B36-B$14)/1000)+Superpositioning!$C$14*((B36-B$25)/1000)+Superpositioning!$C$8*((B36-B$31)/1000)</f>
        <v>-116.2997248949996</v>
      </c>
      <c r="K36" s="27">
        <f>1/2*Superpositioning!$D$21*(B36/1000)^2+Superpositioning!$D$5*((B36-B$14)/1000)+Superpositioning!$D$14*((B36-B$25)/1000)+Superpositioning!$D$8*((B36-B$31)/1000)</f>
        <v>26.493625681414294</v>
      </c>
      <c r="L36" s="45">
        <f>'Aileron torsion'!$B$16*$B36/1000+'Aileron torsion'!$B$17</f>
        <v>9.1189464340123507</v>
      </c>
      <c r="M36" s="44">
        <f>Superpositioning!$C$22*$B36/1000+Superpositioning!$C$6+Superpositioning!$C$9+Superpositioning!$C$15</f>
        <v>-29.268821003041921</v>
      </c>
      <c r="N36" s="27">
        <f>Superpositioning!$D$22*$B36/1000+Superpositioning!$D$6+Superpositioning!$D$9+Superpositioning!$D$15</f>
        <v>-53.973872071244884</v>
      </c>
      <c r="O36" s="27">
        <f>1/2*Superpositioning!$C$22*(B36/1000)^2+Superpositioning!$C$6*((B36-B$14)/1000)+Superpositioning!$C$15*((B36-B$25)/1000)+Superpositioning!$C$9*((B36-B$31)/1000)</f>
        <v>140.77973321751062</v>
      </c>
      <c r="P36" s="27">
        <f>1/2*Superpositioning!$D$22*(B36/1000)^2+Superpositioning!$D$6*((B36-B$14)/1000)+Superpositioning!$D$15*((B36-B$25)/1000)+Superpositioning!$D$9*((B36-B$31)/1000)</f>
        <v>13.477374369183678</v>
      </c>
      <c r="Q36" s="45">
        <f>'Aileron torsion'!$B$21*$B36/1000+'Aileron torsion'!$B$22</f>
        <v>9.1189464340123507</v>
      </c>
    </row>
    <row r="37" spans="1:17" x14ac:dyDescent="0.2">
      <c r="B37" s="92">
        <f>B36</f>
        <v>1386</v>
      </c>
      <c r="C37" s="93">
        <f>Superpositioning!$C$20*$B37/1000+Superpositioning!$C$4+Superpositioning!$C$7+Superpositioning!$C$13+Superpositioning!$C$23</f>
        <v>-11.504283928088952</v>
      </c>
      <c r="D37" s="94">
        <f>Superpositioning!$D$20*$B37/1000+Superpositioning!$D$4+Superpositioning!$D$7+Superpositioning!$D$13+Superpositioning!$D$23</f>
        <v>-15.45762865286196</v>
      </c>
      <c r="E37" s="94">
        <f>1/2*Superpositioning!$C$20*(B37/1000)^2+Superpositioning!$C$4*((B37-B$14)/1000)+Superpositioning!$C$13*((B37-B$25)/1000)+Superpositioning!$C$7*((B37-B$31)/1000)+Superpositioning!$C$23*((B37-B$37)/1000)</f>
        <v>13.8626621333472</v>
      </c>
      <c r="F37" s="94">
        <f>1/2*Superpositioning!$D$20*(B37/1000)^2+Superpositioning!$D$4*((B37-B$14)/1000)+Superpositioning!$D$13*((B37-B$25)/1000)+Superpositioning!$D$7*((B37-B$31)/1000)+Superpositioning!$D$23*((B37-B$25)/1000)</f>
        <v>22.634978776698659</v>
      </c>
      <c r="G37" s="95">
        <f>'Aileron torsion'!$B$11*$B37/1000+'Aileron torsion'!$B$12+'Aileron torsion'!$B$13</f>
        <v>0.34434562499999899</v>
      </c>
      <c r="H37" s="93">
        <f>Superpositioning!$C$21*$B37/1000+Superpositioning!$C$5+Superpositioning!$C$8+Superpositioning!$C$14+Superpositioning!$C$24</f>
        <v>94.952556943757912</v>
      </c>
      <c r="I37" s="94">
        <f>Superpositioning!$D$21*$B37/1000+Superpositioning!$D$5+Superpositioning!$D$8+Superpositioning!$D$14+Superpositioning!$D$24</f>
        <v>-19.049210164804173</v>
      </c>
      <c r="J37" s="94">
        <f>1/2*Superpositioning!$C$21*(B37/1000)^2+Superpositioning!$C$5*((B37-B$14)/1000)+Superpositioning!$C$14*((B37-B$25)/1000)+Superpositioning!$C$8*((B37-B$31)/1000)+Superpositioning!$C$24*((B37-B$37)/1000)</f>
        <v>-116.2997248949996</v>
      </c>
      <c r="K37" s="94">
        <f>1/2*Superpositioning!$D$21*(B37/1000)^2+Superpositioning!$D$5*((B37-B$14)/1000)+Superpositioning!$D$14*((B37-B$25)/1000)+Superpositioning!$D$8*((B37-B$31)/1000)+Superpositioning!$D$24*((B37-B$37)/1000)</f>
        <v>26.493625681414294</v>
      </c>
      <c r="L37" s="95">
        <f>'Aileron torsion'!$B$16*$B37/1000+'Aileron torsion'!$B$17+'Aileron torsion'!$B$18</f>
        <v>0.30403914070525317</v>
      </c>
      <c r="M37" s="93">
        <f>Superpositioning!$C$22*$B37/1000+Superpositioning!$C$6+Superpositioning!$C$9+Superpositioning!$C$15+Superpositioning!$C$25</f>
        <v>-115.26791654750141</v>
      </c>
      <c r="N37" s="94">
        <f>Superpositioning!$D$22*$B37/1000+Superpositioning!$D$6+Superpositioning!$D$9+Superpositioning!$D$15+Superpositioning!$D$25</f>
        <v>-8.2473418558991156</v>
      </c>
      <c r="O37" s="94">
        <f>1/2*Superpositioning!$C$22*(B37/1000)^2+Superpositioning!$C$6*((B37-B$14)/1000)+Superpositioning!$C$15*((B37-B$25)/1000)+Superpositioning!$C$9*((B37-B$31)/1000)+Superpositioning!$C$25*((B37-B$37)/1000)</f>
        <v>140.77973321751062</v>
      </c>
      <c r="P37" s="94">
        <f>1/2*Superpositioning!$D$22*(B37/1000)^2+Superpositioning!$D$6*((B37-B$14)/1000)+Superpositioning!$D$15*((B37-B$25)/1000)+Superpositioning!$D$9*((B37-B$31)/1000)+Superpositioning!$D$25*((B37-B$37)/1000)</f>
        <v>13.477374369183678</v>
      </c>
      <c r="Q37" s="95">
        <f>'Aileron torsion'!$B$21*$B37/1000+'Aileron torsion'!$B$22+'Aileron torsion'!$B$23</f>
        <v>0.30403914070525317</v>
      </c>
    </row>
    <row r="38" spans="1:17" x14ac:dyDescent="0.2">
      <c r="A38">
        <v>1</v>
      </c>
      <c r="B38" s="92">
        <f>B37+('Aileron shear'!$B$6-Input!$C$7*10/2)/10</f>
        <v>1506.5</v>
      </c>
      <c r="C38" s="93">
        <f>Superpositioning!$C$20*$B38/1000+Superpositioning!$C$4+Superpositioning!$C$7+Superpositioning!$C$13+Superpositioning!$C$23</f>
        <v>-11.504283928088952</v>
      </c>
      <c r="D38" s="94">
        <f>Superpositioning!$D$20*$B38/1000+Superpositioning!$D$4+Superpositioning!$D$7+Superpositioning!$D$13+Superpositioning!$D$23</f>
        <v>-16.125198652861961</v>
      </c>
      <c r="E38" s="94">
        <f>1/2*Superpositioning!$C$20*(B38/1000)^2+Superpositioning!$C$4*((B38-B$14)/1000)+Superpositioning!$C$13*((B38-B$25)/1000)+Superpositioning!$C$7*((B38-B$31)/1000)+Superpositioning!$C$23*((B38-B$37)/1000)</f>
        <v>12.476395920012484</v>
      </c>
      <c r="F38" s="94">
        <f>1/2*Superpositioning!$D$20*(B38/1000)^2+Superpositioning!$D$4*((B38-B$14)/1000)+Superpositioning!$D$13*((B38-B$25)/1000)+Superpositioning!$D$7*((B38-B$31)/1000)+Superpositioning!$D$23*((B38-B$25)/1000)</f>
        <v>20.732113431528795</v>
      </c>
      <c r="G38" s="95">
        <f>'Aileron torsion'!$B$11*$B38/1000+'Aileron torsion'!$B$12+'Aileron torsion'!$B$13</f>
        <v>0.31180158749999975</v>
      </c>
      <c r="H38" s="93">
        <f>Superpositioning!$C$21*$B38/1000+Superpositioning!$C$5+Superpositioning!$C$8+Superpositioning!$C$14+Superpositioning!$C$24</f>
        <v>95.265962074926875</v>
      </c>
      <c r="I38" s="94">
        <f>Superpositioning!$D$21*$B38/1000+Superpositioning!$D$5+Superpositioning!$D$8+Superpositioning!$D$14+Superpositioning!$D$24</f>
        <v>-19.638639489369005</v>
      </c>
      <c r="J38" s="94">
        <f>1/2*Superpositioning!$C$21*(B38/1000)^2+Superpositioning!$C$5*((B38-B$14)/1000)+Superpositioning!$C$14*((B38-B$25)/1000)+Superpositioning!$C$8*((B38-B$31)/1000)+Superpositioning!$C$24*((B38-B$37)/1000)</f>
        <v>-104.83905912412384</v>
      </c>
      <c r="K38" s="94">
        <f>1/2*Superpositioning!$D$21*(B38/1000)^2+Superpositioning!$D$5*((B38-B$14)/1000)+Superpositioning!$D$14*((B38-B$25)/1000)+Superpositioning!$D$8*((B38-B$31)/1000)+Superpositioning!$D$24*((B38-B$37)/1000)</f>
        <v>24.162682739750352</v>
      </c>
      <c r="L38" s="95">
        <f>'Aileron torsion'!$B$16*$B38/1000+'Aileron torsion'!$B$17+'Aileron torsion'!$B$18</f>
        <v>0.275304461132718</v>
      </c>
      <c r="M38" s="93">
        <f>Superpositioning!$C$22*$B38/1000+Superpositioning!$C$6+Superpositioning!$C$9+Superpositioning!$C$15+Superpositioning!$C$25</f>
        <v>-115.58132167867039</v>
      </c>
      <c r="N38" s="94">
        <f>Superpositioning!$D$22*$B38/1000+Superpositioning!$D$6+Superpositioning!$D$9+Superpositioning!$D$15+Superpositioning!$D$25</f>
        <v>-8.8367711804639484</v>
      </c>
      <c r="O38" s="94">
        <f>1/2*Superpositioning!$C$22*(B38/1000)^2+Superpositioning!$C$6*((B38-B$14)/1000)+Superpositioning!$C$15*((B38-B$25)/1000)+Superpositioning!$C$9*((B38-B$31)/1000)+Superpositioning!$C$25*((B38-B$37)/1000)</f>
        <v>126.87106661438375</v>
      </c>
      <c r="P38" s="94">
        <f>1/2*Superpositioning!$D$22*(B38/1000)^2+Superpositioning!$D$6*((B38-B$14)/1000)+Superpositioning!$D$15*((B38-B$25)/1000)+Superpositioning!$D$9*((B38-B$31)/1000)+Superpositioning!$D$25*((B38-B$37)/1000)</f>
        <v>12.44805655874281</v>
      </c>
      <c r="Q38" s="95">
        <f>'Aileron torsion'!$B$21*$B38/1000+'Aileron torsion'!$B$22+'Aileron torsion'!$B$23</f>
        <v>0.275304461132718</v>
      </c>
    </row>
    <row r="39" spans="1:17" x14ac:dyDescent="0.2">
      <c r="A39">
        <v>2</v>
      </c>
      <c r="B39" s="92">
        <f>B38+('Aileron shear'!$B$6-Input!$C$7*10/2)/10</f>
        <v>1627</v>
      </c>
      <c r="C39" s="93">
        <f>Superpositioning!$C$20*$B39/1000+Superpositioning!$C$4+Superpositioning!$C$7+Superpositioning!$C$13+Superpositioning!$C$23</f>
        <v>-11.504283928088952</v>
      </c>
      <c r="D39" s="94">
        <f>Superpositioning!$D$20*$B39/1000+Superpositioning!$D$4+Superpositioning!$D$7+Superpositioning!$D$13+Superpositioning!$D$23</f>
        <v>-16.792768652861959</v>
      </c>
      <c r="E39" s="94">
        <f>1/2*Superpositioning!$C$20*(B39/1000)^2+Superpositioning!$C$4*((B39-B$14)/1000)+Superpositioning!$C$13*((B39-B$25)/1000)+Superpositioning!$C$7*((B39-B$31)/1000)+Superpositioning!$C$23*((B39-B$37)/1000)</f>
        <v>11.090129706677761</v>
      </c>
      <c r="F39" s="94">
        <f>1/2*Superpositioning!$D$20*(B39/1000)^2+Superpositioning!$D$4*((B39-B$14)/1000)+Superpositioning!$D$13*((B39-B$25)/1000)+Superpositioning!$D$7*((B39-B$31)/1000)+Superpositioning!$D$23*((B39-B$25)/1000)</f>
        <v>18.748805901358928</v>
      </c>
      <c r="G39" s="95">
        <f>'Aileron torsion'!$B$11*$B39/1000+'Aileron torsion'!$B$12+'Aileron torsion'!$B$13</f>
        <v>0.27925755000000052</v>
      </c>
      <c r="H39" s="93">
        <f>Superpositioning!$C$21*$B39/1000+Superpositioning!$C$5+Superpositioning!$C$8+Superpositioning!$C$14+Superpositioning!$C$24</f>
        <v>95.579367206095839</v>
      </c>
      <c r="I39" s="94">
        <f>Superpositioning!$D$21*$B39/1000+Superpositioning!$D$5+Superpositioning!$D$8+Superpositioning!$D$14+Superpositioning!$D$24</f>
        <v>-20.228068813933838</v>
      </c>
      <c r="J39" s="94">
        <f>1/2*Superpositioning!$C$21*(B39/1000)^2+Superpositioning!$C$5*((B39-B$14)/1000)+Superpositioning!$C$14*((B39-B$25)/1000)+Superpositioning!$C$8*((B39-B$31)/1000)+Superpositioning!$C$24*((B39-B$37)/1000)</f>
        <v>-93.340628034942256</v>
      </c>
      <c r="K39" s="94">
        <f>1/2*Superpositioning!$D$21*(B39/1000)^2+Superpositioning!$D$5*((B39-B$14)/1000)+Superpositioning!$D$14*((B39-B$25)/1000)+Superpositioning!$D$8*((B39-B$31)/1000)+Superpositioning!$D$24*((B39-B$37)/1000)</f>
        <v>21.760713564476355</v>
      </c>
      <c r="L39" s="95">
        <f>'Aileron torsion'!$B$16*$B39/1000+'Aileron torsion'!$B$17+'Aileron torsion'!$B$18</f>
        <v>0.24656978156018106</v>
      </c>
      <c r="M39" s="93">
        <f>Superpositioning!$C$22*$B39/1000+Superpositioning!$C$6+Superpositioning!$C$9+Superpositioning!$C$15+Superpositioning!$C$25</f>
        <v>-115.89472680983937</v>
      </c>
      <c r="N39" s="94">
        <f>Superpositioning!$D$22*$B39/1000+Superpositioning!$D$6+Superpositioning!$D$9+Superpositioning!$D$15+Superpositioning!$D$25</f>
        <v>-9.4262005050287812</v>
      </c>
      <c r="O39" s="94">
        <f>1/2*Superpositioning!$C$22*(B39/1000)^2+Superpositioning!$C$6*((B39-B$14)/1000)+Superpositioning!$C$15*((B39-B$25)/1000)+Superpositioning!$C$9*((B39-B$31)/1000)+Superpositioning!$C$25*((B39-B$37)/1000)</f>
        <v>112.92463469295109</v>
      </c>
      <c r="P39" s="94">
        <f>1/2*Superpositioning!$D$22*(B39/1000)^2+Superpositioning!$D$6*((B39-B$14)/1000)+Superpositioning!$D$15*((B39-B$25)/1000)+Superpositioning!$D$9*((B39-B$31)/1000)+Superpositioning!$D$25*((B39-B$37)/1000)</f>
        <v>11.347712514691876</v>
      </c>
      <c r="Q39" s="95">
        <f>'Aileron torsion'!$B$21*$B39/1000+'Aileron torsion'!$B$22+'Aileron torsion'!$B$23</f>
        <v>0.24656978156018106</v>
      </c>
    </row>
    <row r="40" spans="1:17" x14ac:dyDescent="0.2">
      <c r="A40">
        <v>3</v>
      </c>
      <c r="B40" s="92">
        <f>B39+('Aileron shear'!$B$6-Input!$C$7*10/2)/10</f>
        <v>1747.5</v>
      </c>
      <c r="C40" s="93">
        <f>Superpositioning!$C$20*$B40/1000+Superpositioning!$C$4+Superpositioning!$C$7+Superpositioning!$C$13+Superpositioning!$C$23</f>
        <v>-11.504283928088952</v>
      </c>
      <c r="D40" s="94">
        <f>Superpositioning!$D$20*$B40/1000+Superpositioning!$D$4+Superpositioning!$D$7+Superpositioning!$D$13+Superpositioning!$D$23</f>
        <v>-17.46033865286196</v>
      </c>
      <c r="E40" s="94">
        <f>1/2*Superpositioning!$C$20*(B40/1000)^2+Superpositioning!$C$4*((B40-B$14)/1000)+Superpositioning!$C$13*((B40-B$25)/1000)+Superpositioning!$C$7*((B40-B$31)/1000)+Superpositioning!$C$23*((B40-B$37)/1000)</f>
        <v>9.7038634933430501</v>
      </c>
      <c r="F40" s="94">
        <f>1/2*Superpositioning!$D$20*(B40/1000)^2+Superpositioning!$D$4*((B40-B$14)/1000)+Superpositioning!$D$13*((B40-B$25)/1000)+Superpositioning!$D$7*((B40-B$31)/1000)+Superpositioning!$D$23*((B40-B$25)/1000)</f>
        <v>16.685056186189058</v>
      </c>
      <c r="G40" s="95">
        <f>'Aileron torsion'!$B$11*$B40/1000+'Aileron torsion'!$B$12+'Aileron torsion'!$B$13</f>
        <v>0.24671351249999951</v>
      </c>
      <c r="H40" s="93">
        <f>Superpositioning!$C$21*$B40/1000+Superpositioning!$C$5+Superpositioning!$C$8+Superpositioning!$C$14+Superpositioning!$C$24</f>
        <v>95.892772337264802</v>
      </c>
      <c r="I40" s="94">
        <f>Superpositioning!$D$21*$B40/1000+Superpositioning!$D$5+Superpositioning!$D$8+Superpositioning!$D$14+Superpositioning!$D$24</f>
        <v>-20.817498138498674</v>
      </c>
      <c r="J40" s="94">
        <f>1/2*Superpositioning!$C$21*(B40/1000)^2+Superpositioning!$C$5*((B40-B$14)/1000)+Superpositioning!$C$14*((B40-B$25)/1000)+Superpositioning!$C$8*((B40-B$31)/1000)+Superpositioning!$C$24*((B40-B$37)/1000)</f>
        <v>-81.804431627454719</v>
      </c>
      <c r="K40" s="94">
        <f>1/2*Superpositioning!$D$21*(B40/1000)^2+Superpositioning!$D$5*((B40-B$14)/1000)+Superpositioning!$D$14*((B40-B$25)/1000)+Superpositioning!$D$8*((B40-B$31)/1000)+Superpositioning!$D$24*((B40-B$37)/1000)</f>
        <v>19.287718155592295</v>
      </c>
      <c r="L40" s="95">
        <f>'Aileron torsion'!$B$16*$B40/1000+'Aileron torsion'!$B$17+'Aileron torsion'!$B$18</f>
        <v>0.21783510198764588</v>
      </c>
      <c r="M40" s="93">
        <f>Superpositioning!$C$22*$B40/1000+Superpositioning!$C$6+Superpositioning!$C$9+Superpositioning!$C$15+Superpositioning!$C$25</f>
        <v>-116.20813194100835</v>
      </c>
      <c r="N40" s="94">
        <f>Superpositioning!$D$22*$B40/1000+Superpositioning!$D$6+Superpositioning!$D$9+Superpositioning!$D$15+Superpositioning!$D$25</f>
        <v>-10.015629829593614</v>
      </c>
      <c r="O40" s="94">
        <f>1/2*Superpositioning!$C$22*(B40/1000)^2+Superpositioning!$C$6*((B40-B$14)/1000)+Superpositioning!$C$15*((B40-B$25)/1000)+Superpositioning!$C$9*((B40-B$31)/1000)+Superpositioning!$C$25*((B40-B$37)/1000)</f>
        <v>98.940437453212454</v>
      </c>
      <c r="P40" s="94">
        <f>1/2*Superpositioning!$D$22*(B40/1000)^2+Superpositioning!$D$6*((B40-B$14)/1000)+Superpositioning!$D$15*((B40-B$25)/1000)+Superpositioning!$D$9*((B40-B$31)/1000)+Superpositioning!$D$25*((B40-B$37)/1000)</f>
        <v>10.176342237030873</v>
      </c>
      <c r="Q40" s="95">
        <f>'Aileron torsion'!$B$21*$B40/1000+'Aileron torsion'!$B$22+'Aileron torsion'!$B$23</f>
        <v>0.21783510198764588</v>
      </c>
    </row>
    <row r="41" spans="1:17" x14ac:dyDescent="0.2">
      <c r="A41">
        <v>4</v>
      </c>
      <c r="B41" s="92">
        <f>B40+('Aileron shear'!$B$6-Input!$C$7*10/2)/10</f>
        <v>1868</v>
      </c>
      <c r="C41" s="93">
        <f>Superpositioning!$C$20*$B41/1000+Superpositioning!$C$4+Superpositioning!$C$7+Superpositioning!$C$13+Superpositioning!$C$23</f>
        <v>-11.504283928088952</v>
      </c>
      <c r="D41" s="94">
        <f>Superpositioning!$D$20*$B41/1000+Superpositioning!$D$4+Superpositioning!$D$7+Superpositioning!$D$13+Superpositioning!$D$23</f>
        <v>-18.127908652861962</v>
      </c>
      <c r="E41" s="94">
        <f>1/2*Superpositioning!$C$20*(B41/1000)^2+Superpositioning!$C$4*((B41-B$14)/1000)+Superpositioning!$C$13*((B41-B$25)/1000)+Superpositioning!$C$7*((B41-B$31)/1000)+Superpositioning!$C$23*((B41-B$37)/1000)</f>
        <v>8.3175972800083358</v>
      </c>
      <c r="F41" s="94">
        <f>1/2*Superpositioning!$D$20*(B41/1000)^2+Superpositioning!$D$4*((B41-B$14)/1000)+Superpositioning!$D$13*((B41-B$25)/1000)+Superpositioning!$D$7*((B41-B$31)/1000)+Superpositioning!$D$23*((B41-B$25)/1000)</f>
        <v>14.54086428601919</v>
      </c>
      <c r="G41" s="95">
        <f>'Aileron torsion'!$B$11*$B41/1000+'Aileron torsion'!$B$12+'Aileron torsion'!$B$13</f>
        <v>0.21416947500000028</v>
      </c>
      <c r="H41" s="93">
        <f>Superpositioning!$C$21*$B41/1000+Superpositioning!$C$5+Superpositioning!$C$8+Superpositioning!$C$14+Superpositioning!$C$24</f>
        <v>96.206177468433822</v>
      </c>
      <c r="I41" s="94">
        <f>Superpositioning!$D$21*$B41/1000+Superpositioning!$D$5+Superpositioning!$D$8+Superpositioning!$D$14+Superpositioning!$D$24</f>
        <v>-21.406927463063507</v>
      </c>
      <c r="J41" s="94">
        <f>1/2*Superpositioning!$C$21*(B41/1000)^2+Superpositioning!$C$5*((B41-B$14)/1000)+Superpositioning!$C$14*((B41-B$25)/1000)+Superpositioning!$C$8*((B41-B$31)/1000)+Superpositioning!$C$24*((B41-B$37)/1000)</f>
        <v>-70.23046990166138</v>
      </c>
      <c r="K41" s="94">
        <f>1/2*Superpositioning!$D$21*(B41/1000)^2+Superpositioning!$D$5*((B41-B$14)/1000)+Superpositioning!$D$14*((B41-B$25)/1000)+Superpositioning!$D$8*((B41-B$31)/1000)+Superpositioning!$D$24*((B41-B$37)/1000)</f>
        <v>16.743696513098175</v>
      </c>
      <c r="L41" s="95">
        <f>'Aileron torsion'!$B$16*$B41/1000+'Aileron torsion'!$B$17+'Aileron torsion'!$B$18</f>
        <v>0.18910042241511071</v>
      </c>
      <c r="M41" s="93">
        <f>Superpositioning!$C$22*$B41/1000+Superpositioning!$C$6+Superpositioning!$C$9+Superpositioning!$C$15+Superpositioning!$C$25</f>
        <v>-116.52153707217732</v>
      </c>
      <c r="N41" s="94">
        <f>Superpositioning!$D$22*$B41/1000+Superpositioning!$D$6+Superpositioning!$D$9+Superpositioning!$D$15+Superpositioning!$D$25</f>
        <v>-10.605059154158447</v>
      </c>
      <c r="O41" s="94">
        <f>1/2*Superpositioning!$C$22*(B41/1000)^2+Superpositioning!$C$6*((B41-B$14)/1000)+Superpositioning!$C$15*((B41-B$25)/1000)+Superpositioning!$C$9*((B41-B$31)/1000)+Superpositioning!$C$25*((B41-B$37)/1000)</f>
        <v>84.918474895168018</v>
      </c>
      <c r="P41" s="94">
        <f>1/2*Superpositioning!$D$22*(B41/1000)^2+Superpositioning!$D$6*((B41-B$14)/1000)+Superpositioning!$D$15*((B41-B$25)/1000)+Superpositioning!$D$9*((B41-B$31)/1000)+Superpositioning!$D$25*((B41-B$37)/1000)</f>
        <v>8.9339457257598092</v>
      </c>
      <c r="Q41" s="95">
        <f>'Aileron torsion'!$B$21*$B41/1000+'Aileron torsion'!$B$22+'Aileron torsion'!$B$23</f>
        <v>0.18910042241511071</v>
      </c>
    </row>
    <row r="42" spans="1:17" x14ac:dyDescent="0.2">
      <c r="A42">
        <v>5</v>
      </c>
      <c r="B42" s="92">
        <f>B41+('Aileron shear'!$B$6-Input!$C$7*10/2)/10</f>
        <v>1988.5</v>
      </c>
      <c r="C42" s="93">
        <f>Superpositioning!$C$20*$B42/1000+Superpositioning!$C$4+Superpositioning!$C$7+Superpositioning!$C$13+Superpositioning!$C$23</f>
        <v>-11.504283928088952</v>
      </c>
      <c r="D42" s="94">
        <f>Superpositioning!$D$20*$B42/1000+Superpositioning!$D$4+Superpositioning!$D$7+Superpositioning!$D$13+Superpositioning!$D$23</f>
        <v>-18.795478652861963</v>
      </c>
      <c r="E42" s="94">
        <f>1/2*Superpositioning!$C$20*(B42/1000)^2+Superpositioning!$C$4*((B42-B$14)/1000)+Superpositioning!$C$13*((B42-B$25)/1000)+Superpositioning!$C$7*((B42-B$31)/1000)+Superpositioning!$C$23*((B42-B$37)/1000)</f>
        <v>6.931331066673593</v>
      </c>
      <c r="F42" s="94">
        <f>1/2*Superpositioning!$D$20*(B42/1000)^2+Superpositioning!$D$4*((B42-B$14)/1000)+Superpositioning!$D$13*((B42-B$25)/1000)+Superpositioning!$D$7*((B42-B$31)/1000)+Superpositioning!$D$23*((B42-B$25)/1000)</f>
        <v>12.316230200849329</v>
      </c>
      <c r="G42" s="95">
        <f>'Aileron torsion'!$B$11*$B42/1000+'Aileron torsion'!$B$12+'Aileron torsion'!$B$13</f>
        <v>0.18162543749999926</v>
      </c>
      <c r="H42" s="93">
        <f>Superpositioning!$C$21*$B42/1000+Superpositioning!$C$5+Superpositioning!$C$8+Superpositioning!$C$14+Superpositioning!$C$24</f>
        <v>96.519582599602785</v>
      </c>
      <c r="I42" s="94">
        <f>Superpositioning!$D$21*$B42/1000+Superpositioning!$D$5+Superpositioning!$D$8+Superpositioning!$D$14+Superpositioning!$D$24</f>
        <v>-21.996356787628343</v>
      </c>
      <c r="J42" s="94">
        <f>1/2*Superpositioning!$C$21*(B42/1000)^2+Superpositioning!$C$5*((B42-B$14)/1000)+Superpositioning!$C$14*((B42-B$25)/1000)+Superpositioning!$C$8*((B42-B$31)/1000)+Superpositioning!$C$24*((B42-B$37)/1000)</f>
        <v>-58.618742857562196</v>
      </c>
      <c r="K42" s="94">
        <f>1/2*Superpositioning!$D$21*(B42/1000)^2+Superpositioning!$D$5*((B42-B$14)/1000)+Superpositioning!$D$14*((B42-B$25)/1000)+Superpositioning!$D$8*((B42-B$31)/1000)+Superpositioning!$D$24*((B42-B$37)/1000)</f>
        <v>14.128648636993994</v>
      </c>
      <c r="L42" s="95">
        <f>'Aileron torsion'!$B$16*$B42/1000+'Aileron torsion'!$B$17+'Aileron torsion'!$B$18</f>
        <v>0.16036574284257554</v>
      </c>
      <c r="M42" s="93">
        <f>Superpositioning!$C$22*$B42/1000+Superpositioning!$C$6+Superpositioning!$C$9+Superpositioning!$C$15+Superpositioning!$C$25</f>
        <v>-116.8349422033463</v>
      </c>
      <c r="N42" s="94">
        <f>Superpositioning!$D$22*$B42/1000+Superpositioning!$D$6+Superpositioning!$D$9+Superpositioning!$D$15+Superpositioning!$D$25</f>
        <v>-11.194488478723287</v>
      </c>
      <c r="O42" s="94">
        <f>1/2*Superpositioning!$C$22*(B42/1000)^2+Superpositioning!$C$6*((B42-B$14)/1000)+Superpositioning!$C$15*((B42-B$25)/1000)+Superpositioning!$C$9*((B42-B$31)/1000)+Superpositioning!$C$25*((B42-B$37)/1000)</f>
        <v>70.858747018817738</v>
      </c>
      <c r="P42" s="94">
        <f>1/2*Superpositioning!$D$22*(B42/1000)^2+Superpositioning!$D$6*((B42-B$14)/1000)+Superpositioning!$D$15*((B42-B$25)/1000)+Superpositioning!$D$9*((B42-B$31)/1000)+Superpositioning!$D$25*((B42-B$37)/1000)</f>
        <v>7.6205229808786861</v>
      </c>
      <c r="Q42" s="95">
        <f>'Aileron torsion'!$B$21*$B42/1000+'Aileron torsion'!$B$22+'Aileron torsion'!$B$23</f>
        <v>0.16036574284257554</v>
      </c>
    </row>
    <row r="43" spans="1:17" x14ac:dyDescent="0.2">
      <c r="A43">
        <v>6</v>
      </c>
      <c r="B43" s="92">
        <f>B42+('Aileron shear'!$B$6-Input!$C$7*10/2)/10</f>
        <v>2109</v>
      </c>
      <c r="C43" s="93">
        <f>Superpositioning!$C$20*$B43/1000+Superpositioning!$C$4+Superpositioning!$C$7+Superpositioning!$C$13+Superpositioning!$C$23</f>
        <v>-11.504283928088952</v>
      </c>
      <c r="D43" s="94">
        <f>Superpositioning!$D$20*$B43/1000+Superpositioning!$D$4+Superpositioning!$D$7+Superpositioning!$D$13+Superpositioning!$D$23</f>
        <v>-19.463048652861964</v>
      </c>
      <c r="E43" s="94">
        <f>1/2*Superpositioning!$C$20*(B43/1000)^2+Superpositioning!$C$4*((B43-B$14)/1000)+Superpositioning!$C$13*((B43-B$25)/1000)+Superpositioning!$C$7*((B43-B$31)/1000)+Superpositioning!$C$23*((B43-B$37)/1000)</f>
        <v>5.5450648533388858</v>
      </c>
      <c r="F43" s="94">
        <f>1/2*Superpositioning!$D$20*(B43/1000)^2+Superpositioning!$D$4*((B43-B$14)/1000)+Superpositioning!$D$13*((B43-B$25)/1000)+Superpositioning!$D$7*((B43-B$31)/1000)+Superpositioning!$D$23*((B43-B$25)/1000)</f>
        <v>10.011153930679455</v>
      </c>
      <c r="G43" s="95">
        <f>'Aileron torsion'!$B$11*$B43/1000+'Aileron torsion'!$B$12+'Aileron torsion'!$B$13</f>
        <v>0.14908140000000003</v>
      </c>
      <c r="H43" s="93">
        <f>Superpositioning!$C$21*$B43/1000+Superpositioning!$C$5+Superpositioning!$C$8+Superpositioning!$C$14+Superpositioning!$C$24</f>
        <v>96.832987730771748</v>
      </c>
      <c r="I43" s="94">
        <f>Superpositioning!$D$21*$B43/1000+Superpositioning!$D$5+Superpositioning!$D$8+Superpositioning!$D$14+Superpositioning!$D$24</f>
        <v>-22.585786112193176</v>
      </c>
      <c r="J43" s="94">
        <f>1/2*Superpositioning!$C$21*(B43/1000)^2+Superpositioning!$C$5*((B43-B$14)/1000)+Superpositioning!$C$14*((B43-B$25)/1000)+Superpositioning!$C$8*((B43-B$31)/1000)+Superpositioning!$C$24*((B43-B$37)/1000)</f>
        <v>-46.969250495157134</v>
      </c>
      <c r="K43" s="94">
        <f>1/2*Superpositioning!$D$21*(B43/1000)^2+Superpositioning!$D$5*((B43-B$14)/1000)+Superpositioning!$D$14*((B43-B$25)/1000)+Superpositioning!$D$8*((B43-B$31)/1000)+Superpositioning!$D$24*((B43-B$37)/1000)</f>
        <v>11.442574527279753</v>
      </c>
      <c r="L43" s="95">
        <f>'Aileron torsion'!$B$16*$B43/1000+'Aileron torsion'!$B$17+'Aileron torsion'!$B$18</f>
        <v>0.1316310632700386</v>
      </c>
      <c r="M43" s="93">
        <f>Superpositioning!$C$22*$B43/1000+Superpositioning!$C$6+Superpositioning!$C$9+Superpositioning!$C$15+Superpositioning!$C$25</f>
        <v>-117.14834733451528</v>
      </c>
      <c r="N43" s="94">
        <f>Superpositioning!$D$22*$B43/1000+Superpositioning!$D$6+Superpositioning!$D$9+Superpositioning!$D$15+Superpositioning!$D$25</f>
        <v>-11.783917803288119</v>
      </c>
      <c r="O43" s="94">
        <f>1/2*Superpositioning!$C$22*(B43/1000)^2+Superpositioning!$C$6*((B43-B$14)/1000)+Superpositioning!$C$15*((B43-B$25)/1000)+Superpositioning!$C$9*((B43-B$31)/1000)+Superpositioning!$C$25*((B43-B$37)/1000)</f>
        <v>56.761253824161564</v>
      </c>
      <c r="P43" s="94">
        <f>1/2*Superpositioning!$D$22*(B43/1000)^2+Superpositioning!$D$6*((B43-B$14)/1000)+Superpositioning!$D$15*((B43-B$25)/1000)+Superpositioning!$D$9*((B43-B$31)/1000)+Superpositioning!$D$25*((B43-B$37)/1000)</f>
        <v>6.2360740023875003</v>
      </c>
      <c r="Q43" s="95">
        <f>'Aileron torsion'!$B$21*$B43/1000+'Aileron torsion'!$B$22+'Aileron torsion'!$B$23</f>
        <v>0.1316310632700386</v>
      </c>
    </row>
    <row r="44" spans="1:17" x14ac:dyDescent="0.2">
      <c r="A44">
        <v>7</v>
      </c>
      <c r="B44" s="92">
        <f>B43+('Aileron shear'!$B$6-Input!$C$7*10/2)/10</f>
        <v>2229.5</v>
      </c>
      <c r="C44" s="93">
        <f>Superpositioning!$C$20*$B44/1000+Superpositioning!$C$4+Superpositioning!$C$7+Superpositioning!$C$13+Superpositioning!$C$23</f>
        <v>-11.504283928088952</v>
      </c>
      <c r="D44" s="94">
        <f>Superpositioning!$D$20*$B44/1000+Superpositioning!$D$4+Superpositioning!$D$7+Superpositioning!$D$13+Superpositioning!$D$23</f>
        <v>-20.130618652861962</v>
      </c>
      <c r="E44" s="94">
        <f>1/2*Superpositioning!$C$20*(B44/1000)^2+Superpositioning!$C$4*((B44-B$14)/1000)+Superpositioning!$C$13*((B44-B$25)/1000)+Superpositioning!$C$7*((B44-B$31)/1000)+Superpositioning!$C$23*((B44-B$37)/1000)</f>
        <v>4.1587986400041643</v>
      </c>
      <c r="F44" s="94">
        <f>1/2*Superpositioning!$D$20*(B44/1000)^2+Superpositioning!$D$4*((B44-B$14)/1000)+Superpositioning!$D$13*((B44-B$25)/1000)+Superpositioning!$D$7*((B44-B$31)/1000)+Superpositioning!$D$23*((B44-B$25)/1000)</f>
        <v>7.625635475509597</v>
      </c>
      <c r="G44" s="95">
        <f>'Aileron torsion'!$B$11*$B44/1000+'Aileron torsion'!$B$12+'Aileron torsion'!$B$13</f>
        <v>0.11653736249999902</v>
      </c>
      <c r="H44" s="93">
        <f>Superpositioning!$C$21*$B44/1000+Superpositioning!$C$5+Superpositioning!$C$8+Superpositioning!$C$14+Superpositioning!$C$24</f>
        <v>97.146392861940711</v>
      </c>
      <c r="I44" s="94">
        <f>Superpositioning!$D$21*$B44/1000+Superpositioning!$D$5+Superpositioning!$D$8+Superpositioning!$D$14+Superpositioning!$D$24</f>
        <v>-23.175215436758009</v>
      </c>
      <c r="J44" s="94">
        <f>1/2*Superpositioning!$C$21*(B44/1000)^2+Superpositioning!$C$5*((B44-B$14)/1000)+Superpositioning!$C$14*((B44-B$25)/1000)+Superpositioning!$C$8*((B44-B$31)/1000)+Superpositioning!$C$24*((B44-B$37)/1000)</f>
        <v>-35.281992814446255</v>
      </c>
      <c r="K44" s="94">
        <f>1/2*Superpositioning!$D$21*(B44/1000)^2+Superpositioning!$D$5*((B44-B$14)/1000)+Superpositioning!$D$14*((B44-B$25)/1000)+Superpositioning!$D$8*((B44-B$31)/1000)+Superpositioning!$D$24*((B44-B$37)/1000)</f>
        <v>8.6854741839554421</v>
      </c>
      <c r="L44" s="95">
        <f>'Aileron torsion'!$B$16*$B44/1000+'Aileron torsion'!$B$17+'Aileron torsion'!$B$18</f>
        <v>0.10289638369750342</v>
      </c>
      <c r="M44" s="93">
        <f>Superpositioning!$C$22*$B44/1000+Superpositioning!$C$6+Superpositioning!$C$9+Superpositioning!$C$15+Superpositioning!$C$25</f>
        <v>-117.46175246568426</v>
      </c>
      <c r="N44" s="94">
        <f>Superpositioning!$D$22*$B44/1000+Superpositioning!$D$6+Superpositioning!$D$9+Superpositioning!$D$15+Superpositioning!$D$25</f>
        <v>-12.373347127852952</v>
      </c>
      <c r="O44" s="94">
        <f>1/2*Superpositioning!$C$22*(B44/1000)^2+Superpositioning!$C$6*((B44-B$14)/1000)+Superpositioning!$C$15*((B44-B$25)/1000)+Superpositioning!$C$9*((B44-B$31)/1000)+Superpositioning!$C$25*((B44-B$37)/1000)</f>
        <v>42.625995311199574</v>
      </c>
      <c r="P44" s="94">
        <f>1/2*Superpositioning!$D$22*(B44/1000)^2+Superpositioning!$D$6*((B44-B$14)/1000)+Superpositioning!$D$15*((B44-B$25)/1000)+Superpositioning!$D$9*((B44-B$31)/1000)+Superpositioning!$D$25*((B44-B$37)/1000)</f>
        <v>4.7805987902862555</v>
      </c>
      <c r="Q44" s="95">
        <f>'Aileron torsion'!$B$21*$B44/1000+'Aileron torsion'!$B$22+'Aileron torsion'!$B$23</f>
        <v>0.10289638369750342</v>
      </c>
    </row>
    <row r="45" spans="1:17" x14ac:dyDescent="0.2">
      <c r="A45">
        <v>8</v>
      </c>
      <c r="B45" s="92">
        <f>B44+('Aileron shear'!$B$6-Input!$C$7*10/2)/10</f>
        <v>2350</v>
      </c>
      <c r="C45" s="93">
        <f>Superpositioning!$C$20*$B45/1000+Superpositioning!$C$4+Superpositioning!$C$7+Superpositioning!$C$13+Superpositioning!$C$23</f>
        <v>-11.504283928088952</v>
      </c>
      <c r="D45" s="94">
        <f>Superpositioning!$D$20*$B45/1000+Superpositioning!$D$4+Superpositioning!$D$7+Superpositioning!$D$13+Superpositioning!$D$23</f>
        <v>-20.79818865286196</v>
      </c>
      <c r="E45" s="94">
        <f>1/2*Superpositioning!$C$20*(B45/1000)^2+Superpositioning!$C$4*((B45-B$14)/1000)+Superpositioning!$C$13*((B45-B$25)/1000)+Superpositioning!$C$7*((B45-B$31)/1000)+Superpositioning!$C$23*((B45-B$37)/1000)</f>
        <v>2.7725324266694571</v>
      </c>
      <c r="F45" s="94">
        <f>1/2*Superpositioning!$D$20*(B45/1000)^2+Superpositioning!$D$4*((B45-B$14)/1000)+Superpositioning!$D$13*((B45-B$25)/1000)+Superpositioning!$D$7*((B45-B$31)/1000)+Superpositioning!$D$23*((B45-B$25)/1000)</f>
        <v>5.1596748353397217</v>
      </c>
      <c r="G45" s="95">
        <f>'Aileron torsion'!$B$11*$B45/1000+'Aileron torsion'!$B$12+'Aileron torsion'!$B$13</f>
        <v>8.3993324999999786E-2</v>
      </c>
      <c r="H45" s="93">
        <f>Superpositioning!$C$21*$B45/1000+Superpositioning!$C$5+Superpositioning!$C$8+Superpositioning!$C$14+Superpositioning!$C$24</f>
        <v>97.459797993109731</v>
      </c>
      <c r="I45" s="94">
        <f>Superpositioning!$D$21*$B45/1000+Superpositioning!$D$5+Superpositioning!$D$8+Superpositioning!$D$14+Superpositioning!$D$24</f>
        <v>-23.764644761322842</v>
      </c>
      <c r="J45" s="94">
        <f>1/2*Superpositioning!$C$21*(B45/1000)^2+Superpositioning!$C$5*((B45-B$14)/1000)+Superpositioning!$C$14*((B45-B$25)/1000)+Superpositioning!$C$8*((B45-B$31)/1000)+Superpositioning!$C$24*((B45-B$37)/1000)</f>
        <v>-23.556969815429341</v>
      </c>
      <c r="K45" s="94">
        <f>1/2*Superpositioning!$D$21*(B45/1000)^2+Superpositioning!$D$5*((B45-B$14)/1000)+Superpositioning!$D$14*((B45-B$25)/1000)+Superpositioning!$D$8*((B45-B$31)/1000)+Superpositioning!$D$24*((B45-B$37)/1000)</f>
        <v>5.8573476070210688</v>
      </c>
      <c r="L45" s="95">
        <f>'Aileron torsion'!$B$16*$B45/1000+'Aileron torsion'!$B$17+'Aileron torsion'!$B$18</f>
        <v>7.4161704124968253E-2</v>
      </c>
      <c r="M45" s="93">
        <f>Superpositioning!$C$22*$B45/1000+Superpositioning!$C$6+Superpositioning!$C$9+Superpositioning!$C$15+Superpositioning!$C$25</f>
        <v>-117.77515759685323</v>
      </c>
      <c r="N45" s="94">
        <f>Superpositioning!$D$22*$B45/1000+Superpositioning!$D$6+Superpositioning!$D$9+Superpositioning!$D$15+Superpositioning!$D$25</f>
        <v>-12.962776452417785</v>
      </c>
      <c r="O45" s="94">
        <f>1/2*Superpositioning!$C$22*(B45/1000)^2+Superpositioning!$C$6*((B45-B$14)/1000)+Superpositioning!$C$15*((B45-B$25)/1000)+Superpositioning!$C$9*((B45-B$31)/1000)+Superpositioning!$C$25*((B45-B$37)/1000)</f>
        <v>28.452971479931563</v>
      </c>
      <c r="P45" s="94">
        <f>1/2*Superpositioning!$D$22*(B45/1000)^2+Superpositioning!$D$6*((B45-B$14)/1000)+Superpositioning!$D$15*((B45-B$25)/1000)+Superpositioning!$D$9*((B45-B$31)/1000)+Superpositioning!$D$25*((B45-B$37)/1000)</f>
        <v>3.2540973445749302</v>
      </c>
      <c r="Q45" s="95">
        <f>'Aileron torsion'!$B$21*$B45/1000+'Aileron torsion'!$B$22+'Aileron torsion'!$B$23</f>
        <v>7.4161704124968253E-2</v>
      </c>
    </row>
    <row r="46" spans="1:17" x14ac:dyDescent="0.2">
      <c r="A46">
        <v>9</v>
      </c>
      <c r="B46" s="92">
        <f>B45+('Aileron shear'!$B$6-Input!$C$7*10/2)/10</f>
        <v>2470.5</v>
      </c>
      <c r="C46" s="93">
        <f>Superpositioning!$C$20*$B46/1000+Superpositioning!$C$4+Superpositioning!$C$7+Superpositioning!$C$13+Superpositioning!$C$23</f>
        <v>-11.504283928088952</v>
      </c>
      <c r="D46" s="94">
        <f>Superpositioning!$D$20*$B46/1000+Superpositioning!$D$4+Superpositioning!$D$7+Superpositioning!$D$13+Superpositioning!$D$23</f>
        <v>-21.465758652861961</v>
      </c>
      <c r="E46" s="94">
        <f>1/2*Superpositioning!$C$20*(B46/1000)^2+Superpositioning!$C$4*((B46-B$14)/1000)+Superpositioning!$C$13*((B46-B$25)/1000)+Superpositioning!$C$7*((B46-B$31)/1000)+Superpositioning!$C$23*((B46-B$37)/1000)</f>
        <v>1.3862662133347357</v>
      </c>
      <c r="F46" s="94">
        <f>1/2*Superpositioning!$D$20*(B46/1000)^2+Superpositioning!$D$4*((B46-B$14)/1000)+Superpositioning!$D$13*((B46-B$25)/1000)+Superpositioning!$D$7*((B46-B$31)/1000)+Superpositioning!$D$23*((B46-B$25)/1000)</f>
        <v>2.6132720101698723</v>
      </c>
      <c r="G46" s="95">
        <f>'Aileron torsion'!$B$11*$B46/1000+'Aileron torsion'!$B$12+'Aileron torsion'!$B$13</f>
        <v>5.1449287500000551E-2</v>
      </c>
      <c r="H46" s="93">
        <f>Superpositioning!$C$21*$B46/1000+Superpositioning!$C$5+Superpositioning!$C$8+Superpositioning!$C$14+Superpositioning!$C$24</f>
        <v>97.773203124278695</v>
      </c>
      <c r="I46" s="94">
        <f>Superpositioning!$D$21*$B46/1000+Superpositioning!$D$5+Superpositioning!$D$8+Superpositioning!$D$14+Superpositioning!$D$24</f>
        <v>-24.354074085887675</v>
      </c>
      <c r="J46" s="94">
        <f>1/2*Superpositioning!$C$21*(B46/1000)^2+Superpositioning!$C$5*((B46-B$14)/1000)+Superpositioning!$C$14*((B46-B$25)/1000)+Superpositioning!$C$8*((B46-B$31)/1000)+Superpositioning!$C$24*((B46-B$37)/1000)</f>
        <v>-11.794181498106809</v>
      </c>
      <c r="K46" s="94">
        <f>1/2*Superpositioning!$D$21*(B46/1000)^2+Superpositioning!$D$5*((B46-B$14)/1000)+Superpositioning!$D$14*((B46-B$25)/1000)+Superpositioning!$D$8*((B46-B$31)/1000)+Superpositioning!$D$24*((B46-B$37)/1000)</f>
        <v>2.9581947964766329</v>
      </c>
      <c r="L46" s="95">
        <f>'Aileron torsion'!$B$16*$B46/1000+'Aileron torsion'!$B$17+'Aileron torsion'!$B$18</f>
        <v>4.5427024552431305E-2</v>
      </c>
      <c r="M46" s="93">
        <f>Superpositioning!$C$22*$B46/1000+Superpositioning!$C$6+Superpositioning!$C$9+Superpositioning!$C$15+Superpositioning!$C$25</f>
        <v>-118.08856272802221</v>
      </c>
      <c r="N46" s="94">
        <f>Superpositioning!$D$22*$B46/1000+Superpositioning!$D$6+Superpositioning!$D$9+Superpositioning!$D$15+Superpositioning!$D$25</f>
        <v>-13.552205776982618</v>
      </c>
      <c r="O46" s="94">
        <f>1/2*Superpositioning!$C$22*(B46/1000)^2+Superpositioning!$C$6*((B46-B$14)/1000)+Superpositioning!$C$15*((B46-B$25)/1000)+Superpositioning!$C$9*((B46-B$31)/1000)+Superpositioning!$C$25*((B46-B$37)/1000)</f>
        <v>14.242182330357991</v>
      </c>
      <c r="P46" s="94">
        <f>1/2*Superpositioning!$D$22*(B46/1000)^2+Superpositioning!$D$6*((B46-B$14)/1000)+Superpositioning!$D$15*((B46-B$25)/1000)+Superpositioning!$D$9*((B46-B$31)/1000)+Superpositioning!$D$25*((B46-B$37)/1000)</f>
        <v>1.6565696652535635</v>
      </c>
      <c r="Q46" s="95">
        <f>'Aileron torsion'!$B$21*$B46/1000+'Aileron torsion'!$B$22+'Aileron torsion'!$B$23</f>
        <v>4.5427024552431305E-2</v>
      </c>
    </row>
    <row r="47" spans="1:17" x14ac:dyDescent="0.2">
      <c r="A47">
        <v>10</v>
      </c>
      <c r="B47" s="92">
        <f>B46+('Aileron shear'!$B$6-Input!$C$7*10/2)/10</f>
        <v>2591</v>
      </c>
      <c r="C47" s="93">
        <f>Superpositioning!$C$20*$B47/1000+Superpositioning!$C$4+Superpositioning!$C$7+Superpositioning!$C$13+Superpositioning!$C$23</f>
        <v>-11.504283928088952</v>
      </c>
      <c r="D47" s="94">
        <f>Superpositioning!$D$20*$B47/1000+Superpositioning!$D$4+Superpositioning!$D$7+Superpositioning!$D$13+Superpositioning!$D$23</f>
        <v>-22.133328652861962</v>
      </c>
      <c r="E47" s="94">
        <f>1/2*Superpositioning!$C$20*(B47/1000)^2+Superpositioning!$C$4*((B47-B$14)/1000)+Superpositioning!$C$13*((B47-B$25)/1000)+Superpositioning!$C$7*((B47-B$31)/1000)+Superpositioning!$C$23*((B47-B$37)/1000)</f>
        <v>0</v>
      </c>
      <c r="F47" s="94">
        <f>1/2*Superpositioning!$D$20*(B47/1000)^2+Superpositioning!$D$4*((B47-B$14)/1000)+Superpositioning!$D$13*((B47-B$25)/1000)+Superpositioning!$D$7*((B47-B$31)/1000)+Superpositioning!$D$23*((B47-B$25)/1000)</f>
        <v>-1.3573000000008051E-2</v>
      </c>
      <c r="G47" s="95">
        <f>'Aileron torsion'!$B$11*$B47/1000+'Aileron torsion'!$B$12+'Aileron torsion'!$B$13</f>
        <v>1.890524999999954E-2</v>
      </c>
      <c r="H47" s="93">
        <f>Superpositioning!$C$21*$B47/1000+Superpositioning!$C$5+Superpositioning!$C$8+Superpositioning!$C$14+Superpositioning!$C$24</f>
        <v>98.086608255447658</v>
      </c>
      <c r="I47" s="94">
        <f>Superpositioning!$D$21*$B47/1000+Superpositioning!$D$5+Superpositioning!$D$8+Superpositioning!$D$14+Superpositioning!$D$24</f>
        <v>-24.943503410452514</v>
      </c>
      <c r="J47" s="94">
        <f>1/2*Superpositioning!$C$21*(B47/1000)^2+Superpositioning!$C$5*((B47-B$14)/1000)+Superpositioning!$C$14*((B47-B$25)/1000)+Superpositioning!$C$8*((B47-B$31)/1000)+Superpositioning!$C$24*((B47-B$37)/1000)</f>
        <v>6.3721375217369314E-3</v>
      </c>
      <c r="K47" s="94">
        <f>1/2*Superpositioning!$D$21*(B47/1000)^2+Superpositioning!$D$5*((B47-B$14)/1000)+Superpositioning!$D$14*((B47-B$25)/1000)+Superpositioning!$D$8*((B47-B$31)/1000)+Superpositioning!$D$24*((B47-B$37)/1000)</f>
        <v>-1.1984247677865767E-2</v>
      </c>
      <c r="L47" s="95">
        <f>'Aileron torsion'!$B$16*$B47/1000+'Aileron torsion'!$B$17+'Aileron torsion'!$B$18</f>
        <v>1.6692344979896134E-2</v>
      </c>
      <c r="M47" s="93">
        <f>Superpositioning!$C$22*$B47/1000+Superpositioning!$C$6+Superpositioning!$C$9+Superpositioning!$C$15+Superpositioning!$C$25</f>
        <v>-118.40196785919119</v>
      </c>
      <c r="N47" s="94">
        <f>Superpositioning!$D$22*$B47/1000+Superpositioning!$D$6+Superpositioning!$D$9+Superpositioning!$D$15+Superpositioning!$D$25</f>
        <v>-14.141635101547458</v>
      </c>
      <c r="O47" s="94">
        <f>1/2*Superpositioning!$C$22*(B47/1000)^2+Superpositioning!$C$6*((B47-B$14)/1000)+Superpositioning!$C$15*((B47-B$25)/1000)+Superpositioning!$C$9*((B47-B$31)/1000)+Superpositioning!$C$25*((B47-B$37)/1000)</f>
        <v>-6.3721375217085097E-3</v>
      </c>
      <c r="P47" s="94">
        <f>1/2*Superpositioning!$D$22*(B47/1000)^2+Superpositioning!$D$6*((B47-B$14)/1000)+Superpositioning!$D$15*((B47-B$25)/1000)+Superpositioning!$D$9*((B47-B$31)/1000)+Superpositioning!$D$25*((B47-B$37)/1000)</f>
        <v>-1.1984247677872872E-2</v>
      </c>
      <c r="Q47" s="95">
        <f>'Aileron torsion'!$B$21*$B47/1000+'Aileron torsion'!$B$22+'Aileron torsion'!$B$23</f>
        <v>1.6692344979896134E-2</v>
      </c>
    </row>
    <row r="48" spans="1:17" x14ac:dyDescent="0.2">
      <c r="B48" s="72">
        <f>B47</f>
        <v>2591</v>
      </c>
      <c r="C48" s="44">
        <f>Superpositioning!$C$20*$B48/1000+Superpositioning!$C$4+Superpositioning!$C$7+Superpositioning!$C$10+Superpositioning!$C$13+Superpositioning!$C$23</f>
        <v>0</v>
      </c>
      <c r="D48" s="27">
        <f>Superpositioning!$D$20*$B48/1000+Superpositioning!$D$4+Superpositioning!$D$7+Superpositioning!$D$10+Superpositioning!$D$13+Superpositioning!$D$23</f>
        <v>0.38779999999999859</v>
      </c>
      <c r="E48" s="27">
        <f>1/2*Superpositioning!$C$20*(B48/1000)^2+Superpositioning!$C$4*((B48-B$14)/1000)+Superpositioning!$C$13*((B48-B$25)/1000)+Superpositioning!$C$7*((B48-B$31)/1000)+Superpositioning!$C$23*((B48-B$37)/1000)+Superpositioning!$C$10*((B48-B$48)/1000)</f>
        <v>-1.4210854715202004E-14</v>
      </c>
      <c r="F48" s="27">
        <f>1/2*Superpositioning!$D$20*(B48/1000)^2+Superpositioning!$D$4*((B48-B$14)/1000)+Superpositioning!$D$13*((B48-B$25)/1000)+Superpositioning!$D$7*((B48-B$31)/1000)+Superpositioning!$D$23*((B48-B$25)/1000)+Superpositioning!$D$10*((B48-B$48)/1000)</f>
        <v>-1.3573000000008051E-2</v>
      </c>
      <c r="G48" s="45">
        <f>'Aileron torsion'!$B$11*$B48/1000+'Aileron torsion'!$B$12+'Aileron torsion'!$B$13</f>
        <v>1.890524999999954E-2</v>
      </c>
      <c r="H48" s="44">
        <f>Superpositioning!$C$21*$B48/1000+Superpositioning!$C$5+Superpositioning!$C$8+Superpositioning!$C$11+Superpositioning!$C$14+Superpositioning!$C$24</f>
        <v>-0.18206107204832733</v>
      </c>
      <c r="I48" s="27">
        <f>Superpositioning!$D$21*$B48/1000+Superpositioning!$D$5+Superpositioning!$D$8+Superpositioning!$D$11+Superpositioning!$D$14+Superpositioning!$D$24</f>
        <v>0.34240707651068902</v>
      </c>
      <c r="J48" s="27">
        <f>1/2*Superpositioning!$C$21*(B48/1000)^2+Superpositioning!$C$5*((B48-B$14)/1000)+Superpositioning!$C$14*((B48-B$25)/1000)+Superpositioning!$C$8*((B48-B$31)/1000)+Superpositioning!$C$24*((B48-B$37)/1000)+Superpositioning!$C$11*((B48-B$48)/1000)</f>
        <v>6.3721375217369314E-3</v>
      </c>
      <c r="K48" s="27">
        <f>1/2*Superpositioning!$D$21*(B48/1000)^2+Superpositioning!$D$5*((B48-B$14)/1000)+Superpositioning!$D$14*((B48-B$25)/1000)+Superpositioning!$D$8*((B48-B$31)/1000)+Superpositioning!$D$24*((B48-B$37)/1000)+Superpositioning!$D$11*((B48-B$48)/1000)</f>
        <v>-1.1984247677865767E-2</v>
      </c>
      <c r="L48" s="45">
        <f>'Aileron torsion'!$B$16*$B48/1000+'Aileron torsion'!$B$17+'Aileron torsion'!$B$18</f>
        <v>1.6692344979896134E-2</v>
      </c>
      <c r="M48" s="44">
        <f>Superpositioning!$C$22*$B48/1000+Superpositioning!$C$6+Superpositioning!$C$9+Superpositioning!$C$12+Superpositioning!$C$15+Superpositioning!$C$25</f>
        <v>0.18206107204836997</v>
      </c>
      <c r="N48" s="27">
        <f>Superpositioning!$D$22*$B48/1000+Superpositioning!$D$6+Superpositioning!$D$9+Superpositioning!$D$12+Superpositioning!$D$15+Superpositioning!$D$25</f>
        <v>0.34240707651069613</v>
      </c>
      <c r="O48" s="27">
        <f>1/2*Superpositioning!$C$22*(B48/1000)^2+Superpositioning!$C$6*((B48-B$14)/1000)+Superpositioning!$C$15*((B48-B$25)/1000)+Superpositioning!$C$9*((B48-B$31)/1000)+Superpositioning!$C$25*((B48-B$37)/1000)+Superpositioning!$C$12*((B48-B$48)/1000)</f>
        <v>-6.3721375217085097E-3</v>
      </c>
      <c r="P48" s="27">
        <f>1/2*Superpositioning!$D$22*(B48/1000)^2+Superpositioning!$D$6*((B48-B$14)/1000)+Superpositioning!$D$15*((B48-B$25)/1000)+Superpositioning!$D$9*((B48-B$31)/1000)+Superpositioning!$D$25*((B48-B$37)/1000)+Superpositioning!$D$12*((B48-B$48)/1000)</f>
        <v>-1.1984247677872872E-2</v>
      </c>
      <c r="Q48" s="45">
        <f>'Aileron torsion'!$B$21*$B48/1000+'Aileron torsion'!$B$22+'Aileron torsion'!$B$23</f>
        <v>1.6692344979896134E-2</v>
      </c>
    </row>
    <row r="49" spans="1:17" x14ac:dyDescent="0.2">
      <c r="A49">
        <v>1</v>
      </c>
      <c r="B49" s="72">
        <f>B48+'Aileron shear'!$B$7/5</f>
        <v>2605</v>
      </c>
      <c r="C49" s="44">
        <f>Superpositioning!$C$20*$B49/1000+Superpositioning!$C$4+Superpositioning!$C$7+Superpositioning!$C$10+Superpositioning!$C$13+Superpositioning!$C$23</f>
        <v>0</v>
      </c>
      <c r="D49" s="27">
        <f>Superpositioning!$D$20*$B49/1000+Superpositioning!$D$4+Superpositioning!$D$7+Superpositioning!$D$10+Superpositioning!$D$13+Superpositioning!$D$23</f>
        <v>0.31024000000000029</v>
      </c>
      <c r="E49" s="27">
        <f>1/2*Superpositioning!$C$20*(B49/1000)^2+Superpositioning!$C$4*((B49-B$14)/1000)+Superpositioning!$C$13*((B49-B$25)/1000)+Superpositioning!$C$7*((B49-B$31)/1000)+Superpositioning!$C$23*((B49-B$37)/1000)+Superpositioning!$C$10*((B49-B$48)/1000)</f>
        <v>-5.0515147620444623E-15</v>
      </c>
      <c r="F49" s="27">
        <f>1/2*Superpositioning!$D$20*(B49/1000)^2+Superpositioning!$D$4*((B49-B$14)/1000)+Superpositioning!$D$13*((B49-B$25)/1000)+Superpositioning!$D$7*((B49-B$31)/1000)+Superpositioning!$D$23*((B49-B$25)/1000)+Superpositioning!$D$10*((B49-B$48)/1000)</f>
        <v>-8.6867199999996481E-3</v>
      </c>
      <c r="G49" s="45">
        <f>'Aileron torsion'!$B$11*$B49/1000+'Aileron torsion'!$B$12+'Aileron torsion'!$B$13</f>
        <v>1.5124199999998922E-2</v>
      </c>
      <c r="H49" s="44">
        <f>Superpositioning!$C$21*$B49/1000+Superpositioning!$C$5+Superpositioning!$C$8+Superpositioning!$C$11+Superpositioning!$C$14+Superpositioning!$C$24</f>
        <v>-0.14564885763866187</v>
      </c>
      <c r="I49" s="27">
        <f>Superpositioning!$D$21*$B49/1000+Superpositioning!$D$5+Superpositioning!$D$8+Superpositioning!$D$11+Superpositioning!$D$14+Superpositioning!$D$24</f>
        <v>0.27392566120855122</v>
      </c>
      <c r="J49" s="27">
        <f>1/2*Superpositioning!$C$21*(B49/1000)^2+Superpositioning!$C$5*((B49-B$14)/1000)+Superpositioning!$C$14*((B49-B$25)/1000)+Superpositioning!$C$8*((B49-B$31)/1000)+Superpositioning!$C$24*((B49-B$37)/1000)+Superpositioning!$C$11*((B49-B$48)/1000)</f>
        <v>4.0781680139285736E-3</v>
      </c>
      <c r="K49" s="27">
        <f>1/2*Superpositioning!$D$21*(B49/1000)^2+Superpositioning!$D$5*((B49-B$14)/1000)+Superpositioning!$D$14*((B49-B$25)/1000)+Superpositioning!$D$8*((B49-B$31)/1000)+Superpositioning!$D$24*((B49-B$37)/1000)+Superpositioning!$D$11*((B49-B$48)/1000)</f>
        <v>-7.6699185138345283E-3</v>
      </c>
      <c r="L49" s="45">
        <f>'Aileron torsion'!$B$16*$B49/1000+'Aileron torsion'!$B$17+'Aileron torsion'!$B$18</f>
        <v>1.3353875983916907E-2</v>
      </c>
      <c r="M49" s="44">
        <f>Superpositioning!$C$22*$B49/1000+Superpositioning!$C$6+Superpositioning!$C$9+Superpositioning!$C$12+Superpositioning!$C$15+Superpositioning!$C$25</f>
        <v>0.14564885763869029</v>
      </c>
      <c r="N49" s="27">
        <f>Superpositioning!$D$22*$B49/1000+Superpositioning!$D$6+Superpositioning!$D$9+Superpositioning!$D$12+Superpositioning!$D$15+Superpositioning!$D$25</f>
        <v>0.27392566120855832</v>
      </c>
      <c r="O49" s="27">
        <f>1/2*Superpositioning!$C$22*(B49/1000)^2+Superpositioning!$C$6*((B49-B$14)/1000)+Superpositioning!$C$15*((B49-B$25)/1000)+Superpositioning!$C$9*((B49-B$31)/1000)+Superpositioning!$C$25*((B49-B$37)/1000)+Superpositioning!$C$12*((B49-B$48)/1000)</f>
        <v>-4.0781680138843868E-3</v>
      </c>
      <c r="P49" s="27">
        <f>1/2*Superpositioning!$D$22*(B49/1000)^2+Superpositioning!$D$6*((B49-B$14)/1000)+Superpositioning!$D$15*((B49-B$25)/1000)+Superpositioning!$D$9*((B49-B$31)/1000)+Superpositioning!$D$25*((B49-B$37)/1000)+Superpositioning!$D$12*((B49-B$48)/1000)</f>
        <v>-7.669918513837054E-3</v>
      </c>
      <c r="Q49" s="45">
        <f>'Aileron torsion'!$B$21*$B49/1000+'Aileron torsion'!$B$22+'Aileron torsion'!$B$23</f>
        <v>1.3353875983916907E-2</v>
      </c>
    </row>
    <row r="50" spans="1:17" x14ac:dyDescent="0.2">
      <c r="A50">
        <v>2</v>
      </c>
      <c r="B50" s="72">
        <f>B49+'Aileron shear'!$B$7/5</f>
        <v>2619</v>
      </c>
      <c r="C50" s="44">
        <f>Superpositioning!$C$20*$B50/1000+Superpositioning!$C$4+Superpositioning!$C$7+Superpositioning!$C$10+Superpositioning!$C$13+Superpositioning!$C$23</f>
        <v>0</v>
      </c>
      <c r="D50" s="27">
        <f>Superpositioning!$D$20*$B50/1000+Superpositioning!$D$4+Superpositioning!$D$7+Superpositioning!$D$10+Superpositioning!$D$13+Superpositioning!$D$23</f>
        <v>0.232680000000002</v>
      </c>
      <c r="E50" s="27">
        <f>1/2*Superpositioning!$C$20*(B50/1000)^2+Superpositioning!$C$4*((B50-B$14)/1000)+Superpositioning!$C$13*((B50-B$25)/1000)+Superpositioning!$C$7*((B50-B$31)/1000)+Superpositioning!$C$23*((B50-B$37)/1000)+Superpositioning!$C$10*((B50-B$48)/1000)</f>
        <v>4.1078251911130792E-15</v>
      </c>
      <c r="F50" s="27">
        <f>1/2*Superpositioning!$D$20*(B50/1000)^2+Superpositioning!$D$4*((B50-B$14)/1000)+Superpositioning!$D$13*((B50-B$25)/1000)+Superpositioning!$D$7*((B50-B$31)/1000)+Superpositioning!$D$23*((B50-B$25)/1000)+Superpositioning!$D$10*((B50-B$48)/1000)</f>
        <v>-4.8862800000072371E-3</v>
      </c>
      <c r="G50" s="45">
        <f>'Aileron torsion'!$B$11*$B50/1000+'Aileron torsion'!$B$12+'Aileron torsion'!$B$13</f>
        <v>1.134315000000008E-2</v>
      </c>
      <c r="H50" s="44">
        <f>Superpositioning!$C$21*$B50/1000+Superpositioning!$C$5+Superpositioning!$C$8+Superpositioning!$C$11+Superpositioning!$C$14+Superpositioning!$C$24</f>
        <v>-0.1092366432289964</v>
      </c>
      <c r="I50" s="27">
        <f>Superpositioning!$D$21*$B50/1000+Superpositioning!$D$5+Superpositioning!$D$8+Superpositioning!$D$11+Superpositioning!$D$14+Superpositioning!$D$24</f>
        <v>0.20544424590641341</v>
      </c>
      <c r="J50" s="27">
        <f>1/2*Superpositioning!$C$21*(B50/1000)^2+Superpositioning!$C$5*((B50-B$14)/1000)+Superpositioning!$C$14*((B50-B$25)/1000)+Superpositioning!$C$8*((B50-B$31)/1000)+Superpositioning!$C$24*((B50-B$37)/1000)+Superpositioning!$C$11*((B50-B$48)/1000)</f>
        <v>2.2939695078512123E-3</v>
      </c>
      <c r="K50" s="27">
        <f>1/2*Superpositioning!$D$21*(B50/1000)^2+Superpositioning!$D$5*((B50-B$14)/1000)+Superpositioning!$D$14*((B50-B$25)/1000)+Superpositioning!$D$8*((B50-B$31)/1000)+Superpositioning!$D$24*((B50-B$37)/1000)+Superpositioning!$D$11*((B50-B$48)/1000)</f>
        <v>-4.3143291640334036E-3</v>
      </c>
      <c r="L50" s="45">
        <f>'Aileron torsion'!$B$16*$B50/1000+'Aileron torsion'!$B$17+'Aileron torsion'!$B$18</f>
        <v>1.0015406987937681E-2</v>
      </c>
      <c r="M50" s="44">
        <f>Superpositioning!$C$22*$B50/1000+Superpositioning!$C$6+Superpositioning!$C$9+Superpositioning!$C$12+Superpositioning!$C$15+Superpositioning!$C$25</f>
        <v>0.10923664322902482</v>
      </c>
      <c r="N50" s="27">
        <f>Superpositioning!$D$22*$B50/1000+Superpositioning!$D$6+Superpositioning!$D$9+Superpositioning!$D$12+Superpositioning!$D$15+Superpositioning!$D$25</f>
        <v>0.20544424590642052</v>
      </c>
      <c r="O50" s="27">
        <f>1/2*Superpositioning!$C$22*(B50/1000)^2+Superpositioning!$C$6*((B50-B$14)/1000)+Superpositioning!$C$15*((B50-B$25)/1000)+Superpositioning!$C$9*((B50-B$31)/1000)+Superpositioning!$C$25*((B50-B$37)/1000)+Superpositioning!$C$12*((B50-B$48)/1000)</f>
        <v>-2.2939695077628386E-3</v>
      </c>
      <c r="P50" s="27">
        <f>1/2*Superpositioning!$D$22*(B50/1000)^2+Superpositioning!$D$6*((B50-B$14)/1000)+Superpositioning!$D$15*((B50-B$25)/1000)+Superpositioning!$D$9*((B50-B$31)/1000)+Superpositioning!$D$25*((B50-B$37)/1000)+Superpositioning!$D$12*((B50-B$48)/1000)</f>
        <v>-4.3143291640384551E-3</v>
      </c>
      <c r="Q50" s="45">
        <f>'Aileron torsion'!$B$21*$B50/1000+'Aileron torsion'!$B$22+'Aileron torsion'!$B$23</f>
        <v>1.0015406987937681E-2</v>
      </c>
    </row>
    <row r="51" spans="1:17" x14ac:dyDescent="0.2">
      <c r="A51">
        <v>3</v>
      </c>
      <c r="B51" s="72">
        <f>B50+'Aileron shear'!$B$7/5</f>
        <v>2633</v>
      </c>
      <c r="C51" s="44">
        <f>Superpositioning!$C$20*$B51/1000+Superpositioning!$C$4+Superpositioning!$C$7+Superpositioning!$C$10+Superpositioning!$C$13+Superpositioning!$C$23</f>
        <v>0</v>
      </c>
      <c r="D51" s="27">
        <f>Superpositioning!$D$20*$B51/1000+Superpositioning!$D$4+Superpositioning!$D$7+Superpositioning!$D$10+Superpositioning!$D$13+Superpositioning!$D$23</f>
        <v>0.15512000000000015</v>
      </c>
      <c r="E51" s="27">
        <f>1/2*Superpositioning!$C$20*(B51/1000)^2+Superpositioning!$C$4*((B51-B$14)/1000)+Superpositioning!$C$13*((B51-B$25)/1000)+Superpositioning!$C$7*((B51-B$31)/1000)+Superpositioning!$C$23*((B51-B$37)/1000)+Superpositioning!$C$10*((B51-B$48)/1000)</f>
        <v>1.3267165144270621E-14</v>
      </c>
      <c r="F51" s="27">
        <f>1/2*Superpositioning!$D$20*(B51/1000)^2+Superpositioning!$D$4*((B51-B$14)/1000)+Superpositioning!$D$13*((B51-B$25)/1000)+Superpositioning!$D$7*((B51-B$31)/1000)+Superpositioning!$D$23*((B51-B$25)/1000)+Superpositioning!$D$10*((B51-B$48)/1000)</f>
        <v>-2.1716800000023406E-3</v>
      </c>
      <c r="G51" s="45">
        <f>'Aileron torsion'!$B$11*$B51/1000+'Aileron torsion'!$B$12+'Aileron torsion'!$B$13</f>
        <v>7.5620999999994609E-3</v>
      </c>
      <c r="H51" s="44">
        <f>Superpositioning!$C$21*$B51/1000+Superpositioning!$C$5+Superpositioning!$C$8+Superpositioning!$C$11+Superpositioning!$C$14+Superpositioning!$C$24</f>
        <v>-7.2824428819330933E-2</v>
      </c>
      <c r="I51" s="27">
        <f>Superpositioning!$D$21*$B51/1000+Superpositioning!$D$5+Superpositioning!$D$8+Superpositioning!$D$11+Superpositioning!$D$14+Superpositioning!$D$24</f>
        <v>0.13696283060427561</v>
      </c>
      <c r="J51" s="27">
        <f>1/2*Superpositioning!$C$21*(B51/1000)^2+Superpositioning!$C$5*((B51-B$14)/1000)+Superpositioning!$C$14*((B51-B$25)/1000)+Superpositioning!$C$8*((B51-B$31)/1000)+Superpositioning!$C$24*((B51-B$37)/1000)+Superpositioning!$C$11*((B51-B$48)/1000)</f>
        <v>1.019542003547258E-3</v>
      </c>
      <c r="K51" s="27">
        <f>1/2*Superpositioning!$D$21*(B51/1000)^2+Superpositioning!$D$5*((B51-B$14)/1000)+Superpositioning!$D$14*((B51-B$25)/1000)+Superpositioning!$D$8*((B51-B$31)/1000)+Superpositioning!$D$24*((B51-B$37)/1000)+Superpositioning!$D$11*((B51-B$48)/1000)</f>
        <v>-1.917479628455121E-3</v>
      </c>
      <c r="L51" s="45">
        <f>'Aileron torsion'!$B$16*$B51/1000+'Aileron torsion'!$B$17+'Aileron torsion'!$B$18</f>
        <v>6.6769379919584537E-3</v>
      </c>
      <c r="M51" s="44">
        <f>Superpositioning!$C$22*$B51/1000+Superpositioning!$C$6+Superpositioning!$C$9+Superpositioning!$C$12+Superpositioning!$C$15+Superpositioning!$C$25</f>
        <v>7.2824428819345144E-2</v>
      </c>
      <c r="N51" s="27">
        <f>Superpositioning!$D$22*$B51/1000+Superpositioning!$D$6+Superpositioning!$D$9+Superpositioning!$D$12+Superpositioning!$D$15+Superpositioning!$D$25</f>
        <v>0.13696283060428271</v>
      </c>
      <c r="O51" s="27">
        <f>1/2*Superpositioning!$C$22*(B51/1000)^2+Superpositioning!$C$6*((B51-B$14)/1000)+Superpositioning!$C$15*((B51-B$25)/1000)+Superpositioning!$C$9*((B51-B$31)/1000)+Superpositioning!$C$25*((B51-B$37)/1000)+Superpositioning!$C$12*((B51-B$48)/1000)</f>
        <v>-1.0195420034992964E-3</v>
      </c>
      <c r="P51" s="27">
        <f>1/2*Superpositioning!$D$22*(B51/1000)^2+Superpositioning!$D$6*((B51-B$14)/1000)+Superpositioning!$D$15*((B51-B$25)/1000)+Superpositioning!$D$9*((B51-B$31)/1000)+Superpositioning!$D$25*((B51-B$37)/1000)+Superpositioning!$D$12*((B51-B$48)/1000)</f>
        <v>-1.9174796284627815E-3</v>
      </c>
      <c r="Q51" s="45">
        <f>'Aileron torsion'!$B$21*$B51/1000+'Aileron torsion'!$B$22+'Aileron torsion'!$B$23</f>
        <v>6.6769379919584537E-3</v>
      </c>
    </row>
    <row r="52" spans="1:17" x14ac:dyDescent="0.2">
      <c r="A52">
        <v>4</v>
      </c>
      <c r="B52" s="72">
        <f>B51+'Aileron shear'!$B$7/5</f>
        <v>2647</v>
      </c>
      <c r="C52" s="44">
        <f>Superpositioning!$C$20*$B52/1000+Superpositioning!$C$4+Superpositioning!$C$7+Superpositioning!$C$10+Superpositioning!$C$13+Superpositioning!$C$23</f>
        <v>0</v>
      </c>
      <c r="D52" s="27">
        <f>Superpositioning!$D$20*$B52/1000+Superpositioning!$D$4+Superpositioning!$D$7+Superpositioning!$D$10+Superpositioning!$D$13+Superpositioning!$D$23</f>
        <v>7.7559999999998297E-2</v>
      </c>
      <c r="E52" s="27">
        <f>1/2*Superpositioning!$C$20*(B52/1000)^2+Superpositioning!$C$4*((B52-B$14)/1000)+Superpositioning!$C$13*((B52-B$25)/1000)+Superpositioning!$C$7*((B52-B$31)/1000)+Superpositioning!$C$23*((B52-B$37)/1000)+Superpositioning!$C$10*((B52-B$48)/1000)</f>
        <v>2.2426505097428162E-14</v>
      </c>
      <c r="F52" s="27">
        <f>1/2*Superpositioning!$D$20*(B52/1000)^2+Superpositioning!$D$4*((B52-B$14)/1000)+Superpositioning!$D$13*((B52-B$25)/1000)+Superpositioning!$D$7*((B52-B$31)/1000)+Superpositioning!$D$23*((B52-B$25)/1000)+Superpositioning!$D$10*((B52-B$48)/1000)</f>
        <v>-5.4291999999933616E-4</v>
      </c>
      <c r="G52" s="45">
        <f>'Aileron torsion'!$B$11*$B52/1000+'Aileron torsion'!$B$12+'Aileron torsion'!$B$13</f>
        <v>3.7810500000006186E-3</v>
      </c>
      <c r="H52" s="44">
        <f>Superpositioning!$C$21*$B52/1000+Superpositioning!$C$5+Superpositioning!$C$8+Superpositioning!$C$11+Superpositioning!$C$14+Superpositioning!$C$24</f>
        <v>-3.6412214409637045E-2</v>
      </c>
      <c r="I52" s="27">
        <f>Superpositioning!$D$21*$B52/1000+Superpositioning!$D$5+Superpositioning!$D$8+Superpositioning!$D$11+Superpositioning!$D$14+Superpositioning!$D$24</f>
        <v>6.8481415302137805E-2</v>
      </c>
      <c r="J52" s="27">
        <f>1/2*Superpositioning!$C$21*(B52/1000)^2+Superpositioning!$C$5*((B52-B$14)/1000)+Superpositioning!$C$14*((B52-B$25)/1000)+Superpositioning!$C$8*((B52-B$31)/1000)+Superpositioning!$C$24*((B52-B$37)/1000)+Superpositioning!$C$11*((B52-B$48)/1000)</f>
        <v>2.5488550094632245E-4</v>
      </c>
      <c r="K52" s="27">
        <f>1/2*Superpositioning!$D$21*(B52/1000)^2+Superpositioning!$D$5*((B52-B$14)/1000)+Superpositioning!$D$14*((B52-B$25)/1000)+Superpositioning!$D$8*((B52-B$31)/1000)+Superpositioning!$D$24*((B52-B$37)/1000)+Superpositioning!$D$11*((B52-B$48)/1000)</f>
        <v>-4.7936990709307459E-4</v>
      </c>
      <c r="L52" s="45">
        <f>'Aileron torsion'!$B$16*$B52/1000+'Aileron torsion'!$B$17+'Aileron torsion'!$B$18</f>
        <v>3.3384689959792269E-3</v>
      </c>
      <c r="M52" s="44">
        <f>Superpositioning!$C$22*$B52/1000+Superpositioning!$C$6+Superpositioning!$C$9+Superpositioning!$C$12+Superpositioning!$C$15+Superpositioning!$C$25</f>
        <v>3.6412214409679677E-2</v>
      </c>
      <c r="N52" s="27">
        <f>Superpositioning!$D$22*$B52/1000+Superpositioning!$D$6+Superpositioning!$D$9+Superpositioning!$D$12+Superpositioning!$D$15+Superpositioning!$D$25</f>
        <v>6.848141530214491E-2</v>
      </c>
      <c r="O52" s="27">
        <f>1/2*Superpositioning!$C$22*(B52/1000)^2+Superpositioning!$C$6*((B52-B$14)/1000)+Superpositioning!$C$15*((B52-B$25)/1000)+Superpositioning!$C$9*((B52-B$31)/1000)+Superpositioning!$C$25*((B52-B$37)/1000)+Superpositioning!$C$12*((B52-B$48)/1000)</f>
        <v>-2.5488550082641837E-4</v>
      </c>
      <c r="P52" s="27">
        <f>1/2*Superpositioning!$D$22*(B52/1000)^2+Superpositioning!$D$6*((B52-B$14)/1000)+Superpositioning!$D$15*((B52-B$25)/1000)+Superpositioning!$D$9*((B52-B$31)/1000)+Superpositioning!$D$25*((B52-B$37)/1000)+Superpositioning!$D$12*((B52-B$48)/1000)</f>
        <v>-4.7936990713159933E-4</v>
      </c>
      <c r="Q52" s="45">
        <f>'Aileron torsion'!$B$21*$B52/1000+'Aileron torsion'!$B$22+'Aileron torsion'!$B$23</f>
        <v>3.3384689959792269E-3</v>
      </c>
    </row>
    <row r="53" spans="1:17" ht="17" thickBot="1" x14ac:dyDescent="0.25">
      <c r="A53">
        <v>5</v>
      </c>
      <c r="B53" s="73">
        <f>B52+'Aileron shear'!$B$7/5</f>
        <v>2661</v>
      </c>
      <c r="C53" s="46">
        <f>Superpositioning!$C$20*$B53/1000+Superpositioning!$C$4+Superpositioning!$C$7+Superpositioning!$C$10+Superpositioning!$C$13+Superpositioning!$C$23</f>
        <v>0</v>
      </c>
      <c r="D53" s="47">
        <f>Superpositioning!$D$20*$B53/1000+Superpositioning!$D$4+Superpositioning!$D$7+Superpositioning!$D$10+Superpositioning!$D$13+Superpositioning!$D$23</f>
        <v>0</v>
      </c>
      <c r="E53" s="47">
        <f>1/2*Superpositioning!$C$20*(B53/1000)^2+Superpositioning!$C$4*((B53-B$14)/1000)+Superpositioning!$C$13*((B53-B$25)/1000)+Superpositioning!$C$7*((B53-B$31)/1000)+Superpositioning!$C$23*((B53-B$37)/1000)+Superpositioning!$C$10*((B53-B$48)/1000)</f>
        <v>3.1641356201816961E-14</v>
      </c>
      <c r="F53" s="47">
        <f>1/2*Superpositioning!$D$20*(B53/1000)^2+Superpositioning!$D$4*((B53-B$14)/1000)+Superpositioning!$D$13*((B53-B$25)/1000)+Superpositioning!$D$7*((B53-B$31)/1000)+Superpositioning!$D$23*((B53-B$25)/1000)+Superpositioning!$D$10*((B53-B$48)/1000)</f>
        <v>-1.1990408665951691E-14</v>
      </c>
      <c r="G53" s="48">
        <f>'Aileron torsion'!$B$11*$B53/1000+'Aileron torsion'!$B$12+'Aileron torsion'!$B$13</f>
        <v>0</v>
      </c>
      <c r="H53" s="46">
        <f>Superpositioning!$C$21*$B53/1000+Superpositioning!$C$5+Superpositioning!$C$8+Superpositioning!$C$11+Superpositioning!$C$14+Superpositioning!$C$24</f>
        <v>0</v>
      </c>
      <c r="I53" s="47">
        <f>Superpositioning!$D$21*$B53/1000+Superpositioning!$D$5+Superpositioning!$D$8+Superpositioning!$D$11+Superpositioning!$D$14+Superpositioning!$D$24</f>
        <v>0</v>
      </c>
      <c r="J53" s="47">
        <f>1/2*Superpositioning!$C$21*(B53/1000)^2+Superpositioning!$C$5*((B53-B$14)/1000)+Superpositioning!$C$14*((B53-B$25)/1000)+Superpositioning!$C$8*((B53-B$31)/1000)+Superpositioning!$C$24*((B53-B$37)/1000)+Superpositioning!$C$11*((B53-B$48)/1000)</f>
        <v>3.3750779948604759E-14</v>
      </c>
      <c r="K53" s="47">
        <f>1/2*Superpositioning!$D$21*(B53/1000)^2+Superpositioning!$D$5*((B53-B$14)/1000)+Superpositioning!$D$14*((B53-B$25)/1000)+Superpositioning!$D$8*((B53-B$31)/1000)+Superpositioning!$D$24*((B53-B$37)/1000)+Superpositioning!$D$11*((B53-B$48)/1000)</f>
        <v>1.7985612998927536E-14</v>
      </c>
      <c r="L53" s="48">
        <f>'Aileron torsion'!$B$16*$B53/1000+'Aileron torsion'!$B$17+'Aileron torsion'!$B$18</f>
        <v>0</v>
      </c>
      <c r="M53" s="46">
        <f>Superpositioning!$C$22*$B53/1000+Superpositioning!$C$6+Superpositioning!$C$9+Superpositioning!$C$12+Superpositioning!$C$15+Superpositioning!$C$25</f>
        <v>0</v>
      </c>
      <c r="N53" s="47">
        <f>Superpositioning!$D$22*$B53/1000+Superpositioning!$D$6+Superpositioning!$D$9+Superpositioning!$D$12+Superpositioning!$D$15+Superpositioning!$D$25</f>
        <v>0</v>
      </c>
      <c r="O53" s="47">
        <f>1/2*Superpositioning!$C$22*(B53/1000)^2+Superpositioning!$C$6*((B53-B$14)/1000)+Superpositioning!$C$15*((B53-B$25)/1000)+Superpositioning!$C$9*((B53-B$31)/1000)+Superpositioning!$C$25*((B53-B$37)/1000)+Superpositioning!$C$12*((B53-B$48)/1000)</f>
        <v>7.460698725481052E-14</v>
      </c>
      <c r="P53" s="47">
        <f>1/2*Superpositioning!$D$22*(B53/1000)^2+Superpositioning!$D$6*((B53-B$14)/1000)+Superpositioning!$D$15*((B53-B$25)/1000)+Superpositioning!$D$9*((B53-B$31)/1000)+Superpositioning!$D$25*((B53-B$37)/1000)+Superpositioning!$D$12*((B53-B$48)/1000)</f>
        <v>-1.6209256159527285E-14</v>
      </c>
      <c r="Q53" s="48">
        <f>'Aileron torsion'!$B$21*$B53/1000+'Aileron torsion'!$B$22+'Aileron torsion'!$B$23</f>
        <v>0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Input</vt:lpstr>
      <vt:lpstr>Cross-sectional properties</vt:lpstr>
      <vt:lpstr>Aileron shear</vt:lpstr>
      <vt:lpstr>Aileron torsion</vt:lpstr>
      <vt:lpstr>Superpositioning</vt:lpstr>
      <vt:lpstr>Internal Force Diagrams</vt:lpstr>
      <vt:lpstr>V_z</vt:lpstr>
      <vt:lpstr>V_y</vt:lpstr>
      <vt:lpstr>M_z</vt:lpstr>
      <vt:lpstr>M_y</vt:lpstr>
      <vt:lpstr>Torsion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2019-02-12T07:44:05Z</dcterms:created>
  <dcterms:modified xsi:type="dcterms:W3CDTF">2019-02-28T18:50:35Z</dcterms:modified>
</cp:coreProperties>
</file>