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tables/table1.xml" ContentType="application/vnd.openxmlformats-officedocument.spreadsheetml.table+xml"/>
  <Override PartName="/xl/drawings/drawing12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9"/>
  <workbookPr/>
  <mc:AlternateContent xmlns:mc="http://schemas.openxmlformats.org/markup-compatibility/2006">
    <mc:Choice Requires="x15">
      <x15ac:absPath xmlns:x15ac="http://schemas.microsoft.com/office/spreadsheetml/2010/11/ac" url="https://calvincollege-my.sharepoint.com/personal/chr4_calvin_edu/Documents/"/>
    </mc:Choice>
  </mc:AlternateContent>
  <xr:revisionPtr revIDLastSave="0" documentId="8_{8A5D233B-BE0C-41F1-B3A5-17FEBBB7F1BC}" xr6:coauthVersionLast="47" xr6:coauthVersionMax="47" xr10:uidLastSave="{00000000-0000-0000-0000-000000000000}"/>
  <bookViews>
    <workbookView xWindow="0" yWindow="760" windowWidth="29400" windowHeight="17160" firstSheet="12" activeTab="12" xr2:uid="{93606AAB-A759-475B-8DA0-6A08082D45B3}"/>
  </bookViews>
  <sheets>
    <sheet name="11-5-24 floreadastats" sheetId="1" r:id="rId1"/>
    <sheet name="11-5-24 FSC-SSC images " sheetId="3" r:id="rId2"/>
    <sheet name="11-5-24 SSC-CD25 images" sheetId="4" r:id="rId3"/>
    <sheet name="11-14-24 floreadastats" sheetId="5" r:id="rId4"/>
    <sheet name="11-14-24 floreadastats(swapped)" sheetId="10" r:id="rId5"/>
    <sheet name="11-14-24 FSC-SSC images" sheetId="6" r:id="rId6"/>
    <sheet name="11-14-24 FSC-CD25 images" sheetId="7" r:id="rId7"/>
    <sheet name="11-19-24floreadastats" sheetId="9" r:id="rId8"/>
    <sheet name="11-19-24-FSC-SSC-images" sheetId="11" r:id="rId9"/>
    <sheet name="11-19-24-FSC-CD25-images" sheetId="12" r:id="rId10"/>
    <sheet name="Combined-Data" sheetId="13" r:id="rId11"/>
    <sheet name="Trials-significance-test" sheetId="14" r:id="rId12"/>
    <sheet name="Trials-Graphs" sheetId="15" r:id="rId13"/>
  </sheets>
  <calcPr calcId="191028" calcCompleted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5" i="14" l="1"/>
  <c r="S35" i="14"/>
  <c r="R35" i="14"/>
  <c r="Q35" i="14"/>
  <c r="P35" i="14"/>
  <c r="T34" i="14"/>
  <c r="S34" i="14"/>
  <c r="R34" i="14"/>
  <c r="Q34" i="14"/>
  <c r="P34" i="14"/>
  <c r="T33" i="14"/>
  <c r="S33" i="14"/>
  <c r="R33" i="14"/>
  <c r="Q33" i="14"/>
  <c r="P33" i="14"/>
  <c r="T32" i="14"/>
  <c r="S32" i="14"/>
  <c r="R32" i="14"/>
  <c r="Q32" i="14"/>
  <c r="P32" i="14"/>
  <c r="T31" i="14"/>
  <c r="S31" i="14"/>
  <c r="R31" i="14"/>
  <c r="Q31" i="14"/>
  <c r="P31" i="14"/>
  <c r="T23" i="14"/>
  <c r="S23" i="14"/>
  <c r="R23" i="14"/>
  <c r="Q23" i="14"/>
  <c r="P23" i="14"/>
  <c r="T22" i="14"/>
  <c r="S22" i="14"/>
  <c r="R22" i="14"/>
  <c r="Q22" i="14"/>
  <c r="P22" i="14"/>
  <c r="T21" i="14"/>
  <c r="S21" i="14"/>
  <c r="R21" i="14"/>
  <c r="Q21" i="14"/>
  <c r="P21" i="14"/>
  <c r="T20" i="14"/>
  <c r="S20" i="14"/>
  <c r="R20" i="14"/>
  <c r="Q20" i="14"/>
  <c r="P20" i="14"/>
  <c r="T19" i="14"/>
  <c r="S19" i="14"/>
  <c r="R19" i="14"/>
  <c r="Q19" i="14"/>
  <c r="P19" i="14"/>
  <c r="Q7" i="14"/>
  <c r="R7" i="14"/>
  <c r="S7" i="14"/>
  <c r="T7" i="14"/>
  <c r="Q8" i="14"/>
  <c r="R8" i="14"/>
  <c r="S8" i="14"/>
  <c r="T8" i="14"/>
  <c r="Q9" i="14"/>
  <c r="R9" i="14"/>
  <c r="S9" i="14"/>
  <c r="T9" i="14"/>
  <c r="Q10" i="14"/>
  <c r="R10" i="14"/>
  <c r="S10" i="14"/>
  <c r="T10" i="14"/>
  <c r="Q11" i="14"/>
  <c r="R11" i="14"/>
  <c r="S11" i="14"/>
  <c r="T11" i="14"/>
  <c r="P11" i="14"/>
  <c r="P10" i="14"/>
  <c r="P9" i="14"/>
  <c r="P8" i="14"/>
  <c r="P7" i="14"/>
  <c r="M35" i="14"/>
  <c r="L35" i="14"/>
  <c r="K35" i="14"/>
  <c r="J35" i="14"/>
  <c r="I35" i="14"/>
  <c r="M34" i="14"/>
  <c r="L34" i="14"/>
  <c r="K34" i="14"/>
  <c r="J34" i="14"/>
  <c r="I34" i="14"/>
  <c r="M33" i="14"/>
  <c r="L33" i="14"/>
  <c r="K33" i="14"/>
  <c r="J33" i="14"/>
  <c r="I33" i="14"/>
  <c r="M32" i="14"/>
  <c r="L32" i="14"/>
  <c r="K32" i="14"/>
  <c r="J32" i="14"/>
  <c r="I32" i="14"/>
  <c r="M31" i="14"/>
  <c r="L31" i="14"/>
  <c r="K31" i="14"/>
  <c r="J31" i="14"/>
  <c r="I31" i="14"/>
  <c r="M23" i="14"/>
  <c r="L23" i="14"/>
  <c r="K23" i="14"/>
  <c r="J23" i="14"/>
  <c r="I23" i="14"/>
  <c r="M22" i="14"/>
  <c r="L22" i="14"/>
  <c r="K22" i="14"/>
  <c r="J22" i="14"/>
  <c r="I22" i="14"/>
  <c r="M21" i="14"/>
  <c r="L21" i="14"/>
  <c r="K21" i="14"/>
  <c r="J21" i="14"/>
  <c r="I21" i="14"/>
  <c r="M20" i="14"/>
  <c r="L20" i="14"/>
  <c r="K20" i="14"/>
  <c r="J20" i="14"/>
  <c r="I20" i="14"/>
  <c r="M19" i="14"/>
  <c r="L19" i="14"/>
  <c r="K19" i="14"/>
  <c r="J19" i="14"/>
  <c r="I19" i="14"/>
  <c r="J7" i="14"/>
  <c r="K7" i="14"/>
  <c r="L7" i="14"/>
  <c r="M7" i="14"/>
  <c r="J8" i="14"/>
  <c r="K8" i="14"/>
  <c r="L8" i="14"/>
  <c r="M8" i="14"/>
  <c r="J9" i="14"/>
  <c r="K9" i="14"/>
  <c r="L9" i="14"/>
  <c r="M9" i="14"/>
  <c r="J10" i="14"/>
  <c r="K10" i="14"/>
  <c r="L10" i="14"/>
  <c r="M10" i="14"/>
  <c r="J11" i="14"/>
  <c r="K11" i="14"/>
  <c r="L11" i="14"/>
  <c r="M11" i="14"/>
  <c r="I10" i="14"/>
  <c r="I9" i="14"/>
  <c r="I8" i="14"/>
  <c r="I7" i="14"/>
  <c r="I11" i="14"/>
  <c r="Q26" i="14" a="1"/>
  <c r="Q26" i="14"/>
  <c r="R26" i="14" a="1"/>
  <c r="R26" i="14"/>
  <c r="S26" i="14" a="1"/>
  <c r="S26" i="14"/>
  <c r="T26" i="14" a="1"/>
  <c r="T26" i="14"/>
  <c r="Q27" i="14" a="1"/>
  <c r="Q27" i="14"/>
  <c r="R27" i="14" a="1"/>
  <c r="R27" i="14"/>
  <c r="S27" i="14" a="1"/>
  <c r="S27" i="14"/>
  <c r="T27" i="14" a="1"/>
  <c r="T27" i="14"/>
  <c r="Q28" i="14" a="1"/>
  <c r="Q28" i="14"/>
  <c r="R28" i="14" a="1"/>
  <c r="R28" i="14"/>
  <c r="S28" i="14" a="1"/>
  <c r="S28" i="14"/>
  <c r="T28" i="14" a="1"/>
  <c r="T28" i="14"/>
  <c r="P27" i="14" a="1"/>
  <c r="P27" i="14"/>
  <c r="P28" i="14" a="1"/>
  <c r="P28" i="14"/>
  <c r="P26" i="14" a="1"/>
  <c r="P26" i="14"/>
  <c r="J26" i="14" a="1"/>
  <c r="J26" i="14"/>
  <c r="K26" i="14" a="1"/>
  <c r="K26" i="14"/>
  <c r="L26" i="14" a="1"/>
  <c r="L26" i="14"/>
  <c r="M26" i="14" a="1"/>
  <c r="M26" i="14"/>
  <c r="J27" i="14" a="1"/>
  <c r="J27" i="14"/>
  <c r="K27" i="14" a="1"/>
  <c r="K27" i="14"/>
  <c r="L27" i="14" a="1"/>
  <c r="L27" i="14"/>
  <c r="M27" i="14" a="1"/>
  <c r="M27" i="14"/>
  <c r="J28" i="14" a="1"/>
  <c r="J28" i="14"/>
  <c r="K28" i="14" a="1"/>
  <c r="K28" i="14"/>
  <c r="L28" i="14" a="1"/>
  <c r="L28" i="14"/>
  <c r="M28" i="14" a="1"/>
  <c r="M28" i="14"/>
  <c r="I27" i="14" a="1"/>
  <c r="I27" i="14"/>
  <c r="I28" i="14" a="1"/>
  <c r="I28" i="14"/>
  <c r="I26" i="14" a="1"/>
  <c r="I26" i="14"/>
  <c r="Q14" i="14" a="1"/>
  <c r="Q14" i="14"/>
  <c r="R14" i="14" a="1"/>
  <c r="R14" i="14"/>
  <c r="S14" i="14" a="1"/>
  <c r="S14" i="14"/>
  <c r="T14" i="14" a="1"/>
  <c r="T14" i="14"/>
  <c r="Q15" i="14" a="1"/>
  <c r="Q15" i="14"/>
  <c r="R15" i="14" a="1"/>
  <c r="R15" i="14"/>
  <c r="S15" i="14" a="1"/>
  <c r="S15" i="14"/>
  <c r="T15" i="14" a="1"/>
  <c r="T15" i="14"/>
  <c r="Q16" i="14" a="1"/>
  <c r="Q16" i="14"/>
  <c r="R16" i="14" a="1"/>
  <c r="R16" i="14"/>
  <c r="S16" i="14" a="1"/>
  <c r="S16" i="14"/>
  <c r="T16" i="14" a="1"/>
  <c r="T16" i="14"/>
  <c r="P15" i="14" a="1"/>
  <c r="P15" i="14"/>
  <c r="P16" i="14" a="1"/>
  <c r="P16" i="14"/>
  <c r="P14" i="14" a="1"/>
  <c r="P14" i="14"/>
  <c r="J14" i="14" a="1"/>
  <c r="J14" i="14"/>
  <c r="K14" i="14" a="1"/>
  <c r="K14" i="14"/>
  <c r="L14" i="14" a="1"/>
  <c r="L14" i="14"/>
  <c r="M14" i="14" a="1"/>
  <c r="M14" i="14"/>
  <c r="J15" i="14" a="1"/>
  <c r="J15" i="14"/>
  <c r="K15" i="14" a="1"/>
  <c r="K15" i="14"/>
  <c r="L15" i="14" a="1"/>
  <c r="L15" i="14"/>
  <c r="M15" i="14" a="1"/>
  <c r="M15" i="14"/>
  <c r="J16" i="14" a="1"/>
  <c r="J16" i="14"/>
  <c r="K16" i="14" a="1"/>
  <c r="K16" i="14"/>
  <c r="L16" i="14" a="1"/>
  <c r="L16" i="14"/>
  <c r="M16" i="14" a="1"/>
  <c r="M16" i="14"/>
  <c r="I15" i="14" a="1"/>
  <c r="I15" i="14"/>
  <c r="I16" i="14" a="1"/>
  <c r="I16" i="14"/>
  <c r="I14" i="14" a="1"/>
  <c r="I14" i="14"/>
  <c r="Q2" i="14" a="1"/>
  <c r="Q2" i="14"/>
  <c r="R2" i="14" a="1"/>
  <c r="R2" i="14"/>
  <c r="S2" i="14" a="1"/>
  <c r="S2" i="14"/>
  <c r="T2" i="14" a="1"/>
  <c r="T2" i="14"/>
  <c r="Q3" i="14" a="1"/>
  <c r="Q3" i="14"/>
  <c r="R3" i="14" a="1"/>
  <c r="R3" i="14"/>
  <c r="S3" i="14" a="1"/>
  <c r="S3" i="14"/>
  <c r="T3" i="14" a="1"/>
  <c r="T3" i="14"/>
  <c r="Q4" i="14" a="1"/>
  <c r="Q4" i="14"/>
  <c r="R4" i="14" a="1"/>
  <c r="R4" i="14"/>
  <c r="S4" i="14" a="1"/>
  <c r="S4" i="14"/>
  <c r="T4" i="14" a="1"/>
  <c r="T4" i="14"/>
  <c r="P3" i="14" a="1"/>
  <c r="P3" i="14"/>
  <c r="P4" i="14" a="1"/>
  <c r="P4" i="14"/>
  <c r="P2" i="14" a="1"/>
  <c r="P2" i="14"/>
  <c r="J2" i="14" a="1"/>
  <c r="J2" i="14"/>
  <c r="K2" i="14" a="1"/>
  <c r="K2" i="14"/>
  <c r="L2" i="14" a="1"/>
  <c r="L2" i="14"/>
  <c r="M2" i="14" a="1"/>
  <c r="M2" i="14"/>
  <c r="J3" i="14" a="1"/>
  <c r="J3" i="14"/>
  <c r="K3" i="14" a="1"/>
  <c r="K3" i="14"/>
  <c r="L3" i="14" a="1"/>
  <c r="L3" i="14"/>
  <c r="M3" i="14" a="1"/>
  <c r="M3" i="14"/>
  <c r="J4" i="14" a="1"/>
  <c r="J4" i="14"/>
  <c r="K4" i="14" a="1"/>
  <c r="K4" i="14"/>
  <c r="L4" i="14" a="1"/>
  <c r="L4" i="14"/>
  <c r="M4" i="14" a="1"/>
  <c r="M4" i="14"/>
  <c r="I3" i="14" a="1"/>
  <c r="I3" i="14"/>
  <c r="I4" i="14" a="1"/>
  <c r="I4" i="14"/>
  <c r="I2" i="14" a="1"/>
  <c r="I2" i="14"/>
  <c r="I25" i="13" a="1"/>
  <c r="I25" i="13"/>
  <c r="I24" i="13" a="1"/>
  <c r="I24" i="13"/>
  <c r="I23" i="13" a="1"/>
  <c r="I23" i="13"/>
  <c r="I22" i="13" a="1"/>
  <c r="I22" i="13"/>
  <c r="J24" i="5"/>
  <c r="J27" i="5"/>
  <c r="J28" i="5"/>
  <c r="J26" i="5"/>
  <c r="J25" i="5"/>
  <c r="I28" i="5"/>
  <c r="I27" i="5"/>
  <c r="I26" i="5"/>
  <c r="I25" i="5"/>
  <c r="C33" i="5"/>
  <c r="D33" i="5"/>
  <c r="I24" i="5"/>
  <c r="C32" i="5"/>
  <c r="D32" i="5"/>
  <c r="C30" i="5"/>
  <c r="D30" i="5"/>
  <c r="C31" i="5"/>
  <c r="D31" i="5"/>
  <c r="C29" i="5"/>
  <c r="D29" i="5"/>
  <c r="C28" i="5"/>
  <c r="D28" i="5"/>
  <c r="C27" i="5"/>
  <c r="D27" i="5"/>
  <c r="C26" i="5"/>
  <c r="D26" i="5"/>
  <c r="D25" i="5"/>
  <c r="C25" i="5"/>
  <c r="C24" i="5"/>
  <c r="D24" i="5"/>
  <c r="B33" i="5"/>
  <c r="B32" i="5"/>
  <c r="B31" i="5"/>
  <c r="B30" i="5"/>
  <c r="B29" i="5"/>
  <c r="B28" i="5"/>
  <c r="B27" i="5"/>
  <c r="B26" i="5"/>
  <c r="B24" i="5"/>
  <c r="B25" i="5"/>
  <c r="J24" i="1"/>
  <c r="J28" i="1"/>
  <c r="J27" i="1"/>
  <c r="J26" i="1"/>
  <c r="J25" i="1"/>
  <c r="I24" i="1"/>
  <c r="I28" i="1"/>
  <c r="I27" i="1"/>
  <c r="I25" i="1"/>
  <c r="I26" i="1"/>
  <c r="D2" i="14"/>
  <c r="D2" i="14" a="1"/>
  <c r="C2" i="14"/>
  <c r="F2" i="14"/>
  <c r="F2" i="14" a="1"/>
  <c r="C3" i="14"/>
  <c r="C3" i="14" a="1"/>
  <c r="D3" i="14"/>
  <c r="D3" i="14" a="1"/>
  <c r="E3" i="14"/>
  <c r="E3" i="14" a="1"/>
  <c r="F3" i="14"/>
  <c r="F3" i="14" a="1"/>
  <c r="C4" i="14"/>
  <c r="C4" i="14" a="1"/>
  <c r="D4" i="14"/>
  <c r="D4" i="14" a="1"/>
  <c r="E4" i="14"/>
  <c r="E4" i="14" a="1"/>
  <c r="F4" i="14"/>
  <c r="F4" i="14" a="1"/>
  <c r="C5" i="14"/>
  <c r="C5" i="14" a="1"/>
  <c r="D5" i="14"/>
  <c r="D5" i="14" a="1"/>
  <c r="E5" i="14"/>
  <c r="E5" i="14" a="1"/>
  <c r="F5" i="14"/>
  <c r="F5" i="14" a="1"/>
  <c r="C6" i="14"/>
  <c r="C6" i="14" a="1"/>
  <c r="D6" i="14"/>
  <c r="D6" i="14" a="1"/>
  <c r="E6" i="14"/>
  <c r="E6" i="14" a="1"/>
  <c r="F6" i="14"/>
  <c r="F6" i="14" a="1"/>
  <c r="C7" i="14"/>
  <c r="C7" i="14" a="1"/>
  <c r="D7" i="14"/>
  <c r="D7" i="14" a="1"/>
  <c r="E7" i="14"/>
  <c r="E7" i="14" a="1"/>
  <c r="F7" i="14"/>
  <c r="F7" i="14" a="1"/>
  <c r="C8" i="14"/>
  <c r="C8" i="14" a="1"/>
  <c r="D8" i="14"/>
  <c r="D8" i="14" a="1"/>
  <c r="E8" i="14"/>
  <c r="E8" i="14" a="1"/>
  <c r="F8" i="14"/>
  <c r="F8" i="14" a="1"/>
  <c r="C9" i="14"/>
  <c r="C9" i="14" a="1"/>
  <c r="D9" i="14"/>
  <c r="D9" i="14" a="1"/>
  <c r="E9" i="14"/>
  <c r="E9" i="14" a="1"/>
  <c r="F9" i="14"/>
  <c r="F9" i="14" a="1"/>
  <c r="C10" i="14"/>
  <c r="C10" i="14" a="1"/>
  <c r="D10" i="14"/>
  <c r="D10" i="14" a="1"/>
  <c r="E10" i="14"/>
  <c r="E10" i="14" a="1"/>
  <c r="F10" i="14"/>
  <c r="F10" i="14" a="1"/>
  <c r="C11" i="14"/>
  <c r="C11" i="14" a="1"/>
  <c r="D11" i="14"/>
  <c r="D11" i="14" a="1"/>
  <c r="E11" i="14"/>
  <c r="E11" i="14" a="1"/>
  <c r="F11" i="14"/>
  <c r="F11" i="14" a="1"/>
  <c r="C12" i="14"/>
  <c r="C12" i="14" a="1"/>
  <c r="D12" i="14"/>
  <c r="D12" i="14" a="1"/>
  <c r="E12" i="14"/>
  <c r="E12" i="14" a="1"/>
  <c r="F12" i="14"/>
  <c r="F12" i="14" a="1"/>
  <c r="C13" i="14"/>
  <c r="C13" i="14" a="1"/>
  <c r="D13" i="14"/>
  <c r="D13" i="14" a="1"/>
  <c r="E13" i="14"/>
  <c r="E13" i="14" a="1"/>
  <c r="F13" i="14"/>
  <c r="F13" i="14" a="1"/>
  <c r="C14" i="14"/>
  <c r="C14" i="14" a="1"/>
  <c r="D14" i="14"/>
  <c r="D14" i="14" a="1"/>
  <c r="E14" i="14"/>
  <c r="E14" i="14" a="1"/>
  <c r="F14" i="14"/>
  <c r="F14" i="14" a="1"/>
  <c r="C15" i="14"/>
  <c r="C15" i="14" a="1"/>
  <c r="D15" i="14"/>
  <c r="D15" i="14" a="1"/>
  <c r="E15" i="14"/>
  <c r="E15" i="14" a="1"/>
  <c r="F15" i="14"/>
  <c r="F15" i="14" a="1"/>
  <c r="C16" i="14"/>
  <c r="C16" i="14" a="1"/>
  <c r="D16" i="14"/>
  <c r="D16" i="14" a="1"/>
  <c r="E16" i="14"/>
  <c r="E16" i="14" a="1"/>
  <c r="F16" i="14"/>
  <c r="F16" i="14" a="1"/>
  <c r="E2" i="14"/>
  <c r="C2" i="14" a="1"/>
  <c r="E2" i="14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<sst xmlns="http://schemas.openxmlformats.org/spreadsheetml/2006/main" count="449" uniqueCount="122">
  <si>
    <t>File</t>
  </si>
  <si>
    <t>Viability</t>
  </si>
  <si>
    <t>CD25/FL2-</t>
  </si>
  <si>
    <t>CD25/FL2+</t>
  </si>
  <si>
    <t>Jurkat ACT 0ug/ml .902</t>
  </si>
  <si>
    <t>Jurkat ACT 0ug/ml CD69 1.903</t>
  </si>
  <si>
    <t>Jurkat ACT 0ug/ml CD69 2.904</t>
  </si>
  <si>
    <t>Jurkat ACT 0ug/ml CD69 3.906</t>
  </si>
  <si>
    <t>Jurkat ACT 5ug/ml CD69 1.909</t>
  </si>
  <si>
    <t>Jurkat ACT 5ug/ml CD69 2.910</t>
  </si>
  <si>
    <t>Jurkat ACT 5ug/ml CD69 3.911</t>
  </si>
  <si>
    <t>Jurkat ACT 5ug/ml.907</t>
  </si>
  <si>
    <t>Jurkat ACT 10ug/ml  CD69 1.894</t>
  </si>
  <si>
    <t>Jurkat ACT 10ug/ml  CD69 2.895</t>
  </si>
  <si>
    <t>Jurkat ACT 10ug/ml  CD69 3.896</t>
  </si>
  <si>
    <t>Jurkat ACT 10ug/ml .893</t>
  </si>
  <si>
    <t>Jurkat ACT 15ug/ml .889</t>
  </si>
  <si>
    <t>Jurkat ACT 15ug/ml CD69 1 .890</t>
  </si>
  <si>
    <t>Jurkat ACT 15ug/ml CD69 2 .891</t>
  </si>
  <si>
    <t>Jurkat ACT 15ug/ml CD69 3 .892</t>
  </si>
  <si>
    <t>Jurkat R .898</t>
  </si>
  <si>
    <t>Jurkat R CD69 1.899</t>
  </si>
  <si>
    <t>Jurkat R CD69 2.900</t>
  </si>
  <si>
    <t>Jurkat R CD69 3.901</t>
  </si>
  <si>
    <t>Name</t>
  </si>
  <si>
    <t>CD25-</t>
  </si>
  <si>
    <t>CD25+</t>
  </si>
  <si>
    <t xml:space="preserve">StdE </t>
  </si>
  <si>
    <t>0ug/ml</t>
  </si>
  <si>
    <t>Resting</t>
  </si>
  <si>
    <t>0ug/ml CD69 average</t>
  </si>
  <si>
    <t>Tumeric</t>
  </si>
  <si>
    <t>5ug/ml</t>
  </si>
  <si>
    <t>5ug/ml CD69 average</t>
  </si>
  <si>
    <t>10ug/ml</t>
  </si>
  <si>
    <t>15ug/ml</t>
  </si>
  <si>
    <t>10ug/ml CD69 average</t>
  </si>
  <si>
    <t>15ug/ml CD69 average</t>
  </si>
  <si>
    <t>Resting CD69 average</t>
  </si>
  <si>
    <t>Jurkat ACT 0ug/ml CD69 1.898</t>
  </si>
  <si>
    <t>Jurkat ACT 0ug/ml CD69 2.899</t>
  </si>
  <si>
    <t>Jurkat ACT 0ug/ml CD69 3.900</t>
  </si>
  <si>
    <t>*the two highlighted were weird outliers, especially R, so another sheet has if they were swapped</t>
  </si>
  <si>
    <t>Jurkat ACT 0ug/ml.897</t>
  </si>
  <si>
    <t>Jurkat ACT 5ug/ml CD69 1.902</t>
  </si>
  <si>
    <t>Jurkat ACT 5ug/ml CD69 2.903</t>
  </si>
  <si>
    <t>Jurkat ACT 5ug/ml CD69 3.904</t>
  </si>
  <si>
    <t>Jurkat ACT 5ug/ml.901</t>
  </si>
  <si>
    <t>Jurkat ACT 10ug/ml .889</t>
  </si>
  <si>
    <t>Jurkat ACT 10ug/ml CD69 1.890</t>
  </si>
  <si>
    <t>Jurkat ACT 10ug/ml CD69 2.891</t>
  </si>
  <si>
    <t>Jurkat ACT 10ug/ml CD69 3.892</t>
  </si>
  <si>
    <t>Jurkat ACT 15ug/ml CD69 1.906</t>
  </si>
  <si>
    <t>Jurkat ACT 15ug/ml CD69 2.907</t>
  </si>
  <si>
    <t>Jurkat ACT 15ug/ml CD69 3.908</t>
  </si>
  <si>
    <t>Jurkat ACT 15ug/ml.905</t>
  </si>
  <si>
    <t>Jurkat R CD69 1.894</t>
  </si>
  <si>
    <t>Jurkat R CD69 2.895</t>
  </si>
  <si>
    <t>Jurkat R CD69 3.896</t>
  </si>
  <si>
    <t>Jurkat R.893</t>
  </si>
  <si>
    <t>CD69+</t>
  </si>
  <si>
    <t>CD25/FL2 -</t>
  </si>
  <si>
    <t>CD25/FL2 +</t>
  </si>
  <si>
    <t>* this sheet has the two weird measurements swapped along with their new images</t>
  </si>
  <si>
    <t>resting is still very weird but better</t>
  </si>
  <si>
    <t>CD25/Fl2 -</t>
  </si>
  <si>
    <t>CD25/Fl2  +</t>
  </si>
  <si>
    <t>Jurkat ACT 0ug/ml CD69 1.910</t>
  </si>
  <si>
    <t>Jurkat ACT 0ug/ml CD69 2.911</t>
  </si>
  <si>
    <t>Jurkat ACT 0ug/ml CD69 3.912</t>
  </si>
  <si>
    <t>Jurkat ACT 0ug/ml.909</t>
  </si>
  <si>
    <t>Jurkat ACT 5ug/ml CD69 1.914</t>
  </si>
  <si>
    <t>Jurkat ACT 5ug/ml CD69 2.915</t>
  </si>
  <si>
    <t>Jurkat ACT 5ug/ml CD69 3.916</t>
  </si>
  <si>
    <t>Jurkat ACT 5ug/ml.913</t>
  </si>
  <si>
    <t>Jurkat ACT 10ug/ml CD69 1.918</t>
  </si>
  <si>
    <t>Jurkat ACT 10ug/ml CD69 2.919</t>
  </si>
  <si>
    <t>Jurkat ACT 10ug/ml CD69 3.920</t>
  </si>
  <si>
    <t>Jurkat ACT 10ug/ml.917</t>
  </si>
  <si>
    <t>Jurkat ACT 15ug/ml CD69 1.922</t>
  </si>
  <si>
    <t>Jurkat ACT 15ug/ml CD69 2.923</t>
  </si>
  <si>
    <t>Jurkat ACT 15ug/ml CD69 3.924</t>
  </si>
  <si>
    <t>Jurkat ACT 15ug/ml.921</t>
  </si>
  <si>
    <t>Jurkat R CD69 1.906</t>
  </si>
  <si>
    <t>Jurkat R CD69 2.907</t>
  </si>
  <si>
    <t>Jurkat R CD69 3.908</t>
  </si>
  <si>
    <t>Jurkat R.905</t>
  </si>
  <si>
    <t xml:space="preserve">0 ug/mL </t>
  </si>
  <si>
    <t>5 ug/mL</t>
  </si>
  <si>
    <t xml:space="preserve">10 ug/mL </t>
  </si>
  <si>
    <t xml:space="preserve">15 ug/mL </t>
  </si>
  <si>
    <t>Date</t>
  </si>
  <si>
    <t>Trial Day</t>
  </si>
  <si>
    <t>Circumin</t>
  </si>
  <si>
    <t>R</t>
  </si>
  <si>
    <t>* data is from the swapped file</t>
  </si>
  <si>
    <t>P 0 = 5</t>
  </si>
  <si>
    <t>P 5 = 10</t>
  </si>
  <si>
    <t>P 10 = 15</t>
  </si>
  <si>
    <t>P R = 0</t>
  </si>
  <si>
    <t>Amount</t>
  </si>
  <si>
    <t>SE (Viability)</t>
  </si>
  <si>
    <t>Relative increase in CD69 expression</t>
  </si>
  <si>
    <t>SE (CD69)</t>
  </si>
  <si>
    <t>CD69</t>
  </si>
  <si>
    <t>T-tests</t>
  </si>
  <si>
    <t>0ug</t>
  </si>
  <si>
    <t>5ug</t>
  </si>
  <si>
    <t>10ug</t>
  </si>
  <si>
    <t>15ug</t>
  </si>
  <si>
    <t>viability</t>
  </si>
  <si>
    <t>R,0</t>
  </si>
  <si>
    <t>0,5</t>
  </si>
  <si>
    <t>5,10</t>
  </si>
  <si>
    <t>10,15</t>
  </si>
  <si>
    <t>p</t>
  </si>
  <si>
    <t>smybol</t>
  </si>
  <si>
    <t>***</t>
  </si>
  <si>
    <t>*</t>
  </si>
  <si>
    <t>ns</t>
  </si>
  <si>
    <t>**</t>
  </si>
  <si>
    <t>activity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</si>
</sst>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000000"/>
      <name val="Aptos Narrow"/>
      <family val="2"/>
    </font>
    <font>
      <sz val="11"/>
      <color rgb="FF000000"/>
      <name val="Aptos Narrow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10" xfId="0" applyBorder="1"/>
    <xf numFmtId="0" fontId="18" fillId="0" borderId="0" xfId="0" applyFont="1"/>
    <xf numFmtId="0" fontId="18" fillId="0" borderId="10" xfId="0" applyFont="1" applyBorder="1"/>
    <xf numFmtId="0" fontId="18" fillId="33" borderId="0" xfId="0" applyFont="1" applyFill="1"/>
    <xf numFmtId="0" fontId="18" fillId="34" borderId="0" xfId="0" applyFont="1" applyFill="1"/>
    <xf numFmtId="14" fontId="0" fillId="0" borderId="0" xfId="0" applyNumberFormat="1"/>
    <xf numFmtId="0" fontId="19" fillId="0" borderId="0" xfId="0" applyFont="1"/>
    <xf numFmtId="0" fontId="19" fillId="34" borderId="0" xfId="0" applyFont="1" applyFill="1"/>
    <xf numFmtId="14" fontId="0" fillId="33" borderId="0" xfId="0" applyNumberFormat="1" applyFill="1"/>
    <xf numFmtId="0" fontId="19" fillId="33" borderId="0" xfId="0" applyFont="1" applyFill="1"/>
    <xf numFmtId="0" fontId="0" fillId="33" borderId="0" xfId="0" applyFill="1"/>
    <xf numFmtId="0" fontId="0" fillId="0" borderId="11" xfId="0" applyBorder="1"/>
    <xf numFmtId="0" fontId="18" fillId="0" borderId="0" xfId="0" applyFont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CD69 + (Activation)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'11-5-24 floreadastats'!$I$23</c:f>
              <c:strCache>
                <c:ptCount val="1"/>
                <c:pt idx="0">
                  <c:v>CD25+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'11-5-24 floreadastats'!$J$24:$J$28</c:f>
                <c:numCache>
                  <c:formatCode>General</c:formatCode>
                  <c:ptCount val="5"/>
                  <c:pt idx="0">
                    <c:v>1.2602338716330692</c:v>
                  </c:pt>
                  <c:pt idx="1">
                    <c:v>4.0214656142329823E-2</c:v>
                  </c:pt>
                  <c:pt idx="2">
                    <c:v>2.5787466908805956</c:v>
                  </c:pt>
                  <c:pt idx="3">
                    <c:v>0.69149508608654242</c:v>
                  </c:pt>
                  <c:pt idx="4">
                    <c:v>0.17204981607627173</c:v>
                  </c:pt>
                </c:numCache>
              </c:numRef>
            </c:plus>
            <c:minus>
              <c:numRef>
                <c:f>'11-5-24 floreadastats'!$J$24:$J$28</c:f>
                <c:numCache>
                  <c:formatCode>General</c:formatCode>
                  <c:ptCount val="5"/>
                  <c:pt idx="0">
                    <c:v>1.2602338716330692</c:v>
                  </c:pt>
                  <c:pt idx="1">
                    <c:v>4.0214656142329823E-2</c:v>
                  </c:pt>
                  <c:pt idx="2">
                    <c:v>2.5787466908805956</c:v>
                  </c:pt>
                  <c:pt idx="3">
                    <c:v>0.69149508608654242</c:v>
                  </c:pt>
                  <c:pt idx="4">
                    <c:v>0.17204981607627173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'11-5-24 floreadastats'!$H$24:$H$28</c:f>
              <c:strCache>
                <c:ptCount val="5"/>
                <c:pt idx="0">
                  <c:v>Resting</c:v>
                </c:pt>
                <c:pt idx="1">
                  <c:v>0ug/ml</c:v>
                </c:pt>
                <c:pt idx="2">
                  <c:v>5ug/ml</c:v>
                </c:pt>
                <c:pt idx="3">
                  <c:v>10ug/ml</c:v>
                </c:pt>
                <c:pt idx="4">
                  <c:v>15ug/ml</c:v>
                </c:pt>
              </c:strCache>
            </c:strRef>
          </c:cat>
          <c:val>
            <c:numRef>
              <c:f>'11-5-24 floreadastats'!$I$24:$I$28</c:f>
              <c:numCache>
                <c:formatCode>General</c:formatCode>
                <c:ptCount val="5"/>
                <c:pt idx="0">
                  <c:v>7.9368848303333337</c:v>
                </c:pt>
                <c:pt idx="1">
                  <c:v>99.786282403333317</c:v>
                </c:pt>
                <c:pt idx="2">
                  <c:v>32.842853166666664</c:v>
                </c:pt>
                <c:pt idx="3">
                  <c:v>2.9569103376666668</c:v>
                </c:pt>
                <c:pt idx="4">
                  <c:v>0.26451902633333335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07-8C40-A1DA-7F213D992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8850352"/>
        <c:axId val="2094003359"/>
      </c:barChart>
      <c:catAx>
        <c:axId val="1378850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Concentration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003359"/>
        <c:crosses val="autoZero"/>
        <c:auto val="1"/>
        <c:lblAlgn val="ctr"/>
        <c:lblOffset val="100"/>
        <c:noMultiLvlLbl val="0"/>
      </c:catAx>
      <c:valAx>
        <c:axId val="2094003359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850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CD69+ (Activation)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'11-14-24 floreadastats(swapped)'!$I$23</c:f>
              <c:strCache>
                <c:ptCount val="1"/>
                <c:pt idx="0">
                  <c:v>CD69+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'11-14-24 floreadastats(swapped)'!$J$24:$J$28</c:f>
                <c:numCache>
                  <c:formatCode>General</c:formatCode>
                  <c:ptCount val="5"/>
                  <c:pt idx="0">
                    <c:v>23.586459999999999</c:v>
                  </c:pt>
                  <c:pt idx="1">
                    <c:v>2.6772000000000001E-2</c:v>
                  </c:pt>
                  <c:pt idx="2">
                    <c:v>5.7848870000000003</c:v>
                  </c:pt>
                  <c:pt idx="3">
                    <c:v>0.41436699999999999</c:v>
                  </c:pt>
                  <c:pt idx="4">
                    <c:v>0.368344</c:v>
                  </c:pt>
                </c:numCache>
              </c:numRef>
            </c:plus>
            <c:minus>
              <c:numRef>
                <c:f>'11-14-24 floreadastats(swapped)'!$J$24:$J$28</c:f>
                <c:numCache>
                  <c:formatCode>General</c:formatCode>
                  <c:ptCount val="5"/>
                  <c:pt idx="0">
                    <c:v>23.586459999999999</c:v>
                  </c:pt>
                  <c:pt idx="1">
                    <c:v>2.6772000000000001E-2</c:v>
                  </c:pt>
                  <c:pt idx="2">
                    <c:v>5.7848870000000003</c:v>
                  </c:pt>
                  <c:pt idx="3">
                    <c:v>0.41436699999999999</c:v>
                  </c:pt>
                  <c:pt idx="4">
                    <c:v>0.368344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'11-14-24 floreadastats(swapped)'!$H$24:$H$28</c:f>
              <c:strCache>
                <c:ptCount val="5"/>
                <c:pt idx="0">
                  <c:v>Resting</c:v>
                </c:pt>
                <c:pt idx="1">
                  <c:v>0ug/ml</c:v>
                </c:pt>
                <c:pt idx="2">
                  <c:v>5ug/ml</c:v>
                </c:pt>
                <c:pt idx="3">
                  <c:v>10ug/ml</c:v>
                </c:pt>
                <c:pt idx="4">
                  <c:v>15ug/ml</c:v>
                </c:pt>
              </c:strCache>
            </c:strRef>
          </c:cat>
          <c:val>
            <c:numRef>
              <c:f>'11-14-24 floreadastats(swapped)'!$I$24:$I$28</c:f>
              <c:numCache>
                <c:formatCode>General</c:formatCode>
                <c:ptCount val="5"/>
                <c:pt idx="0">
                  <c:v>29.59301</c:v>
                </c:pt>
                <c:pt idx="1">
                  <c:v>99.901269999999997</c:v>
                </c:pt>
                <c:pt idx="2">
                  <c:v>61.866999999999997</c:v>
                </c:pt>
                <c:pt idx="3">
                  <c:v>3.4144570000000001</c:v>
                </c:pt>
                <c:pt idx="4">
                  <c:v>0.45766899999999999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79-7E45-84B4-E61BDFEB2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088880"/>
        <c:axId val="367044496"/>
      </c:barChart>
      <c:catAx>
        <c:axId val="650088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Concentration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044496"/>
        <c:crosses val="autoZero"/>
        <c:auto val="1"/>
        <c:lblAlgn val="ctr"/>
        <c:lblOffset val="100"/>
        <c:noMultiLvlLbl val="0"/>
      </c:catAx>
      <c:valAx>
        <c:axId val="367044496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8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CD69+ (Activation)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'11-19-24floreadastats'!$I$23</c:f>
              <c:strCache>
                <c:ptCount val="1"/>
                <c:pt idx="0">
                  <c:v>CD69+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'11-19-24floreadastats'!$J$24:$J$28</c:f>
                <c:numCache>
                  <c:formatCode>General</c:formatCode>
                  <c:ptCount val="5"/>
                  <c:pt idx="0">
                    <c:v>2.82626</c:v>
                  </c:pt>
                  <c:pt idx="1">
                    <c:v>1.201E-3</c:v>
                  </c:pt>
                  <c:pt idx="2">
                    <c:v>10.485620000000001</c:v>
                  </c:pt>
                  <c:pt idx="3">
                    <c:v>0.16941600000000001</c:v>
                  </c:pt>
                  <c:pt idx="4">
                    <c:v>0.625</c:v>
                  </c:pt>
                </c:numCache>
              </c:numRef>
            </c:plus>
            <c:minus>
              <c:numRef>
                <c:f>'11-19-24floreadastats'!$J$24:$J$28</c:f>
                <c:numCache>
                  <c:formatCode>General</c:formatCode>
                  <c:ptCount val="5"/>
                  <c:pt idx="0">
                    <c:v>2.82626</c:v>
                  </c:pt>
                  <c:pt idx="1">
                    <c:v>1.201E-3</c:v>
                  </c:pt>
                  <c:pt idx="2">
                    <c:v>10.485620000000001</c:v>
                  </c:pt>
                  <c:pt idx="3">
                    <c:v>0.16941600000000001</c:v>
                  </c:pt>
                  <c:pt idx="4">
                    <c:v>0.625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'11-19-24floreadastats'!$H$24:$H$28</c:f>
              <c:strCache>
                <c:ptCount val="5"/>
                <c:pt idx="0">
                  <c:v>Resting</c:v>
                </c:pt>
                <c:pt idx="1">
                  <c:v>0 ug/mL </c:v>
                </c:pt>
                <c:pt idx="2">
                  <c:v>5 ug/mL</c:v>
                </c:pt>
                <c:pt idx="3">
                  <c:v>10 ug/mL </c:v>
                </c:pt>
                <c:pt idx="4">
                  <c:v>15 ug/mL </c:v>
                </c:pt>
              </c:strCache>
            </c:strRef>
          </c:cat>
          <c:val>
            <c:numRef>
              <c:f>'11-19-24floreadastats'!$I$24:$I$28</c:f>
              <c:numCache>
                <c:formatCode>General</c:formatCode>
                <c:ptCount val="5"/>
                <c:pt idx="0">
                  <c:v>30.351559999999999</c:v>
                </c:pt>
                <c:pt idx="1">
                  <c:v>99.856099999999998</c:v>
                </c:pt>
                <c:pt idx="2">
                  <c:v>59.786189999999998</c:v>
                </c:pt>
                <c:pt idx="3">
                  <c:v>4.5285849999999996</c:v>
                </c:pt>
                <c:pt idx="4">
                  <c:v>0.625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E7-0049-A1D6-4F8072CA7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7530496"/>
        <c:axId val="1524867567"/>
      </c:barChart>
      <c:catAx>
        <c:axId val="367530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Concentration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867567"/>
        <c:crosses val="autoZero"/>
        <c:auto val="1"/>
        <c:lblAlgn val="ctr"/>
        <c:lblOffset val="100"/>
        <c:noMultiLvlLbl val="0"/>
      </c:catAx>
      <c:valAx>
        <c:axId val="1524867567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530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18" Type="http://schemas.openxmlformats.org/officeDocument/2006/relationships/image" Target="../media/image3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17" Type="http://schemas.openxmlformats.org/officeDocument/2006/relationships/image" Target="../media/image37.png"/><Relationship Id="rId2" Type="http://schemas.openxmlformats.org/officeDocument/2006/relationships/image" Target="../media/image22.png"/><Relationship Id="rId16" Type="http://schemas.openxmlformats.org/officeDocument/2006/relationships/image" Target="../media/image36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png"/><Relationship Id="rId19" Type="http://schemas.openxmlformats.org/officeDocument/2006/relationships/image" Target="../media/image39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chart" Target="../charts/chart2.xml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png"/><Relationship Id="rId18" Type="http://schemas.openxmlformats.org/officeDocument/2006/relationships/image" Target="../media/image63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17" Type="http://schemas.openxmlformats.org/officeDocument/2006/relationships/image" Target="../media/image62.png"/><Relationship Id="rId2" Type="http://schemas.openxmlformats.org/officeDocument/2006/relationships/image" Target="../media/image47.png"/><Relationship Id="rId16" Type="http://schemas.openxmlformats.org/officeDocument/2006/relationships/image" Target="../media/image61.png"/><Relationship Id="rId20" Type="http://schemas.openxmlformats.org/officeDocument/2006/relationships/image" Target="../media/image65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10" Type="http://schemas.openxmlformats.org/officeDocument/2006/relationships/image" Target="../media/image55.png"/><Relationship Id="rId19" Type="http://schemas.openxmlformats.org/officeDocument/2006/relationships/image" Target="../media/image64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png"/><Relationship Id="rId13" Type="http://schemas.openxmlformats.org/officeDocument/2006/relationships/image" Target="../media/image78.png"/><Relationship Id="rId18" Type="http://schemas.openxmlformats.org/officeDocument/2006/relationships/image" Target="../media/image83.png"/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12" Type="http://schemas.openxmlformats.org/officeDocument/2006/relationships/image" Target="../media/image77.png"/><Relationship Id="rId17" Type="http://schemas.openxmlformats.org/officeDocument/2006/relationships/image" Target="../media/image82.png"/><Relationship Id="rId2" Type="http://schemas.openxmlformats.org/officeDocument/2006/relationships/image" Target="../media/image67.png"/><Relationship Id="rId16" Type="http://schemas.openxmlformats.org/officeDocument/2006/relationships/image" Target="../media/image81.png"/><Relationship Id="rId20" Type="http://schemas.openxmlformats.org/officeDocument/2006/relationships/image" Target="../media/image85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11" Type="http://schemas.openxmlformats.org/officeDocument/2006/relationships/image" Target="../media/image76.png"/><Relationship Id="rId5" Type="http://schemas.openxmlformats.org/officeDocument/2006/relationships/image" Target="../media/image70.png"/><Relationship Id="rId15" Type="http://schemas.openxmlformats.org/officeDocument/2006/relationships/image" Target="../media/image80.png"/><Relationship Id="rId10" Type="http://schemas.openxmlformats.org/officeDocument/2006/relationships/image" Target="../media/image75.png"/><Relationship Id="rId19" Type="http://schemas.openxmlformats.org/officeDocument/2006/relationships/image" Target="../media/image84.png"/><Relationship Id="rId4" Type="http://schemas.openxmlformats.org/officeDocument/2006/relationships/image" Target="../media/image69.png"/><Relationship Id="rId9" Type="http://schemas.openxmlformats.org/officeDocument/2006/relationships/image" Target="../media/image74.png"/><Relationship Id="rId14" Type="http://schemas.openxmlformats.org/officeDocument/2006/relationships/image" Target="../media/image7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8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.png"/><Relationship Id="rId13" Type="http://schemas.openxmlformats.org/officeDocument/2006/relationships/image" Target="../media/image99.png"/><Relationship Id="rId18" Type="http://schemas.openxmlformats.org/officeDocument/2006/relationships/image" Target="../media/image104.png"/><Relationship Id="rId3" Type="http://schemas.openxmlformats.org/officeDocument/2006/relationships/image" Target="../media/image89.png"/><Relationship Id="rId7" Type="http://schemas.openxmlformats.org/officeDocument/2006/relationships/image" Target="../media/image93.png"/><Relationship Id="rId12" Type="http://schemas.openxmlformats.org/officeDocument/2006/relationships/image" Target="../media/image98.png"/><Relationship Id="rId17" Type="http://schemas.openxmlformats.org/officeDocument/2006/relationships/image" Target="../media/image103.png"/><Relationship Id="rId2" Type="http://schemas.openxmlformats.org/officeDocument/2006/relationships/image" Target="../media/image88.png"/><Relationship Id="rId16" Type="http://schemas.openxmlformats.org/officeDocument/2006/relationships/image" Target="../media/image102.png"/><Relationship Id="rId20" Type="http://schemas.openxmlformats.org/officeDocument/2006/relationships/image" Target="../media/image106.png"/><Relationship Id="rId1" Type="http://schemas.openxmlformats.org/officeDocument/2006/relationships/image" Target="../media/image87.png"/><Relationship Id="rId6" Type="http://schemas.openxmlformats.org/officeDocument/2006/relationships/image" Target="../media/image92.png"/><Relationship Id="rId11" Type="http://schemas.openxmlformats.org/officeDocument/2006/relationships/image" Target="../media/image97.png"/><Relationship Id="rId5" Type="http://schemas.openxmlformats.org/officeDocument/2006/relationships/image" Target="../media/image91.png"/><Relationship Id="rId15" Type="http://schemas.openxmlformats.org/officeDocument/2006/relationships/image" Target="../media/image101.png"/><Relationship Id="rId10" Type="http://schemas.openxmlformats.org/officeDocument/2006/relationships/image" Target="../media/image96.png"/><Relationship Id="rId19" Type="http://schemas.openxmlformats.org/officeDocument/2006/relationships/image" Target="../media/image105.png"/><Relationship Id="rId4" Type="http://schemas.openxmlformats.org/officeDocument/2006/relationships/image" Target="../media/image90.png"/><Relationship Id="rId9" Type="http://schemas.openxmlformats.org/officeDocument/2006/relationships/image" Target="../media/image95.png"/><Relationship Id="rId14" Type="http://schemas.openxmlformats.org/officeDocument/2006/relationships/image" Target="../media/image10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4.png"/><Relationship Id="rId13" Type="http://schemas.openxmlformats.org/officeDocument/2006/relationships/image" Target="../media/image119.png"/><Relationship Id="rId18" Type="http://schemas.openxmlformats.org/officeDocument/2006/relationships/image" Target="../media/image124.png"/><Relationship Id="rId3" Type="http://schemas.openxmlformats.org/officeDocument/2006/relationships/image" Target="../media/image109.png"/><Relationship Id="rId7" Type="http://schemas.openxmlformats.org/officeDocument/2006/relationships/image" Target="../media/image113.png"/><Relationship Id="rId12" Type="http://schemas.openxmlformats.org/officeDocument/2006/relationships/image" Target="../media/image118.png"/><Relationship Id="rId17" Type="http://schemas.openxmlformats.org/officeDocument/2006/relationships/image" Target="../media/image123.png"/><Relationship Id="rId2" Type="http://schemas.openxmlformats.org/officeDocument/2006/relationships/image" Target="../media/image108.png"/><Relationship Id="rId16" Type="http://schemas.openxmlformats.org/officeDocument/2006/relationships/image" Target="../media/image122.png"/><Relationship Id="rId20" Type="http://schemas.openxmlformats.org/officeDocument/2006/relationships/image" Target="../media/image126.png"/><Relationship Id="rId1" Type="http://schemas.openxmlformats.org/officeDocument/2006/relationships/image" Target="../media/image107.png"/><Relationship Id="rId6" Type="http://schemas.openxmlformats.org/officeDocument/2006/relationships/image" Target="../media/image112.png"/><Relationship Id="rId11" Type="http://schemas.openxmlformats.org/officeDocument/2006/relationships/image" Target="../media/image117.png"/><Relationship Id="rId5" Type="http://schemas.openxmlformats.org/officeDocument/2006/relationships/image" Target="../media/image111.png"/><Relationship Id="rId15" Type="http://schemas.openxmlformats.org/officeDocument/2006/relationships/image" Target="../media/image121.png"/><Relationship Id="rId10" Type="http://schemas.openxmlformats.org/officeDocument/2006/relationships/image" Target="../media/image116.png"/><Relationship Id="rId19" Type="http://schemas.openxmlformats.org/officeDocument/2006/relationships/image" Target="../media/image125.png"/><Relationship Id="rId4" Type="http://schemas.openxmlformats.org/officeDocument/2006/relationships/image" Target="../media/image110.png"/><Relationship Id="rId9" Type="http://schemas.openxmlformats.org/officeDocument/2006/relationships/image" Target="../media/image115.png"/><Relationship Id="rId14" Type="http://schemas.openxmlformats.org/officeDocument/2006/relationships/image" Target="../media/image12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0.png"/><Relationship Id="rId2" Type="http://schemas.openxmlformats.org/officeDocument/2006/relationships/image" Target="../media/image129.png"/><Relationship Id="rId1" Type="http://schemas.openxmlformats.org/officeDocument/2006/relationships/image" Target="../media/image128.png"/><Relationship Id="rId6" Type="http://schemas.openxmlformats.org/officeDocument/2006/relationships/image" Target="../media/image133.png"/><Relationship Id="rId5" Type="http://schemas.openxmlformats.org/officeDocument/2006/relationships/image" Target="../media/image132.png"/><Relationship Id="rId4" Type="http://schemas.openxmlformats.org/officeDocument/2006/relationships/image" Target="../media/image1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5</xdr:row>
      <xdr:rowOff>28575</xdr:rowOff>
    </xdr:from>
    <xdr:to>
      <xdr:col>18</xdr:col>
      <xdr:colOff>76200</xdr:colOff>
      <xdr:row>20</xdr:row>
      <xdr:rowOff>47625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25DECD03-5CBD-BD65-2C1E-F9FBEFB62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188100</xdr:colOff>
      <xdr:row>137</xdr:row>
      <xdr:rowOff>180480</xdr:rowOff>
    </xdr:from>
    <xdr:to>
      <xdr:col>32</xdr:col>
      <xdr:colOff>188100</xdr:colOff>
      <xdr:row>171</xdr:row>
      <xdr:rowOff>66180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4517A5-9DB7-0A03-CCD9-ED242125A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85700" y="26278980"/>
          <a:ext cx="6096000" cy="6362700"/>
        </a:xfrm>
        <a:prstGeom prst="rect">
          <a:avLst/>
        </a:prstGeom>
      </xdr:spPr>
    </xdr:pic>
    <xdr:clientData/>
  </xdr:twoCellAnchor>
  <xdr:twoCellAnchor editAs="oneCell">
    <xdr:from>
      <xdr:col>11</xdr:col>
      <xdr:colOff>545250</xdr:colOff>
      <xdr:row>138</xdr:row>
      <xdr:rowOff>27090</xdr:rowOff>
    </xdr:from>
    <xdr:to>
      <xdr:col>21</xdr:col>
      <xdr:colOff>545250</xdr:colOff>
      <xdr:row>171</xdr:row>
      <xdr:rowOff>88050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863DB88-DECE-F4B1-AB00-AEB6BECEB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37250" y="26316090"/>
          <a:ext cx="6096000" cy="6347460"/>
        </a:xfrm>
        <a:prstGeom prst="rect">
          <a:avLst/>
        </a:prstGeom>
      </xdr:spPr>
    </xdr:pic>
    <xdr:clientData/>
  </xdr:twoCellAnchor>
  <xdr:twoCellAnchor editAs="oneCell">
    <xdr:from>
      <xdr:col>1</xdr:col>
      <xdr:colOff>178500</xdr:colOff>
      <xdr:row>138</xdr:row>
      <xdr:rowOff>29910</xdr:rowOff>
    </xdr:from>
    <xdr:to>
      <xdr:col>11</xdr:col>
      <xdr:colOff>178500</xdr:colOff>
      <xdr:row>171</xdr:row>
      <xdr:rowOff>98490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B74C31E-5160-71E8-392B-5B25CB2D5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4500" y="26318910"/>
          <a:ext cx="6096000" cy="6355080"/>
        </a:xfrm>
        <a:prstGeom prst="rect">
          <a:avLst/>
        </a:prstGeom>
      </xdr:spPr>
    </xdr:pic>
    <xdr:clientData/>
  </xdr:twoCellAnchor>
  <xdr:twoCellAnchor editAs="oneCell">
    <xdr:from>
      <xdr:col>32</xdr:col>
      <xdr:colOff>345150</xdr:colOff>
      <xdr:row>138</xdr:row>
      <xdr:rowOff>78450</xdr:rowOff>
    </xdr:from>
    <xdr:to>
      <xdr:col>42</xdr:col>
      <xdr:colOff>345150</xdr:colOff>
      <xdr:row>171</xdr:row>
      <xdr:rowOff>147030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E446BC9-7715-4C07-C932-9CB7180C4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38750" y="26367450"/>
          <a:ext cx="6096000" cy="6355080"/>
        </a:xfrm>
        <a:prstGeom prst="rect">
          <a:avLst/>
        </a:prstGeom>
      </xdr:spPr>
    </xdr:pic>
    <xdr:clientData/>
  </xdr:twoCellAnchor>
  <xdr:twoCellAnchor editAs="oneCell">
    <xdr:from>
      <xdr:col>11</xdr:col>
      <xdr:colOff>511800</xdr:colOff>
      <xdr:row>103</xdr:row>
      <xdr:rowOff>69840</xdr:rowOff>
    </xdr:from>
    <xdr:to>
      <xdr:col>21</xdr:col>
      <xdr:colOff>511800</xdr:colOff>
      <xdr:row>136</xdr:row>
      <xdr:rowOff>130800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684C74-C9E0-40FD-1C24-B16B4BB5C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3800" y="19691340"/>
          <a:ext cx="6096000" cy="6347460"/>
        </a:xfrm>
        <a:prstGeom prst="rect">
          <a:avLst/>
        </a:prstGeom>
      </xdr:spPr>
    </xdr:pic>
    <xdr:clientData/>
  </xdr:twoCellAnchor>
  <xdr:twoCellAnchor editAs="oneCell">
    <xdr:from>
      <xdr:col>22</xdr:col>
      <xdr:colOff>202200</xdr:colOff>
      <xdr:row>103</xdr:row>
      <xdr:rowOff>137430</xdr:rowOff>
    </xdr:from>
    <xdr:to>
      <xdr:col>32</xdr:col>
      <xdr:colOff>202200</xdr:colOff>
      <xdr:row>137</xdr:row>
      <xdr:rowOff>7890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CB84DF1-2123-92DC-94EF-29F99D016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99800" y="19758930"/>
          <a:ext cx="6096000" cy="6347460"/>
        </a:xfrm>
        <a:prstGeom prst="rect">
          <a:avLst/>
        </a:prstGeom>
      </xdr:spPr>
    </xdr:pic>
    <xdr:clientData/>
  </xdr:twoCellAnchor>
  <xdr:twoCellAnchor editAs="oneCell">
    <xdr:from>
      <xdr:col>32</xdr:col>
      <xdr:colOff>387900</xdr:colOff>
      <xdr:row>103</xdr:row>
      <xdr:rowOff>64050</xdr:rowOff>
    </xdr:from>
    <xdr:to>
      <xdr:col>42</xdr:col>
      <xdr:colOff>387900</xdr:colOff>
      <xdr:row>136</xdr:row>
      <xdr:rowOff>125010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95B5CAC-9E0A-AFDD-7496-5319CE051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81500" y="19685550"/>
          <a:ext cx="6096000" cy="6347460"/>
        </a:xfrm>
        <a:prstGeom prst="rect">
          <a:avLst/>
        </a:prstGeom>
      </xdr:spPr>
    </xdr:pic>
    <xdr:clientData/>
  </xdr:twoCellAnchor>
  <xdr:twoCellAnchor editAs="oneCell">
    <xdr:from>
      <xdr:col>1</xdr:col>
      <xdr:colOff>135450</xdr:colOff>
      <xdr:row>103</xdr:row>
      <xdr:rowOff>85920</xdr:rowOff>
    </xdr:from>
    <xdr:to>
      <xdr:col>11</xdr:col>
      <xdr:colOff>135450</xdr:colOff>
      <xdr:row>136</xdr:row>
      <xdr:rowOff>154500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69D66E2-BBCA-104E-5991-10DE477E9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1450" y="19707420"/>
          <a:ext cx="6096000" cy="6355080"/>
        </a:xfrm>
        <a:prstGeom prst="rect">
          <a:avLst/>
        </a:prstGeom>
      </xdr:spPr>
    </xdr:pic>
    <xdr:clientData/>
  </xdr:twoCellAnchor>
  <xdr:twoCellAnchor editAs="oneCell">
    <xdr:from>
      <xdr:col>22</xdr:col>
      <xdr:colOff>144900</xdr:colOff>
      <xdr:row>69</xdr:row>
      <xdr:rowOff>106800</xdr:rowOff>
    </xdr:from>
    <xdr:to>
      <xdr:col>32</xdr:col>
      <xdr:colOff>144900</xdr:colOff>
      <xdr:row>102</xdr:row>
      <xdr:rowOff>160140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96243D6-829E-9FFE-9101-65658D984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2500" y="13251300"/>
          <a:ext cx="6096000" cy="6339840"/>
        </a:xfrm>
        <a:prstGeom prst="rect">
          <a:avLst/>
        </a:prstGeom>
      </xdr:spPr>
    </xdr:pic>
    <xdr:clientData/>
  </xdr:twoCellAnchor>
  <xdr:twoCellAnchor editAs="oneCell">
    <xdr:from>
      <xdr:col>32</xdr:col>
      <xdr:colOff>330600</xdr:colOff>
      <xdr:row>69</xdr:row>
      <xdr:rowOff>2940</xdr:rowOff>
    </xdr:from>
    <xdr:to>
      <xdr:col>42</xdr:col>
      <xdr:colOff>330600</xdr:colOff>
      <xdr:row>102</xdr:row>
      <xdr:rowOff>63900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CC1430A-A95B-F3B5-D46C-D7EFC2878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24200" y="13147440"/>
          <a:ext cx="6096000" cy="6347460"/>
        </a:xfrm>
        <a:prstGeom prst="rect">
          <a:avLst/>
        </a:prstGeom>
      </xdr:spPr>
    </xdr:pic>
    <xdr:clientData/>
  </xdr:twoCellAnchor>
  <xdr:twoCellAnchor editAs="oneCell">
    <xdr:from>
      <xdr:col>1</xdr:col>
      <xdr:colOff>173400</xdr:colOff>
      <xdr:row>69</xdr:row>
      <xdr:rowOff>81960</xdr:rowOff>
    </xdr:from>
    <xdr:to>
      <xdr:col>11</xdr:col>
      <xdr:colOff>173400</xdr:colOff>
      <xdr:row>102</xdr:row>
      <xdr:rowOff>142920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B91B42D-4B54-B764-5692-11BD8810E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9400" y="13226460"/>
          <a:ext cx="6096000" cy="6347460"/>
        </a:xfrm>
        <a:prstGeom prst="rect">
          <a:avLst/>
        </a:prstGeom>
      </xdr:spPr>
    </xdr:pic>
    <xdr:clientData/>
  </xdr:twoCellAnchor>
  <xdr:twoCellAnchor editAs="oneCell">
    <xdr:from>
      <xdr:col>1</xdr:col>
      <xdr:colOff>168600</xdr:colOff>
      <xdr:row>34</xdr:row>
      <xdr:rowOff>149550</xdr:rowOff>
    </xdr:from>
    <xdr:to>
      <xdr:col>11</xdr:col>
      <xdr:colOff>168600</xdr:colOff>
      <xdr:row>68</xdr:row>
      <xdr:rowOff>20010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D897ECD-5D25-F963-496D-0780B6C5A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4600" y="6626550"/>
          <a:ext cx="6096000" cy="6347460"/>
        </a:xfrm>
        <a:prstGeom prst="rect">
          <a:avLst/>
        </a:prstGeom>
      </xdr:spPr>
    </xdr:pic>
    <xdr:clientData/>
  </xdr:twoCellAnchor>
  <xdr:twoCellAnchor editAs="oneCell">
    <xdr:from>
      <xdr:col>11</xdr:col>
      <xdr:colOff>506700</xdr:colOff>
      <xdr:row>35</xdr:row>
      <xdr:rowOff>7590</xdr:rowOff>
    </xdr:from>
    <xdr:to>
      <xdr:col>21</xdr:col>
      <xdr:colOff>506700</xdr:colOff>
      <xdr:row>68</xdr:row>
      <xdr:rowOff>68550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B24E265-A624-60FD-1F3A-1DD2D8BFE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98700" y="6675090"/>
          <a:ext cx="6096000" cy="6347460"/>
        </a:xfrm>
        <a:prstGeom prst="rect">
          <a:avLst/>
        </a:prstGeom>
      </xdr:spPr>
    </xdr:pic>
    <xdr:clientData/>
  </xdr:twoCellAnchor>
  <xdr:twoCellAnchor editAs="oneCell">
    <xdr:from>
      <xdr:col>22</xdr:col>
      <xdr:colOff>101850</xdr:colOff>
      <xdr:row>34</xdr:row>
      <xdr:rowOff>181860</xdr:rowOff>
    </xdr:from>
    <xdr:to>
      <xdr:col>32</xdr:col>
      <xdr:colOff>101850</xdr:colOff>
      <xdr:row>68</xdr:row>
      <xdr:rowOff>59940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73A52C13-ABD8-D9D1-DBF8-5077BB7C8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9450" y="6658860"/>
          <a:ext cx="6096000" cy="6355080"/>
        </a:xfrm>
        <a:prstGeom prst="rect">
          <a:avLst/>
        </a:prstGeom>
      </xdr:spPr>
    </xdr:pic>
    <xdr:clientData/>
  </xdr:twoCellAnchor>
  <xdr:twoCellAnchor editAs="oneCell">
    <xdr:from>
      <xdr:col>32</xdr:col>
      <xdr:colOff>306600</xdr:colOff>
      <xdr:row>34</xdr:row>
      <xdr:rowOff>116100</xdr:rowOff>
    </xdr:from>
    <xdr:to>
      <xdr:col>42</xdr:col>
      <xdr:colOff>306600</xdr:colOff>
      <xdr:row>67</xdr:row>
      <xdr:rowOff>177060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C6350B8-A9D9-1023-3E97-625A1AAF9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00200" y="6593100"/>
          <a:ext cx="6096000" cy="6347460"/>
        </a:xfrm>
        <a:prstGeom prst="rect">
          <a:avLst/>
        </a:prstGeom>
      </xdr:spPr>
    </xdr:pic>
    <xdr:clientData/>
  </xdr:twoCellAnchor>
  <xdr:twoCellAnchor editAs="oneCell">
    <xdr:from>
      <xdr:col>1</xdr:col>
      <xdr:colOff>149400</xdr:colOff>
      <xdr:row>1</xdr:row>
      <xdr:rowOff>19050</xdr:rowOff>
    </xdr:from>
    <xdr:to>
      <xdr:col>11</xdr:col>
      <xdr:colOff>149400</xdr:colOff>
      <xdr:row>34</xdr:row>
      <xdr:rowOff>80010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FE17E374-670F-0056-2CB7-0ECDC4A66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5400" y="209550"/>
          <a:ext cx="6096000" cy="6347460"/>
        </a:xfrm>
        <a:prstGeom prst="rect">
          <a:avLst/>
        </a:prstGeom>
      </xdr:spPr>
    </xdr:pic>
    <xdr:clientData/>
  </xdr:twoCellAnchor>
  <xdr:twoCellAnchor editAs="oneCell">
    <xdr:from>
      <xdr:col>11</xdr:col>
      <xdr:colOff>430350</xdr:colOff>
      <xdr:row>0</xdr:row>
      <xdr:rowOff>0</xdr:rowOff>
    </xdr:from>
    <xdr:to>
      <xdr:col>21</xdr:col>
      <xdr:colOff>430350</xdr:colOff>
      <xdr:row>33</xdr:row>
      <xdr:rowOff>68580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7C8584FA-A10F-DD9C-CF7C-7F465F5FE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22350" y="0"/>
          <a:ext cx="6096000" cy="6355080"/>
        </a:xfrm>
        <a:prstGeom prst="rect">
          <a:avLst/>
        </a:prstGeom>
      </xdr:spPr>
    </xdr:pic>
    <xdr:clientData/>
  </xdr:twoCellAnchor>
  <xdr:twoCellAnchor editAs="oneCell">
    <xdr:from>
      <xdr:col>22</xdr:col>
      <xdr:colOff>120750</xdr:colOff>
      <xdr:row>0</xdr:row>
      <xdr:rowOff>0</xdr:rowOff>
    </xdr:from>
    <xdr:to>
      <xdr:col>32</xdr:col>
      <xdr:colOff>120750</xdr:colOff>
      <xdr:row>33</xdr:row>
      <xdr:rowOff>60960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C3C2432F-2370-39F9-F984-2403CCF16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8350" y="0"/>
          <a:ext cx="6096000" cy="6347460"/>
        </a:xfrm>
        <a:prstGeom prst="rect">
          <a:avLst/>
        </a:prstGeom>
      </xdr:spPr>
    </xdr:pic>
    <xdr:clientData/>
  </xdr:twoCellAnchor>
  <xdr:twoCellAnchor editAs="oneCell">
    <xdr:from>
      <xdr:col>32</xdr:col>
      <xdr:colOff>268350</xdr:colOff>
      <xdr:row>0</xdr:row>
      <xdr:rowOff>0</xdr:rowOff>
    </xdr:from>
    <xdr:to>
      <xdr:col>42</xdr:col>
      <xdr:colOff>268350</xdr:colOff>
      <xdr:row>33</xdr:row>
      <xdr:rowOff>68580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68A48640-86C7-35FC-07C6-725218C0F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61950" y="0"/>
          <a:ext cx="6096000" cy="635508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69</xdr:row>
      <xdr:rowOff>171450</xdr:rowOff>
    </xdr:from>
    <xdr:to>
      <xdr:col>22</xdr:col>
      <xdr:colOff>38100</xdr:colOff>
      <xdr:row>101</xdr:row>
      <xdr:rowOff>171450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65386697-BC68-D874-3B35-C5F8B7C9A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3300" y="13315950"/>
          <a:ext cx="6096000" cy="609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138</xdr:row>
      <xdr:rowOff>0</xdr:rowOff>
    </xdr:from>
    <xdr:to>
      <xdr:col>11</xdr:col>
      <xdr:colOff>266700</xdr:colOff>
      <xdr:row>171</xdr:row>
      <xdr:rowOff>60960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01F048-E285-8941-F570-173AAC766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" y="26289000"/>
          <a:ext cx="6096000" cy="6347460"/>
        </a:xfrm>
        <a:prstGeom prst="rect">
          <a:avLst/>
        </a:prstGeom>
      </xdr:spPr>
    </xdr:pic>
    <xdr:clientData/>
  </xdr:twoCellAnchor>
  <xdr:twoCellAnchor editAs="oneCell">
    <xdr:from>
      <xdr:col>11</xdr:col>
      <xdr:colOff>452400</xdr:colOff>
      <xdr:row>138</xdr:row>
      <xdr:rowOff>40920</xdr:rowOff>
    </xdr:from>
    <xdr:to>
      <xdr:col>21</xdr:col>
      <xdr:colOff>452400</xdr:colOff>
      <xdr:row>171</xdr:row>
      <xdr:rowOff>101880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AD82A27-438F-53E7-7B3A-A98E0A41D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8000" y="26329920"/>
          <a:ext cx="6096000" cy="6347460"/>
        </a:xfrm>
        <a:prstGeom prst="rect">
          <a:avLst/>
        </a:prstGeom>
      </xdr:spPr>
    </xdr:pic>
    <xdr:clientData/>
  </xdr:twoCellAnchor>
  <xdr:twoCellAnchor editAs="oneCell">
    <xdr:from>
      <xdr:col>22</xdr:col>
      <xdr:colOff>66600</xdr:colOff>
      <xdr:row>137</xdr:row>
      <xdr:rowOff>146610</xdr:rowOff>
    </xdr:from>
    <xdr:to>
      <xdr:col>32</xdr:col>
      <xdr:colOff>66600</xdr:colOff>
      <xdr:row>171</xdr:row>
      <xdr:rowOff>9450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8EBBE17-4478-C305-1044-8D907A448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77800" y="26245110"/>
          <a:ext cx="6096000" cy="6339840"/>
        </a:xfrm>
        <a:prstGeom prst="rect">
          <a:avLst/>
        </a:prstGeom>
      </xdr:spPr>
    </xdr:pic>
    <xdr:clientData/>
  </xdr:twoCellAnchor>
  <xdr:twoCellAnchor editAs="oneCell">
    <xdr:from>
      <xdr:col>32</xdr:col>
      <xdr:colOff>309450</xdr:colOff>
      <xdr:row>138</xdr:row>
      <xdr:rowOff>54180</xdr:rowOff>
    </xdr:from>
    <xdr:to>
      <xdr:col>42</xdr:col>
      <xdr:colOff>309450</xdr:colOff>
      <xdr:row>171</xdr:row>
      <xdr:rowOff>122760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0BB938D-F401-8483-A007-7E457F26D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6650" y="26343180"/>
          <a:ext cx="6096000" cy="6355080"/>
        </a:xfrm>
        <a:prstGeom prst="rect">
          <a:avLst/>
        </a:prstGeom>
      </xdr:spPr>
    </xdr:pic>
    <xdr:clientData/>
  </xdr:twoCellAnchor>
  <xdr:twoCellAnchor editAs="oneCell">
    <xdr:from>
      <xdr:col>11</xdr:col>
      <xdr:colOff>533250</xdr:colOff>
      <xdr:row>103</xdr:row>
      <xdr:rowOff>159870</xdr:rowOff>
    </xdr:from>
    <xdr:to>
      <xdr:col>21</xdr:col>
      <xdr:colOff>533250</xdr:colOff>
      <xdr:row>137</xdr:row>
      <xdr:rowOff>30330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87B501F-87EA-BD0B-D0C6-69FB16693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7500" y="19781370"/>
          <a:ext cx="6667500" cy="6347460"/>
        </a:xfrm>
        <a:prstGeom prst="rect">
          <a:avLst/>
        </a:prstGeom>
      </xdr:spPr>
    </xdr:pic>
    <xdr:clientData/>
  </xdr:twoCellAnchor>
  <xdr:twoCellAnchor editAs="oneCell">
    <xdr:from>
      <xdr:col>22</xdr:col>
      <xdr:colOff>128400</xdr:colOff>
      <xdr:row>103</xdr:row>
      <xdr:rowOff>151260</xdr:rowOff>
    </xdr:from>
    <xdr:to>
      <xdr:col>32</xdr:col>
      <xdr:colOff>128400</xdr:colOff>
      <xdr:row>137</xdr:row>
      <xdr:rowOff>21720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492B36A-0002-D261-A0BA-4439EA175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9733" y="19336727"/>
          <a:ext cx="6773334" cy="6203526"/>
        </a:xfrm>
        <a:prstGeom prst="rect">
          <a:avLst/>
        </a:prstGeom>
      </xdr:spPr>
    </xdr:pic>
    <xdr:clientData/>
  </xdr:twoCellAnchor>
  <xdr:twoCellAnchor editAs="oneCell">
    <xdr:from>
      <xdr:col>1</xdr:col>
      <xdr:colOff>347400</xdr:colOff>
      <xdr:row>103</xdr:row>
      <xdr:rowOff>183570</xdr:rowOff>
    </xdr:from>
    <xdr:to>
      <xdr:col>11</xdr:col>
      <xdr:colOff>347400</xdr:colOff>
      <xdr:row>137</xdr:row>
      <xdr:rowOff>46410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F75C83E-25AE-3C9A-3749-E2C0F09B4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00" y="19805070"/>
          <a:ext cx="6096000" cy="6339840"/>
        </a:xfrm>
        <a:prstGeom prst="rect">
          <a:avLst/>
        </a:prstGeom>
      </xdr:spPr>
    </xdr:pic>
    <xdr:clientData/>
  </xdr:twoCellAnchor>
  <xdr:twoCellAnchor editAs="oneCell">
    <xdr:from>
      <xdr:col>11</xdr:col>
      <xdr:colOff>514050</xdr:colOff>
      <xdr:row>69</xdr:row>
      <xdr:rowOff>117810</xdr:rowOff>
    </xdr:from>
    <xdr:to>
      <xdr:col>21</xdr:col>
      <xdr:colOff>514050</xdr:colOff>
      <xdr:row>102</xdr:row>
      <xdr:rowOff>178770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E11474A-72FC-8790-83EE-4091AB82C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9650" y="13262310"/>
          <a:ext cx="6096000" cy="6347460"/>
        </a:xfrm>
        <a:prstGeom prst="rect">
          <a:avLst/>
        </a:prstGeom>
      </xdr:spPr>
    </xdr:pic>
    <xdr:clientData/>
  </xdr:twoCellAnchor>
  <xdr:twoCellAnchor editAs="oneCell">
    <xdr:from>
      <xdr:col>22</xdr:col>
      <xdr:colOff>13950</xdr:colOff>
      <xdr:row>69</xdr:row>
      <xdr:rowOff>25380</xdr:rowOff>
    </xdr:from>
    <xdr:to>
      <xdr:col>32</xdr:col>
      <xdr:colOff>13950</xdr:colOff>
      <xdr:row>102</xdr:row>
      <xdr:rowOff>93960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F71996B-368C-8682-7689-EAF87857D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25150" y="13169880"/>
          <a:ext cx="6096000" cy="6355080"/>
        </a:xfrm>
        <a:prstGeom prst="rect">
          <a:avLst/>
        </a:prstGeom>
      </xdr:spPr>
    </xdr:pic>
    <xdr:clientData/>
  </xdr:twoCellAnchor>
  <xdr:twoCellAnchor editAs="oneCell">
    <xdr:from>
      <xdr:col>32</xdr:col>
      <xdr:colOff>313950</xdr:colOff>
      <xdr:row>69</xdr:row>
      <xdr:rowOff>142500</xdr:rowOff>
    </xdr:from>
    <xdr:to>
      <xdr:col>42</xdr:col>
      <xdr:colOff>313950</xdr:colOff>
      <xdr:row>103</xdr:row>
      <xdr:rowOff>20580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B07C1AA-D572-9548-B313-E92F0A09F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21150" y="13287000"/>
          <a:ext cx="6096000" cy="6355080"/>
        </a:xfrm>
        <a:prstGeom prst="rect">
          <a:avLst/>
        </a:prstGeom>
      </xdr:spPr>
    </xdr:pic>
    <xdr:clientData/>
  </xdr:twoCellAnchor>
  <xdr:twoCellAnchor editAs="oneCell">
    <xdr:from>
      <xdr:col>1</xdr:col>
      <xdr:colOff>232950</xdr:colOff>
      <xdr:row>69</xdr:row>
      <xdr:rowOff>160560</xdr:rowOff>
    </xdr:from>
    <xdr:to>
      <xdr:col>11</xdr:col>
      <xdr:colOff>232950</xdr:colOff>
      <xdr:row>103</xdr:row>
      <xdr:rowOff>31020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C7D0100A-86A7-D643-1ED4-5CB0DBFB9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550" y="13305060"/>
          <a:ext cx="6096000" cy="6347460"/>
        </a:xfrm>
        <a:prstGeom prst="rect">
          <a:avLst/>
        </a:prstGeom>
      </xdr:spPr>
    </xdr:pic>
    <xdr:clientData/>
  </xdr:twoCellAnchor>
  <xdr:twoCellAnchor editAs="oneCell">
    <xdr:from>
      <xdr:col>1</xdr:col>
      <xdr:colOff>380550</xdr:colOff>
      <xdr:row>35</xdr:row>
      <xdr:rowOff>30030</xdr:rowOff>
    </xdr:from>
    <xdr:to>
      <xdr:col>11</xdr:col>
      <xdr:colOff>380550</xdr:colOff>
      <xdr:row>68</xdr:row>
      <xdr:rowOff>98610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0669946-92CE-334F-1DEA-234DE15FB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50" y="6697530"/>
          <a:ext cx="6096000" cy="6355080"/>
        </a:xfrm>
        <a:prstGeom prst="rect">
          <a:avLst/>
        </a:prstGeom>
      </xdr:spPr>
    </xdr:pic>
    <xdr:clientData/>
  </xdr:twoCellAnchor>
  <xdr:twoCellAnchor editAs="oneCell">
    <xdr:from>
      <xdr:col>11</xdr:col>
      <xdr:colOff>471000</xdr:colOff>
      <xdr:row>34</xdr:row>
      <xdr:rowOff>154770</xdr:rowOff>
    </xdr:from>
    <xdr:to>
      <xdr:col>21</xdr:col>
      <xdr:colOff>471000</xdr:colOff>
      <xdr:row>68</xdr:row>
      <xdr:rowOff>25230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3EF4E34B-FDA3-91C0-9F13-E2615960E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6600" y="6631770"/>
          <a:ext cx="6096000" cy="6347460"/>
        </a:xfrm>
        <a:prstGeom prst="rect">
          <a:avLst/>
        </a:prstGeom>
      </xdr:spPr>
    </xdr:pic>
    <xdr:clientData/>
  </xdr:twoCellAnchor>
  <xdr:twoCellAnchor editAs="oneCell">
    <xdr:from>
      <xdr:col>22</xdr:col>
      <xdr:colOff>218550</xdr:colOff>
      <xdr:row>34</xdr:row>
      <xdr:rowOff>24240</xdr:rowOff>
    </xdr:from>
    <xdr:to>
      <xdr:col>32</xdr:col>
      <xdr:colOff>218550</xdr:colOff>
      <xdr:row>67</xdr:row>
      <xdr:rowOff>92820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54B4A6E-0E66-F87E-4D8F-98E1B5625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9750" y="6501240"/>
          <a:ext cx="6096000" cy="6355080"/>
        </a:xfrm>
        <a:prstGeom prst="rect">
          <a:avLst/>
        </a:prstGeom>
      </xdr:spPr>
    </xdr:pic>
    <xdr:clientData/>
  </xdr:twoCellAnchor>
  <xdr:twoCellAnchor editAs="oneCell">
    <xdr:from>
      <xdr:col>32</xdr:col>
      <xdr:colOff>270900</xdr:colOff>
      <xdr:row>34</xdr:row>
      <xdr:rowOff>110880</xdr:rowOff>
    </xdr:from>
    <xdr:to>
      <xdr:col>42</xdr:col>
      <xdr:colOff>270900</xdr:colOff>
      <xdr:row>67</xdr:row>
      <xdr:rowOff>171840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F993F720-2205-0B32-038C-2F1F87EB5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78100" y="6587880"/>
          <a:ext cx="6096000" cy="6347460"/>
        </a:xfrm>
        <a:prstGeom prst="rect">
          <a:avLst/>
        </a:prstGeom>
      </xdr:spPr>
    </xdr:pic>
    <xdr:clientData/>
  </xdr:twoCellAnchor>
  <xdr:twoCellAnchor editAs="oneCell">
    <xdr:from>
      <xdr:col>1</xdr:col>
      <xdr:colOff>170850</xdr:colOff>
      <xdr:row>0</xdr:row>
      <xdr:rowOff>7020</xdr:rowOff>
    </xdr:from>
    <xdr:to>
      <xdr:col>11</xdr:col>
      <xdr:colOff>170850</xdr:colOff>
      <xdr:row>33</xdr:row>
      <xdr:rowOff>67980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757D9F6-7BB9-A0FF-AD92-03F270AB9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0450" y="7020"/>
          <a:ext cx="6096000" cy="6347460"/>
        </a:xfrm>
        <a:prstGeom prst="rect">
          <a:avLst/>
        </a:prstGeom>
      </xdr:spPr>
    </xdr:pic>
    <xdr:clientData/>
  </xdr:twoCellAnchor>
  <xdr:twoCellAnchor editAs="oneCell">
    <xdr:from>
      <xdr:col>11</xdr:col>
      <xdr:colOff>318450</xdr:colOff>
      <xdr:row>0</xdr:row>
      <xdr:rowOff>0</xdr:rowOff>
    </xdr:from>
    <xdr:to>
      <xdr:col>21</xdr:col>
      <xdr:colOff>318450</xdr:colOff>
      <xdr:row>33</xdr:row>
      <xdr:rowOff>68580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43D0571F-132A-27BF-FAE4-3955B46FF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4050" y="0"/>
          <a:ext cx="6096000" cy="6355080"/>
        </a:xfrm>
        <a:prstGeom prst="rect">
          <a:avLst/>
        </a:prstGeom>
      </xdr:spPr>
    </xdr:pic>
    <xdr:clientData/>
  </xdr:twoCellAnchor>
  <xdr:twoCellAnchor editAs="oneCell">
    <xdr:from>
      <xdr:col>21</xdr:col>
      <xdr:colOff>542250</xdr:colOff>
      <xdr:row>0</xdr:row>
      <xdr:rowOff>39330</xdr:rowOff>
    </xdr:from>
    <xdr:to>
      <xdr:col>31</xdr:col>
      <xdr:colOff>542250</xdr:colOff>
      <xdr:row>33</xdr:row>
      <xdr:rowOff>100290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B0E7C403-2180-12FE-827F-D23E0496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43850" y="39330"/>
          <a:ext cx="6096000" cy="6347460"/>
        </a:xfrm>
        <a:prstGeom prst="rect">
          <a:avLst/>
        </a:prstGeom>
      </xdr:spPr>
    </xdr:pic>
    <xdr:clientData/>
  </xdr:twoCellAnchor>
  <xdr:twoCellAnchor editAs="oneCell">
    <xdr:from>
      <xdr:col>32</xdr:col>
      <xdr:colOff>213600</xdr:colOff>
      <xdr:row>0</xdr:row>
      <xdr:rowOff>87870</xdr:rowOff>
    </xdr:from>
    <xdr:to>
      <xdr:col>42</xdr:col>
      <xdr:colOff>213600</xdr:colOff>
      <xdr:row>33</xdr:row>
      <xdr:rowOff>141210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9D75C6D7-C662-DE0B-244C-5B671D4F7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20800" y="87870"/>
          <a:ext cx="6096000" cy="63398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66675</xdr:colOff>
      <xdr:row>14</xdr:row>
      <xdr:rowOff>142875</xdr:rowOff>
    </xdr:from>
    <xdr:to>
      <xdr:col>19</xdr:col>
      <xdr:colOff>371475</xdr:colOff>
      <xdr:row>29</xdr:row>
      <xdr:rowOff>28575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4D1F39A0-F60B-6EA8-1C67-FA8A185E4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82075" y="2809875"/>
          <a:ext cx="4438650" cy="2743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47625</xdr:rowOff>
    </xdr:from>
    <xdr:to>
      <xdr:col>4</xdr:col>
      <xdr:colOff>361950</xdr:colOff>
      <xdr:row>59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CC5857-F9BF-E284-230D-FB5A03CC23E1}"/>
            </a:ext>
            <a:ext uri="{147F2762-F138-4A5C-976F-8EAC2B608ADB}">
              <a16:predDERef xmlns:a16="http://schemas.microsoft.com/office/drawing/2014/main" pred="{C3C6AFF5-B65E-4E19-B767-1F841EA75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715125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4</xdr:col>
      <xdr:colOff>466725</xdr:colOff>
      <xdr:row>35</xdr:row>
      <xdr:rowOff>9525</xdr:rowOff>
    </xdr:from>
    <xdr:to>
      <xdr:col>12</xdr:col>
      <xdr:colOff>161925</xdr:colOff>
      <xdr:row>59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91AFB33-0E49-4106-9ADB-D57812355AA5}"/>
            </a:ext>
            <a:ext uri="{147F2762-F138-4A5C-976F-8EAC2B608ADB}">
              <a16:predDERef xmlns:a16="http://schemas.microsoft.com/office/drawing/2014/main" pred="{81CC5857-F9BF-E284-230D-FB5A03CC2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76775" y="6677025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13</xdr:col>
      <xdr:colOff>209550</xdr:colOff>
      <xdr:row>35</xdr:row>
      <xdr:rowOff>28575</xdr:rowOff>
    </xdr:from>
    <xdr:to>
      <xdr:col>20</xdr:col>
      <xdr:colOff>514350</xdr:colOff>
      <xdr:row>59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12B7A62-872F-7077-BB2F-BC32B60DDA19}"/>
            </a:ext>
            <a:ext uri="{147F2762-F138-4A5C-976F-8EAC2B608ADB}">
              <a16:predDERef xmlns:a16="http://schemas.microsoft.com/office/drawing/2014/main" pred="{C91AFB33-0E49-4106-9ADB-D57812355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00" y="6696075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21</xdr:col>
      <xdr:colOff>57150</xdr:colOff>
      <xdr:row>35</xdr:row>
      <xdr:rowOff>57150</xdr:rowOff>
    </xdr:from>
    <xdr:to>
      <xdr:col>28</xdr:col>
      <xdr:colOff>361950</xdr:colOff>
      <xdr:row>59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5462E8-A501-E7A3-C53F-EC1B9D5018A2}"/>
            </a:ext>
            <a:ext uri="{147F2762-F138-4A5C-976F-8EAC2B608ADB}">
              <a16:predDERef xmlns:a16="http://schemas.microsoft.com/office/drawing/2014/main" pred="{112B7A62-872F-7077-BB2F-BC32B60DD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30400" y="672465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19</xdr:col>
      <xdr:colOff>196403</xdr:colOff>
      <xdr:row>27</xdr:row>
      <xdr:rowOff>106430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6B3643-952C-7013-A705-E9D3CCDFF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07113" y="2065986"/>
          <a:ext cx="5562600" cy="3111500"/>
        </a:xfrm>
        <a:prstGeom prst="rect">
          <a:avLst/>
        </a:prstGeom>
      </xdr:spPr>
    </xdr:pic>
    <xdr:clientData/>
  </xdr:twoCellAnchor>
  <xdr:twoCellAnchor>
    <xdr:from>
      <xdr:col>19</xdr:col>
      <xdr:colOff>495300</xdr:colOff>
      <xdr:row>11</xdr:row>
      <xdr:rowOff>19050</xdr:rowOff>
    </xdr:from>
    <xdr:to>
      <xdr:col>27</xdr:col>
      <xdr:colOff>88900</xdr:colOff>
      <xdr:row>27</xdr:row>
      <xdr:rowOff>139700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5AD7953-B838-ED7A-3227-5AB19B24DE3F}"/>
            </a:ext>
            <a:ext uri="{147F2762-F138-4A5C-976F-8EAC2B608ADB}">
              <a16:predDERef xmlns:a16="http://schemas.microsoft.com/office/drawing/2014/main" pred="{DD6B3643-952C-7013-A705-E9D3CCDFF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304800</xdr:colOff>
      <xdr:row>24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5BD91C-9166-E638-7ACA-9AA1FC2A1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7</xdr:col>
      <xdr:colOff>495300</xdr:colOff>
      <xdr:row>0</xdr:row>
      <xdr:rowOff>0</xdr:rowOff>
    </xdr:from>
    <xdr:to>
      <xdr:col>15</xdr:col>
      <xdr:colOff>190500</xdr:colOff>
      <xdr:row>24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AF5D37F-FB72-7CE8-1A72-4C3607385803}"/>
            </a:ext>
            <a:ext uri="{147F2762-F138-4A5C-976F-8EAC2B608ADB}">
              <a16:predDERef xmlns:a16="http://schemas.microsoft.com/office/drawing/2014/main" pred="{6C5BD91C-9166-E638-7ACA-9AA1FC2A1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00" y="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0</xdr:row>
      <xdr:rowOff>0</xdr:rowOff>
    </xdr:from>
    <xdr:to>
      <xdr:col>22</xdr:col>
      <xdr:colOff>457200</xdr:colOff>
      <xdr:row>24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4959828-B130-6A25-67B9-89BDB7F3B2B7}"/>
            </a:ext>
            <a:ext uri="{147F2762-F138-4A5C-976F-8EAC2B608ADB}">
              <a16:predDERef xmlns:a16="http://schemas.microsoft.com/office/drawing/2014/main" pred="{CAF5D37F-FB72-7CE8-1A72-4C3607385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96400" y="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22</xdr:col>
      <xdr:colOff>266700</xdr:colOff>
      <xdr:row>0</xdr:row>
      <xdr:rowOff>0</xdr:rowOff>
    </xdr:from>
    <xdr:to>
      <xdr:col>29</xdr:col>
      <xdr:colOff>571500</xdr:colOff>
      <xdr:row>24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56EE3F-B044-4CB9-DF3B-8FCD26E33261}"/>
            </a:ext>
            <a:ext uri="{147F2762-F138-4A5C-976F-8EAC2B608ADB}">
              <a16:predDERef xmlns:a16="http://schemas.microsoft.com/office/drawing/2014/main" pred="{04959828-B130-6A25-67B9-89BDB7F3B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77900" y="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142875</xdr:rowOff>
    </xdr:from>
    <xdr:to>
      <xdr:col>7</xdr:col>
      <xdr:colOff>304800</xdr:colOff>
      <xdr:row>48</xdr:row>
      <xdr:rowOff>142875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F8A5BA2-9536-247A-F89F-7872E40F181F}"/>
            </a:ext>
            <a:ext uri="{147F2762-F138-4A5C-976F-8EAC2B608ADB}">
              <a16:predDERef xmlns:a16="http://schemas.microsoft.com/office/drawing/2014/main" pred="{FB56EE3F-B044-4CB9-DF3B-8FCD26E33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714875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7</xdr:col>
      <xdr:colOff>342900</xdr:colOff>
      <xdr:row>24</xdr:row>
      <xdr:rowOff>47625</xdr:rowOff>
    </xdr:from>
    <xdr:to>
      <xdr:col>15</xdr:col>
      <xdr:colOff>38100</xdr:colOff>
      <xdr:row>48</xdr:row>
      <xdr:rowOff>47625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8036FCD-9243-5633-02A7-FC94EF60D052}"/>
            </a:ext>
            <a:ext uri="{147F2762-F138-4A5C-976F-8EAC2B608ADB}">
              <a16:predDERef xmlns:a16="http://schemas.microsoft.com/office/drawing/2014/main" pred="{2F8A5BA2-9536-247A-F89F-7872E40F1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10100" y="4619625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15</xdr:col>
      <xdr:colOff>247650</xdr:colOff>
      <xdr:row>24</xdr:row>
      <xdr:rowOff>76200</xdr:rowOff>
    </xdr:from>
    <xdr:to>
      <xdr:col>22</xdr:col>
      <xdr:colOff>552450</xdr:colOff>
      <xdr:row>48</xdr:row>
      <xdr:rowOff>76200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82640B0-C789-EB3E-A0CB-050415339599}"/>
            </a:ext>
            <a:ext uri="{147F2762-F138-4A5C-976F-8EAC2B608ADB}">
              <a16:predDERef xmlns:a16="http://schemas.microsoft.com/office/drawing/2014/main" pred="{08036FCD-9243-5633-02A7-FC94EF60D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91650" y="464820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22</xdr:col>
      <xdr:colOff>361950</xdr:colOff>
      <xdr:row>24</xdr:row>
      <xdr:rowOff>47625</xdr:rowOff>
    </xdr:from>
    <xdr:to>
      <xdr:col>30</xdr:col>
      <xdr:colOff>57150</xdr:colOff>
      <xdr:row>48</xdr:row>
      <xdr:rowOff>47625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1B63D43-9A4B-637E-FBB4-90F884F4E5B5}"/>
            </a:ext>
            <a:ext uri="{147F2762-F138-4A5C-976F-8EAC2B608ADB}">
              <a16:predDERef xmlns:a16="http://schemas.microsoft.com/office/drawing/2014/main" pred="{782640B0-C789-EB3E-A0CB-050415339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73150" y="4619625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57150</xdr:rowOff>
    </xdr:from>
    <xdr:to>
      <xdr:col>7</xdr:col>
      <xdr:colOff>304800</xdr:colOff>
      <xdr:row>83</xdr:row>
      <xdr:rowOff>57150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54E1EC3-CD0A-0729-3F37-B21514E08B87}"/>
            </a:ext>
            <a:ext uri="{147F2762-F138-4A5C-976F-8EAC2B608ADB}">
              <a16:predDERef xmlns:a16="http://schemas.microsoft.com/office/drawing/2014/main" pred="{D1B63D43-9A4B-637E-FBB4-90F884F4E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129665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8</xdr:col>
      <xdr:colOff>333375</xdr:colOff>
      <xdr:row>57</xdr:row>
      <xdr:rowOff>0</xdr:rowOff>
    </xdr:from>
    <xdr:to>
      <xdr:col>16</xdr:col>
      <xdr:colOff>28575</xdr:colOff>
      <xdr:row>81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E19D3-801A-45CA-5022-DEDD49F4EC03}"/>
            </a:ext>
            <a:ext uri="{147F2762-F138-4A5C-976F-8EAC2B608ADB}">
              <a16:predDERef xmlns:a16="http://schemas.microsoft.com/office/drawing/2014/main" pred="{F54E1EC3-CD0A-0729-3F37-B21514E08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10175" y="1085850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15</xdr:col>
      <xdr:colOff>333375</xdr:colOff>
      <xdr:row>58</xdr:row>
      <xdr:rowOff>142875</xdr:rowOff>
    </xdr:from>
    <xdr:to>
      <xdr:col>23</xdr:col>
      <xdr:colOff>28575</xdr:colOff>
      <xdr:row>82</xdr:row>
      <xdr:rowOff>142875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1E7B406-2D85-55B2-9E0C-9D31AE76688A}"/>
            </a:ext>
            <a:ext uri="{147F2762-F138-4A5C-976F-8EAC2B608ADB}">
              <a16:predDERef xmlns:a16="http://schemas.microsoft.com/office/drawing/2014/main" pred="{1C3E19D3-801A-45CA-5022-DEDD49F4E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77375" y="11191875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22</xdr:col>
      <xdr:colOff>590550</xdr:colOff>
      <xdr:row>48</xdr:row>
      <xdr:rowOff>152400</xdr:rowOff>
    </xdr:from>
    <xdr:to>
      <xdr:col>30</xdr:col>
      <xdr:colOff>285750</xdr:colOff>
      <xdr:row>72</xdr:row>
      <xdr:rowOff>152400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ACB4F5A-55EA-1AB1-B2CB-31CF7DF7DD27}"/>
            </a:ext>
            <a:ext uri="{147F2762-F138-4A5C-976F-8EAC2B608ADB}">
              <a16:predDERef xmlns:a16="http://schemas.microsoft.com/office/drawing/2014/main" pred="{31E7B406-2D85-55B2-9E0C-9D31AE766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001750" y="929640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89</xdr:row>
      <xdr:rowOff>133350</xdr:rowOff>
    </xdr:from>
    <xdr:to>
      <xdr:col>7</xdr:col>
      <xdr:colOff>333375</xdr:colOff>
      <xdr:row>113</xdr:row>
      <xdr:rowOff>133350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A038118-9B4E-E97F-78FE-610391FBE392}"/>
            </a:ext>
            <a:ext uri="{147F2762-F138-4A5C-976F-8EAC2B608ADB}">
              <a16:predDERef xmlns:a16="http://schemas.microsoft.com/office/drawing/2014/main" pred="{6ACB4F5A-55EA-1AB1-B2CB-31CF7DF7D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" y="1708785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8</xdr:col>
      <xdr:colOff>123825</xdr:colOff>
      <xdr:row>89</xdr:row>
      <xdr:rowOff>19050</xdr:rowOff>
    </xdr:from>
    <xdr:to>
      <xdr:col>15</xdr:col>
      <xdr:colOff>428625</xdr:colOff>
      <xdr:row>113</xdr:row>
      <xdr:rowOff>19050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24B9CA3-18C7-63DA-C4CA-115849E20C24}"/>
            </a:ext>
            <a:ext uri="{147F2762-F138-4A5C-976F-8EAC2B608ADB}">
              <a16:predDERef xmlns:a16="http://schemas.microsoft.com/office/drawing/2014/main" pred="{9A038118-9B4E-E97F-78FE-610391FBE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00625" y="1697355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15</xdr:col>
      <xdr:colOff>581025</xdr:colOff>
      <xdr:row>89</xdr:row>
      <xdr:rowOff>152400</xdr:rowOff>
    </xdr:from>
    <xdr:to>
      <xdr:col>23</xdr:col>
      <xdr:colOff>276225</xdr:colOff>
      <xdr:row>113</xdr:row>
      <xdr:rowOff>152400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9015FAE-811A-4FB7-3678-B610F4AB9B5B}"/>
            </a:ext>
            <a:ext uri="{147F2762-F138-4A5C-976F-8EAC2B608ADB}">
              <a16:predDERef xmlns:a16="http://schemas.microsoft.com/office/drawing/2014/main" pred="{C24B9CA3-18C7-63DA-C4CA-115849E20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25025" y="1710690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23</xdr:col>
      <xdr:colOff>514350</xdr:colOff>
      <xdr:row>89</xdr:row>
      <xdr:rowOff>114300</xdr:rowOff>
    </xdr:from>
    <xdr:to>
      <xdr:col>31</xdr:col>
      <xdr:colOff>209550</xdr:colOff>
      <xdr:row>113</xdr:row>
      <xdr:rowOff>114300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D7F13AE-5EFE-AECA-4C5E-02BDAEF1731C}"/>
            </a:ext>
            <a:ext uri="{147F2762-F138-4A5C-976F-8EAC2B608ADB}">
              <a16:predDERef xmlns:a16="http://schemas.microsoft.com/office/drawing/2014/main" pred="{B9015FAE-811A-4FB7-3678-B610F4AB9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535150" y="1706880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19050</xdr:rowOff>
    </xdr:from>
    <xdr:to>
      <xdr:col>7</xdr:col>
      <xdr:colOff>304800</xdr:colOff>
      <xdr:row>162</xdr:row>
      <xdr:rowOff>19050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D3E6782-6900-C1F0-3EDE-3C0C6E54A62A}"/>
            </a:ext>
            <a:ext uri="{147F2762-F138-4A5C-976F-8EAC2B608ADB}">
              <a16:predDERef xmlns:a16="http://schemas.microsoft.com/office/drawing/2014/main" pred="{FD7F13AE-5EFE-AECA-4C5E-02BDAEF17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630805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7</xdr:col>
      <xdr:colOff>514350</xdr:colOff>
      <xdr:row>138</xdr:row>
      <xdr:rowOff>180975</xdr:rowOff>
    </xdr:from>
    <xdr:to>
      <xdr:col>15</xdr:col>
      <xdr:colOff>209550</xdr:colOff>
      <xdr:row>162</xdr:row>
      <xdr:rowOff>180975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A89AB15-2722-BDA9-756D-36D511BAF26E}"/>
            </a:ext>
            <a:ext uri="{147F2762-F138-4A5C-976F-8EAC2B608ADB}">
              <a16:predDERef xmlns:a16="http://schemas.microsoft.com/office/drawing/2014/main" pred="{8D3E6782-6900-C1F0-3EDE-3C0C6E54A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781550" y="26469975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15</xdr:col>
      <xdr:colOff>552450</xdr:colOff>
      <xdr:row>142</xdr:row>
      <xdr:rowOff>57150</xdr:rowOff>
    </xdr:from>
    <xdr:to>
      <xdr:col>23</xdr:col>
      <xdr:colOff>247650</xdr:colOff>
      <xdr:row>166</xdr:row>
      <xdr:rowOff>57150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167A2B3-C314-0131-7AF8-7384C353299C}"/>
            </a:ext>
            <a:ext uri="{147F2762-F138-4A5C-976F-8EAC2B608ADB}">
              <a16:predDERef xmlns:a16="http://schemas.microsoft.com/office/drawing/2014/main" pred="{9A89AB15-2722-BDA9-756D-36D511BAF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696450" y="2710815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31</xdr:col>
      <xdr:colOff>314325</xdr:colOff>
      <xdr:row>138</xdr:row>
      <xdr:rowOff>28575</xdr:rowOff>
    </xdr:from>
    <xdr:to>
      <xdr:col>39</xdr:col>
      <xdr:colOff>9525</xdr:colOff>
      <xdr:row>162</xdr:row>
      <xdr:rowOff>28575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41C90C3-874F-A2BD-C313-8D06FED6C770}"/>
            </a:ext>
            <a:ext uri="{147F2762-F138-4A5C-976F-8EAC2B608ADB}">
              <a16:predDERef xmlns:a16="http://schemas.microsoft.com/office/drawing/2014/main" pred="{0167A2B3-C314-0131-7AF8-7384C3532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211925" y="26317575"/>
          <a:ext cx="4572000" cy="4572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304800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59E4F9-0C72-E332-7A57-D2B655BC7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7</xdr:col>
      <xdr:colOff>514350</xdr:colOff>
      <xdr:row>0</xdr:row>
      <xdr:rowOff>0</xdr:rowOff>
    </xdr:from>
    <xdr:to>
      <xdr:col>15</xdr:col>
      <xdr:colOff>209550</xdr:colOff>
      <xdr:row>24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A317E5-3760-E47A-DAFB-CC69EF6BDAFA}"/>
            </a:ext>
            <a:ext uri="{147F2762-F138-4A5C-976F-8EAC2B608ADB}">
              <a16:predDERef xmlns:a16="http://schemas.microsoft.com/office/drawing/2014/main" pred="{9F59E4F9-0C72-E332-7A57-D2B655BC7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81550" y="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15</xdr:col>
      <xdr:colOff>438150</xdr:colOff>
      <xdr:row>0</xdr:row>
      <xdr:rowOff>0</xdr:rowOff>
    </xdr:from>
    <xdr:to>
      <xdr:col>23</xdr:col>
      <xdr:colOff>133350</xdr:colOff>
      <xdr:row>24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ED380B-91D7-507B-43BD-0A931B385FD9}"/>
            </a:ext>
            <a:ext uri="{147F2762-F138-4A5C-976F-8EAC2B608ADB}">
              <a16:predDERef xmlns:a16="http://schemas.microsoft.com/office/drawing/2014/main" pred="{77A317E5-3760-E47A-DAFB-CC69EF6BD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82150" y="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24</xdr:col>
      <xdr:colOff>342900</xdr:colOff>
      <xdr:row>0</xdr:row>
      <xdr:rowOff>0</xdr:rowOff>
    </xdr:from>
    <xdr:to>
      <xdr:col>32</xdr:col>
      <xdr:colOff>38100</xdr:colOff>
      <xdr:row>24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4E04EC-F847-34E9-AAB9-DE22C0B98F02}"/>
            </a:ext>
            <a:ext uri="{147F2762-F138-4A5C-976F-8EAC2B608ADB}">
              <a16:predDERef xmlns:a16="http://schemas.microsoft.com/office/drawing/2014/main" pred="{CEED380B-91D7-507B-43BD-0A931B385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973300" y="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95250</xdr:rowOff>
    </xdr:from>
    <xdr:to>
      <xdr:col>7</xdr:col>
      <xdr:colOff>304800</xdr:colOff>
      <xdr:row>49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BA92587-B30A-D7E5-67EA-280B08E94BBD}"/>
            </a:ext>
            <a:ext uri="{147F2762-F138-4A5C-976F-8EAC2B608ADB}">
              <a16:predDERef xmlns:a16="http://schemas.microsoft.com/office/drawing/2014/main" pred="{AC4E04EC-F847-34E9-AAB9-DE22C0B98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85775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7</xdr:col>
      <xdr:colOff>419100</xdr:colOff>
      <xdr:row>25</xdr:row>
      <xdr:rowOff>57150</xdr:rowOff>
    </xdr:from>
    <xdr:to>
      <xdr:col>15</xdr:col>
      <xdr:colOff>114300</xdr:colOff>
      <xdr:row>49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E9C921-B9A3-A0B3-FDD5-878B4E5242EE}"/>
            </a:ext>
            <a:ext uri="{147F2762-F138-4A5C-976F-8EAC2B608ADB}">
              <a16:predDERef xmlns:a16="http://schemas.microsoft.com/office/drawing/2014/main" pred="{4BA92587-B30A-D7E5-67EA-280B08E94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86300" y="481965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304800</xdr:colOff>
      <xdr:row>25</xdr:row>
      <xdr:rowOff>19050</xdr:rowOff>
    </xdr:from>
    <xdr:to>
      <xdr:col>23</xdr:col>
      <xdr:colOff>0</xdr:colOff>
      <xdr:row>49</xdr:row>
      <xdr:rowOff>19050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F3F4740-95F9-71CD-7003-4753C36A8E7C}"/>
            </a:ext>
            <a:ext uri="{147F2762-F138-4A5C-976F-8EAC2B608ADB}">
              <a16:predDERef xmlns:a16="http://schemas.microsoft.com/office/drawing/2014/main" pred="{64E9C921-B9A3-A0B3-FDD5-878B4E524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48800" y="478155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23</xdr:col>
      <xdr:colOff>57150</xdr:colOff>
      <xdr:row>25</xdr:row>
      <xdr:rowOff>57150</xdr:rowOff>
    </xdr:from>
    <xdr:to>
      <xdr:col>30</xdr:col>
      <xdr:colOff>361950</xdr:colOff>
      <xdr:row>49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707AF9-A847-1292-335C-B5140EEF5378}"/>
            </a:ext>
            <a:ext uri="{147F2762-F138-4A5C-976F-8EAC2B608ADB}">
              <a16:predDERef xmlns:a16="http://schemas.microsoft.com/office/drawing/2014/main" pred="{2F3F4740-95F9-71CD-7003-4753C36A8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77950" y="481965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95250</xdr:rowOff>
    </xdr:from>
    <xdr:to>
      <xdr:col>7</xdr:col>
      <xdr:colOff>304800</xdr:colOff>
      <xdr:row>74</xdr:row>
      <xdr:rowOff>95250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7124B0-84F8-E612-F88D-A61D5636EE05}"/>
            </a:ext>
            <a:ext uri="{147F2762-F138-4A5C-976F-8EAC2B608ADB}">
              <a16:predDERef xmlns:a16="http://schemas.microsoft.com/office/drawing/2014/main" pred="{0F707AF9-A847-1292-335C-B5140EEF5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62025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7</xdr:col>
      <xdr:colOff>495300</xdr:colOff>
      <xdr:row>50</xdr:row>
      <xdr:rowOff>76200</xdr:rowOff>
    </xdr:from>
    <xdr:to>
      <xdr:col>15</xdr:col>
      <xdr:colOff>190500</xdr:colOff>
      <xdr:row>74</xdr:row>
      <xdr:rowOff>76200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E35B1D-86E0-6DA3-D026-04735AB41AAB}"/>
            </a:ext>
            <a:ext uri="{147F2762-F138-4A5C-976F-8EAC2B608ADB}">
              <a16:predDERef xmlns:a16="http://schemas.microsoft.com/office/drawing/2014/main" pred="{507124B0-84F8-E612-F88D-A61D5636E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62500" y="960120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171450</xdr:colOff>
      <xdr:row>49</xdr:row>
      <xdr:rowOff>133350</xdr:rowOff>
    </xdr:from>
    <xdr:to>
      <xdr:col>22</xdr:col>
      <xdr:colOff>476250</xdr:colOff>
      <xdr:row>73</xdr:row>
      <xdr:rowOff>133350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FDCC118-85E3-C54A-CEBC-34B85C99269B}"/>
            </a:ext>
            <a:ext uri="{147F2762-F138-4A5C-976F-8EAC2B608ADB}">
              <a16:predDERef xmlns:a16="http://schemas.microsoft.com/office/drawing/2014/main" pred="{00E35B1D-86E0-6DA3-D026-04735AB4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15450" y="946785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22</xdr:col>
      <xdr:colOff>552450</xdr:colOff>
      <xdr:row>49</xdr:row>
      <xdr:rowOff>95250</xdr:rowOff>
    </xdr:from>
    <xdr:to>
      <xdr:col>30</xdr:col>
      <xdr:colOff>247650</xdr:colOff>
      <xdr:row>73</xdr:row>
      <xdr:rowOff>95250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820FA83-40E4-CF8B-3253-FEDCD1A517E9}"/>
            </a:ext>
            <a:ext uri="{147F2762-F138-4A5C-976F-8EAC2B608ADB}">
              <a16:predDERef xmlns:a16="http://schemas.microsoft.com/office/drawing/2014/main" pred="{BFDCC118-85E3-C54A-CEBC-34B85C992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963650" y="942975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114300</xdr:rowOff>
    </xdr:from>
    <xdr:to>
      <xdr:col>7</xdr:col>
      <xdr:colOff>304800</xdr:colOff>
      <xdr:row>100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D63C520-7021-9CB7-A0AE-3737EDCA9E28}"/>
            </a:ext>
            <a:ext uri="{147F2762-F138-4A5C-976F-8EAC2B608ADB}">
              <a16:predDERef xmlns:a16="http://schemas.microsoft.com/office/drawing/2014/main" pred="{2820FA83-40E4-CF8B-3253-FEDCD1A51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59230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7</xdr:col>
      <xdr:colOff>514350</xdr:colOff>
      <xdr:row>76</xdr:row>
      <xdr:rowOff>133350</xdr:rowOff>
    </xdr:from>
    <xdr:to>
      <xdr:col>15</xdr:col>
      <xdr:colOff>209550</xdr:colOff>
      <xdr:row>100</xdr:row>
      <xdr:rowOff>133350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37E22D-92F8-414A-CA7B-59FDBC9EE05C}"/>
            </a:ext>
            <a:ext uri="{147F2762-F138-4A5C-976F-8EAC2B608ADB}">
              <a16:predDERef xmlns:a16="http://schemas.microsoft.com/office/drawing/2014/main" pred="{8D63C520-7021-9CB7-A0AE-3737EDCA9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81550" y="1461135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15</xdr:col>
      <xdr:colOff>361950</xdr:colOff>
      <xdr:row>76</xdr:row>
      <xdr:rowOff>19050</xdr:rowOff>
    </xdr:from>
    <xdr:to>
      <xdr:col>23</xdr:col>
      <xdr:colOff>57150</xdr:colOff>
      <xdr:row>100</xdr:row>
      <xdr:rowOff>19050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64A54AD-C438-334F-E62A-1E7B6995E8BC}"/>
            </a:ext>
            <a:ext uri="{147F2762-F138-4A5C-976F-8EAC2B608ADB}">
              <a16:predDERef xmlns:a16="http://schemas.microsoft.com/office/drawing/2014/main" pred="{DE37E22D-92F8-414A-CA7B-59FDBC9EE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05950" y="1449705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23</xdr:col>
      <xdr:colOff>200025</xdr:colOff>
      <xdr:row>75</xdr:row>
      <xdr:rowOff>123825</xdr:rowOff>
    </xdr:from>
    <xdr:to>
      <xdr:col>30</xdr:col>
      <xdr:colOff>504825</xdr:colOff>
      <xdr:row>99</xdr:row>
      <xdr:rowOff>123825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28AB172-FFB7-2ED0-12A8-C85FE369D918}"/>
            </a:ext>
            <a:ext uri="{147F2762-F138-4A5C-976F-8EAC2B608ADB}">
              <a16:predDERef xmlns:a16="http://schemas.microsoft.com/office/drawing/2014/main" pred="{964A54AD-C438-334F-E62A-1E7B6995E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220825" y="14411325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95250</xdr:rowOff>
    </xdr:from>
    <xdr:to>
      <xdr:col>7</xdr:col>
      <xdr:colOff>304800</xdr:colOff>
      <xdr:row>125</xdr:row>
      <xdr:rowOff>95250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E0022E-FE3E-82A3-814B-8C5E197D6A36}"/>
            </a:ext>
            <a:ext uri="{147F2762-F138-4A5C-976F-8EAC2B608ADB}">
              <a16:predDERef xmlns:a16="http://schemas.microsoft.com/office/drawing/2014/main" pred="{428AB172-FFB7-2ED0-12A8-C85FE369D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933575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7</xdr:col>
      <xdr:colOff>590550</xdr:colOff>
      <xdr:row>101</xdr:row>
      <xdr:rowOff>152400</xdr:rowOff>
    </xdr:from>
    <xdr:to>
      <xdr:col>15</xdr:col>
      <xdr:colOff>285750</xdr:colOff>
      <xdr:row>125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CCFD498-FF03-3B6E-3762-5F825C2AA835}"/>
            </a:ext>
            <a:ext uri="{147F2762-F138-4A5C-976F-8EAC2B608ADB}">
              <a16:predDERef xmlns:a16="http://schemas.microsoft.com/office/drawing/2014/main" pred="{F8E0022E-FE3E-82A3-814B-8C5E197D6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57750" y="1939290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15</xdr:col>
      <xdr:colOff>266700</xdr:colOff>
      <xdr:row>101</xdr:row>
      <xdr:rowOff>95250</xdr:rowOff>
    </xdr:from>
    <xdr:to>
      <xdr:col>22</xdr:col>
      <xdr:colOff>571500</xdr:colOff>
      <xdr:row>125</xdr:row>
      <xdr:rowOff>95250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3C7DE37-4F1F-BD7F-E40D-C8D1A5B0AD4C}"/>
            </a:ext>
            <a:ext uri="{147F2762-F138-4A5C-976F-8EAC2B608ADB}">
              <a16:predDERef xmlns:a16="http://schemas.microsoft.com/office/drawing/2014/main" pred="{2CCFD498-FF03-3B6E-3762-5F825C2AA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10700" y="1933575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24</xdr:col>
      <xdr:colOff>323850</xdr:colOff>
      <xdr:row>100</xdr:row>
      <xdr:rowOff>180975</xdr:rowOff>
    </xdr:from>
    <xdr:to>
      <xdr:col>32</xdr:col>
      <xdr:colOff>19050</xdr:colOff>
      <xdr:row>124</xdr:row>
      <xdr:rowOff>180975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5C61182-E8D5-ACA2-0B76-338DE4B04AFA}"/>
            </a:ext>
            <a:ext uri="{147F2762-F138-4A5C-976F-8EAC2B608ADB}">
              <a16:predDERef xmlns:a16="http://schemas.microsoft.com/office/drawing/2014/main" pred="{F3C7DE37-4F1F-BD7F-E40D-C8D1A5B0A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954250" y="19230975"/>
          <a:ext cx="4572000" cy="4572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643618</xdr:colOff>
      <xdr:row>5</xdr:row>
      <xdr:rowOff>174625</xdr:rowOff>
    </xdr:from>
    <xdr:to>
      <xdr:col>12</xdr:col>
      <xdr:colOff>279400</xdr:colOff>
      <xdr:row>20</xdr:row>
      <xdr:rowOff>58057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4D9D31-560F-F369-E12E-7C0F4E6E1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1138464"/>
          <a:ext cx="4987925" cy="2774950"/>
        </a:xfrm>
        <a:prstGeom prst="rect">
          <a:avLst/>
        </a:prstGeom>
      </xdr:spPr>
    </xdr:pic>
    <xdr:clientData/>
  </xdr:twoCellAnchor>
  <xdr:twoCellAnchor>
    <xdr:from>
      <xdr:col>10</xdr:col>
      <xdr:colOff>582839</xdr:colOff>
      <xdr:row>21</xdr:row>
      <xdr:rowOff>23132</xdr:rowOff>
    </xdr:from>
    <xdr:to>
      <xdr:col>17</xdr:col>
      <xdr:colOff>471714</xdr:colOff>
      <xdr:row>35</xdr:row>
      <xdr:rowOff>67582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ABF8C6-02CF-5447-B523-C3A500344451}"/>
            </a:ext>
            <a:ext uri="{147F2762-F138-4A5C-976F-8EAC2B608ADB}">
              <a16:predDERef xmlns:a16="http://schemas.microsoft.com/office/drawing/2014/main" pred="{1F4D9D31-560F-F369-E12E-7C0F4E6E17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304800</xdr:colOff>
      <xdr:row>24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41AB2C-52E0-1EBD-9A37-AD64303A8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0</xdr:row>
      <xdr:rowOff>0</xdr:rowOff>
    </xdr:from>
    <xdr:to>
      <xdr:col>15</xdr:col>
      <xdr:colOff>247650</xdr:colOff>
      <xdr:row>24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BB8F6D-AB31-DDEF-9DB8-D178E19D008C}"/>
            </a:ext>
            <a:ext uri="{147F2762-F138-4A5C-976F-8EAC2B608ADB}">
              <a16:predDERef xmlns:a16="http://schemas.microsoft.com/office/drawing/2014/main" pred="{2941AB2C-52E0-1EBD-9A37-AD64303A8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19650" y="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15</xdr:col>
      <xdr:colOff>228600</xdr:colOff>
      <xdr:row>0</xdr:row>
      <xdr:rowOff>0</xdr:rowOff>
    </xdr:from>
    <xdr:to>
      <xdr:col>22</xdr:col>
      <xdr:colOff>533400</xdr:colOff>
      <xdr:row>24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B120E23-FF2C-4376-2DEF-4573792ECC7C}"/>
            </a:ext>
            <a:ext uri="{147F2762-F138-4A5C-976F-8EAC2B608ADB}">
              <a16:predDERef xmlns:a16="http://schemas.microsoft.com/office/drawing/2014/main" pred="{39BB8F6D-AB31-DDEF-9DB8-D178E19D0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72600" y="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23</xdr:col>
      <xdr:colOff>133350</xdr:colOff>
      <xdr:row>0</xdr:row>
      <xdr:rowOff>0</xdr:rowOff>
    </xdr:from>
    <xdr:to>
      <xdr:col>30</xdr:col>
      <xdr:colOff>438150</xdr:colOff>
      <xdr:row>24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C7D0E7C-EFDD-2763-6077-3C30213D53B7}"/>
            </a:ext>
            <a:ext uri="{147F2762-F138-4A5C-976F-8EAC2B608ADB}">
              <a16:predDERef xmlns:a16="http://schemas.microsoft.com/office/drawing/2014/main" pred="{DB120E23-FF2C-4376-2DEF-4573792EC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154150" y="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123825</xdr:rowOff>
    </xdr:from>
    <xdr:to>
      <xdr:col>7</xdr:col>
      <xdr:colOff>304800</xdr:colOff>
      <xdr:row>49</xdr:row>
      <xdr:rowOff>123825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31E309F-508C-B71C-CC5B-00F3D58D9916}"/>
            </a:ext>
            <a:ext uri="{147F2762-F138-4A5C-976F-8EAC2B608ADB}">
              <a16:predDERef xmlns:a16="http://schemas.microsoft.com/office/drawing/2014/main" pred="{1C7D0E7C-EFDD-2763-6077-3C30213D5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886325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7</xdr:col>
      <xdr:colOff>419100</xdr:colOff>
      <xdr:row>25</xdr:row>
      <xdr:rowOff>123825</xdr:rowOff>
    </xdr:from>
    <xdr:to>
      <xdr:col>15</xdr:col>
      <xdr:colOff>114300</xdr:colOff>
      <xdr:row>49</xdr:row>
      <xdr:rowOff>123825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67F26F-6379-A6DE-8793-42FBE2DED64B}"/>
            </a:ext>
            <a:ext uri="{147F2762-F138-4A5C-976F-8EAC2B608ADB}">
              <a16:predDERef xmlns:a16="http://schemas.microsoft.com/office/drawing/2014/main" pred="{131E309F-508C-B71C-CC5B-00F3D58D9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86300" y="4886325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15</xdr:col>
      <xdr:colOff>257175</xdr:colOff>
      <xdr:row>25</xdr:row>
      <xdr:rowOff>28575</xdr:rowOff>
    </xdr:from>
    <xdr:to>
      <xdr:col>22</xdr:col>
      <xdr:colOff>561975</xdr:colOff>
      <xdr:row>49</xdr:row>
      <xdr:rowOff>28575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9CFD1BF-E3FC-7091-368E-71C53F781647}"/>
            </a:ext>
            <a:ext uri="{147F2762-F138-4A5C-976F-8EAC2B608ADB}">
              <a16:predDERef xmlns:a16="http://schemas.microsoft.com/office/drawing/2014/main" pred="{5967F26F-6379-A6DE-8793-42FBE2DED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01175" y="4791075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30</xdr:col>
      <xdr:colOff>466725</xdr:colOff>
      <xdr:row>25</xdr:row>
      <xdr:rowOff>28575</xdr:rowOff>
    </xdr:from>
    <xdr:to>
      <xdr:col>38</xdr:col>
      <xdr:colOff>161925</xdr:colOff>
      <xdr:row>49</xdr:row>
      <xdr:rowOff>28575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CDB3A0D-9404-925A-D145-7FC8D324BD98}"/>
            </a:ext>
            <a:ext uri="{147F2762-F138-4A5C-976F-8EAC2B608ADB}">
              <a16:predDERef xmlns:a16="http://schemas.microsoft.com/office/drawing/2014/main" pred="{69CFD1BF-E3FC-7091-368E-71C53F781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754725" y="4791075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114300</xdr:rowOff>
    </xdr:from>
    <xdr:to>
      <xdr:col>7</xdr:col>
      <xdr:colOff>304800</xdr:colOff>
      <xdr:row>74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BAA1C2B-6699-D8AA-9562-84BA1B528C23}"/>
            </a:ext>
            <a:ext uri="{147F2762-F138-4A5C-976F-8EAC2B608ADB}">
              <a16:predDERef xmlns:a16="http://schemas.microsoft.com/office/drawing/2014/main" pred="{5CDB3A0D-9404-925A-D145-7FC8D324B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63930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476250</xdr:colOff>
      <xdr:row>50</xdr:row>
      <xdr:rowOff>114300</xdr:rowOff>
    </xdr:from>
    <xdr:to>
      <xdr:col>15</xdr:col>
      <xdr:colOff>171450</xdr:colOff>
      <xdr:row>74</xdr:row>
      <xdr:rowOff>114300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5CC9C09-14AB-5342-CB3A-E4828D0547FE}"/>
            </a:ext>
            <a:ext uri="{147F2762-F138-4A5C-976F-8EAC2B608ADB}">
              <a16:predDERef xmlns:a16="http://schemas.microsoft.com/office/drawing/2014/main" pred="{9BAA1C2B-6699-D8AA-9562-84BA1B528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43450" y="963930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15</xdr:col>
      <xdr:colOff>200025</xdr:colOff>
      <xdr:row>50</xdr:row>
      <xdr:rowOff>142875</xdr:rowOff>
    </xdr:from>
    <xdr:to>
      <xdr:col>22</xdr:col>
      <xdr:colOff>504825</xdr:colOff>
      <xdr:row>74</xdr:row>
      <xdr:rowOff>142875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82F6DFE-FDC1-D265-DE2B-156ECEFAF6CC}"/>
            </a:ext>
            <a:ext uri="{147F2762-F138-4A5C-976F-8EAC2B608ADB}">
              <a16:predDERef xmlns:a16="http://schemas.microsoft.com/office/drawing/2014/main" pred="{95CC9C09-14AB-5342-CB3A-E4828D054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44025" y="9667875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30</xdr:col>
      <xdr:colOff>600075</xdr:colOff>
      <xdr:row>60</xdr:row>
      <xdr:rowOff>142875</xdr:rowOff>
    </xdr:from>
    <xdr:to>
      <xdr:col>38</xdr:col>
      <xdr:colOff>295275</xdr:colOff>
      <xdr:row>84</xdr:row>
      <xdr:rowOff>142875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F307DC2-2CCD-C72C-CAA8-0B16BBA6AB13}"/>
            </a:ext>
            <a:ext uri="{147F2762-F138-4A5C-976F-8EAC2B608ADB}">
              <a16:predDERef xmlns:a16="http://schemas.microsoft.com/office/drawing/2014/main" pred="{E82F6DFE-FDC1-D265-DE2B-156ECEFAF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888075" y="11572875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7</xdr:col>
      <xdr:colOff>304800</xdr:colOff>
      <xdr:row>114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770458E-2CB6-D930-82B0-B86180494E50}"/>
            </a:ext>
            <a:ext uri="{147F2762-F138-4A5C-976F-8EAC2B608ADB}">
              <a16:predDERef xmlns:a16="http://schemas.microsoft.com/office/drawing/2014/main" pred="{BF307DC2-2CCD-C72C-CAA8-0B16BBA6A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714500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89</xdr:row>
      <xdr:rowOff>47625</xdr:rowOff>
    </xdr:from>
    <xdr:to>
      <xdr:col>15</xdr:col>
      <xdr:colOff>323850</xdr:colOff>
      <xdr:row>113</xdr:row>
      <xdr:rowOff>47625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1182D9E-8760-8E35-F177-287110C4C971}"/>
            </a:ext>
            <a:ext uri="{147F2762-F138-4A5C-976F-8EAC2B608ADB}">
              <a16:predDERef xmlns:a16="http://schemas.microsoft.com/office/drawing/2014/main" pred="{6770458E-2CB6-D930-82B0-B86180494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95850" y="17002125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15</xdr:col>
      <xdr:colOff>457200</xdr:colOff>
      <xdr:row>90</xdr:row>
      <xdr:rowOff>47625</xdr:rowOff>
    </xdr:from>
    <xdr:to>
      <xdr:col>23</xdr:col>
      <xdr:colOff>152400</xdr:colOff>
      <xdr:row>114</xdr:row>
      <xdr:rowOff>47625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2219D53-3EF4-020C-ADB5-47DFD810D524}"/>
            </a:ext>
            <a:ext uri="{147F2762-F138-4A5C-976F-8EAC2B608ADB}">
              <a16:predDERef xmlns:a16="http://schemas.microsoft.com/office/drawing/2014/main" pred="{C1182D9E-8760-8E35-F177-287110C4C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601200" y="17192625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23</xdr:col>
      <xdr:colOff>295275</xdr:colOff>
      <xdr:row>80</xdr:row>
      <xdr:rowOff>66675</xdr:rowOff>
    </xdr:from>
    <xdr:to>
      <xdr:col>31</xdr:col>
      <xdr:colOff>0</xdr:colOff>
      <xdr:row>104</xdr:row>
      <xdr:rowOff>66675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772A684-BE02-117A-366C-F6AB8840398C}"/>
            </a:ext>
            <a:ext uri="{147F2762-F138-4A5C-976F-8EAC2B608ADB}">
              <a16:predDERef xmlns:a16="http://schemas.microsoft.com/office/drawing/2014/main" pred="{E2219D53-3EF4-020C-ADB5-47DFD810D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316075" y="15306675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121</xdr:row>
      <xdr:rowOff>38100</xdr:rowOff>
    </xdr:from>
    <xdr:to>
      <xdr:col>7</xdr:col>
      <xdr:colOff>409575</xdr:colOff>
      <xdr:row>145</xdr:row>
      <xdr:rowOff>38100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048522A-A0A2-F245-9DFE-1187FE66CF54}"/>
            </a:ext>
            <a:ext uri="{147F2762-F138-4A5C-976F-8EAC2B608ADB}">
              <a16:predDERef xmlns:a16="http://schemas.microsoft.com/office/drawing/2014/main" pred="{3772A684-BE02-117A-366C-F6AB88403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4775" y="2308860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121</xdr:row>
      <xdr:rowOff>85725</xdr:rowOff>
    </xdr:from>
    <xdr:to>
      <xdr:col>15</xdr:col>
      <xdr:colOff>219075</xdr:colOff>
      <xdr:row>145</xdr:row>
      <xdr:rowOff>85725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4D9330F-9FC1-80B6-2C33-65C35211380A}"/>
            </a:ext>
            <a:ext uri="{147F2762-F138-4A5C-976F-8EAC2B608ADB}">
              <a16:predDERef xmlns:a16="http://schemas.microsoft.com/office/drawing/2014/main" pred="{4048522A-A0A2-F245-9DFE-1187FE66C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791075" y="23136225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15</xdr:col>
      <xdr:colOff>561975</xdr:colOff>
      <xdr:row>122</xdr:row>
      <xdr:rowOff>104775</xdr:rowOff>
    </xdr:from>
    <xdr:to>
      <xdr:col>23</xdr:col>
      <xdr:colOff>257175</xdr:colOff>
      <xdr:row>146</xdr:row>
      <xdr:rowOff>104775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A545023-5CA2-6FFC-83FF-9BC298F656BB}"/>
            </a:ext>
            <a:ext uri="{147F2762-F138-4A5C-976F-8EAC2B608ADB}">
              <a16:predDERef xmlns:a16="http://schemas.microsoft.com/office/drawing/2014/main" pred="{74D9330F-9FC1-80B6-2C33-65C352113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705975" y="23345775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31</xdr:col>
      <xdr:colOff>304800</xdr:colOff>
      <xdr:row>123</xdr:row>
      <xdr:rowOff>38100</xdr:rowOff>
    </xdr:from>
    <xdr:to>
      <xdr:col>39</xdr:col>
      <xdr:colOff>0</xdr:colOff>
      <xdr:row>147</xdr:row>
      <xdr:rowOff>38100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24E9C90-DCE5-6C13-F545-9C0EF4F9313F}"/>
            </a:ext>
            <a:ext uri="{147F2762-F138-4A5C-976F-8EAC2B608ADB}">
              <a16:predDERef xmlns:a16="http://schemas.microsoft.com/office/drawing/2014/main" pred="{1A545023-5CA2-6FFC-83FF-9BC298F65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202400" y="23469600"/>
          <a:ext cx="4572000" cy="4572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304800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79955F-9719-2306-BBA5-A21F50346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7</xdr:col>
      <xdr:colOff>342900</xdr:colOff>
      <xdr:row>0</xdr:row>
      <xdr:rowOff>0</xdr:rowOff>
    </xdr:from>
    <xdr:to>
      <xdr:col>15</xdr:col>
      <xdr:colOff>38100</xdr:colOff>
      <xdr:row>24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D39FD9-87F3-BF52-E5A4-BF87A4D946F4}"/>
            </a:ext>
            <a:ext uri="{147F2762-F138-4A5C-976F-8EAC2B608ADB}">
              <a16:predDERef xmlns:a16="http://schemas.microsoft.com/office/drawing/2014/main" pred="{8879955F-9719-2306-BBA5-A21F50346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10100" y="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571500</xdr:colOff>
      <xdr:row>0</xdr:row>
      <xdr:rowOff>0</xdr:rowOff>
    </xdr:from>
    <xdr:to>
      <xdr:col>22</xdr:col>
      <xdr:colOff>266700</xdr:colOff>
      <xdr:row>24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3678EA3-8D6A-EF29-7EE4-04DF91B491EE}"/>
            </a:ext>
            <a:ext uri="{147F2762-F138-4A5C-976F-8EAC2B608ADB}">
              <a16:predDERef xmlns:a16="http://schemas.microsoft.com/office/drawing/2014/main" pred="{A4D39FD9-87F3-BF52-E5A4-BF87A4D94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05900" y="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22</xdr:col>
      <xdr:colOff>114300</xdr:colOff>
      <xdr:row>0</xdr:row>
      <xdr:rowOff>0</xdr:rowOff>
    </xdr:from>
    <xdr:to>
      <xdr:col>29</xdr:col>
      <xdr:colOff>419100</xdr:colOff>
      <xdr:row>24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6724EF-2666-B767-D1B2-0622AD1DAD72}"/>
            </a:ext>
            <a:ext uri="{147F2762-F138-4A5C-976F-8EAC2B608ADB}">
              <a16:predDERef xmlns:a16="http://schemas.microsoft.com/office/drawing/2014/main" pred="{93678EA3-8D6A-EF29-7EE4-04DF91B49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25500" y="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7</xdr:col>
      <xdr:colOff>304800</xdr:colOff>
      <xdr:row>49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3A7AF26-0835-0850-E015-2D311BD6BC08}"/>
            </a:ext>
            <a:ext uri="{147F2762-F138-4A5C-976F-8EAC2B608ADB}">
              <a16:predDERef xmlns:a16="http://schemas.microsoft.com/office/drawing/2014/main" pred="{CA6724EF-2666-B767-D1B2-0622AD1DA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76250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25</xdr:row>
      <xdr:rowOff>0</xdr:rowOff>
    </xdr:from>
    <xdr:to>
      <xdr:col>14</xdr:col>
      <xdr:colOff>495300</xdr:colOff>
      <xdr:row>49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12255A2-562B-959E-F964-981CEEB95272}"/>
            </a:ext>
            <a:ext uri="{147F2762-F138-4A5C-976F-8EAC2B608ADB}">
              <a16:predDERef xmlns:a16="http://schemas.microsoft.com/office/drawing/2014/main" pred="{A3A7AF26-0835-0850-E015-2D311BD6B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57700" y="476250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457200</xdr:colOff>
      <xdr:row>24</xdr:row>
      <xdr:rowOff>152400</xdr:rowOff>
    </xdr:from>
    <xdr:to>
      <xdr:col>22</xdr:col>
      <xdr:colOff>152400</xdr:colOff>
      <xdr:row>48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511BD47-3BB2-FC5B-58F8-9C457B4E30F3}"/>
            </a:ext>
            <a:ext uri="{147F2762-F138-4A5C-976F-8EAC2B608ADB}">
              <a16:predDERef xmlns:a16="http://schemas.microsoft.com/office/drawing/2014/main" pred="{012255A2-562B-959E-F964-981CEEB95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91600" y="472440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21</xdr:col>
      <xdr:colOff>457200</xdr:colOff>
      <xdr:row>24</xdr:row>
      <xdr:rowOff>114300</xdr:rowOff>
    </xdr:from>
    <xdr:to>
      <xdr:col>29</xdr:col>
      <xdr:colOff>152400</xdr:colOff>
      <xdr:row>48</xdr:row>
      <xdr:rowOff>114300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B240380-DA1D-4D14-9EDB-017ED1DFE3A8}"/>
            </a:ext>
            <a:ext uri="{147F2762-F138-4A5C-976F-8EAC2B608ADB}">
              <a16:predDERef xmlns:a16="http://schemas.microsoft.com/office/drawing/2014/main" pred="{2511BD47-3BB2-FC5B-58F8-9C457B4E3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258800" y="468630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114300</xdr:rowOff>
    </xdr:from>
    <xdr:to>
      <xdr:col>7</xdr:col>
      <xdr:colOff>304800</xdr:colOff>
      <xdr:row>73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9070524-215D-08DD-3DD6-18DFE8ABADCC}"/>
            </a:ext>
            <a:ext uri="{147F2762-F138-4A5C-976F-8EAC2B608ADB}">
              <a16:predDERef xmlns:a16="http://schemas.microsoft.com/office/drawing/2014/main" pred="{6B240380-DA1D-4D14-9EDB-017ED1DFE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44880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49</xdr:row>
      <xdr:rowOff>152400</xdr:rowOff>
    </xdr:from>
    <xdr:to>
      <xdr:col>14</xdr:col>
      <xdr:colOff>533400</xdr:colOff>
      <xdr:row>73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704A57E-D18D-9642-CD3A-530515FB127D}"/>
            </a:ext>
            <a:ext uri="{147F2762-F138-4A5C-976F-8EAC2B608ADB}">
              <a16:predDERef xmlns:a16="http://schemas.microsoft.com/office/drawing/2014/main" pred="{D9070524-215D-08DD-3DD6-18DFE8ABA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495800" y="948690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14</xdr:col>
      <xdr:colOff>342900</xdr:colOff>
      <xdr:row>50</xdr:row>
      <xdr:rowOff>0</xdr:rowOff>
    </xdr:from>
    <xdr:to>
      <xdr:col>22</xdr:col>
      <xdr:colOff>38100</xdr:colOff>
      <xdr:row>74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DC72122-ABE3-115D-0903-028E8F381F10}"/>
            </a:ext>
            <a:ext uri="{147F2762-F138-4A5C-976F-8EAC2B608ADB}">
              <a16:predDERef xmlns:a16="http://schemas.microsoft.com/office/drawing/2014/main" pred="{A704A57E-D18D-9642-CD3A-530515FB1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77300" y="952500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21</xdr:col>
      <xdr:colOff>342900</xdr:colOff>
      <xdr:row>50</xdr:row>
      <xdr:rowOff>0</xdr:rowOff>
    </xdr:from>
    <xdr:to>
      <xdr:col>29</xdr:col>
      <xdr:colOff>38100</xdr:colOff>
      <xdr:row>74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E909428-7A44-EFDA-81D2-335EAA5AF7DE}"/>
            </a:ext>
            <a:ext uri="{147F2762-F138-4A5C-976F-8EAC2B608ADB}">
              <a16:predDERef xmlns:a16="http://schemas.microsoft.com/office/drawing/2014/main" pred="{BDC72122-ABE3-115D-0903-028E8F381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44500" y="952500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38100</xdr:rowOff>
    </xdr:from>
    <xdr:to>
      <xdr:col>7</xdr:col>
      <xdr:colOff>304800</xdr:colOff>
      <xdr:row>99</xdr:row>
      <xdr:rowOff>38100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CBD2F0-2F68-2E64-E5F0-B8D7BE445317}"/>
            </a:ext>
            <a:ext uri="{147F2762-F138-4A5C-976F-8EAC2B608ADB}">
              <a16:predDERef xmlns:a16="http://schemas.microsoft.com/office/drawing/2014/main" pred="{3E909428-7A44-EFDA-81D2-335EAA5AF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32560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74</xdr:row>
      <xdr:rowOff>152400</xdr:rowOff>
    </xdr:from>
    <xdr:to>
      <xdr:col>14</xdr:col>
      <xdr:colOff>571500</xdr:colOff>
      <xdr:row>98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2D992CF-102D-C2B8-43CC-D73179E885AA}"/>
            </a:ext>
            <a:ext uri="{147F2762-F138-4A5C-976F-8EAC2B608ADB}">
              <a16:predDERef xmlns:a16="http://schemas.microsoft.com/office/drawing/2014/main" pred="{75CBD2F0-2F68-2E64-E5F0-B8D7BE445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533900" y="1424940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14</xdr:col>
      <xdr:colOff>419100</xdr:colOff>
      <xdr:row>75</xdr:row>
      <xdr:rowOff>152400</xdr:rowOff>
    </xdr:from>
    <xdr:to>
      <xdr:col>22</xdr:col>
      <xdr:colOff>114300</xdr:colOff>
      <xdr:row>99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6BB544-EA22-FCD3-457F-7AD0C90CA42F}"/>
            </a:ext>
            <a:ext uri="{147F2762-F138-4A5C-976F-8EAC2B608ADB}">
              <a16:predDERef xmlns:a16="http://schemas.microsoft.com/office/drawing/2014/main" pred="{82D992CF-102D-C2B8-43CC-D73179E88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53500" y="1443990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21</xdr:col>
      <xdr:colOff>457200</xdr:colOff>
      <xdr:row>76</xdr:row>
      <xdr:rowOff>0</xdr:rowOff>
    </xdr:from>
    <xdr:to>
      <xdr:col>29</xdr:col>
      <xdr:colOff>152400</xdr:colOff>
      <xdr:row>100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DCE0E39-53D9-B9EF-E8D7-0343FD5497CD}"/>
            </a:ext>
            <a:ext uri="{147F2762-F138-4A5C-976F-8EAC2B608ADB}">
              <a16:predDERef xmlns:a16="http://schemas.microsoft.com/office/drawing/2014/main" pred="{FE6BB544-EA22-FCD3-457F-7AD0C90CA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258800" y="1447800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114300</xdr:rowOff>
    </xdr:from>
    <xdr:to>
      <xdr:col>7</xdr:col>
      <xdr:colOff>304800</xdr:colOff>
      <xdr:row>124</xdr:row>
      <xdr:rowOff>114300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1FFA6F6-6346-DA1C-C5E0-CFF84B6F981A}"/>
            </a:ext>
            <a:ext uri="{147F2762-F138-4A5C-976F-8EAC2B608ADB}">
              <a16:predDERef xmlns:a16="http://schemas.microsoft.com/office/drawing/2014/main" pred="{4DCE0E39-53D9-B9EF-E8D7-0343FD549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916430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101</xdr:row>
      <xdr:rowOff>0</xdr:rowOff>
    </xdr:from>
    <xdr:to>
      <xdr:col>14</xdr:col>
      <xdr:colOff>495300</xdr:colOff>
      <xdr:row>125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A2FB87-D2F4-8429-C486-0374E6390156}"/>
            </a:ext>
            <a:ext uri="{147F2762-F138-4A5C-976F-8EAC2B608ADB}">
              <a16:predDERef xmlns:a16="http://schemas.microsoft.com/office/drawing/2014/main" pred="{51FFA6F6-6346-DA1C-C5E0-CFF84B6F9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57700" y="1924050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14</xdr:col>
      <xdr:colOff>266700</xdr:colOff>
      <xdr:row>100</xdr:row>
      <xdr:rowOff>114300</xdr:rowOff>
    </xdr:from>
    <xdr:to>
      <xdr:col>21</xdr:col>
      <xdr:colOff>571500</xdr:colOff>
      <xdr:row>124</xdr:row>
      <xdr:rowOff>114300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BB3E84B-CF7E-52CB-DE0A-1849F616E86D}"/>
            </a:ext>
            <a:ext uri="{147F2762-F138-4A5C-976F-8EAC2B608ADB}">
              <a16:predDERef xmlns:a16="http://schemas.microsoft.com/office/drawing/2014/main" pred="{91A2FB87-D2F4-8429-C486-0374E6390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01100" y="19164300"/>
          <a:ext cx="4572000" cy="4572000"/>
        </a:xfrm>
        <a:prstGeom prst="rect">
          <a:avLst/>
        </a:prstGeom>
      </xdr:spPr>
    </xdr:pic>
    <xdr:clientData/>
  </xdr:twoCellAnchor>
  <xdr:twoCellAnchor editAs="oneCell">
    <xdr:from>
      <xdr:col>21</xdr:col>
      <xdr:colOff>495300</xdr:colOff>
      <xdr:row>101</xdr:row>
      <xdr:rowOff>38100</xdr:rowOff>
    </xdr:from>
    <xdr:to>
      <xdr:col>29</xdr:col>
      <xdr:colOff>190500</xdr:colOff>
      <xdr:row>125</xdr:row>
      <xdr:rowOff>38100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820C14-BA17-5D68-26B2-1703C6F03337}"/>
            </a:ext>
            <a:ext uri="{147F2762-F138-4A5C-976F-8EAC2B608ADB}">
              <a16:predDERef xmlns:a16="http://schemas.microsoft.com/office/drawing/2014/main" pred="{4BB3E84B-CF7E-52CB-DE0A-1849F616E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296900" y="19278600"/>
          <a:ext cx="4572000" cy="4572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619125</xdr:colOff>
      <xdr:row>20</xdr:row>
      <xdr:rowOff>0</xdr:rowOff>
    </xdr:from>
    <xdr:to>
      <xdr:col>13</xdr:col>
      <xdr:colOff>514350</xdr:colOff>
      <xdr:row>34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57A08D-7068-0F63-E810-2F4BB3DA5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77275" y="3810000"/>
          <a:ext cx="4572000" cy="27432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104775</xdr:colOff>
      <xdr:row>0</xdr:row>
      <xdr:rowOff>0</xdr:rowOff>
    </xdr:from>
    <xdr:to>
      <xdr:col>12</xdr:col>
      <xdr:colOff>409575</xdr:colOff>
      <xdr:row>14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17B3A42-A5D1-A65B-1289-EE31CBDBB712}"/>
            </a:ext>
            <a:ext uri="{147F2762-F138-4A5C-976F-8EAC2B608ADB}">
              <a16:predDERef xmlns:a16="http://schemas.microsoft.com/office/drawing/2014/main" pred="{539217CC-9048-DB31-4B12-32ED8023B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52775" y="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18</xdr:col>
      <xdr:colOff>76200</xdr:colOff>
      <xdr:row>0</xdr:row>
      <xdr:rowOff>0</xdr:rowOff>
    </xdr:from>
    <xdr:to>
      <xdr:col>25</xdr:col>
      <xdr:colOff>381000</xdr:colOff>
      <xdr:row>14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9E5AE87-D192-2A7A-2F81-7FD1B3378277}"/>
            </a:ext>
            <a:ext uri="{147F2762-F138-4A5C-976F-8EAC2B608ADB}">
              <a16:predDERef xmlns:a16="http://schemas.microsoft.com/office/drawing/2014/main" pred="{BDF1C18A-71CD-277F-9DF8-BA2DCCD8C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0" y="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31</xdr:col>
      <xdr:colOff>57150</xdr:colOff>
      <xdr:row>0</xdr:row>
      <xdr:rowOff>0</xdr:rowOff>
    </xdr:from>
    <xdr:to>
      <xdr:col>38</xdr:col>
      <xdr:colOff>361950</xdr:colOff>
      <xdr:row>14</xdr:row>
      <xdr:rowOff>76200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5576B11-27DD-7325-75EB-4FE616D173CC}"/>
            </a:ext>
            <a:ext uri="{147F2762-F138-4A5C-976F-8EAC2B608ADB}">
              <a16:predDERef xmlns:a16="http://schemas.microsoft.com/office/drawing/2014/main" pred="{16E8D7BD-8656-04E5-1DEC-B45B3111E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954750" y="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14</xdr:row>
      <xdr:rowOff>123825</xdr:rowOff>
    </xdr:from>
    <xdr:to>
      <xdr:col>12</xdr:col>
      <xdr:colOff>400050</xdr:colOff>
      <xdr:row>29</xdr:row>
      <xdr:rowOff>9525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03BFF64-45C5-796C-8829-ABABAD95E78C}"/>
            </a:ext>
            <a:ext uri="{147F2762-F138-4A5C-976F-8EAC2B608ADB}">
              <a16:predDERef xmlns:a16="http://schemas.microsoft.com/office/drawing/2014/main" pred="{FD635B59-69D5-D018-FF6C-E715832CD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43250" y="2790825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31</xdr:col>
      <xdr:colOff>57150</xdr:colOff>
      <xdr:row>14</xdr:row>
      <xdr:rowOff>76200</xdr:rowOff>
    </xdr:from>
    <xdr:to>
      <xdr:col>38</xdr:col>
      <xdr:colOff>361950</xdr:colOff>
      <xdr:row>28</xdr:row>
      <xdr:rowOff>152400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D8CBD67-293A-8B06-CB47-B7E6BA11F2DA}"/>
            </a:ext>
            <a:ext uri="{147F2762-F138-4A5C-976F-8EAC2B608ADB}">
              <a16:predDERef xmlns:a16="http://schemas.microsoft.com/office/drawing/2014/main" pred="{6D337337-0887-992E-CE94-890032F11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954750" y="27432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18</xdr:col>
      <xdr:colOff>85725</xdr:colOff>
      <xdr:row>14</xdr:row>
      <xdr:rowOff>104775</xdr:rowOff>
    </xdr:from>
    <xdr:to>
      <xdr:col>25</xdr:col>
      <xdr:colOff>390525</xdr:colOff>
      <xdr:row>28</xdr:row>
      <xdr:rowOff>180975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5B7C78E-65D8-2FCE-0279-7B7CF09D1EE7}"/>
            </a:ext>
            <a:ext uri="{147F2762-F138-4A5C-976F-8EAC2B608ADB}">
              <a16:predDERef xmlns:a16="http://schemas.microsoft.com/office/drawing/2014/main" pred="{6D8CBD67-293A-8B06-CB47-B7E6BA11F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58525" y="2771775"/>
          <a:ext cx="4572000" cy="27432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1231DE-2495-4AE8-AABA-C0A7C0A2D6A3}" name="Table1" displayName="Table1" ref="A1:G46" totalsRowShown="0" dataDxfId="6">
  <autoFilter ref="A1:G46" xr:uid="{551231DE-2495-4AE8-AABA-C0A7C0A2D6A3}"/>
  <tableColumns count="7">
    <tableColumn id="1" xr3:uid="{F0E04F55-431B-4401-9CF7-1641A6D0B2D8}" name="Date" dataDxfId="5"/>
    <tableColumn id="2" xr3:uid="{9CFEAA06-A7F7-4488-B5CC-93524868824D}" name="File" dataDxfId="4"/>
    <tableColumn id="3" xr3:uid="{99D188F7-CD06-4BF7-B6B6-4C5E1778E2EC}" name="Trial Day" dataDxfId="3"/>
    <tableColumn id="4" xr3:uid="{D68B6642-A22E-4E3F-8482-26A9B0276F72}" name="Circumin"/>
    <tableColumn id="5" xr3:uid="{4CA25D9E-BD41-4357-810A-65035047E724}" name="Viability" dataDxfId="2"/>
    <tableColumn id="6" xr3:uid="{8F67F701-11F9-4626-8E98-3128BC9A096A}" name="CD25/FL2-" dataDxfId="1"/>
    <tableColumn id="7" xr3:uid="{3CE1AB78-A90D-43A1-8B8F-A905F2C71506}" name="CD25/FL2+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08613-79EB-4935-87D3-123FB91538D3}">
  <dimension ref="A1:J33"/>
  <sheetViews>
    <sheetView zoomScaleNormal="100" workbookViewId="0">
      <selection activeCell="I33" sqref="I33"/>
    </sheetView>
  </sheetViews>
  <sheetFormatPr defaultColWidth="8.85546875" defaultRowHeight="15"/>
  <cols>
    <col min="1" max="1" width="26.7109375" bestFit="1" customWidth="1"/>
    <col min="2" max="2" width="12.42578125" bestFit="1" customWidth="1"/>
    <col min="3" max="4" width="12" bestFit="1" customWidth="1"/>
    <col min="9" max="9" width="9.285156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>
        <v>29.314420800000001</v>
      </c>
      <c r="C2">
        <v>100</v>
      </c>
      <c r="D2">
        <v>0</v>
      </c>
    </row>
    <row r="3" spans="1:4">
      <c r="A3" t="s">
        <v>5</v>
      </c>
      <c r="B3">
        <v>50.124157500000003</v>
      </c>
      <c r="C3">
        <v>0.283085633</v>
      </c>
      <c r="D3">
        <v>99.716914369999998</v>
      </c>
    </row>
    <row r="4" spans="1:4">
      <c r="A4" t="s">
        <v>6</v>
      </c>
      <c r="B4">
        <v>44.186785260000001</v>
      </c>
      <c r="C4">
        <v>0.143781452</v>
      </c>
      <c r="D4">
        <v>99.856218549999994</v>
      </c>
    </row>
    <row r="5" spans="1:4">
      <c r="A5" t="s">
        <v>7</v>
      </c>
      <c r="B5">
        <v>45.336787559999998</v>
      </c>
      <c r="C5">
        <v>0.21428571399999999</v>
      </c>
      <c r="D5">
        <v>99.785714290000001</v>
      </c>
    </row>
    <row r="6" spans="1:4">
      <c r="A6" t="s">
        <v>8</v>
      </c>
      <c r="B6">
        <v>33.183712730000003</v>
      </c>
      <c r="C6">
        <v>70.917874400000002</v>
      </c>
      <c r="D6">
        <v>29.082125600000001</v>
      </c>
    </row>
    <row r="7" spans="1:4">
      <c r="A7" t="s">
        <v>9</v>
      </c>
      <c r="B7">
        <v>32.267702419999999</v>
      </c>
      <c r="C7">
        <v>68.333333330000002</v>
      </c>
      <c r="D7">
        <v>31.666666670000001</v>
      </c>
    </row>
    <row r="8" spans="1:4">
      <c r="A8" t="s">
        <v>10</v>
      </c>
      <c r="B8">
        <v>32.518195050000003</v>
      </c>
      <c r="C8">
        <v>62.220232770000003</v>
      </c>
      <c r="D8">
        <v>37.779767229999997</v>
      </c>
    </row>
    <row r="9" spans="1:4">
      <c r="A9" t="s">
        <v>11</v>
      </c>
      <c r="B9">
        <v>40.115025160000002</v>
      </c>
      <c r="C9">
        <v>99.820788530000002</v>
      </c>
      <c r="D9">
        <v>0.17921147000000001</v>
      </c>
    </row>
    <row r="10" spans="1:4">
      <c r="A10" t="s">
        <v>12</v>
      </c>
      <c r="B10">
        <v>28.497251070000001</v>
      </c>
      <c r="C10">
        <v>97.749196139999995</v>
      </c>
      <c r="D10">
        <v>2.2508038589999999</v>
      </c>
    </row>
    <row r="11" spans="1:4">
      <c r="A11" t="s">
        <v>13</v>
      </c>
      <c r="B11">
        <v>32.338483150000002</v>
      </c>
      <c r="C11">
        <v>97.719869709999998</v>
      </c>
      <c r="D11">
        <v>2.280130293</v>
      </c>
    </row>
    <row r="12" spans="1:4">
      <c r="A12" t="s">
        <v>14</v>
      </c>
      <c r="B12">
        <v>43.441636580000001</v>
      </c>
      <c r="C12">
        <v>95.660203139999993</v>
      </c>
      <c r="D12">
        <v>4.339796861</v>
      </c>
    </row>
    <row r="13" spans="1:4">
      <c r="A13" t="s">
        <v>15</v>
      </c>
      <c r="B13">
        <v>39.045151740000001</v>
      </c>
      <c r="C13">
        <v>99.810426539999995</v>
      </c>
      <c r="D13">
        <v>0.18957346</v>
      </c>
    </row>
    <row r="14" spans="1:4">
      <c r="A14" t="s">
        <v>16</v>
      </c>
      <c r="B14">
        <v>29.286376270000002</v>
      </c>
      <c r="C14">
        <v>99.894514770000001</v>
      </c>
      <c r="D14">
        <v>0.105485232</v>
      </c>
    </row>
    <row r="15" spans="1:4">
      <c r="A15" t="s">
        <v>17</v>
      </c>
      <c r="B15">
        <v>25.61681389</v>
      </c>
      <c r="C15">
        <v>100</v>
      </c>
      <c r="D15">
        <v>0</v>
      </c>
    </row>
    <row r="16" spans="1:4">
      <c r="A16" t="s">
        <v>18</v>
      </c>
      <c r="B16">
        <v>32.605042019999999</v>
      </c>
      <c r="C16">
        <v>99.793814429999998</v>
      </c>
      <c r="D16">
        <v>0.20618556699999999</v>
      </c>
    </row>
    <row r="17" spans="1:10">
      <c r="A17" t="s">
        <v>19</v>
      </c>
      <c r="B17">
        <v>18.40043232</v>
      </c>
      <c r="C17">
        <v>99.412628490000003</v>
      </c>
      <c r="D17">
        <v>0.58737151200000004</v>
      </c>
    </row>
    <row r="18" spans="1:10">
      <c r="A18" t="s">
        <v>20</v>
      </c>
      <c r="B18">
        <v>72.053045190000006</v>
      </c>
      <c r="C18">
        <v>99.795501020000003</v>
      </c>
      <c r="D18">
        <v>0.204498978</v>
      </c>
    </row>
    <row r="19" spans="1:10">
      <c r="A19" t="s">
        <v>21</v>
      </c>
      <c r="B19">
        <v>75.537359260000002</v>
      </c>
      <c r="C19">
        <v>93.224932249999995</v>
      </c>
      <c r="D19">
        <v>6.7750677509999999</v>
      </c>
    </row>
    <row r="20" spans="1:10">
      <c r="A20" t="s">
        <v>22</v>
      </c>
      <c r="B20">
        <v>71.657754010000005</v>
      </c>
      <c r="C20">
        <v>93.419267300000001</v>
      </c>
      <c r="D20">
        <v>6.5807327000000004</v>
      </c>
    </row>
    <row r="21" spans="1:10">
      <c r="A21" t="s">
        <v>23</v>
      </c>
      <c r="B21">
        <v>78.434504790000005</v>
      </c>
      <c r="C21">
        <v>89.545145959999999</v>
      </c>
      <c r="D21">
        <v>10.454854040000001</v>
      </c>
    </row>
    <row r="23" spans="1:10">
      <c r="A23" s="1" t="s">
        <v>24</v>
      </c>
      <c r="B23" s="1" t="s">
        <v>1</v>
      </c>
      <c r="C23" s="1" t="s">
        <v>25</v>
      </c>
      <c r="D23" s="1" t="s">
        <v>26</v>
      </c>
      <c r="I23" t="s">
        <v>26</v>
      </c>
      <c r="J23" t="s">
        <v>27</v>
      </c>
    </row>
    <row r="24" spans="1:10">
      <c r="A24" t="s">
        <v>28</v>
      </c>
      <c r="B24">
        <v>29.314420800000001</v>
      </c>
      <c r="C24">
        <v>100</v>
      </c>
      <c r="D24">
        <v>0</v>
      </c>
      <c r="H24" t="s">
        <v>29</v>
      </c>
      <c r="I24">
        <f>AVERAGE(D19:D21)</f>
        <v>7.9368848303333337</v>
      </c>
      <c r="J24">
        <f>STDEV(D19:D21)/SQRT(3)</f>
        <v>1.2602338716330692</v>
      </c>
    </row>
    <row r="25" spans="1:10">
      <c r="A25" s="1" t="s">
        <v>30</v>
      </c>
      <c r="B25" s="1">
        <v>46.549243439999998</v>
      </c>
      <c r="C25" s="1">
        <v>0.21371760000000001</v>
      </c>
      <c r="D25" s="1">
        <v>99.786282400000005</v>
      </c>
      <c r="G25" t="s">
        <v>31</v>
      </c>
      <c r="H25" t="s">
        <v>28</v>
      </c>
      <c r="I25">
        <f>AVERAGE(D3:D5)</f>
        <v>99.786282403333317</v>
      </c>
      <c r="J25">
        <f>STDEV(D3:D5)/SQRT(3)</f>
        <v>4.0214656142329823E-2</v>
      </c>
    </row>
    <row r="26" spans="1:10">
      <c r="A26" t="s">
        <v>32</v>
      </c>
      <c r="B26">
        <v>40.115025160000002</v>
      </c>
      <c r="C26">
        <v>99.820788530000002</v>
      </c>
      <c r="D26">
        <v>0.17921147000000001</v>
      </c>
      <c r="H26" t="s">
        <v>32</v>
      </c>
      <c r="I26">
        <f>AVERAGE(D6:D8)</f>
        <v>32.842853166666664</v>
      </c>
      <c r="J26">
        <f>STDEV(D6:D8)/SQRT(3)</f>
        <v>2.5787466908805956</v>
      </c>
    </row>
    <row r="27" spans="1:10">
      <c r="A27" s="1" t="s">
        <v>33</v>
      </c>
      <c r="B27" s="1">
        <v>32.656536729999999</v>
      </c>
      <c r="C27" s="1">
        <v>67.157146830000002</v>
      </c>
      <c r="D27" s="1">
        <v>32.842853169999998</v>
      </c>
      <c r="H27" t="s">
        <v>34</v>
      </c>
      <c r="I27">
        <f>AVERAGE(D10:D12)</f>
        <v>2.9569103376666668</v>
      </c>
      <c r="J27">
        <f>STDEV(D10:D12)/SQRT(3)</f>
        <v>0.69149508608654242</v>
      </c>
    </row>
    <row r="28" spans="1:10">
      <c r="A28" t="s">
        <v>34</v>
      </c>
      <c r="B28">
        <v>39.045151740000001</v>
      </c>
      <c r="C28">
        <v>99.810426539999995</v>
      </c>
      <c r="D28">
        <v>0.18957346</v>
      </c>
      <c r="H28" t="s">
        <v>35</v>
      </c>
      <c r="I28">
        <f>AVERAGE(D15:D17)</f>
        <v>0.26451902633333335</v>
      </c>
      <c r="J28">
        <f>STDEV(D15:D17)/SQRT(3)</f>
        <v>0.17204981607627173</v>
      </c>
    </row>
    <row r="29" spans="1:10">
      <c r="A29" s="1" t="s">
        <v>36</v>
      </c>
      <c r="B29" s="1">
        <v>34.759123600000002</v>
      </c>
      <c r="C29" s="1">
        <v>97.043089660000007</v>
      </c>
      <c r="D29" s="1">
        <v>2.9569103370000001</v>
      </c>
    </row>
    <row r="30" spans="1:10">
      <c r="A30" t="s">
        <v>35</v>
      </c>
      <c r="B30">
        <v>29.286376270000002</v>
      </c>
      <c r="C30">
        <v>99.894514770000001</v>
      </c>
      <c r="D30">
        <v>0.105485232</v>
      </c>
    </row>
    <row r="31" spans="1:10">
      <c r="A31" s="1" t="s">
        <v>37</v>
      </c>
      <c r="B31" s="1">
        <v>25.540762740000002</v>
      </c>
      <c r="C31" s="1">
        <v>99.735480969999998</v>
      </c>
      <c r="D31" s="1">
        <v>0.26451902599999999</v>
      </c>
    </row>
    <row r="32" spans="1:10">
      <c r="A32" t="s">
        <v>29</v>
      </c>
      <c r="B32">
        <v>72.053045190000006</v>
      </c>
      <c r="C32">
        <v>99.795501020000003</v>
      </c>
      <c r="D32">
        <v>0.204498978</v>
      </c>
    </row>
    <row r="33" spans="1:4">
      <c r="A33" t="s">
        <v>38</v>
      </c>
      <c r="B33">
        <v>75.209872689999997</v>
      </c>
      <c r="C33">
        <v>92.063115170000003</v>
      </c>
      <c r="D33">
        <v>7.9368848300000003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7D755-380D-4ADC-B878-8D93C35E74DB}">
  <dimension ref="A1"/>
  <sheetViews>
    <sheetView topLeftCell="A70" zoomScale="32" zoomScaleNormal="40" workbookViewId="0">
      <selection activeCell="N189" sqref="N189"/>
    </sheetView>
  </sheetViews>
  <sheetFormatPr defaultColWidth="8.85546875"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C44F8-ABBE-4A36-81FA-D4228EB819DA}">
  <dimension ref="A1"/>
  <sheetViews>
    <sheetView topLeftCell="A114" zoomScale="50" zoomScaleNormal="40" workbookViewId="0">
      <selection activeCell="M175" sqref="M175"/>
    </sheetView>
  </sheetViews>
  <sheetFormatPr defaultColWidth="8.85546875"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45B56-1DB7-4AE1-BE4A-0841A4366570}">
  <dimension ref="A1:J33"/>
  <sheetViews>
    <sheetView workbookViewId="0">
      <selection activeCell="L28" sqref="L28"/>
    </sheetView>
  </sheetViews>
  <sheetFormatPr defaultColWidth="8.85546875" defaultRowHeight="15"/>
  <cols>
    <col min="1" max="1" width="28.7109375" bestFit="1" customWidth="1"/>
    <col min="2" max="2" width="9.28515625" bestFit="1" customWidth="1"/>
    <col min="3" max="4" width="12.42578125" bestFit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s="2"/>
    </row>
    <row r="2" spans="1:6">
      <c r="A2" s="2" t="s">
        <v>39</v>
      </c>
      <c r="B2" s="2">
        <v>57.581069999999997</v>
      </c>
      <c r="C2" s="2">
        <v>0.15220700000000001</v>
      </c>
      <c r="D2" s="2">
        <v>99.847790000000003</v>
      </c>
      <c r="E2" s="2"/>
    </row>
    <row r="3" spans="1:6">
      <c r="A3" s="2" t="s">
        <v>40</v>
      </c>
      <c r="B3" s="2">
        <v>62.332250000000002</v>
      </c>
      <c r="C3" s="2">
        <v>7.4238999999999999E-2</v>
      </c>
      <c r="D3" s="2">
        <v>99.925759999999997</v>
      </c>
      <c r="E3" s="2"/>
    </row>
    <row r="4" spans="1:6">
      <c r="A4" s="4" t="s">
        <v>41</v>
      </c>
      <c r="B4" s="4">
        <v>61.048859999999998</v>
      </c>
      <c r="C4" s="4">
        <v>12.40822</v>
      </c>
      <c r="D4" s="4">
        <v>87.885459999999995</v>
      </c>
      <c r="E4" s="2"/>
      <c r="F4" t="s">
        <v>42</v>
      </c>
    </row>
    <row r="5" spans="1:6">
      <c r="A5" s="2" t="s">
        <v>43</v>
      </c>
      <c r="B5" s="2">
        <v>58.286700000000003</v>
      </c>
      <c r="C5" s="2">
        <v>100</v>
      </c>
      <c r="D5" s="2">
        <v>0</v>
      </c>
      <c r="E5" s="2"/>
    </row>
    <row r="6" spans="1:6">
      <c r="A6" s="2" t="s">
        <v>44</v>
      </c>
      <c r="B6" s="2">
        <v>33.798450000000003</v>
      </c>
      <c r="C6" s="2">
        <v>49.65596</v>
      </c>
      <c r="D6" s="2">
        <v>50.34404</v>
      </c>
      <c r="E6" s="2"/>
    </row>
    <row r="7" spans="1:6">
      <c r="A7" s="2" t="s">
        <v>45</v>
      </c>
      <c r="B7" s="2">
        <v>49.273389999999999</v>
      </c>
      <c r="C7" s="2">
        <v>33.271889999999999</v>
      </c>
      <c r="D7" s="2">
        <v>66.728110000000001</v>
      </c>
      <c r="E7" s="2"/>
    </row>
    <row r="8" spans="1:6">
      <c r="A8" s="2" t="s">
        <v>46</v>
      </c>
      <c r="B8" s="2">
        <v>46.05489</v>
      </c>
      <c r="C8" s="2">
        <v>31.471139999999998</v>
      </c>
      <c r="D8" s="2">
        <v>68.528859999999995</v>
      </c>
      <c r="E8" s="2"/>
    </row>
    <row r="9" spans="1:6">
      <c r="A9" s="2" t="s">
        <v>47</v>
      </c>
      <c r="B9" s="2">
        <v>34.187730000000002</v>
      </c>
      <c r="C9" s="2">
        <v>100</v>
      </c>
      <c r="D9" s="2">
        <v>0</v>
      </c>
      <c r="E9" s="2"/>
    </row>
    <row r="10" spans="1:6">
      <c r="A10" s="2" t="s">
        <v>48</v>
      </c>
      <c r="B10" s="2">
        <v>31.639089999999999</v>
      </c>
      <c r="C10" s="2">
        <v>100</v>
      </c>
      <c r="D10" s="2">
        <v>0</v>
      </c>
      <c r="E10" s="2"/>
    </row>
    <row r="11" spans="1:6">
      <c r="A11" s="2" t="s">
        <v>49</v>
      </c>
      <c r="B11" s="2">
        <v>25.360230000000001</v>
      </c>
      <c r="C11" s="2">
        <v>95.880679999999998</v>
      </c>
      <c r="D11" s="2">
        <v>4.1193179999999998</v>
      </c>
      <c r="E11" s="2"/>
    </row>
    <row r="12" spans="1:6">
      <c r="A12" s="2" t="s">
        <v>50</v>
      </c>
      <c r="B12" s="2">
        <v>30.192309999999999</v>
      </c>
      <c r="C12" s="2">
        <v>96.687899999999999</v>
      </c>
      <c r="D12" s="2">
        <v>3.4394900000000002</v>
      </c>
      <c r="E12" s="2"/>
    </row>
    <row r="13" spans="1:6">
      <c r="A13" s="2" t="s">
        <v>51</v>
      </c>
      <c r="B13" s="2">
        <v>28.06026</v>
      </c>
      <c r="C13" s="2">
        <v>97.315439999999995</v>
      </c>
      <c r="D13" s="2">
        <v>2.684564</v>
      </c>
      <c r="E13" s="2"/>
    </row>
    <row r="14" spans="1:6">
      <c r="A14" s="2" t="s">
        <v>52</v>
      </c>
      <c r="B14" s="2">
        <v>15.171239999999999</v>
      </c>
      <c r="C14" s="2">
        <v>99.813429999999997</v>
      </c>
      <c r="D14" s="2">
        <v>0.18656700000000001</v>
      </c>
      <c r="E14" s="2"/>
    </row>
    <row r="15" spans="1:6">
      <c r="A15" s="2" t="s">
        <v>53</v>
      </c>
      <c r="B15" s="2">
        <v>13.979100000000001</v>
      </c>
      <c r="C15" s="2">
        <v>100</v>
      </c>
      <c r="D15" s="2">
        <v>0</v>
      </c>
      <c r="E15" s="2"/>
    </row>
    <row r="16" spans="1:6">
      <c r="A16" s="2" t="s">
        <v>54</v>
      </c>
      <c r="B16" s="2">
        <v>18.238019999999999</v>
      </c>
      <c r="C16" s="2">
        <v>98.813559999999995</v>
      </c>
      <c r="D16" s="2">
        <v>1.1864410000000001</v>
      </c>
      <c r="E16" s="2"/>
    </row>
    <row r="17" spans="1:10">
      <c r="A17" s="2" t="s">
        <v>55</v>
      </c>
      <c r="B17" s="2">
        <v>15.39176</v>
      </c>
      <c r="C17" s="2">
        <v>100</v>
      </c>
      <c r="D17" s="2">
        <v>0</v>
      </c>
      <c r="E17" s="2"/>
    </row>
    <row r="18" spans="1:10">
      <c r="A18" s="2" t="s">
        <v>56</v>
      </c>
      <c r="B18" s="2">
        <v>63.7746</v>
      </c>
      <c r="C18" s="2">
        <v>96.774190000000004</v>
      </c>
      <c r="D18" s="2">
        <v>3.225806</v>
      </c>
      <c r="E18" s="2"/>
    </row>
    <row r="19" spans="1:10">
      <c r="A19" s="2" t="s">
        <v>57</v>
      </c>
      <c r="B19" s="2">
        <v>68.738</v>
      </c>
      <c r="C19" s="2">
        <v>91.098749999999995</v>
      </c>
      <c r="D19" s="2">
        <v>8.9012519999999995</v>
      </c>
      <c r="E19" s="2"/>
    </row>
    <row r="20" spans="1:10">
      <c r="A20" s="4" t="s">
        <v>58</v>
      </c>
      <c r="B20" s="4">
        <v>65.389880000000005</v>
      </c>
      <c r="C20" s="4">
        <v>0.13947000000000001</v>
      </c>
      <c r="D20" s="4">
        <v>99.860529999999997</v>
      </c>
      <c r="E20" s="2"/>
    </row>
    <row r="21" spans="1:10">
      <c r="A21" s="2" t="s">
        <v>59</v>
      </c>
      <c r="B21" s="2">
        <v>57.785319999999999</v>
      </c>
      <c r="C21" s="2">
        <v>99.926580000000001</v>
      </c>
      <c r="D21" s="2">
        <v>7.3421E-2</v>
      </c>
      <c r="E21" s="2"/>
    </row>
    <row r="23" spans="1:10">
      <c r="A23" s="1" t="s">
        <v>24</v>
      </c>
      <c r="B23" s="1" t="s">
        <v>1</v>
      </c>
      <c r="C23" s="1" t="s">
        <v>25</v>
      </c>
      <c r="D23" s="1" t="s">
        <v>26</v>
      </c>
      <c r="I23" t="s">
        <v>60</v>
      </c>
      <c r="J23" t="s">
        <v>27</v>
      </c>
    </row>
    <row r="24" spans="1:10">
      <c r="A24" t="s">
        <v>28</v>
      </c>
      <c r="B24">
        <f xml:space="preserve"> B5</f>
        <v>58.286700000000003</v>
      </c>
      <c r="C24">
        <f t="shared" ref="C24:D24" si="0" xml:space="preserve"> C5</f>
        <v>100</v>
      </c>
      <c r="D24">
        <f t="shared" si="0"/>
        <v>0</v>
      </c>
      <c r="H24" t="s">
        <v>29</v>
      </c>
      <c r="I24">
        <f>D33</f>
        <v>37.329196000000003</v>
      </c>
      <c r="J24">
        <f>STDEV(D18:D20)/SQRT(3)</f>
        <v>31.30856363515365</v>
      </c>
    </row>
    <row r="25" spans="1:10">
      <c r="A25" s="1" t="s">
        <v>30</v>
      </c>
      <c r="B25" s="1">
        <f xml:space="preserve"> AVERAGE(B2:B4)</f>
        <v>60.320726666666665</v>
      </c>
      <c r="C25" s="1">
        <f t="shared" ref="C25" si="1" xml:space="preserve"> AVERAGE(C2:C4)</f>
        <v>4.2115553333333331</v>
      </c>
      <c r="D25" s="1">
        <f xml:space="preserve"> AVERAGE(D2:D4)</f>
        <v>95.886336666666651</v>
      </c>
      <c r="G25" t="s">
        <v>31</v>
      </c>
      <c r="H25" t="s">
        <v>28</v>
      </c>
      <c r="I25">
        <f>D25</f>
        <v>95.886336666666651</v>
      </c>
      <c r="J25">
        <f>STDEV(D2:D4)/SQRT(3)</f>
        <v>4.000501652152864</v>
      </c>
    </row>
    <row r="26" spans="1:10">
      <c r="A26" t="s">
        <v>32</v>
      </c>
      <c r="B26">
        <f xml:space="preserve"> B9</f>
        <v>34.187730000000002</v>
      </c>
      <c r="C26">
        <f t="shared" ref="C26:D26" si="2" xml:space="preserve"> C9</f>
        <v>100</v>
      </c>
      <c r="D26">
        <f t="shared" si="2"/>
        <v>0</v>
      </c>
      <c r="H26" t="s">
        <v>32</v>
      </c>
      <c r="I26">
        <f>D27</f>
        <v>61.867003333333322</v>
      </c>
      <c r="J26">
        <f>STDEV(D6:D8)/SQRT(3)</f>
        <v>5.7848851364751903</v>
      </c>
    </row>
    <row r="27" spans="1:10">
      <c r="A27" s="1" t="s">
        <v>33</v>
      </c>
      <c r="B27" s="1">
        <f xml:space="preserve"> AVERAGE(B6:B8)</f>
        <v>43.042243333333339</v>
      </c>
      <c r="C27" s="1">
        <f t="shared" ref="C27:D27" si="3" xml:space="preserve"> AVERAGE(C6:C8)</f>
        <v>38.132996666666664</v>
      </c>
      <c r="D27" s="1">
        <f t="shared" si="3"/>
        <v>61.867003333333322</v>
      </c>
      <c r="H27" t="s">
        <v>34</v>
      </c>
      <c r="I27">
        <f>D29</f>
        <v>3.4144573333333335</v>
      </c>
      <c r="J27">
        <f>STDEV(D11:D13)/SQRT(3)</f>
        <v>0.414366880887509</v>
      </c>
    </row>
    <row r="28" spans="1:10">
      <c r="A28" t="s">
        <v>34</v>
      </c>
      <c r="B28">
        <f xml:space="preserve"> B10</f>
        <v>31.639089999999999</v>
      </c>
      <c r="C28">
        <f t="shared" ref="C28:D28" si="4" xml:space="preserve"> C10</f>
        <v>100</v>
      </c>
      <c r="D28">
        <f t="shared" si="4"/>
        <v>0</v>
      </c>
      <c r="H28" t="s">
        <v>35</v>
      </c>
      <c r="I28">
        <f>D31</f>
        <v>0.45766933333333332</v>
      </c>
      <c r="J28">
        <f>STDEV(D14:D16)/SQRT(3)</f>
        <v>0.36834445743729854</v>
      </c>
    </row>
    <row r="29" spans="1:10">
      <c r="A29" s="1" t="s">
        <v>36</v>
      </c>
      <c r="B29" s="1">
        <f xml:space="preserve"> AVERAGE(B11:B13)</f>
        <v>27.87093333333333</v>
      </c>
      <c r="C29" s="1">
        <f t="shared" ref="C29:D29" si="5" xml:space="preserve"> AVERAGE(C11:C13)</f>
        <v>96.62800666666665</v>
      </c>
      <c r="D29" s="1">
        <f t="shared" si="5"/>
        <v>3.4144573333333335</v>
      </c>
    </row>
    <row r="30" spans="1:10">
      <c r="A30" t="s">
        <v>35</v>
      </c>
      <c r="B30">
        <f xml:space="preserve"> B17</f>
        <v>15.39176</v>
      </c>
      <c r="C30">
        <f t="shared" ref="C30:D30" si="6" xml:space="preserve"> C17</f>
        <v>100</v>
      </c>
      <c r="D30">
        <f t="shared" si="6"/>
        <v>0</v>
      </c>
    </row>
    <row r="31" spans="1:10">
      <c r="A31" s="1" t="s">
        <v>37</v>
      </c>
      <c r="B31" s="1">
        <f xml:space="preserve"> AVERAGE(B14:B16)</f>
        <v>15.79612</v>
      </c>
      <c r="C31" s="1">
        <f t="shared" ref="C31:D31" si="7" xml:space="preserve"> AVERAGE(C14:C16)</f>
        <v>99.542329999999993</v>
      </c>
      <c r="D31" s="1">
        <f t="shared" si="7"/>
        <v>0.45766933333333332</v>
      </c>
    </row>
    <row r="32" spans="1:10">
      <c r="A32" t="s">
        <v>29</v>
      </c>
      <c r="B32">
        <f xml:space="preserve"> B21</f>
        <v>57.785319999999999</v>
      </c>
      <c r="C32">
        <f t="shared" ref="C32:D32" si="8" xml:space="preserve"> C21</f>
        <v>99.926580000000001</v>
      </c>
      <c r="D32">
        <f t="shared" si="8"/>
        <v>7.3421E-2</v>
      </c>
    </row>
    <row r="33" spans="1:4">
      <c r="A33" t="s">
        <v>38</v>
      </c>
      <c r="B33">
        <f xml:space="preserve"> AVERAGE(B18:B20)</f>
        <v>65.967493333333337</v>
      </c>
      <c r="C33">
        <f t="shared" ref="C33:D33" si="9" xml:space="preserve"> AVERAGE(C18:C20)</f>
        <v>62.670803333333332</v>
      </c>
      <c r="D33">
        <f t="shared" si="9"/>
        <v>37.329196000000003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E1CBC-2508-4DA8-8A9F-54F87460EF48}">
  <dimension ref="A1:R33"/>
  <sheetViews>
    <sheetView topLeftCell="A8" zoomScale="50" workbookViewId="0">
      <selection activeCell="D20" sqref="D20"/>
    </sheetView>
  </sheetViews>
  <sheetFormatPr defaultColWidth="8.85546875" defaultRowHeight="15"/>
  <cols>
    <col min="1" max="1" width="28.7109375" bestFit="1" customWidth="1"/>
    <col min="2" max="2" width="9.28515625" bestFit="1" customWidth="1"/>
    <col min="3" max="4" width="12.42578125" bestFit="1" customWidth="1"/>
  </cols>
  <sheetData>
    <row r="1" spans="1:18">
      <c r="A1" s="2" t="s">
        <v>0</v>
      </c>
      <c r="B1" s="2" t="s">
        <v>1</v>
      </c>
      <c r="C1" s="2" t="s">
        <v>61</v>
      </c>
      <c r="D1" s="2" t="s">
        <v>62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>
      <c r="A2" s="2" t="s">
        <v>39</v>
      </c>
      <c r="B2" s="2">
        <v>57.581069239999998</v>
      </c>
      <c r="C2" s="2">
        <v>0.15220700200000001</v>
      </c>
      <c r="D2" s="2">
        <v>99.847792999999996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>
      <c r="A3" s="2" t="s">
        <v>40</v>
      </c>
      <c r="B3" s="2">
        <v>62.332253590000001</v>
      </c>
      <c r="C3" s="2">
        <v>7.4239050000000001E-2</v>
      </c>
      <c r="D3" s="2">
        <v>99.925760949999997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4" spans="1:18">
      <c r="A4" s="5" t="s">
        <v>41</v>
      </c>
      <c r="B4" s="5">
        <v>65.389876880000003</v>
      </c>
      <c r="C4" s="5">
        <v>6.9735007000000002E-2</v>
      </c>
      <c r="D4" s="5">
        <v>99.930264989999998</v>
      </c>
      <c r="E4" s="2"/>
      <c r="F4" s="2" t="s">
        <v>63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</row>
    <row r="5" spans="1:18">
      <c r="A5" s="2" t="s">
        <v>43</v>
      </c>
      <c r="B5" s="2">
        <v>58.28669824</v>
      </c>
      <c r="C5" s="2">
        <v>100</v>
      </c>
      <c r="D5" s="2">
        <v>0</v>
      </c>
      <c r="E5" s="2"/>
      <c r="F5" s="2" t="s">
        <v>64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</row>
    <row r="6" spans="1:18">
      <c r="A6" s="2" t="s">
        <v>44</v>
      </c>
      <c r="B6" s="2">
        <v>33.798449609999999</v>
      </c>
      <c r="C6" s="2">
        <v>49.655963300000003</v>
      </c>
      <c r="D6" s="2">
        <v>50.344036699999997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</row>
    <row r="7" spans="1:18">
      <c r="A7" s="2" t="s">
        <v>45</v>
      </c>
      <c r="B7" s="2">
        <v>49.273387829999997</v>
      </c>
      <c r="C7" s="2">
        <v>33.271889399999999</v>
      </c>
      <c r="D7" s="2">
        <v>66.728110599999994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</row>
    <row r="8" spans="1:18">
      <c r="A8" s="2" t="s">
        <v>46</v>
      </c>
      <c r="B8" s="2">
        <v>46.054888509999998</v>
      </c>
      <c r="C8" s="2">
        <v>31.47113594</v>
      </c>
      <c r="D8" s="2">
        <v>68.528864060000004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</row>
    <row r="9" spans="1:18">
      <c r="A9" s="2" t="s">
        <v>47</v>
      </c>
      <c r="B9" s="2">
        <v>34.187725630000003</v>
      </c>
      <c r="C9" s="2">
        <v>100</v>
      </c>
      <c r="D9" s="2">
        <v>0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</row>
    <row r="10" spans="1:18">
      <c r="A10" s="2" t="s">
        <v>48</v>
      </c>
      <c r="B10" s="2">
        <v>31.63908589</v>
      </c>
      <c r="C10" s="2">
        <v>100</v>
      </c>
      <c r="D10" s="2">
        <v>0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</row>
    <row r="11" spans="1:18">
      <c r="A11" s="2" t="s">
        <v>49</v>
      </c>
      <c r="B11" s="2">
        <v>25.360230550000001</v>
      </c>
      <c r="C11" s="2">
        <v>95.880681820000007</v>
      </c>
      <c r="D11" s="2">
        <v>4.1193181819999998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</row>
    <row r="12" spans="1:18">
      <c r="A12" s="2" t="s">
        <v>50</v>
      </c>
      <c r="B12" s="2">
        <v>30.19230769</v>
      </c>
      <c r="C12" s="2">
        <v>96.687898090000004</v>
      </c>
      <c r="D12" s="2">
        <v>3.4394904460000002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</row>
    <row r="13" spans="1:18">
      <c r="A13" s="2" t="s">
        <v>51</v>
      </c>
      <c r="B13" s="2">
        <v>28.06026365</v>
      </c>
      <c r="C13" s="2">
        <v>97.315436239999997</v>
      </c>
      <c r="D13" s="2">
        <v>2.6845637579999999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</row>
    <row r="14" spans="1:18">
      <c r="A14" s="2" t="s">
        <v>52</v>
      </c>
      <c r="B14" s="2">
        <v>15.17124257</v>
      </c>
      <c r="C14" s="2">
        <v>99.813432840000004</v>
      </c>
      <c r="D14" s="2">
        <v>0.18656716400000001</v>
      </c>
      <c r="E14" s="2"/>
      <c r="F14" s="2"/>
      <c r="G14" s="2"/>
      <c r="H14" s="2"/>
      <c r="I14" s="2"/>
      <c r="J14" s="2"/>
      <c r="K14" s="13"/>
      <c r="L14" s="13"/>
      <c r="M14" s="13"/>
      <c r="N14" s="13"/>
      <c r="O14" s="13"/>
      <c r="P14" s="13"/>
      <c r="Q14" s="13"/>
      <c r="R14" s="13"/>
    </row>
    <row r="15" spans="1:18">
      <c r="A15" s="2" t="s">
        <v>53</v>
      </c>
      <c r="B15" s="2">
        <v>13.97910195</v>
      </c>
      <c r="C15" s="2">
        <v>100</v>
      </c>
      <c r="D15" s="2">
        <v>0</v>
      </c>
      <c r="E15" s="2"/>
      <c r="F15" s="2"/>
      <c r="G15" s="2"/>
      <c r="H15" s="2"/>
      <c r="I15" s="2"/>
      <c r="J15" s="2"/>
      <c r="K15" s="13"/>
      <c r="L15" s="13"/>
      <c r="M15" s="13"/>
      <c r="N15" s="13"/>
      <c r="O15" s="13"/>
      <c r="P15" s="13"/>
      <c r="Q15" s="13"/>
      <c r="R15" s="13"/>
    </row>
    <row r="16" spans="1:18">
      <c r="A16" s="2" t="s">
        <v>54</v>
      </c>
      <c r="B16" s="2">
        <v>18.238021639999999</v>
      </c>
      <c r="C16" s="2">
        <v>98.813559319999996</v>
      </c>
      <c r="D16" s="2">
        <v>1.1864406780000001</v>
      </c>
      <c r="E16" s="2"/>
      <c r="F16" s="2"/>
      <c r="G16" s="2"/>
      <c r="H16" s="2"/>
      <c r="I16" s="2"/>
      <c r="J16" s="2"/>
      <c r="K16" s="13"/>
      <c r="L16" s="13"/>
      <c r="M16" s="13"/>
      <c r="N16" s="13"/>
      <c r="O16" s="13"/>
      <c r="P16" s="13"/>
      <c r="Q16" s="13"/>
      <c r="R16" s="13"/>
    </row>
    <row r="17" spans="1:18">
      <c r="A17" s="2" t="s">
        <v>55</v>
      </c>
      <c r="B17" s="2">
        <v>15.391762160000001</v>
      </c>
      <c r="C17" s="2">
        <v>100</v>
      </c>
      <c r="D17" s="2">
        <v>0</v>
      </c>
      <c r="E17" s="2"/>
      <c r="F17" s="2"/>
      <c r="G17" s="2"/>
      <c r="H17" s="2"/>
      <c r="I17" s="2"/>
      <c r="J17" s="2"/>
      <c r="K17" s="13"/>
      <c r="L17" s="13"/>
      <c r="M17" s="13"/>
      <c r="N17" s="13"/>
      <c r="O17" s="13"/>
      <c r="P17" s="13"/>
      <c r="Q17" s="13"/>
      <c r="R17" s="13"/>
    </row>
    <row r="18" spans="1:18">
      <c r="A18" s="2" t="s">
        <v>56</v>
      </c>
      <c r="B18" s="2">
        <v>63.774597499999999</v>
      </c>
      <c r="C18" s="2">
        <v>96.774193550000007</v>
      </c>
      <c r="D18" s="2">
        <v>3.225806452</v>
      </c>
      <c r="E18" s="2"/>
      <c r="F18" s="2"/>
      <c r="G18" s="2"/>
      <c r="H18" s="2"/>
      <c r="I18" s="2"/>
      <c r="J18" s="2"/>
      <c r="K18" s="13"/>
      <c r="L18" s="13"/>
      <c r="M18" s="13"/>
      <c r="N18" s="13"/>
      <c r="O18" s="13"/>
      <c r="P18" s="13"/>
      <c r="Q18" s="13"/>
      <c r="R18" s="13"/>
    </row>
    <row r="19" spans="1:18">
      <c r="A19" s="2" t="s">
        <v>57</v>
      </c>
      <c r="B19" s="2">
        <v>68.738</v>
      </c>
      <c r="C19" s="2">
        <v>91.098748259999994</v>
      </c>
      <c r="D19" s="2">
        <v>8.9012517389999992</v>
      </c>
      <c r="E19" s="2"/>
      <c r="F19" s="2"/>
      <c r="G19" s="2"/>
      <c r="H19" s="2"/>
      <c r="I19" s="2"/>
      <c r="J19" s="2"/>
      <c r="K19" s="13"/>
      <c r="L19" s="13"/>
      <c r="M19" s="13"/>
      <c r="N19" s="13"/>
      <c r="O19" s="13"/>
      <c r="P19" s="13"/>
      <c r="Q19" s="13"/>
      <c r="R19" s="13"/>
    </row>
    <row r="20" spans="1:18">
      <c r="A20" s="5" t="s">
        <v>58</v>
      </c>
      <c r="B20" s="5">
        <v>61.048857009999999</v>
      </c>
      <c r="C20" s="5">
        <v>23.34801762</v>
      </c>
      <c r="D20" s="5">
        <v>76.651982380000007</v>
      </c>
      <c r="E20" s="2"/>
      <c r="F20" s="2"/>
      <c r="G20" s="2"/>
      <c r="H20" s="2"/>
      <c r="I20" s="2"/>
      <c r="J20" s="2"/>
      <c r="K20" s="13"/>
      <c r="L20" s="13"/>
      <c r="M20" s="13"/>
      <c r="N20" s="13"/>
      <c r="O20" s="13"/>
      <c r="P20" s="13"/>
      <c r="Q20" s="13"/>
      <c r="R20" s="13"/>
    </row>
    <row r="21" spans="1:18">
      <c r="A21" s="2" t="s">
        <v>59</v>
      </c>
      <c r="B21" s="2">
        <v>57.785320319999997</v>
      </c>
      <c r="C21" s="2">
        <v>99.926578559999996</v>
      </c>
      <c r="D21" s="2">
        <v>7.3421439000000005E-2</v>
      </c>
      <c r="E21" s="2"/>
      <c r="F21" s="2"/>
      <c r="G21" s="2"/>
      <c r="H21" s="2"/>
      <c r="I21" s="2"/>
      <c r="J21" s="2"/>
      <c r="K21" s="13"/>
      <c r="L21" s="13"/>
      <c r="M21" s="13"/>
      <c r="N21" s="13"/>
      <c r="O21" s="13"/>
      <c r="P21" s="13"/>
      <c r="Q21" s="13"/>
      <c r="R21" s="13"/>
    </row>
    <row r="22" spans="1:18">
      <c r="A22" s="2"/>
      <c r="B22" s="2"/>
      <c r="C22" s="2"/>
      <c r="D22" s="2"/>
      <c r="E22" s="2"/>
      <c r="F22" s="2"/>
      <c r="G22" s="2"/>
      <c r="H22" s="2"/>
      <c r="I22" s="2"/>
      <c r="J22" s="2"/>
      <c r="K22" s="13"/>
      <c r="L22" s="13"/>
      <c r="M22" s="13"/>
      <c r="N22" s="13"/>
      <c r="O22" s="13"/>
      <c r="P22" s="13"/>
      <c r="Q22" s="13"/>
      <c r="R22" s="13"/>
    </row>
    <row r="23" spans="1:18">
      <c r="A23" s="3" t="s">
        <v>24</v>
      </c>
      <c r="B23" s="3" t="s">
        <v>1</v>
      </c>
      <c r="C23" s="3" t="s">
        <v>25</v>
      </c>
      <c r="D23" s="3" t="s">
        <v>26</v>
      </c>
      <c r="E23" s="2"/>
      <c r="F23" s="2"/>
      <c r="G23" s="2"/>
      <c r="H23" s="2"/>
      <c r="I23" s="2" t="s">
        <v>60</v>
      </c>
      <c r="J23" s="2" t="s">
        <v>27</v>
      </c>
      <c r="K23" s="13"/>
      <c r="L23" s="13"/>
      <c r="M23" s="13"/>
      <c r="N23" s="13"/>
      <c r="O23" s="13"/>
      <c r="P23" s="13"/>
      <c r="Q23" s="13"/>
      <c r="R23" s="13"/>
    </row>
    <row r="24" spans="1:18">
      <c r="A24" s="2" t="s">
        <v>28</v>
      </c>
      <c r="B24" s="2">
        <v>58.28669824</v>
      </c>
      <c r="C24" s="2">
        <v>100</v>
      </c>
      <c r="D24" s="2">
        <v>0</v>
      </c>
      <c r="E24" s="2"/>
      <c r="F24" s="2"/>
      <c r="G24" s="2"/>
      <c r="H24" s="2" t="s">
        <v>29</v>
      </c>
      <c r="I24" s="2">
        <v>29.59301</v>
      </c>
      <c r="J24" s="2">
        <v>23.586459999999999</v>
      </c>
      <c r="K24" s="13"/>
      <c r="L24" s="13"/>
      <c r="M24" s="13"/>
      <c r="N24" s="13"/>
      <c r="O24" s="13"/>
      <c r="P24" s="13"/>
      <c r="Q24" s="13"/>
      <c r="R24" s="13"/>
    </row>
    <row r="25" spans="1:18">
      <c r="A25" s="3" t="s">
        <v>30</v>
      </c>
      <c r="B25" s="3">
        <v>61.767733229999997</v>
      </c>
      <c r="C25" s="3">
        <v>9.8727018999999999E-2</v>
      </c>
      <c r="D25" s="3">
        <v>99.901272980000002</v>
      </c>
      <c r="E25" s="2"/>
      <c r="F25" s="2"/>
      <c r="G25" s="2" t="s">
        <v>31</v>
      </c>
      <c r="H25" s="2" t="s">
        <v>28</v>
      </c>
      <c r="I25" s="2">
        <v>99.901269999999997</v>
      </c>
      <c r="J25" s="2">
        <v>2.6772000000000001E-2</v>
      </c>
      <c r="K25" s="13"/>
      <c r="L25" s="13"/>
      <c r="M25" s="13"/>
      <c r="N25" s="13"/>
      <c r="O25" s="13"/>
      <c r="P25" s="13"/>
      <c r="Q25" s="13"/>
      <c r="R25" s="13"/>
    </row>
    <row r="26" spans="1:18">
      <c r="A26" s="2" t="s">
        <v>32</v>
      </c>
      <c r="B26" s="2">
        <v>34.187725630000003</v>
      </c>
      <c r="C26" s="2">
        <v>100</v>
      </c>
      <c r="D26" s="2">
        <v>0</v>
      </c>
      <c r="E26" s="2"/>
      <c r="F26" s="2"/>
      <c r="G26" s="2"/>
      <c r="H26" s="2" t="s">
        <v>32</v>
      </c>
      <c r="I26" s="2">
        <v>61.866999999999997</v>
      </c>
      <c r="J26" s="2">
        <v>5.7848870000000003</v>
      </c>
      <c r="K26" s="13"/>
      <c r="L26" s="13"/>
      <c r="M26" s="13"/>
      <c r="N26" s="13"/>
      <c r="O26" s="13"/>
      <c r="P26" s="13"/>
      <c r="Q26" s="13"/>
      <c r="R26" s="13"/>
    </row>
    <row r="27" spans="1:18">
      <c r="A27" s="3" t="s">
        <v>33</v>
      </c>
      <c r="B27" s="3">
        <v>43.04224198</v>
      </c>
      <c r="C27" s="3">
        <v>38.132996210000002</v>
      </c>
      <c r="D27" s="3">
        <v>61.867003789999998</v>
      </c>
      <c r="E27" s="2"/>
      <c r="F27" s="2"/>
      <c r="G27" s="2"/>
      <c r="H27" s="2" t="s">
        <v>34</v>
      </c>
      <c r="I27" s="2">
        <v>3.4144570000000001</v>
      </c>
      <c r="J27" s="2">
        <v>0.41436699999999999</v>
      </c>
      <c r="K27" s="13"/>
      <c r="L27" s="13"/>
      <c r="M27" s="13"/>
      <c r="N27" s="13"/>
      <c r="O27" s="13"/>
      <c r="P27" s="13"/>
      <c r="Q27" s="13"/>
      <c r="R27" s="13"/>
    </row>
    <row r="28" spans="1:18">
      <c r="A28" s="2" t="s">
        <v>34</v>
      </c>
      <c r="B28" s="2">
        <v>31.63908589</v>
      </c>
      <c r="C28" s="2">
        <v>100</v>
      </c>
      <c r="D28" s="2">
        <v>0</v>
      </c>
      <c r="E28" s="2"/>
      <c r="F28" s="2"/>
      <c r="G28" s="2"/>
      <c r="H28" s="2" t="s">
        <v>35</v>
      </c>
      <c r="I28" s="2">
        <v>0.45766899999999999</v>
      </c>
      <c r="J28" s="2">
        <v>0.368344</v>
      </c>
      <c r="K28" s="13"/>
      <c r="L28" s="13"/>
      <c r="M28" s="13"/>
      <c r="N28" s="13"/>
      <c r="O28" s="13"/>
      <c r="P28" s="13"/>
      <c r="Q28" s="13"/>
      <c r="R28" s="13"/>
    </row>
    <row r="29" spans="1:18">
      <c r="A29" s="3" t="s">
        <v>36</v>
      </c>
      <c r="B29" s="3">
        <v>27.870933959999999</v>
      </c>
      <c r="C29" s="3">
        <v>96.628005380000005</v>
      </c>
      <c r="D29" s="3">
        <v>3.4144574620000001</v>
      </c>
      <c r="E29" s="2"/>
      <c r="F29" s="2"/>
      <c r="G29" s="2"/>
      <c r="H29" s="2"/>
      <c r="I29" s="2"/>
      <c r="J29" s="2"/>
      <c r="K29" s="13"/>
      <c r="L29" s="13"/>
      <c r="M29" s="13"/>
      <c r="N29" s="13"/>
      <c r="O29" s="13"/>
      <c r="P29" s="13"/>
      <c r="Q29" s="13"/>
      <c r="R29" s="13"/>
    </row>
    <row r="30" spans="1:18">
      <c r="A30" s="2" t="s">
        <v>35</v>
      </c>
      <c r="B30" s="2">
        <v>15.391762160000001</v>
      </c>
      <c r="C30" s="2">
        <v>100</v>
      </c>
      <c r="D30" s="2">
        <v>0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</row>
    <row r="31" spans="1:18">
      <c r="A31" s="3" t="s">
        <v>37</v>
      </c>
      <c r="B31" s="3">
        <v>15.796122049999999</v>
      </c>
      <c r="C31" s="3">
        <v>99.542330719999995</v>
      </c>
      <c r="D31" s="3">
        <v>0.45766928099999998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</row>
    <row r="32" spans="1:18">
      <c r="A32" s="2" t="s">
        <v>29</v>
      </c>
      <c r="B32" s="2">
        <v>57.785320319999997</v>
      </c>
      <c r="C32" s="2">
        <v>99.926578559999996</v>
      </c>
      <c r="D32" s="2">
        <v>7.3421439000000005E-2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</row>
    <row r="33" spans="1:18">
      <c r="A33" s="2" t="s">
        <v>38</v>
      </c>
      <c r="B33" s="2">
        <v>64.520484839999995</v>
      </c>
      <c r="C33" s="2">
        <v>70.40698648</v>
      </c>
      <c r="D33" s="2">
        <v>29.59301352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</row>
  </sheetData>
  <mergeCells count="1">
    <mergeCell ref="K14:R2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C9E02-FB38-4E8D-8EDB-8429D56E8DD2}">
  <dimension ref="A1"/>
  <sheetViews>
    <sheetView topLeftCell="A30" zoomScale="40" workbookViewId="0">
      <selection activeCell="AA53" sqref="AA53:AA59"/>
    </sheetView>
  </sheetViews>
  <sheetFormatPr defaultColWidth="8.85546875"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4A94F-92D4-4056-B1EB-23838DC91D1F}">
  <dimension ref="A1"/>
  <sheetViews>
    <sheetView topLeftCell="A29" zoomScale="50" workbookViewId="0">
      <selection activeCell="AM83" sqref="AM83"/>
    </sheetView>
  </sheetViews>
  <sheetFormatPr defaultColWidth="8.85546875"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ECE1A-5666-4BF5-9909-8126E2A55336}">
  <dimension ref="A1:J33"/>
  <sheetViews>
    <sheetView topLeftCell="B20" zoomScale="112" workbookViewId="0">
      <selection activeCell="U28" sqref="U28"/>
    </sheetView>
  </sheetViews>
  <sheetFormatPr defaultColWidth="8.85546875" defaultRowHeight="15"/>
  <cols>
    <col min="1" max="1" width="28.7109375" bestFit="1" customWidth="1"/>
    <col min="2" max="4" width="12.42578125" bestFit="1" customWidth="1"/>
  </cols>
  <sheetData>
    <row r="1" spans="1:10">
      <c r="A1" s="2" t="s">
        <v>0</v>
      </c>
      <c r="B1" s="2" t="s">
        <v>1</v>
      </c>
      <c r="C1" s="2" t="s">
        <v>65</v>
      </c>
      <c r="D1" s="2" t="s">
        <v>66</v>
      </c>
      <c r="E1" s="2"/>
      <c r="F1" s="2"/>
      <c r="G1" s="2"/>
      <c r="H1" s="2"/>
      <c r="I1" s="2"/>
      <c r="J1" s="2"/>
    </row>
    <row r="2" spans="1:10">
      <c r="A2" s="2" t="s">
        <v>67</v>
      </c>
      <c r="B2" s="2">
        <v>63.051305130000003</v>
      </c>
      <c r="C2" s="2">
        <v>0.14275517500000001</v>
      </c>
      <c r="D2" s="2">
        <v>99.857244829999999</v>
      </c>
      <c r="E2" s="2"/>
      <c r="F2" s="2"/>
      <c r="G2" s="2"/>
      <c r="H2" s="2"/>
      <c r="I2" s="2"/>
      <c r="J2" s="2"/>
    </row>
    <row r="3" spans="1:10">
      <c r="A3" s="2" t="s">
        <v>68</v>
      </c>
      <c r="B3" s="2">
        <v>57.81443299</v>
      </c>
      <c r="C3" s="2">
        <v>0.14265335200000001</v>
      </c>
      <c r="D3" s="2">
        <v>99.857346649999997</v>
      </c>
      <c r="E3" s="2"/>
      <c r="F3" s="2"/>
      <c r="G3" s="2"/>
      <c r="H3" s="2"/>
      <c r="I3" s="2"/>
      <c r="J3" s="2"/>
    </row>
    <row r="4" spans="1:10">
      <c r="A4" s="2" t="s">
        <v>69</v>
      </c>
      <c r="B4" s="2">
        <v>56.208881580000003</v>
      </c>
      <c r="C4" s="2">
        <v>0.146305779</v>
      </c>
      <c r="D4" s="2">
        <v>99.853694219999994</v>
      </c>
      <c r="E4" s="2"/>
      <c r="F4" s="2"/>
      <c r="G4" s="2"/>
      <c r="H4" s="2"/>
      <c r="I4" s="2"/>
      <c r="J4" s="2"/>
    </row>
    <row r="5" spans="1:10">
      <c r="A5" s="2" t="s">
        <v>70</v>
      </c>
      <c r="B5" s="2">
        <v>62.830273179999999</v>
      </c>
      <c r="C5" s="2">
        <v>100</v>
      </c>
      <c r="D5" s="2">
        <v>0</v>
      </c>
      <c r="E5" s="2"/>
      <c r="F5" s="2"/>
      <c r="G5" s="2"/>
      <c r="H5" s="2"/>
      <c r="I5" s="2"/>
      <c r="J5" s="2"/>
    </row>
    <row r="6" spans="1:10">
      <c r="A6" s="2" t="s">
        <v>71</v>
      </c>
      <c r="B6" s="2">
        <v>17.242415139999999</v>
      </c>
      <c r="C6" s="2">
        <v>31.881533099999999</v>
      </c>
      <c r="D6" s="2">
        <v>68.118466900000001</v>
      </c>
      <c r="E6" s="2"/>
      <c r="F6" s="2"/>
      <c r="G6" s="2"/>
      <c r="H6" s="2"/>
      <c r="I6" s="2"/>
      <c r="J6" s="2"/>
    </row>
    <row r="7" spans="1:10">
      <c r="A7" s="2" t="s">
        <v>72</v>
      </c>
      <c r="B7" s="2">
        <v>33.333333330000002</v>
      </c>
      <c r="C7" s="2">
        <v>27.713382509999999</v>
      </c>
      <c r="D7" s="2">
        <v>72.286617489999998</v>
      </c>
      <c r="E7" s="2"/>
      <c r="F7" s="2"/>
      <c r="G7" s="2"/>
      <c r="H7" s="2"/>
      <c r="I7" s="2"/>
      <c r="J7" s="2"/>
    </row>
    <row r="8" spans="1:10">
      <c r="A8" s="2" t="s">
        <v>73</v>
      </c>
      <c r="B8" s="2">
        <v>9.2647454889999992</v>
      </c>
      <c r="C8" s="2">
        <v>61.046511629999998</v>
      </c>
      <c r="D8" s="2">
        <v>38.953488370000002</v>
      </c>
      <c r="E8" s="2"/>
      <c r="F8" s="2"/>
      <c r="G8" s="2"/>
      <c r="H8" s="2"/>
      <c r="I8" s="2"/>
      <c r="J8" s="2"/>
    </row>
    <row r="9" spans="1:10">
      <c r="A9" s="2" t="s">
        <v>74</v>
      </c>
      <c r="B9" s="2">
        <v>32.94377764</v>
      </c>
      <c r="C9" s="2">
        <v>99.808245450000001</v>
      </c>
      <c r="D9" s="2">
        <v>0.19175455399999999</v>
      </c>
      <c r="E9" s="2"/>
      <c r="F9" s="2"/>
      <c r="G9" s="2"/>
      <c r="H9" s="2"/>
      <c r="I9" s="2"/>
      <c r="J9" s="2"/>
    </row>
    <row r="10" spans="1:10">
      <c r="A10" s="2" t="s">
        <v>75</v>
      </c>
      <c r="B10" s="2">
        <v>10.03236246</v>
      </c>
      <c r="C10" s="2">
        <v>95.161290320000006</v>
      </c>
      <c r="D10" s="2">
        <v>4.8387096769999998</v>
      </c>
      <c r="E10" s="2"/>
      <c r="F10" s="2"/>
      <c r="G10" s="2"/>
      <c r="H10" s="2"/>
      <c r="I10" s="2"/>
      <c r="J10" s="2"/>
    </row>
    <row r="11" spans="1:10">
      <c r="A11" s="2" t="s">
        <v>76</v>
      </c>
      <c r="B11" s="2">
        <v>7.9951397330000002</v>
      </c>
      <c r="C11" s="2">
        <v>95.744680849999995</v>
      </c>
      <c r="D11" s="2">
        <v>4.255319149</v>
      </c>
      <c r="E11" s="2"/>
      <c r="F11" s="2"/>
      <c r="G11" s="2"/>
      <c r="H11" s="2"/>
      <c r="I11" s="2"/>
      <c r="J11" s="2"/>
    </row>
    <row r="12" spans="1:10">
      <c r="A12" s="2" t="s">
        <v>77</v>
      </c>
      <c r="B12" s="2">
        <v>11.14037398</v>
      </c>
      <c r="C12" s="2">
        <v>95.508274229999998</v>
      </c>
      <c r="D12" s="2">
        <v>4.4917257680000002</v>
      </c>
      <c r="E12" s="2"/>
      <c r="F12" s="2"/>
      <c r="G12" s="2"/>
      <c r="H12" s="2"/>
      <c r="I12" s="2"/>
      <c r="J12" s="2"/>
    </row>
    <row r="13" spans="1:10">
      <c r="A13" s="2" t="s">
        <v>78</v>
      </c>
      <c r="B13" s="2">
        <v>12.54968768</v>
      </c>
      <c r="C13" s="2">
        <v>99.773755660000006</v>
      </c>
      <c r="D13" s="2">
        <v>0.22624434399999999</v>
      </c>
      <c r="E13" s="2"/>
      <c r="F13" s="2"/>
      <c r="G13" s="2"/>
      <c r="H13" s="2"/>
      <c r="I13" s="2"/>
      <c r="J13" s="2"/>
    </row>
    <row r="14" spans="1:10">
      <c r="A14" s="2" t="s">
        <v>79</v>
      </c>
      <c r="B14" s="2">
        <v>4.5780969479999998</v>
      </c>
      <c r="C14" s="2">
        <v>100</v>
      </c>
      <c r="D14" s="2">
        <v>0</v>
      </c>
      <c r="E14" s="2"/>
      <c r="F14" s="2"/>
      <c r="G14" s="2"/>
      <c r="H14" s="2"/>
      <c r="I14" s="2"/>
      <c r="J14" s="2"/>
    </row>
    <row r="15" spans="1:10">
      <c r="A15" s="2" t="s">
        <v>80</v>
      </c>
      <c r="B15" s="2">
        <v>4.6942981450000003</v>
      </c>
      <c r="C15" s="2">
        <v>100</v>
      </c>
      <c r="D15" s="2">
        <v>0</v>
      </c>
      <c r="E15" s="2"/>
      <c r="F15" s="2"/>
      <c r="G15" s="2"/>
      <c r="H15" s="2"/>
      <c r="I15" s="2"/>
      <c r="J15" s="2"/>
    </row>
    <row r="16" spans="1:10">
      <c r="A16" s="2" t="s">
        <v>81</v>
      </c>
      <c r="B16" s="2">
        <v>3.7709168040000001</v>
      </c>
      <c r="C16" s="2">
        <v>98.125</v>
      </c>
      <c r="D16" s="2">
        <v>1.875</v>
      </c>
      <c r="E16" s="2"/>
      <c r="F16" s="2"/>
      <c r="G16" s="2"/>
      <c r="H16" s="2"/>
      <c r="I16" s="2"/>
      <c r="J16" s="2"/>
    </row>
    <row r="17" spans="1:10">
      <c r="A17" s="2" t="s">
        <v>82</v>
      </c>
      <c r="B17" s="2">
        <v>4.131355932</v>
      </c>
      <c r="C17" s="2"/>
      <c r="D17" s="2">
        <v>0</v>
      </c>
      <c r="E17" s="2"/>
      <c r="F17" s="2"/>
      <c r="G17" s="2"/>
      <c r="H17" s="2"/>
      <c r="I17" s="2"/>
      <c r="J17" s="2"/>
    </row>
    <row r="18" spans="1:10">
      <c r="A18" s="2" t="s">
        <v>83</v>
      </c>
      <c r="B18" s="2">
        <v>69.078630000000004</v>
      </c>
      <c r="C18" s="2">
        <v>64.245810059999997</v>
      </c>
      <c r="D18" s="2">
        <v>35.754189940000003</v>
      </c>
      <c r="E18" s="2"/>
      <c r="F18" s="2"/>
      <c r="G18" s="2"/>
      <c r="H18" s="2"/>
      <c r="I18" s="2"/>
      <c r="J18" s="2"/>
    </row>
    <row r="19" spans="1:10">
      <c r="A19" s="2" t="s">
        <v>84</v>
      </c>
      <c r="B19" s="2">
        <v>81.076581579999996</v>
      </c>
      <c r="C19" s="2">
        <v>70.91033539</v>
      </c>
      <c r="D19" s="2">
        <v>29.08966461</v>
      </c>
      <c r="E19" s="2"/>
      <c r="F19" s="2"/>
      <c r="G19" s="2"/>
      <c r="H19" s="2"/>
      <c r="I19" s="2"/>
      <c r="J19" s="2"/>
    </row>
    <row r="20" spans="1:10">
      <c r="A20" s="2" t="s">
        <v>85</v>
      </c>
      <c r="B20" s="2">
        <v>65.791940019999998</v>
      </c>
      <c r="C20" s="2">
        <v>73.789173790000007</v>
      </c>
      <c r="D20" s="2">
        <v>26.21082621</v>
      </c>
      <c r="E20" s="2"/>
      <c r="F20" s="2"/>
      <c r="G20" s="2"/>
      <c r="H20" s="2"/>
      <c r="I20" s="2"/>
      <c r="J20" s="2"/>
    </row>
    <row r="21" spans="1:10">
      <c r="A21" s="2" t="s">
        <v>86</v>
      </c>
      <c r="B21" s="2">
        <v>67.945075759999995</v>
      </c>
      <c r="C21" s="2">
        <v>100</v>
      </c>
      <c r="D21" s="2">
        <v>0</v>
      </c>
      <c r="E21" s="2"/>
      <c r="F21" s="2"/>
      <c r="G21" s="2"/>
      <c r="H21" s="2"/>
      <c r="I21" s="2"/>
      <c r="J21" s="2"/>
    </row>
    <row r="22" spans="1:10">
      <c r="A22" s="2"/>
      <c r="B22" s="2"/>
      <c r="C22" s="2"/>
      <c r="D22" s="2"/>
      <c r="E22" s="2"/>
      <c r="F22" s="2"/>
      <c r="G22" s="2"/>
      <c r="H22" s="2"/>
      <c r="I22" s="2"/>
      <c r="J22" s="2"/>
    </row>
    <row r="23" spans="1:10">
      <c r="A23" s="3" t="s">
        <v>24</v>
      </c>
      <c r="B23" s="3" t="s">
        <v>1</v>
      </c>
      <c r="C23" s="3" t="s">
        <v>25</v>
      </c>
      <c r="D23" s="3" t="s">
        <v>26</v>
      </c>
      <c r="E23" s="2"/>
      <c r="F23" s="2"/>
      <c r="G23" s="2"/>
      <c r="H23" s="2"/>
      <c r="I23" s="2" t="s">
        <v>60</v>
      </c>
      <c r="J23" s="2" t="s">
        <v>27</v>
      </c>
    </row>
    <row r="24" spans="1:10">
      <c r="A24" s="2" t="s">
        <v>28</v>
      </c>
      <c r="B24" s="2">
        <v>62.830273179999999</v>
      </c>
      <c r="C24" s="2">
        <v>100</v>
      </c>
      <c r="D24" s="2">
        <v>0</v>
      </c>
      <c r="E24" s="2"/>
      <c r="F24" s="2"/>
      <c r="G24" s="2"/>
      <c r="H24" s="2" t="s">
        <v>29</v>
      </c>
      <c r="I24" s="2">
        <v>30.351559999999999</v>
      </c>
      <c r="J24" s="2">
        <v>2.82626</v>
      </c>
    </row>
    <row r="25" spans="1:10">
      <c r="A25" s="3" t="s">
        <v>30</v>
      </c>
      <c r="B25" s="3">
        <v>59.024873229999997</v>
      </c>
      <c r="C25" s="3">
        <v>0.14390476899999999</v>
      </c>
      <c r="D25" s="3">
        <v>99.856095229999994</v>
      </c>
      <c r="E25" s="2"/>
      <c r="F25" s="2"/>
      <c r="G25" s="2" t="s">
        <v>31</v>
      </c>
      <c r="H25" s="2" t="s">
        <v>87</v>
      </c>
      <c r="I25" s="2">
        <v>99.856099999999998</v>
      </c>
      <c r="J25" s="2">
        <v>1.201E-3</v>
      </c>
    </row>
    <row r="26" spans="1:10">
      <c r="A26" s="2" t="s">
        <v>32</v>
      </c>
      <c r="B26" s="2">
        <v>32.94377764</v>
      </c>
      <c r="C26" s="2">
        <v>99.808245450000001</v>
      </c>
      <c r="D26" s="2">
        <v>0.19175455399999999</v>
      </c>
      <c r="E26" s="2"/>
      <c r="F26" s="2"/>
      <c r="G26" s="2"/>
      <c r="H26" s="2" t="s">
        <v>88</v>
      </c>
      <c r="I26" s="2">
        <v>59.786189999999998</v>
      </c>
      <c r="J26" s="2">
        <v>10.485620000000001</v>
      </c>
    </row>
    <row r="27" spans="1:10">
      <c r="A27" s="3" t="s">
        <v>33</v>
      </c>
      <c r="B27" s="3">
        <v>19.946831320000001</v>
      </c>
      <c r="C27" s="3">
        <v>40.213809079999997</v>
      </c>
      <c r="D27" s="3">
        <v>59.786190920000003</v>
      </c>
      <c r="E27" s="2"/>
      <c r="F27" s="2"/>
      <c r="G27" s="2"/>
      <c r="H27" s="2" t="s">
        <v>89</v>
      </c>
      <c r="I27" s="2">
        <v>4.5285849999999996</v>
      </c>
      <c r="J27" s="2">
        <v>0.16941600000000001</v>
      </c>
    </row>
    <row r="28" spans="1:10">
      <c r="A28" s="2" t="s">
        <v>34</v>
      </c>
      <c r="B28" s="2">
        <v>12.54968768</v>
      </c>
      <c r="C28" s="2">
        <v>99.773755660000006</v>
      </c>
      <c r="D28" s="2">
        <v>0.22624434399999999</v>
      </c>
      <c r="E28" s="2"/>
      <c r="F28" s="2"/>
      <c r="G28" s="2"/>
      <c r="H28" s="2" t="s">
        <v>90</v>
      </c>
      <c r="I28" s="2">
        <v>0.625</v>
      </c>
      <c r="J28" s="2">
        <v>0.625</v>
      </c>
    </row>
    <row r="29" spans="1:10">
      <c r="A29" s="3" t="s">
        <v>36</v>
      </c>
      <c r="B29" s="3">
        <v>9.7226253909999993</v>
      </c>
      <c r="C29" s="3">
        <v>95.471415140000005</v>
      </c>
      <c r="D29" s="3">
        <v>4.528584865</v>
      </c>
      <c r="E29" s="2"/>
      <c r="F29" s="2"/>
      <c r="G29" s="2"/>
      <c r="H29" s="2"/>
      <c r="I29" s="2"/>
      <c r="J29" s="2"/>
    </row>
    <row r="30" spans="1:10">
      <c r="A30" s="2" t="s">
        <v>35</v>
      </c>
      <c r="B30" s="2">
        <v>4.131355932</v>
      </c>
      <c r="C30" s="2">
        <v>0</v>
      </c>
      <c r="D30" s="2">
        <v>0</v>
      </c>
      <c r="E30" s="2"/>
      <c r="F30" s="2"/>
      <c r="G30" s="2"/>
      <c r="H30" s="2"/>
      <c r="I30" s="2"/>
      <c r="J30" s="2"/>
    </row>
    <row r="31" spans="1:10">
      <c r="A31" s="3" t="s">
        <v>37</v>
      </c>
      <c r="B31" s="3">
        <v>4.3477706319999996</v>
      </c>
      <c r="C31" s="3">
        <v>99.375</v>
      </c>
      <c r="D31" s="3">
        <v>0.625</v>
      </c>
      <c r="E31" s="2"/>
      <c r="F31" s="2"/>
      <c r="G31" s="2"/>
      <c r="H31" s="2"/>
      <c r="I31" s="2"/>
      <c r="J31" s="2"/>
    </row>
    <row r="32" spans="1:10">
      <c r="A32" s="2" t="s">
        <v>29</v>
      </c>
      <c r="B32" s="2">
        <v>67.945075759999995</v>
      </c>
      <c r="C32" s="2">
        <v>100</v>
      </c>
      <c r="D32" s="2">
        <v>0</v>
      </c>
      <c r="E32" s="2"/>
      <c r="F32" s="2"/>
      <c r="G32" s="2"/>
      <c r="H32" s="2"/>
      <c r="I32" s="2"/>
      <c r="J32" s="2"/>
    </row>
    <row r="33" spans="1:10">
      <c r="A33" s="2" t="s">
        <v>38</v>
      </c>
      <c r="B33" s="2">
        <v>71.982383870000007</v>
      </c>
      <c r="C33" s="2">
        <v>69.648439740000001</v>
      </c>
      <c r="D33" s="2">
        <v>30.351560259999999</v>
      </c>
      <c r="E33" s="2"/>
      <c r="F33" s="2"/>
      <c r="G33" s="2"/>
      <c r="H33" s="2"/>
      <c r="I33" s="2"/>
      <c r="J33" s="2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69B4B-63B6-4A7C-A41D-749218D48250}">
  <dimension ref="A1"/>
  <sheetViews>
    <sheetView topLeftCell="A35" zoomScale="50" workbookViewId="0">
      <selection activeCell="AA43" sqref="AA43"/>
    </sheetView>
  </sheetViews>
  <sheetFormatPr defaultColWidth="8.85546875"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84EAA-4C7D-4D62-85A6-33D99B811D41}">
  <dimension ref="A1"/>
  <sheetViews>
    <sheetView zoomScale="50" workbookViewId="0">
      <selection activeCell="AN86" sqref="AN86"/>
    </sheetView>
  </sheetViews>
  <sheetFormatPr defaultColWidth="8.85546875"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2A3D6-65A1-450F-8170-3B690DDF241A}">
  <dimension ref="A1:I46"/>
  <sheetViews>
    <sheetView topLeftCell="A12" workbookViewId="0">
      <selection activeCell="G38" sqref="G38:G40"/>
    </sheetView>
  </sheetViews>
  <sheetFormatPr defaultColWidth="11.42578125" defaultRowHeight="15"/>
  <cols>
    <col min="2" max="2" width="25.42578125" bestFit="1" customWidth="1"/>
    <col min="3" max="3" width="11.42578125" bestFit="1" customWidth="1"/>
    <col min="4" max="4" width="12.140625" bestFit="1" customWidth="1"/>
    <col min="5" max="5" width="12.85546875" bestFit="1" customWidth="1"/>
    <col min="6" max="6" width="13.28515625" bestFit="1" customWidth="1"/>
    <col min="11" max="12" width="12.7109375" customWidth="1"/>
    <col min="13" max="13" width="33.28515625" bestFit="1" customWidth="1"/>
  </cols>
  <sheetData>
    <row r="1" spans="1:7">
      <c r="A1" t="s">
        <v>91</v>
      </c>
      <c r="B1" t="s">
        <v>0</v>
      </c>
      <c r="C1" t="s">
        <v>92</v>
      </c>
      <c r="D1" t="s">
        <v>93</v>
      </c>
      <c r="E1" t="s">
        <v>1</v>
      </c>
      <c r="F1" t="s">
        <v>2</v>
      </c>
      <c r="G1" t="s">
        <v>3</v>
      </c>
    </row>
    <row r="2" spans="1:7">
      <c r="A2" s="6">
        <v>45601</v>
      </c>
      <c r="B2" t="s">
        <v>5</v>
      </c>
      <c r="C2">
        <v>1</v>
      </c>
      <c r="D2">
        <v>0</v>
      </c>
      <c r="E2">
        <v>50.124157500000003</v>
      </c>
      <c r="F2">
        <v>0.283085633</v>
      </c>
      <c r="G2">
        <v>99.716914369999998</v>
      </c>
    </row>
    <row r="3" spans="1:7">
      <c r="A3" s="6">
        <v>45601</v>
      </c>
      <c r="B3" t="s">
        <v>6</v>
      </c>
      <c r="C3">
        <v>1</v>
      </c>
      <c r="D3">
        <v>0</v>
      </c>
      <c r="E3">
        <v>44.186785260000001</v>
      </c>
      <c r="F3">
        <v>0.143781452</v>
      </c>
      <c r="G3">
        <v>99.856218549999994</v>
      </c>
    </row>
    <row r="4" spans="1:7">
      <c r="A4" s="6">
        <v>45601</v>
      </c>
      <c r="B4" t="s">
        <v>7</v>
      </c>
      <c r="C4">
        <v>1</v>
      </c>
      <c r="D4">
        <v>0</v>
      </c>
      <c r="E4">
        <v>45.336787559999998</v>
      </c>
      <c r="F4">
        <v>0.21428571399999999</v>
      </c>
      <c r="G4">
        <v>99.785714290000001</v>
      </c>
    </row>
    <row r="5" spans="1:7">
      <c r="A5" s="6">
        <v>45601</v>
      </c>
      <c r="B5" t="s">
        <v>8</v>
      </c>
      <c r="C5">
        <v>1</v>
      </c>
      <c r="D5">
        <v>5</v>
      </c>
      <c r="E5">
        <v>33.183712730000003</v>
      </c>
      <c r="F5">
        <v>70.917874400000002</v>
      </c>
      <c r="G5">
        <v>29.082125600000001</v>
      </c>
    </row>
    <row r="6" spans="1:7">
      <c r="A6" s="6">
        <v>45601</v>
      </c>
      <c r="B6" t="s">
        <v>9</v>
      </c>
      <c r="C6">
        <v>1</v>
      </c>
      <c r="D6">
        <v>5</v>
      </c>
      <c r="E6">
        <v>32.267702419999999</v>
      </c>
      <c r="F6">
        <v>68.333333330000002</v>
      </c>
      <c r="G6">
        <v>31.666666670000001</v>
      </c>
    </row>
    <row r="7" spans="1:7">
      <c r="A7" s="6">
        <v>45601</v>
      </c>
      <c r="B7" t="s">
        <v>10</v>
      </c>
      <c r="C7">
        <v>1</v>
      </c>
      <c r="D7">
        <v>5</v>
      </c>
      <c r="E7">
        <v>32.518195050000003</v>
      </c>
      <c r="F7">
        <v>62.220232770000003</v>
      </c>
      <c r="G7">
        <v>37.779767229999997</v>
      </c>
    </row>
    <row r="8" spans="1:7">
      <c r="A8" s="6">
        <v>45601</v>
      </c>
      <c r="B8" t="s">
        <v>12</v>
      </c>
      <c r="C8">
        <v>1</v>
      </c>
      <c r="D8">
        <v>10</v>
      </c>
      <c r="E8">
        <v>28.497251070000001</v>
      </c>
      <c r="F8">
        <v>97.749196139999995</v>
      </c>
      <c r="G8">
        <v>2.2508038589999999</v>
      </c>
    </row>
    <row r="9" spans="1:7">
      <c r="A9" s="6">
        <v>45601</v>
      </c>
      <c r="B9" t="s">
        <v>13</v>
      </c>
      <c r="C9">
        <v>1</v>
      </c>
      <c r="D9">
        <v>10</v>
      </c>
      <c r="E9">
        <v>32.338483150000002</v>
      </c>
      <c r="F9">
        <v>97.719869709999998</v>
      </c>
      <c r="G9">
        <v>2.280130293</v>
      </c>
    </row>
    <row r="10" spans="1:7">
      <c r="A10" s="6">
        <v>45601</v>
      </c>
      <c r="B10" t="s">
        <v>14</v>
      </c>
      <c r="C10">
        <v>1</v>
      </c>
      <c r="D10">
        <v>10</v>
      </c>
      <c r="E10">
        <v>43.441636580000001</v>
      </c>
      <c r="F10">
        <v>95.660203139999993</v>
      </c>
      <c r="G10">
        <v>4.339796861</v>
      </c>
    </row>
    <row r="11" spans="1:7">
      <c r="A11" s="6">
        <v>45601</v>
      </c>
      <c r="B11" t="s">
        <v>17</v>
      </c>
      <c r="C11">
        <v>1</v>
      </c>
      <c r="D11">
        <v>15</v>
      </c>
      <c r="E11">
        <v>25.61681389</v>
      </c>
      <c r="F11">
        <v>100</v>
      </c>
      <c r="G11">
        <v>0</v>
      </c>
    </row>
    <row r="12" spans="1:7">
      <c r="A12" s="6">
        <v>45601</v>
      </c>
      <c r="B12" t="s">
        <v>18</v>
      </c>
      <c r="C12">
        <v>1</v>
      </c>
      <c r="D12">
        <v>15</v>
      </c>
      <c r="E12">
        <v>32.605042019999999</v>
      </c>
      <c r="F12">
        <v>99.793814429999998</v>
      </c>
      <c r="G12">
        <v>0.20618556699999999</v>
      </c>
    </row>
    <row r="13" spans="1:7">
      <c r="A13" s="6">
        <v>45601</v>
      </c>
      <c r="B13" t="s">
        <v>19</v>
      </c>
      <c r="C13">
        <v>1</v>
      </c>
      <c r="D13">
        <v>15</v>
      </c>
      <c r="E13">
        <v>18.40043232</v>
      </c>
      <c r="F13">
        <v>99.412628490000003</v>
      </c>
      <c r="G13">
        <v>0.58737151200000004</v>
      </c>
    </row>
    <row r="14" spans="1:7">
      <c r="A14" s="6">
        <v>45601</v>
      </c>
      <c r="B14" t="s">
        <v>21</v>
      </c>
      <c r="C14">
        <v>1</v>
      </c>
      <c r="D14" t="s">
        <v>94</v>
      </c>
      <c r="E14">
        <v>75.537359260000002</v>
      </c>
      <c r="F14">
        <v>93.224932249999995</v>
      </c>
      <c r="G14">
        <v>6.7750677509999999</v>
      </c>
    </row>
    <row r="15" spans="1:7">
      <c r="A15" s="6">
        <v>45601</v>
      </c>
      <c r="B15" t="s">
        <v>22</v>
      </c>
      <c r="C15">
        <v>1</v>
      </c>
      <c r="D15" t="s">
        <v>94</v>
      </c>
      <c r="E15">
        <v>71.657754010000005</v>
      </c>
      <c r="F15">
        <v>93.419267300000001</v>
      </c>
      <c r="G15">
        <v>6.5807327000000004</v>
      </c>
    </row>
    <row r="16" spans="1:7">
      <c r="A16" s="6">
        <v>45601</v>
      </c>
      <c r="B16" t="s">
        <v>23</v>
      </c>
      <c r="C16">
        <v>1</v>
      </c>
      <c r="D16" t="s">
        <v>94</v>
      </c>
      <c r="E16">
        <v>78.434504790000005</v>
      </c>
      <c r="F16">
        <v>89.545145959999999</v>
      </c>
      <c r="G16">
        <v>10.454854040000001</v>
      </c>
    </row>
    <row r="17" spans="1:9">
      <c r="A17" s="6">
        <v>45610</v>
      </c>
      <c r="B17" s="7" t="s">
        <v>39</v>
      </c>
      <c r="C17" s="7">
        <v>2</v>
      </c>
      <c r="D17" s="7">
        <v>0</v>
      </c>
      <c r="E17" s="7">
        <v>57.581069239999998</v>
      </c>
      <c r="F17" s="7">
        <v>0.15220700200000001</v>
      </c>
      <c r="G17" s="7">
        <v>99.847792999999996</v>
      </c>
    </row>
    <row r="18" spans="1:9">
      <c r="A18" s="6">
        <v>45610</v>
      </c>
      <c r="B18" s="7" t="s">
        <v>40</v>
      </c>
      <c r="C18" s="7">
        <v>2</v>
      </c>
      <c r="D18" s="7">
        <v>0</v>
      </c>
      <c r="E18" s="7">
        <v>62.332253590000001</v>
      </c>
      <c r="F18" s="7">
        <v>7.4239050000000001E-2</v>
      </c>
      <c r="G18" s="7">
        <v>99.925760949999997</v>
      </c>
    </row>
    <row r="19" spans="1:9">
      <c r="A19" s="9">
        <v>45610</v>
      </c>
      <c r="B19" s="10" t="s">
        <v>41</v>
      </c>
      <c r="C19" s="10">
        <v>2</v>
      </c>
      <c r="D19" s="8">
        <v>0</v>
      </c>
      <c r="E19" s="8">
        <v>65.389876880000003</v>
      </c>
      <c r="F19" s="8">
        <v>6.9735007000000002E-2</v>
      </c>
      <c r="G19" s="8">
        <v>99.930264989999998</v>
      </c>
      <c r="H19" t="s">
        <v>95</v>
      </c>
    </row>
    <row r="20" spans="1:9">
      <c r="A20" s="6">
        <v>45610</v>
      </c>
      <c r="B20" s="7" t="s">
        <v>44</v>
      </c>
      <c r="C20" s="7">
        <v>2</v>
      </c>
      <c r="D20" s="7">
        <v>5</v>
      </c>
      <c r="E20" s="7">
        <v>33.798449609999999</v>
      </c>
      <c r="F20" s="7">
        <v>49.655963300000003</v>
      </c>
      <c r="G20" s="7">
        <v>50.344036699999997</v>
      </c>
    </row>
    <row r="21" spans="1:9">
      <c r="A21" s="6">
        <v>45610</v>
      </c>
      <c r="B21" s="7" t="s">
        <v>45</v>
      </c>
      <c r="C21" s="7">
        <v>2</v>
      </c>
      <c r="D21" s="7">
        <v>5</v>
      </c>
      <c r="E21" s="7">
        <v>49.273387829999997</v>
      </c>
      <c r="F21" s="7">
        <v>33.271889399999999</v>
      </c>
      <c r="G21" s="7">
        <v>66.728110599999994</v>
      </c>
    </row>
    <row r="22" spans="1:9">
      <c r="A22" s="6">
        <v>45610</v>
      </c>
      <c r="B22" s="7" t="s">
        <v>46</v>
      </c>
      <c r="C22" s="7">
        <v>2</v>
      </c>
      <c r="D22" s="7">
        <v>5</v>
      </c>
      <c r="E22" s="7">
        <v>46.054888509999998</v>
      </c>
      <c r="F22" s="7">
        <v>31.47113594</v>
      </c>
      <c r="G22" s="7">
        <v>68.528864060000004</v>
      </c>
      <c r="H22" t="s">
        <v>96</v>
      </c>
      <c r="I22" cm="1">
        <f t="array" ref="I22" xml:space="preserve"> _xlfn.T.TEST(IF(D$2:D$46 = 0, E$2:E$46, FALSE), IF(D$2:D$46 = 5, E$2:E$46, FALSE),2,2)</f>
        <v>1.5819050516852179E-4</v>
      </c>
    </row>
    <row r="23" spans="1:9">
      <c r="A23" s="6">
        <v>45610</v>
      </c>
      <c r="B23" s="7" t="s">
        <v>49</v>
      </c>
      <c r="C23" s="7">
        <v>2</v>
      </c>
      <c r="D23" s="7">
        <v>10</v>
      </c>
      <c r="E23" s="7">
        <v>25.360230550000001</v>
      </c>
      <c r="F23" s="7">
        <v>95.880681820000007</v>
      </c>
      <c r="G23" s="7">
        <v>4.1193181819999998</v>
      </c>
      <c r="H23" t="s">
        <v>97</v>
      </c>
      <c r="I23" cm="1">
        <f t="array" ref="I23" xml:space="preserve"> _xlfn.T.TEST(IF(D$2:D$46 = 5, E$2:E$46, FALSE), IF(D$2:D$46 = 10, E$2:E$46, FALSE),2,2)</f>
        <v>0.19549580173638381</v>
      </c>
    </row>
    <row r="24" spans="1:9">
      <c r="A24" s="6">
        <v>45610</v>
      </c>
      <c r="B24" s="7" t="s">
        <v>50</v>
      </c>
      <c r="C24" s="7">
        <v>2</v>
      </c>
      <c r="D24" s="7">
        <v>10</v>
      </c>
      <c r="E24" s="7">
        <v>30.19230769</v>
      </c>
      <c r="F24" s="7">
        <v>96.687898090000004</v>
      </c>
      <c r="G24" s="7">
        <v>3.4394904460000002</v>
      </c>
      <c r="H24" t="s">
        <v>98</v>
      </c>
      <c r="I24" cm="1">
        <f t="array" ref="I24" xml:space="preserve"> _xlfn.T.TEST(IF(D$2:D$46 = 10, E$2:E$46, FALSE), IF(D$2:D$46 = 15, E$2:E$46, FALSE),2,2)</f>
        <v>0.10504202982761396</v>
      </c>
    </row>
    <row r="25" spans="1:9">
      <c r="A25" s="6">
        <v>45610</v>
      </c>
      <c r="B25" s="7" t="s">
        <v>51</v>
      </c>
      <c r="C25" s="7">
        <v>2</v>
      </c>
      <c r="D25" s="7">
        <v>10</v>
      </c>
      <c r="E25" s="7">
        <v>28.06026365</v>
      </c>
      <c r="F25" s="7">
        <v>97.315436239999997</v>
      </c>
      <c r="G25" s="7">
        <v>2.6845637579999999</v>
      </c>
      <c r="H25" t="s">
        <v>99</v>
      </c>
      <c r="I25" cm="1">
        <f t="array" ref="I25" xml:space="preserve"> _xlfn.T.TEST(IF(D$2:D$46 = "R", E$2:E$46, FALSE), IF(D$2:D$46 = 0, E$2:E$46, FALSE),2,2)</f>
        <v>5.0205303905615634E-4</v>
      </c>
    </row>
    <row r="26" spans="1:9">
      <c r="A26" s="6">
        <v>45610</v>
      </c>
      <c r="B26" s="7" t="s">
        <v>52</v>
      </c>
      <c r="C26" s="7">
        <v>2</v>
      </c>
      <c r="D26" s="7">
        <v>15</v>
      </c>
      <c r="E26" s="7">
        <v>15.17124257</v>
      </c>
      <c r="F26" s="7">
        <v>99.813432840000004</v>
      </c>
      <c r="G26" s="7">
        <v>0.18656716400000001</v>
      </c>
    </row>
    <row r="27" spans="1:9">
      <c r="A27" s="6">
        <v>45610</v>
      </c>
      <c r="B27" s="7" t="s">
        <v>53</v>
      </c>
      <c r="C27" s="7">
        <v>2</v>
      </c>
      <c r="D27" s="7">
        <v>15</v>
      </c>
      <c r="E27" s="7">
        <v>13.97910195</v>
      </c>
      <c r="F27" s="7">
        <v>100</v>
      </c>
      <c r="G27" s="7">
        <v>0</v>
      </c>
    </row>
    <row r="28" spans="1:9">
      <c r="A28" s="6">
        <v>45610</v>
      </c>
      <c r="B28" s="7" t="s">
        <v>54</v>
      </c>
      <c r="C28" s="7">
        <v>2</v>
      </c>
      <c r="D28" s="7">
        <v>15</v>
      </c>
      <c r="E28" s="7">
        <v>18.238021639999999</v>
      </c>
      <c r="F28" s="7">
        <v>98.813559319999996</v>
      </c>
      <c r="G28" s="7">
        <v>1.1864406780000001</v>
      </c>
    </row>
    <row r="29" spans="1:9">
      <c r="A29" s="6">
        <v>45610</v>
      </c>
      <c r="B29" s="7" t="s">
        <v>56</v>
      </c>
      <c r="C29" s="7">
        <v>2</v>
      </c>
      <c r="D29" t="s">
        <v>94</v>
      </c>
      <c r="E29" s="7">
        <v>63.774597499999999</v>
      </c>
      <c r="F29" s="7">
        <v>96.774193550000007</v>
      </c>
      <c r="G29" s="7">
        <v>3.225806452</v>
      </c>
    </row>
    <row r="30" spans="1:9">
      <c r="A30" s="6">
        <v>45610</v>
      </c>
      <c r="B30" s="7" t="s">
        <v>57</v>
      </c>
      <c r="C30" s="7">
        <v>2</v>
      </c>
      <c r="D30" t="s">
        <v>94</v>
      </c>
      <c r="E30" s="7">
        <v>68.738</v>
      </c>
      <c r="F30" s="7">
        <v>91.098748259999994</v>
      </c>
      <c r="G30" s="7">
        <v>8.9012517389999992</v>
      </c>
    </row>
    <row r="31" spans="1:9">
      <c r="A31" s="9">
        <v>45610</v>
      </c>
      <c r="B31" s="10" t="s">
        <v>58</v>
      </c>
      <c r="C31" s="10">
        <v>2</v>
      </c>
      <c r="D31" s="11" t="s">
        <v>94</v>
      </c>
      <c r="E31" s="8">
        <v>61.048857009999999</v>
      </c>
      <c r="F31" s="8">
        <v>23.34801762</v>
      </c>
      <c r="G31" s="8">
        <v>76.651982380000007</v>
      </c>
      <c r="H31" t="s">
        <v>95</v>
      </c>
    </row>
    <row r="32" spans="1:9">
      <c r="A32" s="6">
        <v>45615</v>
      </c>
      <c r="B32" s="7" t="s">
        <v>67</v>
      </c>
      <c r="C32" s="7">
        <v>3</v>
      </c>
      <c r="D32" s="7">
        <v>0</v>
      </c>
      <c r="E32" s="7">
        <v>63.051305130000003</v>
      </c>
      <c r="F32" s="7">
        <v>0.14275517500000001</v>
      </c>
      <c r="G32" s="7">
        <v>99.857244829999999</v>
      </c>
    </row>
    <row r="33" spans="1:7">
      <c r="A33" s="6">
        <v>45615</v>
      </c>
      <c r="B33" s="7" t="s">
        <v>68</v>
      </c>
      <c r="C33" s="7">
        <v>3</v>
      </c>
      <c r="D33" s="7">
        <v>0</v>
      </c>
      <c r="E33" s="7">
        <v>57.81443299</v>
      </c>
      <c r="F33" s="7">
        <v>0.14265335200000001</v>
      </c>
      <c r="G33" s="7">
        <v>99.857346649999997</v>
      </c>
    </row>
    <row r="34" spans="1:7">
      <c r="A34" s="6">
        <v>45615</v>
      </c>
      <c r="B34" s="7" t="s">
        <v>69</v>
      </c>
      <c r="C34" s="7">
        <v>3</v>
      </c>
      <c r="D34" s="7">
        <v>0</v>
      </c>
      <c r="E34" s="7">
        <v>56.208881580000003</v>
      </c>
      <c r="F34" s="7">
        <v>0.146305779</v>
      </c>
      <c r="G34" s="7">
        <v>99.853694219999994</v>
      </c>
    </row>
    <row r="35" spans="1:7">
      <c r="A35" s="6">
        <v>45615</v>
      </c>
      <c r="B35" s="7" t="s">
        <v>71</v>
      </c>
      <c r="C35" s="7">
        <v>3</v>
      </c>
      <c r="D35" s="7">
        <v>5</v>
      </c>
      <c r="E35" s="7">
        <v>17.242415139999999</v>
      </c>
      <c r="F35" s="7">
        <v>31.881533099999999</v>
      </c>
      <c r="G35" s="7">
        <v>68.118466900000001</v>
      </c>
    </row>
    <row r="36" spans="1:7">
      <c r="A36" s="6">
        <v>45615</v>
      </c>
      <c r="B36" s="7" t="s">
        <v>72</v>
      </c>
      <c r="C36" s="7">
        <v>3</v>
      </c>
      <c r="D36" s="7">
        <v>5</v>
      </c>
      <c r="E36" s="7">
        <v>33.333333330000002</v>
      </c>
      <c r="F36" s="7">
        <v>27.713382509999999</v>
      </c>
      <c r="G36" s="7">
        <v>72.286617489999998</v>
      </c>
    </row>
    <row r="37" spans="1:7">
      <c r="A37" s="6">
        <v>45615</v>
      </c>
      <c r="B37" s="7" t="s">
        <v>73</v>
      </c>
      <c r="C37" s="7">
        <v>3</v>
      </c>
      <c r="D37" s="7">
        <v>5</v>
      </c>
      <c r="E37" s="7">
        <v>9.2647454889999992</v>
      </c>
      <c r="F37" s="7">
        <v>61.046511629999998</v>
      </c>
      <c r="G37" s="7">
        <v>38.953488370000002</v>
      </c>
    </row>
    <row r="38" spans="1:7">
      <c r="A38" s="6">
        <v>45615</v>
      </c>
      <c r="B38" s="7" t="s">
        <v>75</v>
      </c>
      <c r="C38" s="7">
        <v>3</v>
      </c>
      <c r="D38" s="7">
        <v>10</v>
      </c>
      <c r="E38" s="7">
        <v>10.03236246</v>
      </c>
      <c r="F38" s="7">
        <v>95.161290320000006</v>
      </c>
      <c r="G38" s="7">
        <v>4.8387096769999998</v>
      </c>
    </row>
    <row r="39" spans="1:7">
      <c r="A39" s="6">
        <v>45615</v>
      </c>
      <c r="B39" s="7" t="s">
        <v>76</v>
      </c>
      <c r="C39" s="7">
        <v>3</v>
      </c>
      <c r="D39" s="7">
        <v>10</v>
      </c>
      <c r="E39" s="7">
        <v>7.9951397330000002</v>
      </c>
      <c r="F39" s="7">
        <v>95.744680849999995</v>
      </c>
      <c r="G39" s="7">
        <v>4.255319149</v>
      </c>
    </row>
    <row r="40" spans="1:7">
      <c r="A40" s="6">
        <v>45615</v>
      </c>
      <c r="B40" s="7" t="s">
        <v>77</v>
      </c>
      <c r="C40" s="7">
        <v>3</v>
      </c>
      <c r="D40" s="7">
        <v>10</v>
      </c>
      <c r="E40" s="7">
        <v>11.14037398</v>
      </c>
      <c r="F40" s="7">
        <v>95.508274229999998</v>
      </c>
      <c r="G40" s="7">
        <v>4.4917257680000002</v>
      </c>
    </row>
    <row r="41" spans="1:7">
      <c r="A41" s="6">
        <v>45615</v>
      </c>
      <c r="B41" s="7" t="s">
        <v>79</v>
      </c>
      <c r="C41" s="7">
        <v>3</v>
      </c>
      <c r="D41" s="7">
        <v>15</v>
      </c>
      <c r="E41" s="7">
        <v>4.5780969479999998</v>
      </c>
      <c r="F41" s="7">
        <v>100</v>
      </c>
      <c r="G41" s="7">
        <v>0</v>
      </c>
    </row>
    <row r="42" spans="1:7">
      <c r="A42" s="6">
        <v>45615</v>
      </c>
      <c r="B42" s="7" t="s">
        <v>80</v>
      </c>
      <c r="C42" s="7">
        <v>3</v>
      </c>
      <c r="D42" s="7">
        <v>15</v>
      </c>
      <c r="E42" s="7">
        <v>4.6942981450000003</v>
      </c>
      <c r="F42" s="7">
        <v>100</v>
      </c>
      <c r="G42" s="7">
        <v>0</v>
      </c>
    </row>
    <row r="43" spans="1:7">
      <c r="A43" s="6">
        <v>45615</v>
      </c>
      <c r="B43" s="7" t="s">
        <v>81</v>
      </c>
      <c r="C43" s="7">
        <v>3</v>
      </c>
      <c r="D43" s="7">
        <v>15</v>
      </c>
      <c r="E43" s="7">
        <v>3.7709168040000001</v>
      </c>
      <c r="F43" s="7">
        <v>98.125</v>
      </c>
      <c r="G43" s="7">
        <v>1.875</v>
      </c>
    </row>
    <row r="44" spans="1:7">
      <c r="A44" s="6">
        <v>45615</v>
      </c>
      <c r="B44" s="7" t="s">
        <v>83</v>
      </c>
      <c r="C44" s="7">
        <v>3</v>
      </c>
      <c r="D44" t="s">
        <v>94</v>
      </c>
      <c r="E44" s="7">
        <v>69.078630000000004</v>
      </c>
      <c r="F44" s="7">
        <v>64.245810059999997</v>
      </c>
      <c r="G44" s="7">
        <v>35.754189940000003</v>
      </c>
    </row>
    <row r="45" spans="1:7">
      <c r="A45" s="6">
        <v>45615</v>
      </c>
      <c r="B45" s="7" t="s">
        <v>84</v>
      </c>
      <c r="C45" s="7">
        <v>3</v>
      </c>
      <c r="D45" t="s">
        <v>94</v>
      </c>
      <c r="E45" s="7">
        <v>81.076581579999996</v>
      </c>
      <c r="F45" s="7">
        <v>70.91033539</v>
      </c>
      <c r="G45" s="7">
        <v>29.08966461</v>
      </c>
    </row>
    <row r="46" spans="1:7">
      <c r="A46" s="6">
        <v>45615</v>
      </c>
      <c r="B46" s="7" t="s">
        <v>85</v>
      </c>
      <c r="C46" s="7">
        <v>3</v>
      </c>
      <c r="D46" t="s">
        <v>94</v>
      </c>
      <c r="E46" s="7">
        <v>65.791940019999998</v>
      </c>
      <c r="F46" s="7">
        <v>73.789173790000007</v>
      </c>
      <c r="G46" s="7">
        <v>26.21082621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BA4AE-5D6F-4981-91AD-1481BE1A5561}">
  <dimension ref="A1:T35"/>
  <sheetViews>
    <sheetView topLeftCell="E3" workbookViewId="0">
      <selection activeCell="S33" sqref="S33"/>
    </sheetView>
  </sheetViews>
  <sheetFormatPr defaultColWidth="8.85546875" defaultRowHeight="15"/>
  <sheetData>
    <row r="1" spans="1:20">
      <c r="A1" t="s">
        <v>100</v>
      </c>
      <c r="B1" t="s">
        <v>92</v>
      </c>
      <c r="C1" t="s">
        <v>1</v>
      </c>
      <c r="D1" t="s">
        <v>101</v>
      </c>
      <c r="E1" t="s">
        <v>102</v>
      </c>
      <c r="F1" t="s">
        <v>103</v>
      </c>
      <c r="G1" s="12" t="s">
        <v>1</v>
      </c>
      <c r="H1">
        <v>1</v>
      </c>
      <c r="I1">
        <v>0</v>
      </c>
      <c r="J1">
        <v>5</v>
      </c>
      <c r="K1">
        <v>10</v>
      </c>
      <c r="L1">
        <v>15</v>
      </c>
      <c r="M1" t="s">
        <v>94</v>
      </c>
      <c r="N1" s="12" t="s">
        <v>104</v>
      </c>
      <c r="O1">
        <v>1</v>
      </c>
      <c r="P1">
        <v>0</v>
      </c>
      <c r="Q1">
        <v>5</v>
      </c>
      <c r="R1">
        <v>10</v>
      </c>
      <c r="S1">
        <v>15</v>
      </c>
      <c r="T1" t="s">
        <v>94</v>
      </c>
    </row>
    <row r="2" spans="1:20">
      <c r="A2" t="s">
        <v>28</v>
      </c>
      <c r="B2">
        <v>1</v>
      </c>
      <c r="C2" cm="1">
        <f t="array" aca="1" ref="C2" ca="1" xml:space="preserve"> AVERAGE(IF($C$2:$C$46 = 1, IF($D$2:$D$46 = 0, $E$2:$E$46, FALSE), FALSE))</f>
        <v>46.549243439999998</v>
      </c>
      <c r="D2" cm="1">
        <f t="array" aca="1" ref="D2" ca="1" xml:space="preserve"> _xlfn.STDEV.S(IF($C$2:$C$46 = 1, IF($D$2:$D$46 = 0, $E$2:$E$46, FALSE), FALSE)) / SQRT(3)</f>
        <v>1.8180240395175011</v>
      </c>
      <c r="E2" cm="1">
        <f t="array" aca="1" ref="E2" ca="1" xml:space="preserve"> AVERAGE(IF($C$2:$C$46 = 1, IF($D$2:$D$46 = 0, $G$2:$G$46, FALSE), FALSE))</f>
        <v>99.786282403333317</v>
      </c>
      <c r="F2" cm="1">
        <f t="array" aca="1" ref="F2" ca="1" xml:space="preserve"> _xlfn.STDEV.S(IF($C$2:$C$46 = 1, IF($D$2:$D$46 = 0, $G$2:$G$46, FALSE), FALSE)) / SQRT(3)</f>
        <v>4.0214656142329823E-2</v>
      </c>
      <c r="G2" s="12"/>
      <c r="H2">
        <v>0</v>
      </c>
      <c r="I2" cm="1">
        <f t="array" ref="I2" xml:space="preserve"> MAX(IF('Combined-Data'!$C$2:$C$46 = $H$1, IF('Combined-Data'!$D$2:$D$46 = I$1, IF( MOD(ROW('Combined-Data'!$C$2:$C$46), 3) = $H2, 'Combined-Data'!$E$2:$E$46, FALSE), FALSE), FALSE))</f>
        <v>44.186785260000001</v>
      </c>
      <c r="J2" cm="1">
        <f t="array" ref="J2" xml:space="preserve"> MAX(IF('Combined-Data'!$C$2:$C$46 = $H$1, IF('Combined-Data'!$D$2:$D$46 = J$1, IF( MOD(ROW('Combined-Data'!$C$2:$C$46), 3) = $H2, 'Combined-Data'!$E$2:$E$46, FALSE), FALSE), FALSE))</f>
        <v>32.267702419999999</v>
      </c>
      <c r="K2" cm="1">
        <f t="array" ref="K2" xml:space="preserve"> MAX(IF('Combined-Data'!$C$2:$C$46 = $H$1, IF('Combined-Data'!$D$2:$D$46 = K$1, IF( MOD(ROW('Combined-Data'!$C$2:$C$46), 3) = $H2, 'Combined-Data'!$E$2:$E$46, FALSE), FALSE), FALSE))</f>
        <v>32.338483150000002</v>
      </c>
      <c r="L2" cm="1">
        <f t="array" ref="L2" xml:space="preserve"> MAX(IF('Combined-Data'!$C$2:$C$46 = $H$1, IF('Combined-Data'!$D$2:$D$46 = L$1, IF( MOD(ROW('Combined-Data'!$C$2:$C$46), 3) = $H2, 'Combined-Data'!$E$2:$E$46, FALSE), FALSE), FALSE))</f>
        <v>32.605042019999999</v>
      </c>
      <c r="M2" cm="1">
        <f t="array" ref="M2" xml:space="preserve"> MAX(IF('Combined-Data'!$C$2:$C$46 = $H$1, IF('Combined-Data'!$D$2:$D$46 = M$1, IF( MOD(ROW('Combined-Data'!$C$2:$C$46), 3) = $H2, 'Combined-Data'!$E$2:$E$46, FALSE), FALSE), FALSE))</f>
        <v>71.657754010000005</v>
      </c>
      <c r="N2" s="12"/>
      <c r="O2">
        <v>0</v>
      </c>
      <c r="P2" cm="1">
        <f t="array" ref="P2" xml:space="preserve"> MAX(IF('Combined-Data'!$C$2:$C$46 = $O$1, IF('Combined-Data'!$D$2:$D$46 = P$1, IF( MOD(ROW('Combined-Data'!$C$2:$C$46), 3) = $O2, 'Combined-Data'!$G$2:$G$46, FALSE), FALSE), FALSE))</f>
        <v>99.856218549999994</v>
      </c>
      <c r="Q2" cm="1">
        <f t="array" ref="Q2" xml:space="preserve"> MAX(IF('Combined-Data'!$C$2:$C$46 = $O$1, IF('Combined-Data'!$D$2:$D$46 = Q$1, IF( MOD(ROW('Combined-Data'!$C$2:$C$46), 3) = $O2, 'Combined-Data'!$G$2:$G$46, FALSE), FALSE), FALSE))</f>
        <v>31.666666670000001</v>
      </c>
      <c r="R2" cm="1">
        <f t="array" ref="R2" xml:space="preserve"> MAX(IF('Combined-Data'!$C$2:$C$46 = $O$1, IF('Combined-Data'!$D$2:$D$46 = R$1, IF( MOD(ROW('Combined-Data'!$C$2:$C$46), 3) = $O2, 'Combined-Data'!$G$2:$G$46, FALSE), FALSE), FALSE))</f>
        <v>2.280130293</v>
      </c>
      <c r="S2" cm="1">
        <f t="array" ref="S2" xml:space="preserve"> MAX(IF('Combined-Data'!$C$2:$C$46 = $O$1, IF('Combined-Data'!$D$2:$D$46 = S$1, IF( MOD(ROW('Combined-Data'!$C$2:$C$46), 3) = $O2, 'Combined-Data'!$G$2:$G$46, FALSE), FALSE), FALSE))</f>
        <v>0.20618556699999999</v>
      </c>
      <c r="T2" cm="1">
        <f t="array" ref="T2" xml:space="preserve"> MAX(IF('Combined-Data'!$C$2:$C$46 = $O$1, IF('Combined-Data'!$D$2:$D$46 = T$1, IF( MOD(ROW('Combined-Data'!$C$2:$C$46), 3) = $O2, 'Combined-Data'!$G$2:$G$46, FALSE), FALSE), FALSE))</f>
        <v>6.5807327000000004</v>
      </c>
    </row>
    <row r="3" spans="1:20">
      <c r="A3" t="s">
        <v>32</v>
      </c>
      <c r="B3">
        <v>1</v>
      </c>
      <c r="C3" cm="1">
        <f t="array" aca="1" ref="C3" ca="1" xml:space="preserve"> AVERAGE(IF($C$2:$C$46 = 1, IF($D$2:$D$46 = 5, $E$2:$E$46, FALSE), FALSE))</f>
        <v>32.656536733333333</v>
      </c>
      <c r="D3" cm="1">
        <f t="array" aca="1" ref="D3" ca="1" xml:space="preserve"> _xlfn.STDEV.S(IF($C$2:$C$46 = 1, IF($D$2:$D$46 = 5, $E$2:$E$46, FALSE), FALSE)) / SQRT(3)</f>
        <v>0.27332675074423352</v>
      </c>
      <c r="E3" cm="1">
        <f t="array" aca="1" ref="E3" ca="1" xml:space="preserve"> AVERAGE(IF($C$2:$C$46 = 1, IF($D$2:$D$46 = 5, $G$2:$G$46, FALSE), FALSE))</f>
        <v>32.842853166666664</v>
      </c>
      <c r="F3" cm="1">
        <f t="array" aca="1" ref="F3" ca="1" xml:space="preserve"> _xlfn.STDEV.S(IF($C$2:$C$46 = 1, IF($D$2:$D$46 = 5, $G$2:$G$46, FALSE), FALSE)) / SQRT(3)</f>
        <v>2.5787466908805956</v>
      </c>
      <c r="G3" s="12"/>
      <c r="H3">
        <v>1</v>
      </c>
      <c r="I3" cm="1">
        <f t="array" ref="I3" xml:space="preserve"> MAX(IF('Combined-Data'!$C$2:$C$46 = $H$1, IF('Combined-Data'!$D$2:$D$46 = I$1, IF( MOD(ROW('Combined-Data'!$C$2:$C$46), 3) = $H3, 'Combined-Data'!$E$2:$E$46, FALSE), FALSE), FALSE))</f>
        <v>45.336787559999998</v>
      </c>
      <c r="J3" cm="1">
        <f t="array" ref="J3" xml:space="preserve"> MAX(IF('Combined-Data'!$C$2:$C$46 = $H$1, IF('Combined-Data'!$D$2:$D$46 = J$1, IF( MOD(ROW('Combined-Data'!$C$2:$C$46), 3) = $H3, 'Combined-Data'!$E$2:$E$46, FALSE), FALSE), FALSE))</f>
        <v>32.518195050000003</v>
      </c>
      <c r="K3" cm="1">
        <f t="array" ref="K3" xml:space="preserve"> MAX(IF('Combined-Data'!$C$2:$C$46 = $H$1, IF('Combined-Data'!$D$2:$D$46 = K$1, IF( MOD(ROW('Combined-Data'!$C$2:$C$46), 3) = $H3, 'Combined-Data'!$E$2:$E$46, FALSE), FALSE), FALSE))</f>
        <v>43.441636580000001</v>
      </c>
      <c r="L3" cm="1">
        <f t="array" ref="L3" xml:space="preserve"> MAX(IF('Combined-Data'!$C$2:$C$46 = $H$1, IF('Combined-Data'!$D$2:$D$46 = L$1, IF( MOD(ROW('Combined-Data'!$C$2:$C$46), 3) = $H3, 'Combined-Data'!$E$2:$E$46, FALSE), FALSE), FALSE))</f>
        <v>18.40043232</v>
      </c>
      <c r="M3" cm="1">
        <f t="array" ref="M3" xml:space="preserve"> MAX(IF('Combined-Data'!$C$2:$C$46 = $H$1, IF('Combined-Data'!$D$2:$D$46 = M$1, IF( MOD(ROW('Combined-Data'!$C$2:$C$46), 3) = $H3, 'Combined-Data'!$E$2:$E$46, FALSE), FALSE), FALSE))</f>
        <v>78.434504790000005</v>
      </c>
      <c r="N3" s="12"/>
      <c r="O3">
        <v>1</v>
      </c>
      <c r="P3" cm="1">
        <f t="array" ref="P3" xml:space="preserve"> MAX(IF('Combined-Data'!$C$2:$C$46 = $O$1, IF('Combined-Data'!$D$2:$D$46 = P$1, IF( MOD(ROW('Combined-Data'!$C$2:$C$46), 3) = $O3, 'Combined-Data'!$G$2:$G$46, FALSE), FALSE), FALSE))</f>
        <v>99.785714290000001</v>
      </c>
      <c r="Q3" cm="1">
        <f t="array" ref="Q3" xml:space="preserve"> MAX(IF('Combined-Data'!$C$2:$C$46 = $O$1, IF('Combined-Data'!$D$2:$D$46 = Q$1, IF( MOD(ROW('Combined-Data'!$C$2:$C$46), 3) = $O3, 'Combined-Data'!$G$2:$G$46, FALSE), FALSE), FALSE))</f>
        <v>37.779767229999997</v>
      </c>
      <c r="R3" cm="1">
        <f t="array" ref="R3" xml:space="preserve"> MAX(IF('Combined-Data'!$C$2:$C$46 = $O$1, IF('Combined-Data'!$D$2:$D$46 = R$1, IF( MOD(ROW('Combined-Data'!$C$2:$C$46), 3) = $O3, 'Combined-Data'!$G$2:$G$46, FALSE), FALSE), FALSE))</f>
        <v>4.339796861</v>
      </c>
      <c r="S3" cm="1">
        <f t="array" ref="S3" xml:space="preserve"> MAX(IF('Combined-Data'!$C$2:$C$46 = $O$1, IF('Combined-Data'!$D$2:$D$46 = S$1, IF( MOD(ROW('Combined-Data'!$C$2:$C$46), 3) = $O3, 'Combined-Data'!$G$2:$G$46, FALSE), FALSE), FALSE))</f>
        <v>0.58737151200000004</v>
      </c>
      <c r="T3" cm="1">
        <f t="array" ref="T3" xml:space="preserve"> MAX(IF('Combined-Data'!$C$2:$C$46 = $O$1, IF('Combined-Data'!$D$2:$D$46 = T$1, IF( MOD(ROW('Combined-Data'!$C$2:$C$46), 3) = $O3, 'Combined-Data'!$G$2:$G$46, FALSE), FALSE), FALSE))</f>
        <v>10.454854040000001</v>
      </c>
    </row>
    <row r="4" spans="1:20">
      <c r="A4" t="s">
        <v>34</v>
      </c>
      <c r="B4">
        <v>1</v>
      </c>
      <c r="C4" cm="1">
        <f t="array" aca="1" ref="C4" ca="1" xml:space="preserve"> AVERAGE(IF($C$2:$C$46 = 1, IF($D$2:$D$46 = 10, $E$2:$E$46, FALSE), FALSE))</f>
        <v>34.759123600000002</v>
      </c>
      <c r="D4" cm="1">
        <f t="array" aca="1" ref="D4" ca="1" xml:space="preserve"> _xlfn.STDEV.S(IF($C$2:$C$46 = 1, IF($D$2:$D$46 = 10, $E$2:$E$46, FALSE), FALSE)) / SQRT(3)</f>
        <v>4.4806357327581221</v>
      </c>
      <c r="E4" cm="1">
        <f t="array" aca="1" ref="E4" ca="1" xml:space="preserve"> AVERAGE(IF($C$2:$C$46 = 1, IF($D$2:$D$46 = 10, $G$2:$G$46, FALSE), FALSE))</f>
        <v>2.9569103376666668</v>
      </c>
      <c r="F4" cm="1">
        <f t="array" aca="1" ref="F4" ca="1" xml:space="preserve"> _xlfn.STDEV.S(IF($C$2:$C$46 = 1, IF($D$2:$D$46 = 10, $G$2:$G$46, FALSE), FALSE)) / SQRT(3)</f>
        <v>0.69149508608654242</v>
      </c>
      <c r="G4" s="12"/>
      <c r="H4">
        <v>2</v>
      </c>
      <c r="I4" cm="1">
        <f t="array" ref="I4" xml:space="preserve"> MAX(IF('Combined-Data'!$C$2:$C$46 = $H$1, IF('Combined-Data'!$D$2:$D$46 = I$1, IF( MOD(ROW('Combined-Data'!$C$2:$C$46), 3) = $H4, 'Combined-Data'!$E$2:$E$46, FALSE), FALSE), FALSE))</f>
        <v>50.124157500000003</v>
      </c>
      <c r="J4" cm="1">
        <f t="array" ref="J4" xml:space="preserve"> MAX(IF('Combined-Data'!$C$2:$C$46 = $H$1, IF('Combined-Data'!$D$2:$D$46 = J$1, IF( MOD(ROW('Combined-Data'!$C$2:$C$46), 3) = $H4, 'Combined-Data'!$E$2:$E$46, FALSE), FALSE), FALSE))</f>
        <v>33.183712730000003</v>
      </c>
      <c r="K4" cm="1">
        <f t="array" ref="K4" xml:space="preserve"> MAX(IF('Combined-Data'!$C$2:$C$46 = $H$1, IF('Combined-Data'!$D$2:$D$46 = K$1, IF( MOD(ROW('Combined-Data'!$C$2:$C$46), 3) = $H4, 'Combined-Data'!$E$2:$E$46, FALSE), FALSE), FALSE))</f>
        <v>28.497251070000001</v>
      </c>
      <c r="L4" cm="1">
        <f t="array" ref="L4" xml:space="preserve"> MAX(IF('Combined-Data'!$C$2:$C$46 = $H$1, IF('Combined-Data'!$D$2:$D$46 = L$1, IF( MOD(ROW('Combined-Data'!$C$2:$C$46), 3) = $H4, 'Combined-Data'!$E$2:$E$46, FALSE), FALSE), FALSE))</f>
        <v>25.61681389</v>
      </c>
      <c r="M4" cm="1">
        <f t="array" ref="M4" xml:space="preserve"> MAX(IF('Combined-Data'!$C$2:$C$46 = $H$1, IF('Combined-Data'!$D$2:$D$46 = M$1, IF( MOD(ROW('Combined-Data'!$C$2:$C$46), 3) = $H4, 'Combined-Data'!$E$2:$E$46, FALSE), FALSE), FALSE))</f>
        <v>75.537359260000002</v>
      </c>
      <c r="N4" s="12"/>
      <c r="O4">
        <v>2</v>
      </c>
      <c r="P4" cm="1">
        <f t="array" ref="P4" xml:space="preserve"> MAX(IF('Combined-Data'!$C$2:$C$46 = $O$1, IF('Combined-Data'!$D$2:$D$46 = P$1, IF( MOD(ROW('Combined-Data'!$C$2:$C$46), 3) = $O4, 'Combined-Data'!$G$2:$G$46, FALSE), FALSE), FALSE))</f>
        <v>99.716914369999998</v>
      </c>
      <c r="Q4" cm="1">
        <f t="array" ref="Q4" xml:space="preserve"> MAX(IF('Combined-Data'!$C$2:$C$46 = $O$1, IF('Combined-Data'!$D$2:$D$46 = Q$1, IF( MOD(ROW('Combined-Data'!$C$2:$C$46), 3) = $O4, 'Combined-Data'!$G$2:$G$46, FALSE), FALSE), FALSE))</f>
        <v>29.082125600000001</v>
      </c>
      <c r="R4" cm="1">
        <f t="array" ref="R4" xml:space="preserve"> MAX(IF('Combined-Data'!$C$2:$C$46 = $O$1, IF('Combined-Data'!$D$2:$D$46 = R$1, IF( MOD(ROW('Combined-Data'!$C$2:$C$46), 3) = $O4, 'Combined-Data'!$G$2:$G$46, FALSE), FALSE), FALSE))</f>
        <v>2.2508038589999999</v>
      </c>
      <c r="S4" cm="1">
        <f t="array" ref="S4" xml:space="preserve"> MAX(IF('Combined-Data'!$C$2:$C$46 = $O$1, IF('Combined-Data'!$D$2:$D$46 = S$1, IF( MOD(ROW('Combined-Data'!$C$2:$C$46), 3) = $O4, 'Combined-Data'!$G$2:$G$46, FALSE), FALSE), FALSE))</f>
        <v>0</v>
      </c>
      <c r="T4" cm="1">
        <f t="array" ref="T4" xml:space="preserve"> MAX(IF('Combined-Data'!$C$2:$C$46 = $O$1, IF('Combined-Data'!$D$2:$D$46 = T$1, IF( MOD(ROW('Combined-Data'!$C$2:$C$46), 3) = $O4, 'Combined-Data'!$G$2:$G$46, FALSE), FALSE), FALSE))</f>
        <v>6.7750677509999999</v>
      </c>
    </row>
    <row r="5" spans="1:20">
      <c r="A5" t="s">
        <v>35</v>
      </c>
      <c r="B5">
        <v>1</v>
      </c>
      <c r="C5" cm="1">
        <f t="array" aca="1" ref="C5" ca="1" xml:space="preserve"> AVERAGE(IF($C$2:$C$46 = 1, IF($D$2:$D$46 = 15, $E$2:$E$46, FALSE), FALSE))</f>
        <v>25.540762743333335</v>
      </c>
      <c r="D5" cm="1">
        <f t="array" aca="1" ref="D5" ca="1" xml:space="preserve"> _xlfn.STDEV.S(IF($C$2:$C$46 = 1, IF($D$2:$D$46 = 15, $E$2:$E$46, FALSE), FALSE)) / SQRT(3)</f>
        <v>4.1006939256266994</v>
      </c>
      <c r="E5" cm="1">
        <f t="array" aca="1" ref="E5" ca="1" xml:space="preserve"> AVERAGE(IF($C$2:$C$46 = 1, IF($D$2:$D$46 = 15, $G$2:$G$46, FALSE), FALSE))</f>
        <v>0.26451902633333335</v>
      </c>
      <c r="F5" cm="1">
        <f t="array" aca="1" ref="F5" ca="1" xml:space="preserve"> _xlfn.STDEV.S(IF($C$2:$C$46 = 1, IF($D$2:$D$46 = 15, $G$2:$G$46, FALSE), FALSE)) / SQRT(3)</f>
        <v>0.17204981607627173</v>
      </c>
      <c r="G5" s="12"/>
      <c r="N5" s="12"/>
    </row>
    <row r="6" spans="1:20">
      <c r="A6" t="s">
        <v>29</v>
      </c>
      <c r="B6">
        <v>1</v>
      </c>
      <c r="C6" cm="1">
        <f t="array" aca="1" ref="C6" ca="1" xml:space="preserve"> AVERAGE(IF($C$2:$C$46 = 1, IF($D$2:$D$46 = "R", $E$2:$E$46, FALSE), FALSE))</f>
        <v>75.209872686666671</v>
      </c>
      <c r="D6" cm="1">
        <f t="array" aca="1" ref="D6" ca="1" xml:space="preserve"> _xlfn.STDEV.S(IF($C$2:$C$46 = 1, IF($D$2:$D$46 = "R", $E$2:$E$46, FALSE), FALSE)) / SQRT(3)</f>
        <v>1.9631202523315496</v>
      </c>
      <c r="E6" cm="1">
        <f t="array" aca="1" ref="E6" ca="1" xml:space="preserve"> AVERAGE(IF($C$2:$C$46 = 1, IF($D$2:$D$46 = "R", $G$2:$G$46, FALSE), FALSE))</f>
        <v>7.9368848303333337</v>
      </c>
      <c r="F6" cm="1">
        <f t="array" aca="1" ref="F6" ca="1" xml:space="preserve"> _xlfn.STDEV.S(IF($C$2:$C$46 = 1, IF($D$2:$D$46 = "R", $G$2:$G$46, FALSE), FALSE)) / SQRT(3)</f>
        <v>1.2602338716330692</v>
      </c>
      <c r="G6" s="12"/>
      <c r="H6" t="s">
        <v>105</v>
      </c>
      <c r="I6" t="s">
        <v>106</v>
      </c>
      <c r="J6" t="s">
        <v>107</v>
      </c>
      <c r="K6" t="s">
        <v>108</v>
      </c>
      <c r="L6" t="s">
        <v>109</v>
      </c>
      <c r="M6" t="s">
        <v>94</v>
      </c>
      <c r="N6" s="12"/>
      <c r="O6" t="s">
        <v>105</v>
      </c>
      <c r="P6" t="s">
        <v>106</v>
      </c>
      <c r="Q6" t="s">
        <v>107</v>
      </c>
      <c r="R6" t="s">
        <v>108</v>
      </c>
      <c r="S6" t="s">
        <v>109</v>
      </c>
      <c r="T6" t="s">
        <v>94</v>
      </c>
    </row>
    <row r="7" spans="1:20">
      <c r="A7" t="s">
        <v>28</v>
      </c>
      <c r="B7">
        <v>2</v>
      </c>
      <c r="C7" cm="1">
        <f t="array" aca="1" ref="C7" ca="1" xml:space="preserve"> AVERAGE(IF($C$2:$C$46 = 2, IF($D$2:$D$46 = 0, $E$2:$E$46, FALSE), FALSE))</f>
        <v>61.767733236666665</v>
      </c>
      <c r="D7" cm="1">
        <f t="array" aca="1" ref="D7" ca="1" xml:space="preserve"> _xlfn.STDEV.S(IF($C$2:$C$46 = 2, IF($D$2:$D$46 = 0, $E$2:$E$46, FALSE), FALSE)) / SQRT(3)</f>
        <v>2.27181143668999</v>
      </c>
      <c r="E7" cm="1">
        <f t="array" aca="1" ref="E7" ca="1" xml:space="preserve"> AVERAGE(IF($C$2:$C$46 = 2, IF($D$2:$D$46 = 0, $G$2:$G$46, FALSE), FALSE))</f>
        <v>99.901272980000002</v>
      </c>
      <c r="F7" cm="1">
        <f t="array" aca="1" ref="F7" ca="1" xml:space="preserve"> _xlfn.STDEV.S(IF($C$2:$C$46 = 2, IF($D$2:$D$46 = 0, $G$2:$G$46, FALSE), FALSE)) / SQRT(3)</f>
        <v>2.6771581883786099E-2</v>
      </c>
      <c r="G7" s="12"/>
      <c r="H7" t="s">
        <v>106</v>
      </c>
      <c r="I7">
        <f xml:space="preserve"> _xlfn.T.TEST($I2:$I4,I2:I4,2,3)</f>
        <v>1</v>
      </c>
      <c r="J7">
        <f t="shared" ref="J7:M7" si="0" xml:space="preserve"> _xlfn.T.TEST($I2:$I4,J2:J4,2,3)</f>
        <v>1.5059841587395196E-2</v>
      </c>
      <c r="K7">
        <f t="shared" si="0"/>
        <v>0.10425087339039867</v>
      </c>
      <c r="L7">
        <f t="shared" si="0"/>
        <v>2.2146319713335569E-2</v>
      </c>
      <c r="M7">
        <f t="shared" si="0"/>
        <v>4.4390004830618756E-4</v>
      </c>
      <c r="N7" s="12"/>
      <c r="O7" t="s">
        <v>106</v>
      </c>
      <c r="P7">
        <f xml:space="preserve"> _xlfn.T.TEST($P2:$P4,P2:P4,2,3)</f>
        <v>1</v>
      </c>
      <c r="Q7">
        <f t="shared" ref="Q7:T7" si="1" xml:space="preserve"> _xlfn.T.TEST($P2:$P4,Q2:Q4,2,3)</f>
        <v>1.477205217838313E-3</v>
      </c>
      <c r="R7">
        <f t="shared" si="1"/>
        <v>4.8286246219129251E-5</v>
      </c>
      <c r="S7">
        <f t="shared" si="1"/>
        <v>9.21007525713485E-7</v>
      </c>
      <c r="T7">
        <f t="shared" si="1"/>
        <v>1.8562635930370711E-4</v>
      </c>
    </row>
    <row r="8" spans="1:20">
      <c r="A8" t="s">
        <v>32</v>
      </c>
      <c r="B8">
        <v>2</v>
      </c>
      <c r="C8" cm="1">
        <f t="array" aca="1" ref="C8" ca="1" xml:space="preserve"> AVERAGE(IF($C$2:$C$46 = 2, IF($D$2:$D$46 = 5, $E$2:$E$46, FALSE), FALSE))</f>
        <v>43.042241983333327</v>
      </c>
      <c r="D8" cm="1">
        <f t="array" aca="1" ref="D8" ca="1" xml:space="preserve"> _xlfn.STDEV.S(IF($C$2:$C$46 = 2, IF($D$2:$D$46 = 5, $E$2:$E$46, FALSE), FALSE)) / SQRT(3)</f>
        <v>4.7143560022970199</v>
      </c>
      <c r="E8" cm="1">
        <f t="array" aca="1" ref="E8" ca="1" xml:space="preserve"> AVERAGE(IF($C$2:$C$46 = 2, IF($D$2:$D$46 = 5, $G$2:$G$46, FALSE), FALSE))</f>
        <v>61.867003786666658</v>
      </c>
      <c r="F8" cm="1">
        <f t="array" aca="1" ref="F8" ca="1" xml:space="preserve"> _xlfn.STDEV.S(IF($C$2:$C$46 = 2, IF($D$2:$D$46 = 5, $G$2:$G$46, FALSE), FALSE)) / SQRT(3)</f>
        <v>5.7848870953035476</v>
      </c>
      <c r="G8" s="12"/>
      <c r="H8" t="s">
        <v>107</v>
      </c>
      <c r="I8">
        <f xml:space="preserve"> _xlfn.T.TEST($J2:$J4,I2:I4,2,3)</f>
        <v>1.5059841587395196E-2</v>
      </c>
      <c r="J8">
        <f t="shared" ref="J8:M8" si="2" xml:space="preserve"> _xlfn.T.TEST($J2:$J4,J2:J4,2,3)</f>
        <v>1</v>
      </c>
      <c r="K8">
        <f t="shared" si="2"/>
        <v>0.68529358729021173</v>
      </c>
      <c r="L8">
        <f t="shared" si="2"/>
        <v>0.22441466255701131</v>
      </c>
      <c r="M8">
        <f t="shared" si="2"/>
        <v>1.7947874483629899E-3</v>
      </c>
      <c r="N8" s="12"/>
      <c r="O8" t="s">
        <v>107</v>
      </c>
      <c r="P8">
        <f xml:space="preserve"> _xlfn.T.TEST($Q2:$Q4,P2:P4,2,3)</f>
        <v>1.477205217838313E-3</v>
      </c>
      <c r="Q8">
        <f t="shared" ref="Q8:T8" si="3" xml:space="preserve"> _xlfn.T.TEST($Q2:$Q4,Q2:Q4,2,3)</f>
        <v>1</v>
      </c>
      <c r="R8">
        <f t="shared" si="3"/>
        <v>4.8045147221502712E-3</v>
      </c>
      <c r="S8">
        <f t="shared" si="3"/>
        <v>6.0285487889127805E-3</v>
      </c>
      <c r="T8">
        <f t="shared" si="3"/>
        <v>3.6476861877637375E-3</v>
      </c>
    </row>
    <row r="9" spans="1:20">
      <c r="A9" t="s">
        <v>34</v>
      </c>
      <c r="B9">
        <v>2</v>
      </c>
      <c r="C9" cm="1">
        <f t="array" aca="1" ref="C9" ca="1" xml:space="preserve"> AVERAGE(IF($C$2:$C$46 = 2, IF($D$2:$D$46 = 10, $E$2:$E$46, FALSE), FALSE))</f>
        <v>27.870933963333332</v>
      </c>
      <c r="D9" cm="1">
        <f t="array" aca="1" ref="D9" ca="1" xml:space="preserve"> _xlfn.STDEV.S(IF($C$2:$C$46 = 2, IF($D$2:$D$46 = 10, $E$2:$E$46, FALSE), FALSE)) / SQRT(3)</f>
        <v>1.3981090407424852</v>
      </c>
      <c r="E9" cm="1">
        <f t="array" aca="1" ref="E9" ca="1" xml:space="preserve"> AVERAGE(IF($C$2:$C$46 = 2, IF($D$2:$D$46 = 10, $G$2:$G$46, FALSE), FALSE))</f>
        <v>3.4144574619999997</v>
      </c>
      <c r="F9" cm="1">
        <f t="array" aca="1" ref="F9" ca="1" xml:space="preserve"> _xlfn.STDEV.S(IF($C$2:$C$46 = 2, IF($D$2:$D$46 = 10, $G$2:$G$46, FALSE), FALSE)) / SQRT(3)</f>
        <v>0.41436700802262172</v>
      </c>
      <c r="G9" s="12"/>
      <c r="H9" t="s">
        <v>108</v>
      </c>
      <c r="I9">
        <f xml:space="preserve"> _xlfn.T.TEST($K2:$K4,I2:I4,2,3)</f>
        <v>0.10425087339039867</v>
      </c>
      <c r="J9">
        <f t="shared" ref="J9:M9" si="4" xml:space="preserve"> _xlfn.T.TEST($K2:$K4,J2:J4,2,3)</f>
        <v>0.68529358729021173</v>
      </c>
      <c r="K9">
        <f t="shared" si="4"/>
        <v>1</v>
      </c>
      <c r="L9">
        <f t="shared" si="4"/>
        <v>0.2042379570490189</v>
      </c>
      <c r="M9">
        <f t="shared" si="4"/>
        <v>5.1442533336955639E-3</v>
      </c>
      <c r="N9" s="12"/>
      <c r="O9" t="s">
        <v>108</v>
      </c>
      <c r="P9">
        <f xml:space="preserve"> _xlfn.T.TEST($R2:$R4,P2:P4,2,3)</f>
        <v>4.8286246219129251E-5</v>
      </c>
      <c r="Q9">
        <f t="shared" ref="Q9:T9" si="5" xml:space="preserve"> _xlfn.T.TEST($R2:$R4,Q2:Q4,2,3)</f>
        <v>4.8045147221502712E-3</v>
      </c>
      <c r="R9">
        <f t="shared" si="5"/>
        <v>1</v>
      </c>
      <c r="S9">
        <f t="shared" si="5"/>
        <v>5.2753093447566159E-2</v>
      </c>
      <c r="T9">
        <f t="shared" si="5"/>
        <v>3.8415761407151021E-2</v>
      </c>
    </row>
    <row r="10" spans="1:20">
      <c r="A10" t="s">
        <v>35</v>
      </c>
      <c r="B10">
        <v>2</v>
      </c>
      <c r="C10" cm="1">
        <f t="array" aca="1" ref="C10" ca="1" xml:space="preserve"> AVERAGE(IF($C$2:$C$46 = 2, IF($D$2:$D$46 = 15, $E$2:$E$46, FALSE), FALSE))</f>
        <v>15.796122053333335</v>
      </c>
      <c r="D10" cm="1">
        <f t="array" aca="1" ref="D10" ca="1" xml:space="preserve"> _xlfn.STDEV.S(IF($C$2:$C$46 = 2, IF($D$2:$D$46 = 15, $E$2:$E$46, FALSE), FALSE)) / SQRT(3)</f>
        <v>1.2685234208829279</v>
      </c>
      <c r="E10" cm="1">
        <f t="array" aca="1" ref="E10" ca="1" xml:space="preserve"> AVERAGE(IF($C$2:$C$46 = 2, IF($D$2:$D$46 = 15, $G$2:$G$46, FALSE), FALSE))</f>
        <v>0.45766928066666668</v>
      </c>
      <c r="F10" cm="1">
        <f t="array" aca="1" ref="F10" ca="1" xml:space="preserve"> _xlfn.STDEV.S(IF($C$2:$C$46 = 2, IF($D$2:$D$46 = 15, $G$2:$G$46, FALSE), FALSE)) / SQRT(3)</f>
        <v>0.36834433114009646</v>
      </c>
      <c r="G10" s="12"/>
      <c r="H10" t="s">
        <v>109</v>
      </c>
      <c r="I10">
        <f xml:space="preserve"> _xlfn.T.TEST($L2:$L4,I2:I4,2,3)</f>
        <v>2.2146319713335569E-2</v>
      </c>
      <c r="J10">
        <f t="shared" ref="J10:M10" si="6" xml:space="preserve"> _xlfn.T.TEST($L2:$L4,J2:J4,2,3)</f>
        <v>0.22441466255701131</v>
      </c>
      <c r="K10">
        <f t="shared" si="6"/>
        <v>0.2042379570490189</v>
      </c>
      <c r="L10">
        <f t="shared" si="6"/>
        <v>1</v>
      </c>
      <c r="M10">
        <f t="shared" si="6"/>
        <v>1.9962524350574423E-3</v>
      </c>
      <c r="N10" s="12"/>
      <c r="O10" t="s">
        <v>109</v>
      </c>
      <c r="P10">
        <f xml:space="preserve"> _xlfn.T.TEST($S2:$S4,P2:P4,2,3)</f>
        <v>9.21007525713485E-7</v>
      </c>
      <c r="Q10">
        <f t="shared" ref="Q10:T10" si="7" xml:space="preserve"> _xlfn.T.TEST($S2:$S4,Q2:Q4,2,3)</f>
        <v>6.0285487889127805E-3</v>
      </c>
      <c r="R10">
        <f t="shared" si="7"/>
        <v>5.2753093447566159E-2</v>
      </c>
      <c r="S10">
        <f t="shared" si="7"/>
        <v>1</v>
      </c>
      <c r="T10">
        <f t="shared" si="7"/>
        <v>2.4184686991037159E-2</v>
      </c>
    </row>
    <row r="11" spans="1:20">
      <c r="A11" t="s">
        <v>29</v>
      </c>
      <c r="B11">
        <v>2</v>
      </c>
      <c r="C11" cm="1">
        <f t="array" aca="1" ref="C11" ca="1" xml:space="preserve"> AVERAGE(IF($C$2:$C$46 = 2, IF($D$2:$D$46 = "R", $E$2:$E$46, FALSE), FALSE))</f>
        <v>64.520484836666668</v>
      </c>
      <c r="D11" cm="1">
        <f t="array" aca="1" ref="D11" ca="1" xml:space="preserve"> _xlfn.STDEV.S(IF($C$2:$C$46 = 2, IF($D$2:$D$46 = "R", $E$2:$E$46, FALSE), FALSE)) / SQRT(3)</f>
        <v>2.2507769709899672</v>
      </c>
      <c r="E11" cm="1">
        <f t="array" aca="1" ref="E11" ca="1" xml:space="preserve"> AVERAGE(IF($C$2:$C$46 = 2, IF($D$2:$D$46 = "R", $G$2:$G$46, FALSE), FALSE))</f>
        <v>29.59301352366667</v>
      </c>
      <c r="F11" cm="1">
        <f t="array" aca="1" ref="F11" ca="1" xml:space="preserve"> _xlfn.STDEV.S(IF($C$2:$C$46 = 2, IF($D$2:$D$46 = "R", $G$2:$G$46, FALSE), FALSE)) / SQRT(3)</f>
        <v>23.586455026613937</v>
      </c>
      <c r="G11" s="12"/>
      <c r="H11" t="s">
        <v>94</v>
      </c>
      <c r="I11">
        <f xml:space="preserve"> _xlfn.T.TEST($M2:$M4,I2:I4,2,3)</f>
        <v>4.4390004830618756E-4</v>
      </c>
      <c r="J11">
        <f t="shared" ref="J11:M11" si="8" xml:space="preserve"> _xlfn.T.TEST($M2:$M4,J2:J4,2,3)</f>
        <v>1.7947874483629899E-3</v>
      </c>
      <c r="K11">
        <f t="shared" si="8"/>
        <v>5.1442533336955639E-3</v>
      </c>
      <c r="L11">
        <f t="shared" si="8"/>
        <v>1.9962524350574423E-3</v>
      </c>
      <c r="M11">
        <f t="shared" si="8"/>
        <v>1</v>
      </c>
      <c r="N11" s="12"/>
      <c r="O11" t="s">
        <v>94</v>
      </c>
      <c r="P11">
        <f xml:space="preserve"> _xlfn.T.TEST($T2:$T4,P2:P4,2,3)</f>
        <v>1.8562635930370711E-4</v>
      </c>
      <c r="Q11">
        <f t="shared" ref="Q11:T11" si="9" xml:space="preserve"> _xlfn.T.TEST($T2:$T4,Q2:Q4,2,3)</f>
        <v>3.6476861877637375E-3</v>
      </c>
      <c r="R11">
        <f t="shared" si="9"/>
        <v>3.8415761407151021E-2</v>
      </c>
      <c r="S11">
        <f t="shared" si="9"/>
        <v>2.4184686991037159E-2</v>
      </c>
      <c r="T11">
        <f t="shared" si="9"/>
        <v>1</v>
      </c>
    </row>
    <row r="12" spans="1:20">
      <c r="A12" t="s">
        <v>28</v>
      </c>
      <c r="B12">
        <v>3</v>
      </c>
      <c r="C12" cm="1">
        <f t="array" aca="1" ref="C12" ca="1" xml:space="preserve"> AVERAGE(IF($C$2:$C$46 = 3, IF($D$2:$D$46 = 0, $E$2:$E$46, FALSE), FALSE))</f>
        <v>59.024873233333331</v>
      </c>
      <c r="D12" cm="1">
        <f t="array" aca="1" ref="D12" ca="1" xml:space="preserve"> _xlfn.STDEV.S(IF($C$2:$C$46 = 3, IF($D$2:$D$46 = 0, $E$2:$E$46, FALSE), FALSE)) / SQRT(3)</f>
        <v>2.0658786828215332</v>
      </c>
      <c r="E12" cm="1">
        <f t="array" aca="1" ref="E12" ca="1" xml:space="preserve"> AVERAGE(IF($C$2:$C$46 = 3, IF($D$2:$D$46 = 0, $G$2:$G$46, FALSE), FALSE))</f>
        <v>99.856095233333335</v>
      </c>
      <c r="F12" cm="1">
        <f t="array" aca="1" ref="F12" ca="1" xml:space="preserve"> _xlfn.STDEV.S(IF($C$2:$C$46 = 3, IF($D$2:$D$46 = 0, $G$2:$G$46, FALSE), FALSE)) / SQRT(3)</f>
        <v>1.2008664369587577E-3</v>
      </c>
    </row>
    <row r="13" spans="1:20">
      <c r="A13" t="s">
        <v>32</v>
      </c>
      <c r="B13">
        <v>3</v>
      </c>
      <c r="C13" cm="1">
        <f t="array" aca="1" ref="C13" ca="1" xml:space="preserve"> AVERAGE(IF($C$2:$C$46 = 3, IF($D$2:$D$46 = 5, $E$2:$E$46, FALSE), FALSE))</f>
        <v>19.946831319666668</v>
      </c>
      <c r="D13" cm="1">
        <f t="array" aca="1" ref="D13" ca="1" xml:space="preserve"> _xlfn.STDEV.S(IF($C$2:$C$46 = 3, IF($D$2:$D$46 = 5, $E$2:$E$46, FALSE), FALSE)) / SQRT(3)</f>
        <v>7.0783621062035609</v>
      </c>
      <c r="E13" cm="1">
        <f t="array" aca="1" ref="E13" ca="1" xml:space="preserve"> AVERAGE(IF($C$2:$C$46 = 3, IF($D$2:$D$46 = 5, $G$2:$G$46, FALSE), FALSE))</f>
        <v>59.786190920000003</v>
      </c>
      <c r="F13" cm="1">
        <f t="array" aca="1" ref="F13" ca="1" xml:space="preserve"> _xlfn.STDEV.S(IF($C$2:$C$46 = 3, IF($D$2:$D$46 = 5, $G$2:$G$46, FALSE), FALSE)) / SQRT(3)</f>
        <v>10.485616998024991</v>
      </c>
      <c r="G13" s="12" t="s">
        <v>1</v>
      </c>
      <c r="H13">
        <v>2</v>
      </c>
      <c r="I13">
        <v>0</v>
      </c>
      <c r="J13">
        <v>5</v>
      </c>
      <c r="K13">
        <v>10</v>
      </c>
      <c r="L13">
        <v>15</v>
      </c>
      <c r="M13" t="s">
        <v>94</v>
      </c>
      <c r="N13" s="12" t="s">
        <v>104</v>
      </c>
      <c r="O13">
        <v>2</v>
      </c>
      <c r="P13">
        <v>0</v>
      </c>
      <c r="Q13">
        <v>5</v>
      </c>
      <c r="R13">
        <v>10</v>
      </c>
      <c r="S13">
        <v>15</v>
      </c>
      <c r="T13" t="s">
        <v>94</v>
      </c>
    </row>
    <row r="14" spans="1:20">
      <c r="A14" t="s">
        <v>34</v>
      </c>
      <c r="B14">
        <v>3</v>
      </c>
      <c r="C14" cm="1">
        <f t="array" aca="1" ref="C14" ca="1" xml:space="preserve"> AVERAGE(IF($C$2:$C$46 = 3, IF($D$2:$D$46 = 10, $E$2:$E$46, FALSE), FALSE))</f>
        <v>9.7226253909999993</v>
      </c>
      <c r="D14" cm="1">
        <f t="array" aca="1" ref="D14" ca="1" xml:space="preserve"> _xlfn.STDEV.S(IF($C$2:$C$46 = 3, IF($D$2:$D$46 = 10, $E$2:$E$46, FALSE), FALSE)) / SQRT(3)</f>
        <v>0.92106413205233439</v>
      </c>
      <c r="E14" cm="1">
        <f t="array" aca="1" ref="E14" ca="1" xml:space="preserve"> AVERAGE(IF($C$2:$C$46 = 3, IF($D$2:$D$46 = 10, $G$2:$G$46, FALSE), FALSE))</f>
        <v>4.5285848646666667</v>
      </c>
      <c r="F14" cm="1">
        <f t="array" aca="1" ref="F14" ca="1" xml:space="preserve"> _xlfn.STDEV.S(IF($C$2:$C$46 = 3, IF($D$2:$D$46 = 10, $G$2:$G$46, FALSE), FALSE)) / SQRT(3)</f>
        <v>0.16941573303104768</v>
      </c>
      <c r="G14" s="12"/>
      <c r="H14">
        <v>0</v>
      </c>
      <c r="I14" cm="1">
        <f t="array" ref="I14" xml:space="preserve"> MAX(IF('Combined-Data'!$C$2:$C$46 = $H$13, IF('Combined-Data'!$D$2:$D$46 = I$13, IF( MOD(ROW('Combined-Data'!$C$2:$C$46), 3) = $H14, 'Combined-Data'!$E$2:$E$46, FALSE), FALSE), FALSE))</f>
        <v>62.332253590000001</v>
      </c>
      <c r="J14" cm="1">
        <f t="array" ref="J14" xml:space="preserve"> MAX(IF('Combined-Data'!$C$2:$C$46 = $H$13, IF('Combined-Data'!$D$2:$D$46 = J$13, IF( MOD(ROW('Combined-Data'!$C$2:$C$46), 3) = $H14, 'Combined-Data'!$E$2:$E$46, FALSE), FALSE), FALSE))</f>
        <v>49.273387829999997</v>
      </c>
      <c r="K14" cm="1">
        <f t="array" ref="K14" xml:space="preserve"> MAX(IF('Combined-Data'!$C$2:$C$46 = $H$13, IF('Combined-Data'!$D$2:$D$46 = K$13, IF( MOD(ROW('Combined-Data'!$C$2:$C$46), 3) = $H14, 'Combined-Data'!$E$2:$E$46, FALSE), FALSE), FALSE))</f>
        <v>30.19230769</v>
      </c>
      <c r="L14" cm="1">
        <f t="array" ref="L14" xml:space="preserve"> MAX(IF('Combined-Data'!$C$2:$C$46 = $H$13, IF('Combined-Data'!$D$2:$D$46 = L$13, IF( MOD(ROW('Combined-Data'!$C$2:$C$46), 3) = $H14, 'Combined-Data'!$E$2:$E$46, FALSE), FALSE), FALSE))</f>
        <v>13.97910195</v>
      </c>
      <c r="M14" cm="1">
        <f t="array" ref="M14" xml:space="preserve"> MAX(IF('Combined-Data'!$C$2:$C$46 = $H$13, IF('Combined-Data'!$D$2:$D$46 = M$13, IF( MOD(ROW('Combined-Data'!$C$2:$C$46), 3) = $H14, 'Combined-Data'!$E$2:$E$46, FALSE), FALSE), FALSE))</f>
        <v>68.738</v>
      </c>
      <c r="N14" s="12"/>
      <c r="O14">
        <v>0</v>
      </c>
      <c r="P14" cm="1">
        <f t="array" ref="P14" xml:space="preserve"> MAX(IF('Combined-Data'!$C$2:$C$46 = $O$13, IF('Combined-Data'!$D$2:$D$46 = P$13, IF( MOD(ROW('Combined-Data'!$C$2:$C$46), 3) = $O14, 'Combined-Data'!$G$2:$G$46, FALSE), FALSE), FALSE))</f>
        <v>99.925760949999997</v>
      </c>
      <c r="Q14" cm="1">
        <f t="array" ref="Q14" xml:space="preserve"> MAX(IF('Combined-Data'!$C$2:$C$46 = $O$13, IF('Combined-Data'!$D$2:$D$46 = Q$13, IF( MOD(ROW('Combined-Data'!$C$2:$C$46), 3) = $O14, 'Combined-Data'!$G$2:$G$46, FALSE), FALSE), FALSE))</f>
        <v>66.728110599999994</v>
      </c>
      <c r="R14" cm="1">
        <f t="array" ref="R14" xml:space="preserve"> MAX(IF('Combined-Data'!$C$2:$C$46 = $O$13, IF('Combined-Data'!$D$2:$D$46 = R$13, IF( MOD(ROW('Combined-Data'!$C$2:$C$46), 3) = $O14, 'Combined-Data'!$G$2:$G$46, FALSE), FALSE), FALSE))</f>
        <v>3.4394904460000002</v>
      </c>
      <c r="S14" cm="1">
        <f t="array" ref="S14" xml:space="preserve"> MAX(IF('Combined-Data'!$C$2:$C$46 = $O$13, IF('Combined-Data'!$D$2:$D$46 = S$13, IF( MOD(ROW('Combined-Data'!$C$2:$C$46), 3) = $O14, 'Combined-Data'!$G$2:$G$46, FALSE), FALSE), FALSE))</f>
        <v>0</v>
      </c>
      <c r="T14" cm="1">
        <f t="array" ref="T14" xml:space="preserve"> MAX(IF('Combined-Data'!$C$2:$C$46 = $O$13, IF('Combined-Data'!$D$2:$D$46 = T$13, IF( MOD(ROW('Combined-Data'!$C$2:$C$46), 3) = $O14, 'Combined-Data'!$G$2:$G$46, FALSE), FALSE), FALSE))</f>
        <v>8.9012517389999992</v>
      </c>
    </row>
    <row r="15" spans="1:20">
      <c r="A15" t="s">
        <v>35</v>
      </c>
      <c r="B15">
        <v>3</v>
      </c>
      <c r="C15" cm="1">
        <f t="array" aca="1" ref="C15" ca="1" xml:space="preserve"> AVERAGE(IF($C$2:$C$46 = 3, IF($D$2:$D$46 = 15, $E$2:$E$46, FALSE), FALSE))</f>
        <v>4.3477706323333338</v>
      </c>
      <c r="D15" cm="1">
        <f t="array" aca="1" ref="D15" ca="1" xml:space="preserve"> _xlfn.STDEV.S(IF($C$2:$C$46 = 3, IF($D$2:$D$46 = 15, $E$2:$E$46, FALSE), FALSE)) / SQRT(3)</f>
        <v>0.29037098913469034</v>
      </c>
      <c r="E15" cm="1">
        <f t="array" aca="1" ref="E15" ca="1" xml:space="preserve"> AVERAGE(IF($C$2:$C$46 = 3, IF($D$2:$D$46 = 15, $G$2:$G$46, FALSE), FALSE))</f>
        <v>0.625</v>
      </c>
      <c r="F15" cm="1">
        <f t="array" aca="1" ref="F15" ca="1" xml:space="preserve"> _xlfn.STDEV.S(IF($C$2:$C$46 = 3, IF($D$2:$D$46 = 15, $G$2:$G$46, FALSE), FALSE)) / SQRT(3)</f>
        <v>0.62500000000000011</v>
      </c>
      <c r="G15" s="12"/>
      <c r="H15">
        <v>1</v>
      </c>
      <c r="I15" cm="1">
        <f t="array" ref="I15" xml:space="preserve"> MAX(IF('Combined-Data'!$C$2:$C$46 = $H$13, IF('Combined-Data'!$D$2:$D$46 = I$13, IF( MOD(ROW('Combined-Data'!$C$2:$C$46), 3) = $H15, 'Combined-Data'!$E$2:$E$46, FALSE), FALSE), FALSE))</f>
        <v>65.389876880000003</v>
      </c>
      <c r="J15" cm="1">
        <f t="array" ref="J15" xml:space="preserve"> MAX(IF('Combined-Data'!$C$2:$C$46 = $H$13, IF('Combined-Data'!$D$2:$D$46 = J$13, IF( MOD(ROW('Combined-Data'!$C$2:$C$46), 3) = $H15, 'Combined-Data'!$E$2:$E$46, FALSE), FALSE), FALSE))</f>
        <v>46.054888509999998</v>
      </c>
      <c r="K15" cm="1">
        <f t="array" ref="K15" xml:space="preserve"> MAX(IF('Combined-Data'!$C$2:$C$46 = $H$13, IF('Combined-Data'!$D$2:$D$46 = K$13, IF( MOD(ROW('Combined-Data'!$C$2:$C$46), 3) = $H15, 'Combined-Data'!$E$2:$E$46, FALSE), FALSE), FALSE))</f>
        <v>28.06026365</v>
      </c>
      <c r="L15" cm="1">
        <f t="array" ref="L15" xml:space="preserve"> MAX(IF('Combined-Data'!$C$2:$C$46 = $H$13, IF('Combined-Data'!$D$2:$D$46 = L$13, IF( MOD(ROW('Combined-Data'!$C$2:$C$46), 3) = $H15, 'Combined-Data'!$E$2:$E$46, FALSE), FALSE), FALSE))</f>
        <v>18.238021639999999</v>
      </c>
      <c r="M15" cm="1">
        <f t="array" ref="M15" xml:space="preserve"> MAX(IF('Combined-Data'!$C$2:$C$46 = $H$13, IF('Combined-Data'!$D$2:$D$46 = M$13, IF( MOD(ROW('Combined-Data'!$C$2:$C$46), 3) = $H15, 'Combined-Data'!$E$2:$E$46, FALSE), FALSE), FALSE))</f>
        <v>61.048857009999999</v>
      </c>
      <c r="N15" s="12"/>
      <c r="O15">
        <v>1</v>
      </c>
      <c r="P15" cm="1">
        <f t="array" ref="P15" xml:space="preserve"> MAX(IF('Combined-Data'!$C$2:$C$46 = $O$13, IF('Combined-Data'!$D$2:$D$46 = P$13, IF( MOD(ROW('Combined-Data'!$C$2:$C$46), 3) = $O15, 'Combined-Data'!$G$2:$G$46, FALSE), FALSE), FALSE))</f>
        <v>99.930264989999998</v>
      </c>
      <c r="Q15" cm="1">
        <f t="array" ref="Q15" xml:space="preserve"> MAX(IF('Combined-Data'!$C$2:$C$46 = $O$13, IF('Combined-Data'!$D$2:$D$46 = Q$13, IF( MOD(ROW('Combined-Data'!$C$2:$C$46), 3) = $O15, 'Combined-Data'!$G$2:$G$46, FALSE), FALSE), FALSE))</f>
        <v>68.528864060000004</v>
      </c>
      <c r="R15" cm="1">
        <f t="array" ref="R15" xml:space="preserve"> MAX(IF('Combined-Data'!$C$2:$C$46 = $O$13, IF('Combined-Data'!$D$2:$D$46 = R$13, IF( MOD(ROW('Combined-Data'!$C$2:$C$46), 3) = $O15, 'Combined-Data'!$G$2:$G$46, FALSE), FALSE), FALSE))</f>
        <v>2.6845637579999999</v>
      </c>
      <c r="S15" cm="1">
        <f t="array" ref="S15" xml:space="preserve"> MAX(IF('Combined-Data'!$C$2:$C$46 = $O$13, IF('Combined-Data'!$D$2:$D$46 = S$13, IF( MOD(ROW('Combined-Data'!$C$2:$C$46), 3) = $O15, 'Combined-Data'!$G$2:$G$46, FALSE), FALSE), FALSE))</f>
        <v>1.1864406780000001</v>
      </c>
      <c r="T15" cm="1">
        <f t="array" ref="T15" xml:space="preserve"> MAX(IF('Combined-Data'!$C$2:$C$46 = $O$13, IF('Combined-Data'!$D$2:$D$46 = T$13, IF( MOD(ROW('Combined-Data'!$C$2:$C$46), 3) = $O15, 'Combined-Data'!$G$2:$G$46, FALSE), FALSE), FALSE))</f>
        <v>76.651982380000007</v>
      </c>
    </row>
    <row r="16" spans="1:20">
      <c r="A16" t="s">
        <v>29</v>
      </c>
      <c r="B16">
        <v>3</v>
      </c>
      <c r="C16" cm="1">
        <f t="array" aca="1" ref="C16" ca="1" xml:space="preserve"> AVERAGE(IF($C$2:$C$46 = 3, IF($D$2:$D$46 = "R", $E$2:$E$46, FALSE), FALSE))</f>
        <v>71.982383866666666</v>
      </c>
      <c r="D16" cm="1">
        <f t="array" aca="1" ref="D16" ca="1" xml:space="preserve"> _xlfn.STDEV.S(IF($C$2:$C$46 = 3, IF($D$2:$D$46 = "R", $E$2:$E$46, FALSE), FALSE)) / SQRT(3)</f>
        <v>4.6450298453671959</v>
      </c>
      <c r="E16" cm="1">
        <f t="array" aca="1" ref="E16" ca="1" xml:space="preserve"> AVERAGE(IF($C$2:$C$46 = 3, IF($D$2:$D$46 = "R", $G$2:$G$46, FALSE), FALSE))</f>
        <v>30.351560253333332</v>
      </c>
      <c r="F16" cm="1">
        <f t="array" aca="1" ref="F16" ca="1" xml:space="preserve"> _xlfn.STDEV.S(IF($C$2:$C$46 = 3, IF($D$2:$D$46 = "R", $G$2:$G$46, FALSE), FALSE)) / SQRT(3)</f>
        <v>2.8262597947209178</v>
      </c>
      <c r="G16" s="12"/>
      <c r="H16">
        <v>2</v>
      </c>
      <c r="I16" cm="1">
        <f t="array" ref="I16" xml:space="preserve"> MAX(IF('Combined-Data'!$C$2:$C$46 = $H$13, IF('Combined-Data'!$D$2:$D$46 = I$13, IF( MOD(ROW('Combined-Data'!$C$2:$C$46), 3) = $H16, 'Combined-Data'!$E$2:$E$46, FALSE), FALSE), FALSE))</f>
        <v>57.581069239999998</v>
      </c>
      <c r="J16" cm="1">
        <f t="array" ref="J16" xml:space="preserve"> MAX(IF('Combined-Data'!$C$2:$C$46 = $H$13, IF('Combined-Data'!$D$2:$D$46 = J$13, IF( MOD(ROW('Combined-Data'!$C$2:$C$46), 3) = $H16, 'Combined-Data'!$E$2:$E$46, FALSE), FALSE), FALSE))</f>
        <v>33.798449609999999</v>
      </c>
      <c r="K16" cm="1">
        <f t="array" ref="K16" xml:space="preserve"> MAX(IF('Combined-Data'!$C$2:$C$46 = $H$13, IF('Combined-Data'!$D$2:$D$46 = K$13, IF( MOD(ROW('Combined-Data'!$C$2:$C$46), 3) = $H16, 'Combined-Data'!$E$2:$E$46, FALSE), FALSE), FALSE))</f>
        <v>25.360230550000001</v>
      </c>
      <c r="L16" cm="1">
        <f t="array" ref="L16" xml:space="preserve"> MAX(IF('Combined-Data'!$C$2:$C$46 = $H$13, IF('Combined-Data'!$D$2:$D$46 = L$13, IF( MOD(ROW('Combined-Data'!$C$2:$C$46), 3) = $H16, 'Combined-Data'!$E$2:$E$46, FALSE), FALSE), FALSE))</f>
        <v>15.17124257</v>
      </c>
      <c r="M16" cm="1">
        <f t="array" ref="M16" xml:space="preserve"> MAX(IF('Combined-Data'!$C$2:$C$46 = $H$13, IF('Combined-Data'!$D$2:$D$46 = M$13, IF( MOD(ROW('Combined-Data'!$C$2:$C$46), 3) = $H16, 'Combined-Data'!$E$2:$E$46, FALSE), FALSE), FALSE))</f>
        <v>63.774597499999999</v>
      </c>
      <c r="N16" s="12"/>
      <c r="O16">
        <v>2</v>
      </c>
      <c r="P16" cm="1">
        <f t="array" ref="P16" xml:space="preserve"> MAX(IF('Combined-Data'!$C$2:$C$46 = $O$13, IF('Combined-Data'!$D$2:$D$46 = P$13, IF( MOD(ROW('Combined-Data'!$C$2:$C$46), 3) = $O16, 'Combined-Data'!$G$2:$G$46, FALSE), FALSE), FALSE))</f>
        <v>99.847792999999996</v>
      </c>
      <c r="Q16" cm="1">
        <f t="array" ref="Q16" xml:space="preserve"> MAX(IF('Combined-Data'!$C$2:$C$46 = $O$13, IF('Combined-Data'!$D$2:$D$46 = Q$13, IF( MOD(ROW('Combined-Data'!$C$2:$C$46), 3) = $O16, 'Combined-Data'!$G$2:$G$46, FALSE), FALSE), FALSE))</f>
        <v>50.344036699999997</v>
      </c>
      <c r="R16" cm="1">
        <f t="array" ref="R16" xml:space="preserve"> MAX(IF('Combined-Data'!$C$2:$C$46 = $O$13, IF('Combined-Data'!$D$2:$D$46 = R$13, IF( MOD(ROW('Combined-Data'!$C$2:$C$46), 3) = $O16, 'Combined-Data'!$G$2:$G$46, FALSE), FALSE), FALSE))</f>
        <v>4.1193181819999998</v>
      </c>
      <c r="S16" cm="1">
        <f t="array" ref="S16" xml:space="preserve"> MAX(IF('Combined-Data'!$C$2:$C$46 = $O$13, IF('Combined-Data'!$D$2:$D$46 = S$13, IF( MOD(ROW('Combined-Data'!$C$2:$C$46), 3) = $O16, 'Combined-Data'!$G$2:$G$46, FALSE), FALSE), FALSE))</f>
        <v>0.18656716400000001</v>
      </c>
      <c r="T16" cm="1">
        <f t="array" ref="T16" xml:space="preserve"> MAX(IF('Combined-Data'!$C$2:$C$46 = $O$13, IF('Combined-Data'!$D$2:$D$46 = T$13, IF( MOD(ROW('Combined-Data'!$C$2:$C$46), 3) = $O16, 'Combined-Data'!$G$2:$G$46, FALSE), FALSE), FALSE))</f>
        <v>3.225806452</v>
      </c>
    </row>
    <row r="17" spans="7:20">
      <c r="G17" s="12"/>
      <c r="N17" s="12"/>
    </row>
    <row r="18" spans="7:20">
      <c r="G18" s="12"/>
      <c r="H18" t="s">
        <v>105</v>
      </c>
      <c r="I18" t="s">
        <v>106</v>
      </c>
      <c r="J18" t="s">
        <v>107</v>
      </c>
      <c r="K18" t="s">
        <v>108</v>
      </c>
      <c r="L18" t="s">
        <v>109</v>
      </c>
      <c r="M18" t="s">
        <v>94</v>
      </c>
      <c r="N18" s="12"/>
      <c r="O18" t="s">
        <v>105</v>
      </c>
      <c r="P18" t="s">
        <v>106</v>
      </c>
      <c r="Q18" t="s">
        <v>107</v>
      </c>
      <c r="R18" t="s">
        <v>108</v>
      </c>
      <c r="S18" t="s">
        <v>109</v>
      </c>
      <c r="T18" t="s">
        <v>94</v>
      </c>
    </row>
    <row r="19" spans="7:20">
      <c r="G19" s="12"/>
      <c r="H19" t="s">
        <v>106</v>
      </c>
      <c r="I19">
        <f xml:space="preserve"> _xlfn.T.TEST($I14:$I16,I14:I16,2,3)</f>
        <v>1</v>
      </c>
      <c r="J19">
        <f t="shared" ref="J19:M19" si="10" xml:space="preserve"> _xlfn.T.TEST($I14:$I16,J14:J16,2,3)</f>
        <v>3.984385552978887E-2</v>
      </c>
      <c r="K19">
        <f t="shared" si="10"/>
        <v>6.215483077761406E-4</v>
      </c>
      <c r="L19">
        <f t="shared" si="10"/>
        <v>3.0253613001620825E-4</v>
      </c>
      <c r="M19">
        <f t="shared" si="10"/>
        <v>0.43790293975313627</v>
      </c>
      <c r="N19" s="12"/>
      <c r="O19" t="s">
        <v>106</v>
      </c>
      <c r="P19">
        <f xml:space="preserve"> _xlfn.T.TEST($P14:$P16,P14:P16,2,3)</f>
        <v>1</v>
      </c>
      <c r="Q19">
        <f t="shared" ref="Q19:T19" si="11" xml:space="preserve"> _xlfn.T.TEST($P14:$P16,Q14:Q16,2,3)</f>
        <v>2.2358460835032713E-2</v>
      </c>
      <c r="R19">
        <f t="shared" si="11"/>
        <v>1.7095487880648419E-5</v>
      </c>
      <c r="S19">
        <f t="shared" si="11"/>
        <v>1.2425450239282926E-5</v>
      </c>
      <c r="T19">
        <f t="shared" si="11"/>
        <v>9.6522504631845071E-2</v>
      </c>
    </row>
    <row r="20" spans="7:20">
      <c r="G20" s="12"/>
      <c r="H20" t="s">
        <v>107</v>
      </c>
      <c r="I20">
        <f xml:space="preserve"> _xlfn.T.TEST($J14:$J16,I14:I16,2,3)</f>
        <v>3.984385552978887E-2</v>
      </c>
      <c r="J20">
        <f t="shared" ref="J20:M20" si="12" xml:space="preserve"> _xlfn.T.TEST($J14:$J16,J14:J16,2,3)</f>
        <v>1</v>
      </c>
      <c r="K20">
        <f t="shared" si="12"/>
        <v>7.4192245961683362E-2</v>
      </c>
      <c r="L20">
        <f t="shared" si="12"/>
        <v>2.2473510062956496E-2</v>
      </c>
      <c r="M20">
        <f t="shared" si="12"/>
        <v>2.8423366588319156E-2</v>
      </c>
      <c r="N20" s="12"/>
      <c r="O20" t="s">
        <v>107</v>
      </c>
      <c r="P20">
        <f xml:space="preserve"> _xlfn.T.TEST($Q14:$Q16,P14:P16,2,3)</f>
        <v>2.2358460835032713E-2</v>
      </c>
      <c r="Q20">
        <f t="shared" ref="Q20:T20" si="13" xml:space="preserve"> _xlfn.T.TEST($Q14:$Q16,Q14:Q16,2,3)</f>
        <v>1</v>
      </c>
      <c r="R20">
        <f t="shared" si="13"/>
        <v>9.3749483147372616E-3</v>
      </c>
      <c r="S20">
        <f t="shared" si="13"/>
        <v>8.5509919898784786E-3</v>
      </c>
      <c r="T20">
        <f t="shared" si="13"/>
        <v>0.30304573319942668</v>
      </c>
    </row>
    <row r="21" spans="7:20">
      <c r="G21" s="12"/>
      <c r="H21" t="s">
        <v>108</v>
      </c>
      <c r="I21">
        <f xml:space="preserve"> _xlfn.T.TEST($K14:$K16,I14:I16,2,3)</f>
        <v>6.215483077761406E-4</v>
      </c>
      <c r="J21">
        <f t="shared" ref="J21:M21" si="14" xml:space="preserve"> _xlfn.T.TEST($K14:$K16,J14:J16,2,3)</f>
        <v>7.4192245961683362E-2</v>
      </c>
      <c r="K21">
        <f t="shared" si="14"/>
        <v>1</v>
      </c>
      <c r="L21">
        <f t="shared" si="14"/>
        <v>3.1671556992041621E-3</v>
      </c>
      <c r="M21">
        <f t="shared" si="14"/>
        <v>4.5652496157365651E-4</v>
      </c>
      <c r="N21" s="12"/>
      <c r="O21" t="s">
        <v>108</v>
      </c>
      <c r="P21">
        <f xml:space="preserve"> _xlfn.T.TEST($R14:$R16,P14:P16,2,3)</f>
        <v>1.7095487880648419E-5</v>
      </c>
      <c r="Q21">
        <f t="shared" ref="Q21:T21" si="15" xml:space="preserve"> _xlfn.T.TEST($R14:$R16,Q14:Q16,2,3)</f>
        <v>9.3749483147372616E-3</v>
      </c>
      <c r="R21">
        <f t="shared" si="15"/>
        <v>1</v>
      </c>
      <c r="S21">
        <f t="shared" si="15"/>
        <v>6.1853382121381251E-3</v>
      </c>
      <c r="T21">
        <f t="shared" si="15"/>
        <v>0.38261360023817031</v>
      </c>
    </row>
    <row r="22" spans="7:20">
      <c r="G22" s="12"/>
      <c r="H22" t="s">
        <v>109</v>
      </c>
      <c r="I22">
        <f xml:space="preserve"> _xlfn.T.TEST($L14:$L16,I14:I16,2,3)</f>
        <v>3.0253613001620825E-4</v>
      </c>
      <c r="J22">
        <f t="shared" ref="J22:M22" si="16" xml:space="preserve"> _xlfn.T.TEST($L14:$L16,J14:J16,2,3)</f>
        <v>2.2473510062956496E-2</v>
      </c>
      <c r="K22">
        <f t="shared" si="16"/>
        <v>3.1671556992041621E-3</v>
      </c>
      <c r="L22">
        <f t="shared" si="16"/>
        <v>1</v>
      </c>
      <c r="M22">
        <f t="shared" si="16"/>
        <v>2.3843267104384135E-4</v>
      </c>
      <c r="N22" s="12"/>
      <c r="O22" t="s">
        <v>109</v>
      </c>
      <c r="P22">
        <f xml:space="preserve"> _xlfn.T.TEST($S14:$S16,P14:P16,2,3)</f>
        <v>1.2425450239282926E-5</v>
      </c>
      <c r="Q22">
        <f t="shared" ref="Q22:T22" si="17" xml:space="preserve"> _xlfn.T.TEST($S14:$S16,Q14:Q16,2,3)</f>
        <v>8.5509919898784786E-3</v>
      </c>
      <c r="R22">
        <f t="shared" si="17"/>
        <v>6.1853382121381251E-3</v>
      </c>
      <c r="S22">
        <f t="shared" si="17"/>
        <v>1</v>
      </c>
      <c r="T22">
        <f t="shared" si="17"/>
        <v>0.34214659706307787</v>
      </c>
    </row>
    <row r="23" spans="7:20">
      <c r="G23" s="12"/>
      <c r="H23" t="s">
        <v>94</v>
      </c>
      <c r="I23">
        <f xml:space="preserve"> _xlfn.T.TEST($M14:$M16,I14:I16,2,3)</f>
        <v>0.43790293975313627</v>
      </c>
      <c r="J23">
        <f t="shared" ref="J23:M23" si="18" xml:space="preserve"> _xlfn.T.TEST($M14:$M16,J14:J16,2,3)</f>
        <v>2.8423366588319156E-2</v>
      </c>
      <c r="K23">
        <f t="shared" si="18"/>
        <v>4.5652496157365651E-4</v>
      </c>
      <c r="L23">
        <f t="shared" si="18"/>
        <v>2.3843267104384135E-4</v>
      </c>
      <c r="M23">
        <f t="shared" si="18"/>
        <v>1</v>
      </c>
      <c r="N23" s="12"/>
      <c r="O23" t="s">
        <v>94</v>
      </c>
      <c r="P23">
        <f xml:space="preserve"> _xlfn.T.TEST($T14:$T16,P14:P16,2,3)</f>
        <v>9.6522504631845071E-2</v>
      </c>
      <c r="Q23">
        <f t="shared" ref="Q23:T23" si="19" xml:space="preserve"> _xlfn.T.TEST($T14:$T16,Q14:Q16,2,3)</f>
        <v>0.30304573319942668</v>
      </c>
      <c r="R23">
        <f t="shared" si="19"/>
        <v>0.38261360023817031</v>
      </c>
      <c r="S23">
        <f t="shared" si="19"/>
        <v>0.34214659706307787</v>
      </c>
      <c r="T23">
        <f t="shared" si="19"/>
        <v>1</v>
      </c>
    </row>
    <row r="25" spans="7:20">
      <c r="G25" s="12" t="s">
        <v>1</v>
      </c>
      <c r="H25">
        <v>3</v>
      </c>
      <c r="I25">
        <v>0</v>
      </c>
      <c r="J25">
        <v>5</v>
      </c>
      <c r="K25">
        <v>10</v>
      </c>
      <c r="L25">
        <v>15</v>
      </c>
      <c r="M25" t="s">
        <v>94</v>
      </c>
      <c r="N25" s="12" t="s">
        <v>104</v>
      </c>
      <c r="O25">
        <v>3</v>
      </c>
      <c r="P25">
        <v>0</v>
      </c>
      <c r="Q25">
        <v>5</v>
      </c>
      <c r="R25">
        <v>10</v>
      </c>
      <c r="S25">
        <v>15</v>
      </c>
      <c r="T25" t="s">
        <v>94</v>
      </c>
    </row>
    <row r="26" spans="7:20">
      <c r="G26" s="12"/>
      <c r="H26">
        <v>0</v>
      </c>
      <c r="I26" cm="1">
        <f t="array" ref="I26" xml:space="preserve"> MAX(IF('Combined-Data'!$C$2:$C$46 = $H$25, IF('Combined-Data'!$D$2:$D$46 = I$25, IF( MOD(ROW('Combined-Data'!$C$2:$C$46), 3) = $H26, 'Combined-Data'!$E$2:$E$46, FALSE), FALSE), FALSE))</f>
        <v>57.81443299</v>
      </c>
      <c r="J26" cm="1">
        <f t="array" ref="J26" xml:space="preserve"> MAX(IF('Combined-Data'!$C$2:$C$46 = $H$25, IF('Combined-Data'!$D$2:$D$46 = J$25, IF( MOD(ROW('Combined-Data'!$C$2:$C$46), 3) = $H26, 'Combined-Data'!$E$2:$E$46, FALSE), FALSE), FALSE))</f>
        <v>33.333333330000002</v>
      </c>
      <c r="K26" cm="1">
        <f t="array" ref="K26" xml:space="preserve"> MAX(IF('Combined-Data'!$C$2:$C$46 = $H$25, IF('Combined-Data'!$D$2:$D$46 = K$25, IF( MOD(ROW('Combined-Data'!$C$2:$C$46), 3) = $H26, 'Combined-Data'!$E$2:$E$46, FALSE), FALSE), FALSE))</f>
        <v>7.9951397330000002</v>
      </c>
      <c r="L26" cm="1">
        <f t="array" ref="L26" xml:space="preserve"> MAX(IF('Combined-Data'!$C$2:$C$46 = $H$25, IF('Combined-Data'!$D$2:$D$46 = L$25, IF( MOD(ROW('Combined-Data'!$C$2:$C$46), 3) = $H26, 'Combined-Data'!$E$2:$E$46, FALSE), FALSE), FALSE))</f>
        <v>4.6942981450000003</v>
      </c>
      <c r="M26" cm="1">
        <f t="array" ref="M26" xml:space="preserve"> MAX(IF('Combined-Data'!$C$2:$C$46 = $H$25, IF('Combined-Data'!$D$2:$D$46 = M$25, IF( MOD(ROW('Combined-Data'!$C$2:$C$46), 3) = $H26, 'Combined-Data'!$E$2:$E$46, FALSE), FALSE), FALSE))</f>
        <v>81.076581579999996</v>
      </c>
      <c r="N26" s="12"/>
      <c r="O26">
        <v>0</v>
      </c>
      <c r="P26" cm="1">
        <f t="array" ref="P26" xml:space="preserve"> MAX(IF('Combined-Data'!$C$2:$C$46 = $O$25, IF('Combined-Data'!$D$2:$D$46 = P$25, IF( MOD(ROW('Combined-Data'!$C$2:$C$46), 3) = $O26, 'Combined-Data'!$G$2:$G$46, FALSE), FALSE), FALSE))</f>
        <v>99.857346649999997</v>
      </c>
      <c r="Q26" cm="1">
        <f t="array" ref="Q26" xml:space="preserve"> MAX(IF('Combined-Data'!$C$2:$C$46 = $O$25, IF('Combined-Data'!$D$2:$D$46 = Q$25, IF( MOD(ROW('Combined-Data'!$C$2:$C$46), 3) = $O26, 'Combined-Data'!$G$2:$G$46, FALSE), FALSE), FALSE))</f>
        <v>72.286617489999998</v>
      </c>
      <c r="R26" cm="1">
        <f t="array" ref="R26" xml:space="preserve"> MAX(IF('Combined-Data'!$C$2:$C$46 = $O$25, IF('Combined-Data'!$D$2:$D$46 = R$25, IF( MOD(ROW('Combined-Data'!$C$2:$C$46), 3) = $O26, 'Combined-Data'!$G$2:$G$46, FALSE), FALSE), FALSE))</f>
        <v>4.255319149</v>
      </c>
      <c r="S26" cm="1">
        <f t="array" ref="S26" xml:space="preserve"> MAX(IF('Combined-Data'!$C$2:$C$46 = $O$25, IF('Combined-Data'!$D$2:$D$46 = S$25, IF( MOD(ROW('Combined-Data'!$C$2:$C$46), 3) = $O26, 'Combined-Data'!$G$2:$G$46, FALSE), FALSE), FALSE))</f>
        <v>0</v>
      </c>
      <c r="T26" cm="1">
        <f t="array" ref="T26" xml:space="preserve"> MAX(IF('Combined-Data'!$C$2:$C$46 = $O$25, IF('Combined-Data'!$D$2:$D$46 = T$25, IF( MOD(ROW('Combined-Data'!$C$2:$C$46), 3) = $O26, 'Combined-Data'!$G$2:$G$46, FALSE), FALSE), FALSE))</f>
        <v>29.08966461</v>
      </c>
    </row>
    <row r="27" spans="7:20">
      <c r="G27" s="12"/>
      <c r="H27">
        <v>1</v>
      </c>
      <c r="I27" cm="1">
        <f t="array" ref="I27" xml:space="preserve"> MAX(IF('Combined-Data'!$C$2:$C$46 = $H$25, IF('Combined-Data'!$D$2:$D$46 = I$25, IF( MOD(ROW('Combined-Data'!$C$2:$C$46), 3) = $H27, 'Combined-Data'!$E$2:$E$46, FALSE), FALSE), FALSE))</f>
        <v>56.208881580000003</v>
      </c>
      <c r="J27" cm="1">
        <f t="array" ref="J27" xml:space="preserve"> MAX(IF('Combined-Data'!$C$2:$C$46 = $H$25, IF('Combined-Data'!$D$2:$D$46 = J$25, IF( MOD(ROW('Combined-Data'!$C$2:$C$46), 3) = $H27, 'Combined-Data'!$E$2:$E$46, FALSE), FALSE), FALSE))</f>
        <v>9.2647454889999992</v>
      </c>
      <c r="K27" cm="1">
        <f t="array" ref="K27" xml:space="preserve"> MAX(IF('Combined-Data'!$C$2:$C$46 = $H$25, IF('Combined-Data'!$D$2:$D$46 = K$25, IF( MOD(ROW('Combined-Data'!$C$2:$C$46), 3) = $H27, 'Combined-Data'!$E$2:$E$46, FALSE), FALSE), FALSE))</f>
        <v>11.14037398</v>
      </c>
      <c r="L27" cm="1">
        <f t="array" ref="L27" xml:space="preserve"> MAX(IF('Combined-Data'!$C$2:$C$46 = $H$25, IF('Combined-Data'!$D$2:$D$46 = L$25, IF( MOD(ROW('Combined-Data'!$C$2:$C$46), 3) = $H27, 'Combined-Data'!$E$2:$E$46, FALSE), FALSE), FALSE))</f>
        <v>3.7709168040000001</v>
      </c>
      <c r="M27" cm="1">
        <f t="array" ref="M27" xml:space="preserve"> MAX(IF('Combined-Data'!$C$2:$C$46 = $H$25, IF('Combined-Data'!$D$2:$D$46 = M$25, IF( MOD(ROW('Combined-Data'!$C$2:$C$46), 3) = $H27, 'Combined-Data'!$E$2:$E$46, FALSE), FALSE), FALSE))</f>
        <v>65.791940019999998</v>
      </c>
      <c r="N27" s="12"/>
      <c r="O27">
        <v>1</v>
      </c>
      <c r="P27" cm="1">
        <f t="array" ref="P27" xml:space="preserve"> MAX(IF('Combined-Data'!$C$2:$C$46 = $O$25, IF('Combined-Data'!$D$2:$D$46 = P$25, IF( MOD(ROW('Combined-Data'!$C$2:$C$46), 3) = $O27, 'Combined-Data'!$G$2:$G$46, FALSE), FALSE), FALSE))</f>
        <v>99.853694219999994</v>
      </c>
      <c r="Q27" cm="1">
        <f t="array" ref="Q27" xml:space="preserve"> MAX(IF('Combined-Data'!$C$2:$C$46 = $O$25, IF('Combined-Data'!$D$2:$D$46 = Q$25, IF( MOD(ROW('Combined-Data'!$C$2:$C$46), 3) = $O27, 'Combined-Data'!$G$2:$G$46, FALSE), FALSE), FALSE))</f>
        <v>38.953488370000002</v>
      </c>
      <c r="R27" cm="1">
        <f t="array" ref="R27" xml:space="preserve"> MAX(IF('Combined-Data'!$C$2:$C$46 = $O$25, IF('Combined-Data'!$D$2:$D$46 = R$25, IF( MOD(ROW('Combined-Data'!$C$2:$C$46), 3) = $O27, 'Combined-Data'!$G$2:$G$46, FALSE), FALSE), FALSE))</f>
        <v>4.4917257680000002</v>
      </c>
      <c r="S27" cm="1">
        <f t="array" ref="S27" xml:space="preserve"> MAX(IF('Combined-Data'!$C$2:$C$46 = $O$25, IF('Combined-Data'!$D$2:$D$46 = S$25, IF( MOD(ROW('Combined-Data'!$C$2:$C$46), 3) = $O27, 'Combined-Data'!$G$2:$G$46, FALSE), FALSE), FALSE))</f>
        <v>1.875</v>
      </c>
      <c r="T27" cm="1">
        <f t="array" ref="T27" xml:space="preserve"> MAX(IF('Combined-Data'!$C$2:$C$46 = $O$25, IF('Combined-Data'!$D$2:$D$46 = T$25, IF( MOD(ROW('Combined-Data'!$C$2:$C$46), 3) = $O27, 'Combined-Data'!$G$2:$G$46, FALSE), FALSE), FALSE))</f>
        <v>26.21082621</v>
      </c>
    </row>
    <row r="28" spans="7:20">
      <c r="G28" s="12"/>
      <c r="H28">
        <v>2</v>
      </c>
      <c r="I28" cm="1">
        <f t="array" ref="I28" xml:space="preserve"> MAX(IF('Combined-Data'!$C$2:$C$46 = $H$25, IF('Combined-Data'!$D$2:$D$46 = I$25, IF( MOD(ROW('Combined-Data'!$C$2:$C$46), 3) = $H28, 'Combined-Data'!$E$2:$E$46, FALSE), FALSE), FALSE))</f>
        <v>63.051305130000003</v>
      </c>
      <c r="J28" cm="1">
        <f t="array" ref="J28" xml:space="preserve"> MAX(IF('Combined-Data'!$C$2:$C$46 = $H$25, IF('Combined-Data'!$D$2:$D$46 = J$25, IF( MOD(ROW('Combined-Data'!$C$2:$C$46), 3) = $H28, 'Combined-Data'!$E$2:$E$46, FALSE), FALSE), FALSE))</f>
        <v>17.242415139999999</v>
      </c>
      <c r="K28" cm="1">
        <f t="array" ref="K28" xml:space="preserve"> MAX(IF('Combined-Data'!$C$2:$C$46 = $H$25, IF('Combined-Data'!$D$2:$D$46 = K$25, IF( MOD(ROW('Combined-Data'!$C$2:$C$46), 3) = $H28, 'Combined-Data'!$E$2:$E$46, FALSE), FALSE), FALSE))</f>
        <v>10.03236246</v>
      </c>
      <c r="L28" cm="1">
        <f t="array" ref="L28" xml:space="preserve"> MAX(IF('Combined-Data'!$C$2:$C$46 = $H$25, IF('Combined-Data'!$D$2:$D$46 = L$25, IF( MOD(ROW('Combined-Data'!$C$2:$C$46), 3) = $H28, 'Combined-Data'!$E$2:$E$46, FALSE), FALSE), FALSE))</f>
        <v>4.5780969479999998</v>
      </c>
      <c r="M28" cm="1">
        <f t="array" ref="M28" xml:space="preserve"> MAX(IF('Combined-Data'!$C$2:$C$46 = $H$25, IF('Combined-Data'!$D$2:$D$46 = M$25, IF( MOD(ROW('Combined-Data'!$C$2:$C$46), 3) = $H28, 'Combined-Data'!$E$2:$E$46, FALSE), FALSE), FALSE))</f>
        <v>69.078630000000004</v>
      </c>
      <c r="N28" s="12"/>
      <c r="O28">
        <v>2</v>
      </c>
      <c r="P28" cm="1">
        <f t="array" ref="P28" xml:space="preserve"> MAX(IF('Combined-Data'!$C$2:$C$46 = $O$25, IF('Combined-Data'!$D$2:$D$46 = P$25, IF( MOD(ROW('Combined-Data'!$C$2:$C$46), 3) = $O28, 'Combined-Data'!$G$2:$G$46, FALSE), FALSE), FALSE))</f>
        <v>99.857244829999999</v>
      </c>
      <c r="Q28" cm="1">
        <f t="array" ref="Q28" xml:space="preserve"> MAX(IF('Combined-Data'!$C$2:$C$46 = $O$25, IF('Combined-Data'!$D$2:$D$46 = Q$25, IF( MOD(ROW('Combined-Data'!$C$2:$C$46), 3) = $O28, 'Combined-Data'!$G$2:$G$46, FALSE), FALSE), FALSE))</f>
        <v>68.118466900000001</v>
      </c>
      <c r="R28" cm="1">
        <f t="array" ref="R28" xml:space="preserve"> MAX(IF('Combined-Data'!$C$2:$C$46 = $O$25, IF('Combined-Data'!$D$2:$D$46 = R$25, IF( MOD(ROW('Combined-Data'!$C$2:$C$46), 3) = $O28, 'Combined-Data'!$G$2:$G$46, FALSE), FALSE), FALSE))</f>
        <v>4.8387096769999998</v>
      </c>
      <c r="S28" cm="1">
        <f t="array" ref="S28" xml:space="preserve"> MAX(IF('Combined-Data'!$C$2:$C$46 = $O$25, IF('Combined-Data'!$D$2:$D$46 = S$25, IF( MOD(ROW('Combined-Data'!$C$2:$C$46), 3) = $O28, 'Combined-Data'!$G$2:$G$46, FALSE), FALSE), FALSE))</f>
        <v>0</v>
      </c>
      <c r="T28" cm="1">
        <f t="array" ref="T28" xml:space="preserve"> MAX(IF('Combined-Data'!$C$2:$C$46 = $O$25, IF('Combined-Data'!$D$2:$D$46 = T$25, IF( MOD(ROW('Combined-Data'!$C$2:$C$46), 3) = $O28, 'Combined-Data'!$G$2:$G$46, FALSE), FALSE), FALSE))</f>
        <v>35.754189940000003</v>
      </c>
    </row>
    <row r="29" spans="7:20">
      <c r="G29" s="12"/>
      <c r="N29" s="12"/>
    </row>
    <row r="30" spans="7:20">
      <c r="G30" s="12"/>
      <c r="H30" t="s">
        <v>105</v>
      </c>
      <c r="I30" t="s">
        <v>106</v>
      </c>
      <c r="J30" t="s">
        <v>107</v>
      </c>
      <c r="K30" t="s">
        <v>108</v>
      </c>
      <c r="L30" t="s">
        <v>109</v>
      </c>
      <c r="M30" t="s">
        <v>94</v>
      </c>
      <c r="N30" s="12"/>
      <c r="O30" t="s">
        <v>105</v>
      </c>
      <c r="P30" t="s">
        <v>106</v>
      </c>
      <c r="Q30" t="s">
        <v>107</v>
      </c>
      <c r="R30" t="s">
        <v>108</v>
      </c>
      <c r="S30" t="s">
        <v>109</v>
      </c>
      <c r="T30" t="s">
        <v>94</v>
      </c>
    </row>
    <row r="31" spans="7:20">
      <c r="G31" s="12"/>
      <c r="H31" t="s">
        <v>106</v>
      </c>
      <c r="I31">
        <f xml:space="preserve"> _xlfn.T.TEST($I26:$I28,I26:I28,2,3)</f>
        <v>1</v>
      </c>
      <c r="J31">
        <f t="shared" ref="J31:M31" si="20" xml:space="preserve"> _xlfn.T.TEST($I26:$I28,J26:J28,2,3)</f>
        <v>2.3917845316414322E-2</v>
      </c>
      <c r="K31">
        <f t="shared" si="20"/>
        <v>3.5474789426377342E-4</v>
      </c>
      <c r="L31">
        <f t="shared" si="20"/>
        <v>1.1826729821790406E-3</v>
      </c>
      <c r="M31">
        <f t="shared" si="20"/>
        <v>9.1236257908495058E-2</v>
      </c>
      <c r="N31" s="12"/>
      <c r="O31" t="s">
        <v>106</v>
      </c>
      <c r="P31">
        <f xml:space="preserve"> _xlfn.T.TEST($P26:$P28,P26:P28,2,3)</f>
        <v>1</v>
      </c>
      <c r="Q31">
        <f t="shared" ref="Q31:T31" si="21" xml:space="preserve"> _xlfn.T.TEST($P26:$P28,Q26:Q28,2,3)</f>
        <v>6.2161291998522661E-2</v>
      </c>
      <c r="R31">
        <f t="shared" si="21"/>
        <v>3.1549686053992428E-6</v>
      </c>
      <c r="S31">
        <f t="shared" si="21"/>
        <v>3.9665407293603982E-5</v>
      </c>
      <c r="T31">
        <f t="shared" si="21"/>
        <v>1.6493834812633138E-3</v>
      </c>
    </row>
    <row r="32" spans="7:20">
      <c r="G32" s="12"/>
      <c r="H32" t="s">
        <v>107</v>
      </c>
      <c r="I32">
        <f xml:space="preserve"> _xlfn.T.TEST($J26:$J28,I26:I28,2,3)</f>
        <v>2.3917845316414322E-2</v>
      </c>
      <c r="J32">
        <f t="shared" ref="J32:M32" si="22" xml:space="preserve"> _xlfn.T.TEST($J26:$J28,J26:J28,2,3)</f>
        <v>1</v>
      </c>
      <c r="K32">
        <f t="shared" si="22"/>
        <v>0.28457111104664962</v>
      </c>
      <c r="L32">
        <f t="shared" si="22"/>
        <v>0.15816901232975272</v>
      </c>
      <c r="M32">
        <f t="shared" si="22"/>
        <v>5.6787022919092735E-3</v>
      </c>
      <c r="N32" s="12"/>
      <c r="O32" t="s">
        <v>107</v>
      </c>
      <c r="P32">
        <f xml:space="preserve"> _xlfn.T.TEST($Q26:$Q28,P26:P28,2,3)</f>
        <v>6.2161291998522661E-2</v>
      </c>
      <c r="Q32">
        <f t="shared" ref="Q32:T32" si="23" xml:space="preserve"> _xlfn.T.TEST($Q26:$Q28,Q26:Q28,2,3)</f>
        <v>1</v>
      </c>
      <c r="R32">
        <f t="shared" si="23"/>
        <v>3.4143818091598971E-2</v>
      </c>
      <c r="S32">
        <f t="shared" si="23"/>
        <v>2.9632145741210748E-2</v>
      </c>
      <c r="T32">
        <f t="shared" si="23"/>
        <v>9.8154980528881289E-2</v>
      </c>
    </row>
    <row r="33" spans="7:20">
      <c r="G33" s="12"/>
      <c r="H33" t="s">
        <v>108</v>
      </c>
      <c r="I33">
        <f xml:space="preserve"> _xlfn.T.TEST($K26:$K28,I26:I28,2,3)</f>
        <v>3.5474789426377342E-4</v>
      </c>
      <c r="J33">
        <f t="shared" ref="J33:M33" si="24" xml:space="preserve"> _xlfn.T.TEST($K26:$K28,J26:J28,2,3)</f>
        <v>0.28457111104664962</v>
      </c>
      <c r="K33">
        <f t="shared" si="24"/>
        <v>1</v>
      </c>
      <c r="L33">
        <f t="shared" si="24"/>
        <v>2.0295889494793051E-2</v>
      </c>
      <c r="M33">
        <f t="shared" si="24"/>
        <v>4.2505307473533413E-3</v>
      </c>
      <c r="N33" s="12"/>
      <c r="O33" t="s">
        <v>108</v>
      </c>
      <c r="P33">
        <f xml:space="preserve"> _xlfn.T.TEST($R26:$R28,P26:P28,2,3)</f>
        <v>3.1549686053992428E-6</v>
      </c>
      <c r="Q33">
        <f t="shared" ref="Q33:T33" si="25" xml:space="preserve"> _xlfn.T.TEST($R26:$R28,Q26:Q28,2,3)</f>
        <v>3.4143818091598971E-2</v>
      </c>
      <c r="R33">
        <f t="shared" si="25"/>
        <v>1</v>
      </c>
      <c r="S33">
        <f t="shared" si="25"/>
        <v>1.8914165767397281E-2</v>
      </c>
      <c r="T33">
        <f t="shared" si="25"/>
        <v>1.1545093897100614E-2</v>
      </c>
    </row>
    <row r="34" spans="7:20">
      <c r="G34" s="12"/>
      <c r="H34" t="s">
        <v>109</v>
      </c>
      <c r="I34">
        <f xml:space="preserve"> _xlfn.T.TEST($L26:$L28,I26:I28,2,3)</f>
        <v>1.1826729821790406E-3</v>
      </c>
      <c r="J34">
        <f t="shared" ref="J34:M34" si="26" xml:space="preserve"> _xlfn.T.TEST($L26:$L28,J26:J28,2,3)</f>
        <v>0.15816901232975272</v>
      </c>
      <c r="K34">
        <f t="shared" si="26"/>
        <v>2.0295889494793051E-2</v>
      </c>
      <c r="L34">
        <f t="shared" si="26"/>
        <v>1</v>
      </c>
      <c r="M34">
        <f t="shared" si="26"/>
        <v>4.5550571468380594E-3</v>
      </c>
      <c r="N34" s="12"/>
      <c r="O34" t="s">
        <v>109</v>
      </c>
      <c r="P34">
        <f xml:space="preserve"> _xlfn.T.TEST($S26:$S28,P26:P28,2,3)</f>
        <v>3.9665407293603982E-5</v>
      </c>
      <c r="Q34">
        <f t="shared" ref="Q34:T34" si="27" xml:space="preserve"> _xlfn.T.TEST($S26:$S28,Q26:Q28,2,3)</f>
        <v>2.9632145741210748E-2</v>
      </c>
      <c r="R34">
        <f t="shared" si="27"/>
        <v>1.8914165767397281E-2</v>
      </c>
      <c r="S34">
        <f t="shared" si="27"/>
        <v>1</v>
      </c>
      <c r="T34">
        <f t="shared" si="27"/>
        <v>6.7598499934879638E-3</v>
      </c>
    </row>
    <row r="35" spans="7:20">
      <c r="G35" s="12"/>
      <c r="H35" t="s">
        <v>94</v>
      </c>
      <c r="I35">
        <f xml:space="preserve"> _xlfn.T.TEST($M26:$M28,I26:I28,2,3)</f>
        <v>9.1236257908495058E-2</v>
      </c>
      <c r="J35">
        <f t="shared" ref="J35:M35" si="28" xml:space="preserve"> _xlfn.T.TEST($M26:$M28,J26:J28,2,3)</f>
        <v>5.6787022919092735E-3</v>
      </c>
      <c r="K35">
        <f t="shared" si="28"/>
        <v>4.2505307473533413E-3</v>
      </c>
      <c r="L35">
        <f t="shared" si="28"/>
        <v>4.5550571468380594E-3</v>
      </c>
      <c r="M35">
        <f t="shared" si="28"/>
        <v>1</v>
      </c>
      <c r="N35" s="12"/>
      <c r="O35" t="s">
        <v>94</v>
      </c>
      <c r="P35">
        <f xml:space="preserve"> _xlfn.T.TEST($T26:$T28,P26:P28,2,3)</f>
        <v>1.6493834812633138E-3</v>
      </c>
      <c r="Q35">
        <f t="shared" ref="Q35:T35" si="29" xml:space="preserve"> _xlfn.T.TEST($T26:$T28,Q26:Q28,2,3)</f>
        <v>9.8154980528881289E-2</v>
      </c>
      <c r="R35">
        <f t="shared" si="29"/>
        <v>1.1545093897100614E-2</v>
      </c>
      <c r="S35">
        <f t="shared" si="29"/>
        <v>6.7598499934879638E-3</v>
      </c>
      <c r="T35">
        <f t="shared" si="29"/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8D7E9-C441-4158-B3A2-FBE314C88AC8}">
  <dimension ref="A1:AE30"/>
  <sheetViews>
    <sheetView tabSelected="1" topLeftCell="M1" workbookViewId="0">
      <selection activeCell="AE9" sqref="AE9"/>
    </sheetView>
  </sheetViews>
  <sheetFormatPr defaultColWidth="8.85546875" defaultRowHeight="15"/>
  <sheetData>
    <row r="1" spans="1:31">
      <c r="A1" s="2" t="s">
        <v>100</v>
      </c>
      <c r="B1" s="2" t="s">
        <v>1</v>
      </c>
      <c r="C1" s="2" t="s">
        <v>101</v>
      </c>
      <c r="D1" s="2" t="s">
        <v>102</v>
      </c>
      <c r="E1" s="2" t="s">
        <v>103</v>
      </c>
      <c r="F1" s="2"/>
      <c r="G1" s="2"/>
      <c r="H1" s="2"/>
      <c r="I1" s="2"/>
      <c r="J1" s="2"/>
      <c r="K1" s="2"/>
      <c r="L1" s="2"/>
      <c r="M1" s="2"/>
      <c r="N1" s="2" t="s">
        <v>100</v>
      </c>
      <c r="O1" s="2" t="s">
        <v>1</v>
      </c>
      <c r="P1" s="2" t="s">
        <v>101</v>
      </c>
      <c r="Q1" s="2" t="s">
        <v>102</v>
      </c>
      <c r="R1" s="2" t="s">
        <v>103</v>
      </c>
      <c r="AA1" s="2" t="s">
        <v>100</v>
      </c>
      <c r="AB1" s="2" t="s">
        <v>1</v>
      </c>
      <c r="AC1" s="2" t="s">
        <v>101</v>
      </c>
      <c r="AD1" s="2" t="s">
        <v>102</v>
      </c>
      <c r="AE1" s="2" t="s">
        <v>103</v>
      </c>
    </row>
    <row r="2" spans="1:31">
      <c r="A2" s="2" t="s">
        <v>29</v>
      </c>
      <c r="B2" s="2">
        <v>75.209869999999995</v>
      </c>
      <c r="C2" s="2">
        <v>1.96312</v>
      </c>
      <c r="D2" s="2">
        <v>7.9368848300000003</v>
      </c>
      <c r="E2" s="2">
        <v>1.2602340000000001</v>
      </c>
      <c r="F2" s="2"/>
      <c r="G2" s="2"/>
      <c r="H2" s="2"/>
      <c r="I2" s="2"/>
      <c r="J2" s="2"/>
      <c r="K2" s="2"/>
      <c r="L2" s="2"/>
      <c r="M2" s="2"/>
      <c r="N2" s="2" t="s">
        <v>29</v>
      </c>
      <c r="O2" s="2">
        <v>64.520480000000006</v>
      </c>
      <c r="P2" s="2">
        <v>2.25077697</v>
      </c>
      <c r="Q2" s="2">
        <v>29.59301</v>
      </c>
      <c r="R2" s="2">
        <v>23.586459999999999</v>
      </c>
      <c r="AA2" s="2" t="s">
        <v>29</v>
      </c>
      <c r="AB2" s="2">
        <v>71.982380000000006</v>
      </c>
      <c r="AC2" s="2">
        <v>4.6450300000000002</v>
      </c>
      <c r="AD2" s="2">
        <v>30.351559999999999</v>
      </c>
      <c r="AE2" s="2">
        <v>2.82626</v>
      </c>
    </row>
    <row r="3" spans="1:31">
      <c r="A3" s="2" t="s">
        <v>28</v>
      </c>
      <c r="B3" s="2">
        <v>46.549239999999998</v>
      </c>
      <c r="C3" s="2">
        <v>1.8180240000000001</v>
      </c>
      <c r="D3" s="2">
        <v>99.786282400000005</v>
      </c>
      <c r="E3" s="2">
        <v>4.0215000000000001E-2</v>
      </c>
      <c r="F3" s="2"/>
      <c r="G3" s="2"/>
      <c r="H3" s="2"/>
      <c r="I3" s="2"/>
      <c r="J3" s="2"/>
      <c r="K3" s="2"/>
      <c r="L3" s="2"/>
      <c r="M3" s="2"/>
      <c r="N3" s="2" t="s">
        <v>28</v>
      </c>
      <c r="O3" s="2">
        <v>61.76773</v>
      </c>
      <c r="P3" s="2">
        <v>2.27181144</v>
      </c>
      <c r="Q3" s="2">
        <v>99.901269999999997</v>
      </c>
      <c r="R3" s="2">
        <v>2.6772000000000001E-2</v>
      </c>
      <c r="AA3" s="2" t="s">
        <v>28</v>
      </c>
      <c r="AB3" s="2">
        <v>59.02487</v>
      </c>
      <c r="AC3" s="2">
        <v>2.0658789999999998</v>
      </c>
      <c r="AD3" s="2">
        <v>99.856099999999998</v>
      </c>
      <c r="AE3" s="2">
        <v>1.201E-3</v>
      </c>
    </row>
    <row r="4" spans="1:31">
      <c r="A4" s="2" t="s">
        <v>32</v>
      </c>
      <c r="B4" s="2">
        <v>32.65654</v>
      </c>
      <c r="C4" s="2">
        <v>0.27332699999999999</v>
      </c>
      <c r="D4" s="2">
        <v>32.8428532</v>
      </c>
      <c r="E4" s="2">
        <v>2.5787469999999999</v>
      </c>
      <c r="F4" s="2"/>
      <c r="G4" s="2"/>
      <c r="H4" s="2"/>
      <c r="I4" s="2"/>
      <c r="J4" s="2"/>
      <c r="K4" s="2"/>
      <c r="L4" s="2"/>
      <c r="M4" s="2"/>
      <c r="N4" s="2" t="s">
        <v>32</v>
      </c>
      <c r="O4" s="2">
        <v>43.04224</v>
      </c>
      <c r="P4" s="2">
        <v>4.7143560000000004</v>
      </c>
      <c r="Q4" s="2">
        <v>61.866999999999997</v>
      </c>
      <c r="R4" s="2">
        <v>5.7848870000000003</v>
      </c>
      <c r="AA4" s="2" t="s">
        <v>32</v>
      </c>
      <c r="AB4" s="2">
        <v>19.946829999999999</v>
      </c>
      <c r="AC4" s="2">
        <v>7.0783620000000003</v>
      </c>
      <c r="AD4" s="2">
        <v>59.786189999999998</v>
      </c>
      <c r="AE4" s="2">
        <v>10.485620000000001</v>
      </c>
    </row>
    <row r="5" spans="1:31">
      <c r="A5" s="2" t="s">
        <v>34</v>
      </c>
      <c r="B5" s="2">
        <v>34.759120000000003</v>
      </c>
      <c r="C5" s="2">
        <v>4.4806359999999996</v>
      </c>
      <c r="D5" s="2">
        <v>2.9569103399999999</v>
      </c>
      <c r="E5" s="2">
        <v>0.69149499999999997</v>
      </c>
      <c r="F5" s="2"/>
      <c r="G5" s="2"/>
      <c r="H5" s="2"/>
      <c r="I5" s="2"/>
      <c r="J5" s="2"/>
      <c r="K5" s="2"/>
      <c r="L5" s="2"/>
      <c r="M5" s="2"/>
      <c r="N5" s="2" t="s">
        <v>34</v>
      </c>
      <c r="O5" s="2">
        <v>27.870930000000001</v>
      </c>
      <c r="P5" s="2">
        <v>1.39810904</v>
      </c>
      <c r="Q5" s="2">
        <v>3.4144570000000001</v>
      </c>
      <c r="R5" s="2">
        <v>0.41436699999999999</v>
      </c>
      <c r="AA5" s="2" t="s">
        <v>34</v>
      </c>
      <c r="AB5" s="2">
        <v>9.7226250000000007</v>
      </c>
      <c r="AC5" s="2">
        <v>0.92106399999999999</v>
      </c>
      <c r="AD5" s="2">
        <v>4.5285849999999996</v>
      </c>
      <c r="AE5" s="2">
        <v>0.16941600000000001</v>
      </c>
    </row>
    <row r="6" spans="1:31">
      <c r="A6" s="2" t="s">
        <v>35</v>
      </c>
      <c r="B6" s="2">
        <v>25.540759999999999</v>
      </c>
      <c r="C6" s="2">
        <v>4.1006939999999998</v>
      </c>
      <c r="D6" s="2">
        <v>0.26451902999999999</v>
      </c>
      <c r="E6" s="2">
        <v>0.17205000000000001</v>
      </c>
      <c r="F6" s="2"/>
      <c r="G6" s="2"/>
      <c r="H6" s="2"/>
      <c r="I6" s="2"/>
      <c r="J6" s="2"/>
      <c r="K6" s="2"/>
      <c r="L6" s="2"/>
      <c r="M6" s="2"/>
      <c r="N6" s="2" t="s">
        <v>35</v>
      </c>
      <c r="O6" s="2">
        <v>15.79612</v>
      </c>
      <c r="P6" s="2">
        <v>1.26852342</v>
      </c>
      <c r="Q6" s="2">
        <v>0.45766899999999999</v>
      </c>
      <c r="R6" s="2">
        <v>0.368344</v>
      </c>
      <c r="AA6" s="2" t="s">
        <v>35</v>
      </c>
      <c r="AB6" s="2">
        <v>4.3477709999999998</v>
      </c>
      <c r="AC6" s="2">
        <v>0.29037099999999999</v>
      </c>
      <c r="AD6" s="2">
        <v>0.625</v>
      </c>
      <c r="AE6" s="2">
        <v>0.625</v>
      </c>
    </row>
    <row r="7" spans="1:3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AA7" s="2"/>
      <c r="AB7" s="2"/>
      <c r="AC7" s="2"/>
      <c r="AD7" s="2"/>
      <c r="AE7" s="2"/>
    </row>
    <row r="8" spans="1:31">
      <c r="A8" s="2" t="s">
        <v>110</v>
      </c>
      <c r="B8" s="2" t="s">
        <v>111</v>
      </c>
      <c r="C8" s="2" t="s">
        <v>112</v>
      </c>
      <c r="D8" s="2" t="s">
        <v>113</v>
      </c>
      <c r="E8" s="2" t="s">
        <v>114</v>
      </c>
      <c r="F8" s="2"/>
      <c r="G8" s="2"/>
      <c r="H8" s="2"/>
      <c r="I8" s="2"/>
      <c r="J8" s="2"/>
      <c r="K8" s="2"/>
      <c r="L8" s="2"/>
      <c r="M8" s="2"/>
      <c r="N8" s="2" t="s">
        <v>110</v>
      </c>
      <c r="O8" s="2" t="s">
        <v>111</v>
      </c>
      <c r="P8" s="2" t="s">
        <v>112</v>
      </c>
      <c r="Q8" s="2" t="s">
        <v>113</v>
      </c>
      <c r="R8" s="2" t="s">
        <v>114</v>
      </c>
      <c r="AA8" s="2" t="s">
        <v>110</v>
      </c>
      <c r="AB8" s="2" t="s">
        <v>111</v>
      </c>
      <c r="AC8" s="2" t="s">
        <v>112</v>
      </c>
      <c r="AD8" s="2" t="s">
        <v>113</v>
      </c>
      <c r="AE8" s="2" t="s">
        <v>114</v>
      </c>
    </row>
    <row r="9" spans="1:31">
      <c r="A9" s="2" t="s">
        <v>115</v>
      </c>
      <c r="B9" s="2">
        <v>4.44E-4</v>
      </c>
      <c r="C9" s="2">
        <v>1.506E-2</v>
      </c>
      <c r="D9" s="2">
        <v>0.68529359000000001</v>
      </c>
      <c r="E9" s="2">
        <v>0.204238</v>
      </c>
      <c r="F9" s="2"/>
      <c r="G9" s="2"/>
      <c r="H9" s="2"/>
      <c r="I9" s="2"/>
      <c r="J9" s="2"/>
      <c r="K9" s="2"/>
      <c r="L9" s="2"/>
      <c r="M9" s="2"/>
      <c r="N9" s="2" t="s">
        <v>115</v>
      </c>
      <c r="O9" s="2">
        <v>0.43790299999999999</v>
      </c>
      <c r="P9" s="2">
        <v>3.9843860000000002E-2</v>
      </c>
      <c r="Q9" s="2">
        <v>7.4191999999999994E-2</v>
      </c>
      <c r="R9" s="2">
        <v>3.1670000000000001E-3</v>
      </c>
      <c r="AA9" s="2" t="s">
        <v>115</v>
      </c>
      <c r="AB9" s="2">
        <v>9.1235999999999998E-2</v>
      </c>
      <c r="AC9" s="2">
        <v>2.3917999999999998E-2</v>
      </c>
      <c r="AD9" s="2">
        <v>0.28457100000000002</v>
      </c>
      <c r="AE9" s="2">
        <v>2.0296000000000002E-2</v>
      </c>
    </row>
    <row r="10" spans="1:31">
      <c r="A10" s="2" t="s">
        <v>116</v>
      </c>
      <c r="B10" s="2" t="s">
        <v>117</v>
      </c>
      <c r="C10" s="2" t="s">
        <v>118</v>
      </c>
      <c r="D10" s="2" t="s">
        <v>119</v>
      </c>
      <c r="E10" s="2" t="s">
        <v>119</v>
      </c>
      <c r="F10" s="2"/>
      <c r="G10" s="2"/>
      <c r="H10" s="2"/>
      <c r="I10" s="2"/>
      <c r="J10" s="2"/>
      <c r="K10" s="2"/>
      <c r="L10" s="2"/>
      <c r="M10" s="2"/>
      <c r="N10" s="2" t="s">
        <v>116</v>
      </c>
      <c r="O10" s="2" t="s">
        <v>119</v>
      </c>
      <c r="P10" s="2" t="s">
        <v>118</v>
      </c>
      <c r="Q10" s="2" t="s">
        <v>119</v>
      </c>
      <c r="R10" s="2" t="s">
        <v>120</v>
      </c>
      <c r="AA10" s="2" t="s">
        <v>116</v>
      </c>
      <c r="AB10" s="2" t="s">
        <v>119</v>
      </c>
      <c r="AC10" s="2" t="s">
        <v>118</v>
      </c>
      <c r="AD10" s="2" t="s">
        <v>119</v>
      </c>
      <c r="AE10" s="2" t="s">
        <v>118</v>
      </c>
    </row>
    <row r="11" spans="1:3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AA11" s="2"/>
      <c r="AB11" s="2"/>
      <c r="AC11" s="2"/>
      <c r="AD11" s="2"/>
      <c r="AE11" s="2"/>
    </row>
    <row r="12" spans="1:31">
      <c r="A12" s="2" t="s">
        <v>121</v>
      </c>
      <c r="B12" s="2" t="s">
        <v>111</v>
      </c>
      <c r="C12" s="2" t="s">
        <v>112</v>
      </c>
      <c r="D12" s="2" t="s">
        <v>113</v>
      </c>
      <c r="E12" s="2" t="s">
        <v>114</v>
      </c>
      <c r="F12" s="2"/>
      <c r="G12" s="2"/>
      <c r="H12" s="2"/>
      <c r="I12" s="2"/>
      <c r="J12" s="2"/>
      <c r="K12" s="2"/>
      <c r="L12" s="2"/>
      <c r="M12" s="2"/>
      <c r="N12" s="2" t="s">
        <v>121</v>
      </c>
      <c r="O12" s="2" t="s">
        <v>111</v>
      </c>
      <c r="P12" s="2" t="s">
        <v>112</v>
      </c>
      <c r="Q12" s="2" t="s">
        <v>113</v>
      </c>
      <c r="R12" s="2" t="s">
        <v>114</v>
      </c>
      <c r="AA12" s="2" t="s">
        <v>121</v>
      </c>
      <c r="AB12" s="2" t="s">
        <v>111</v>
      </c>
      <c r="AC12" s="2" t="s">
        <v>112</v>
      </c>
      <c r="AD12" s="2" t="s">
        <v>113</v>
      </c>
      <c r="AE12" s="2" t="s">
        <v>114</v>
      </c>
    </row>
    <row r="13" spans="1:31">
      <c r="A13" s="2" t="s">
        <v>115</v>
      </c>
      <c r="B13" s="2">
        <v>1.8599999999999999E-4</v>
      </c>
      <c r="C13" s="2">
        <v>1.477E-3</v>
      </c>
      <c r="D13" s="2">
        <v>4.8045199999999996E-3</v>
      </c>
      <c r="E13" s="2">
        <v>5.2753000000000001E-2</v>
      </c>
      <c r="F13" s="2"/>
      <c r="G13" s="2"/>
      <c r="H13" s="2"/>
      <c r="I13" s="2"/>
      <c r="J13" s="2"/>
      <c r="K13" s="2"/>
      <c r="L13" s="2"/>
      <c r="M13" s="2"/>
      <c r="N13" s="2" t="s">
        <v>115</v>
      </c>
      <c r="O13" s="2">
        <v>9.6522999999999998E-2</v>
      </c>
      <c r="P13" s="2">
        <v>2.235846E-2</v>
      </c>
      <c r="Q13" s="2">
        <v>9.3749999999999997E-3</v>
      </c>
      <c r="R13" s="2">
        <v>6.1850000000000004E-3</v>
      </c>
      <c r="AA13" s="2" t="s">
        <v>115</v>
      </c>
      <c r="AB13" s="2">
        <v>1.6490000000000001E-3</v>
      </c>
      <c r="AC13" s="2">
        <v>6.2161000000000001E-2</v>
      </c>
      <c r="AD13" s="2">
        <v>3.4144000000000001E-2</v>
      </c>
      <c r="AE13" s="2">
        <v>1.8914E-2</v>
      </c>
    </row>
    <row r="14" spans="1:31">
      <c r="A14" s="2" t="s">
        <v>116</v>
      </c>
      <c r="B14" s="2" t="s">
        <v>117</v>
      </c>
      <c r="C14" s="2" t="s">
        <v>120</v>
      </c>
      <c r="D14" s="2" t="s">
        <v>120</v>
      </c>
      <c r="E14" s="2" t="s">
        <v>119</v>
      </c>
      <c r="F14" s="2"/>
      <c r="G14" s="2"/>
      <c r="H14" s="2"/>
      <c r="I14" s="2"/>
      <c r="J14" s="2"/>
      <c r="K14" s="2"/>
      <c r="L14" s="2"/>
      <c r="M14" s="2"/>
      <c r="N14" s="2" t="s">
        <v>116</v>
      </c>
      <c r="O14" s="2" t="s">
        <v>119</v>
      </c>
      <c r="P14" s="2" t="s">
        <v>118</v>
      </c>
      <c r="Q14" s="2" t="s">
        <v>120</v>
      </c>
      <c r="R14" s="2" t="s">
        <v>120</v>
      </c>
      <c r="AA14" s="2" t="s">
        <v>116</v>
      </c>
      <c r="AB14" s="2" t="s">
        <v>120</v>
      </c>
      <c r="AC14" s="2" t="s">
        <v>119</v>
      </c>
      <c r="AD14" s="2" t="s">
        <v>118</v>
      </c>
      <c r="AE14" s="2" t="s">
        <v>118</v>
      </c>
    </row>
    <row r="15" spans="1:3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spans="1:3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spans="1:1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spans="1:1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spans="1:1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spans="1:1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spans="1:1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spans="1:1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spans="1:1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spans="1:1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spans="1:1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1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1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spans="1:1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spans="1:1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spans="1:1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Luke</dc:creator>
  <cp:keywords/>
  <dc:description/>
  <cp:lastModifiedBy/>
  <cp:revision/>
  <dcterms:created xsi:type="dcterms:W3CDTF">2024-11-06T21:38:08Z</dcterms:created>
  <dcterms:modified xsi:type="dcterms:W3CDTF">2025-11-04T22:48:25Z</dcterms:modified>
  <cp:category/>
  <cp:contentStatus/>
</cp:coreProperties>
</file>