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93935f6faacc78/Desktop/Desktop/Personal/Helpful Sheets/"/>
    </mc:Choice>
  </mc:AlternateContent>
  <xr:revisionPtr revIDLastSave="52" documentId="13_ncr:1_{5ABEF965-32BD-4FF4-8C21-CCA4CC1DBE01}" xr6:coauthVersionLast="47" xr6:coauthVersionMax="47" xr10:uidLastSave="{6C410D9E-B2E0-4467-A264-A593D2F86462}"/>
  <bookViews>
    <workbookView xWindow="28680" yWindow="105" windowWidth="29040" windowHeight="15720" xr2:uid="{3E243CBE-059B-4663-9F92-B039BE807965}"/>
  </bookViews>
  <sheets>
    <sheet name="Inputs &amp; Analysis" sheetId="1" r:id="rId1"/>
  </sheets>
  <definedNames>
    <definedName name="base_inc">'Inputs &amp; Analysis'!$C$3</definedName>
    <definedName name="inc">'Inputs &amp; Analysis'!$C$9</definedName>
    <definedName name="solver_adj" localSheetId="0" hidden="1">'Inputs &amp; Analysis'!#REF!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'Inputs &amp; Analysis'!#REF!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100000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4" i="1" l="1"/>
  <c r="M7" i="1"/>
  <c r="M13" i="1"/>
  <c r="M14" i="1" s="1"/>
  <c r="C23" i="1"/>
  <c r="C12" i="1"/>
  <c r="D3" i="1"/>
  <c r="E3" i="1" s="1"/>
  <c r="C9" i="1"/>
  <c r="J4" i="1"/>
  <c r="J5" i="1" s="1"/>
  <c r="J6" i="1" s="1"/>
  <c r="J7" i="1" s="1"/>
  <c r="J8" i="1" s="1"/>
  <c r="J9" i="1" s="1"/>
  <c r="F3" i="1"/>
  <c r="C11" i="1" l="1"/>
  <c r="C13" i="1" s="1"/>
  <c r="D10" i="1"/>
  <c r="D9" i="1"/>
  <c r="E9" i="1" s="1"/>
  <c r="F9" i="1"/>
  <c r="D11" i="1" l="1"/>
  <c r="D12" i="1"/>
  <c r="C14" i="1"/>
  <c r="C21" i="1" s="1"/>
  <c r="F14" i="1" l="1"/>
  <c r="F21" i="1"/>
  <c r="D21" i="1"/>
  <c r="E21" i="1" s="1"/>
  <c r="D14" i="1" l="1"/>
  <c r="C22" i="1"/>
  <c r="C24" i="1" s="1"/>
  <c r="E14" i="1" l="1"/>
  <c r="D15" i="1"/>
  <c r="D19" i="1"/>
  <c r="D16" i="1"/>
  <c r="D20" i="1"/>
  <c r="D17" i="1"/>
  <c r="D18" i="1"/>
</calcChain>
</file>

<file path=xl/sharedStrings.xml><?xml version="1.0" encoding="utf-8"?>
<sst xmlns="http://schemas.openxmlformats.org/spreadsheetml/2006/main" count="45" uniqueCount="45">
  <si>
    <t>Base Salary</t>
  </si>
  <si>
    <t>Sign-on</t>
  </si>
  <si>
    <t>Bonus (%)</t>
  </si>
  <si>
    <t>401(k) match (%)</t>
  </si>
  <si>
    <t>Equity (%)</t>
  </si>
  <si>
    <t>Rate</t>
  </si>
  <si>
    <t>Up to…</t>
  </si>
  <si>
    <t>Tax</t>
  </si>
  <si>
    <t>Effective Rate</t>
  </si>
  <si>
    <t>Post-Tax Income</t>
  </si>
  <si>
    <t>Federal Tax</t>
  </si>
  <si>
    <t>Annual</t>
  </si>
  <si>
    <t>Hourly</t>
  </si>
  <si>
    <t>State</t>
  </si>
  <si>
    <t>Social &amp; Etc.</t>
  </si>
  <si>
    <t>State Tax</t>
  </si>
  <si>
    <t>401(k) / mo</t>
  </si>
  <si>
    <t>Rent / mo</t>
  </si>
  <si>
    <t>Food / mo</t>
  </si>
  <si>
    <t>Etc. / mo</t>
  </si>
  <si>
    <t>Net to Savings</t>
  </si>
  <si>
    <t>Monthly</t>
  </si>
  <si>
    <t>Gym/ mo</t>
  </si>
  <si>
    <t>% to taxes</t>
  </si>
  <si>
    <t>% spent</t>
  </si>
  <si>
    <t>% saved</t>
  </si>
  <si>
    <t>Brokerage/ mo</t>
  </si>
  <si>
    <t>Vehicle Price</t>
  </si>
  <si>
    <t>Down Payment</t>
  </si>
  <si>
    <t>Cash</t>
  </si>
  <si>
    <t>Trade-in</t>
  </si>
  <si>
    <t>Length of loan</t>
  </si>
  <si>
    <t>APR</t>
  </si>
  <si>
    <t>Sales Tax</t>
  </si>
  <si>
    <t>Total Loan Amount</t>
  </si>
  <si>
    <t>Est. Monthly Payment</t>
  </si>
  <si>
    <t>Income Inputs &amp; Assumptions</t>
  </si>
  <si>
    <t>Single</t>
  </si>
  <si>
    <t>Bi-Monthly</t>
  </si>
  <si>
    <t>2022 Tax Rates (Federal, Individual Filer)</t>
  </si>
  <si>
    <t>Roth IRA / mo</t>
  </si>
  <si>
    <t>Total Compensation</t>
  </si>
  <si>
    <t>Total paid over loan term</t>
  </si>
  <si>
    <t>Additional Expenses</t>
  </si>
  <si>
    <t>Tax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</si>
</sst>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3"/>
      <name val="Calibri Light"/>
      <family val="2"/>
      <scheme val="major"/>
    </font>
    <font>
      <sz val="12"/>
      <color rgb="FF3F3F76"/>
      <name val="Calibri Light"/>
      <family val="2"/>
      <scheme val="major"/>
    </font>
    <font>
      <sz val="12"/>
      <color theme="1"/>
      <name val="Calibri Light"/>
      <family val="2"/>
      <scheme val="major"/>
    </font>
    <font>
      <i/>
      <sz val="12"/>
      <color rgb="FF7F7F7F"/>
      <name val="Calibri Light"/>
      <family val="2"/>
      <scheme val="major"/>
    </font>
    <font>
      <b/>
      <sz val="12"/>
      <color rgb="FF3F3F3F"/>
      <name val="Calibri Light"/>
      <family val="2"/>
      <scheme val="major"/>
    </font>
    <font>
      <i/>
      <sz val="9"/>
      <color rgb="FF7F7F7F"/>
      <name val="Calibri Light"/>
      <family val="2"/>
      <scheme val="major"/>
    </font>
    <font>
      <i/>
      <sz val="11"/>
      <color theme="1" tint="0.499984740745262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4" applyNumberFormat="0" applyAlignment="0" applyProtection="0"/>
    <xf numFmtId="0" fontId="6" fillId="3" borderId="5" applyNumberFormat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9" fillId="0" borderId="1" xfId="2" applyFont="1"/>
    <xf numFmtId="0" fontId="11" fillId="0" borderId="0" xfId="0" applyFont="1"/>
    <xf numFmtId="0" fontId="9" fillId="0" borderId="3" xfId="4" applyFont="1" applyAlignment="1">
      <alignment horizontal="left"/>
    </xf>
    <xf numFmtId="164" fontId="11" fillId="0" borderId="0" xfId="0" applyNumberFormat="1" applyFont="1"/>
    <xf numFmtId="9" fontId="11" fillId="0" borderId="0" xfId="1" applyFont="1"/>
    <xf numFmtId="0" fontId="12" fillId="0" borderId="0" xfId="7" applyFont="1" applyAlignment="1">
      <alignment horizontal="right"/>
    </xf>
    <xf numFmtId="164" fontId="13" fillId="3" borderId="5" xfId="6" applyNumberFormat="1" applyFont="1"/>
    <xf numFmtId="0" fontId="12" fillId="0" borderId="0" xfId="7" applyFont="1" applyFill="1" applyBorder="1" applyAlignment="1">
      <alignment horizontal="right"/>
    </xf>
    <xf numFmtId="0" fontId="9" fillId="0" borderId="1" xfId="2" applyFont="1" applyFill="1"/>
    <xf numFmtId="8" fontId="12" fillId="0" borderId="0" xfId="7" applyNumberFormat="1" applyFont="1"/>
    <xf numFmtId="8" fontId="12" fillId="0" borderId="0" xfId="7" applyNumberFormat="1" applyFont="1" applyFill="1" applyBorder="1"/>
    <xf numFmtId="10" fontId="11" fillId="0" borderId="0" xfId="1" applyNumberFormat="1" applyFont="1"/>
    <xf numFmtId="0" fontId="11" fillId="0" borderId="0" xfId="0" applyFont="1" applyAlignment="1">
      <alignment horizontal="right"/>
    </xf>
    <xf numFmtId="0" fontId="3" fillId="0" borderId="2" xfId="3"/>
    <xf numFmtId="10" fontId="12" fillId="0" borderId="0" xfId="1" applyNumberFormat="1" applyFont="1"/>
    <xf numFmtId="10" fontId="12" fillId="0" borderId="0" xfId="7" applyNumberFormat="1" applyFont="1"/>
    <xf numFmtId="8" fontId="11" fillId="0" borderId="0" xfId="0" applyNumberFormat="1" applyFont="1"/>
    <xf numFmtId="10" fontId="14" fillId="0" borderId="0" xfId="1" applyNumberFormat="1" applyFont="1" applyAlignment="1"/>
    <xf numFmtId="10" fontId="14" fillId="0" borderId="0" xfId="1" applyNumberFormat="1" applyFont="1" applyFill="1" applyBorder="1" applyAlignment="1">
      <alignment horizontal="left"/>
    </xf>
    <xf numFmtId="10" fontId="14" fillId="0" borderId="0" xfId="1" applyNumberFormat="1" applyFont="1" applyAlignment="1">
      <alignment horizontal="left"/>
    </xf>
    <xf numFmtId="10" fontId="0" fillId="0" borderId="0" xfId="0" applyNumberFormat="1"/>
    <xf numFmtId="0" fontId="4" fillId="0" borderId="3" xfId="4" applyFill="1"/>
    <xf numFmtId="10" fontId="7" fillId="3" borderId="5" xfId="1" applyNumberFormat="1" applyFont="1" applyFill="1" applyBorder="1" applyAlignment="1">
      <alignment horizontal="left"/>
    </xf>
    <xf numFmtId="10" fontId="15" fillId="0" borderId="0" xfId="1" applyNumberFormat="1" applyFont="1" applyAlignment="1">
      <alignment horizontal="left"/>
    </xf>
    <xf numFmtId="0" fontId="3" fillId="0" borderId="2" xfId="3" applyAlignment="1">
      <alignment horizontal="right"/>
    </xf>
    <xf numFmtId="0" fontId="4" fillId="0" borderId="3" xfId="4" applyAlignment="1">
      <alignment horizontal="right"/>
    </xf>
    <xf numFmtId="164" fontId="6" fillId="3" borderId="5" xfId="6" applyNumberFormat="1"/>
    <xf numFmtId="10" fontId="11" fillId="0" borderId="0" xfId="0" applyNumberFormat="1" applyFont="1"/>
    <xf numFmtId="164" fontId="10" fillId="5" borderId="4" xfId="5" applyNumberFormat="1" applyFont="1" applyFill="1"/>
    <xf numFmtId="10" fontId="10" fillId="5" borderId="4" xfId="1" applyNumberFormat="1" applyFont="1" applyFill="1" applyBorder="1"/>
    <xf numFmtId="0" fontId="16" fillId="4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18" fillId="4" borderId="0" xfId="0" applyFont="1" applyFill="1" applyAlignment="1">
      <alignment vertical="center"/>
    </xf>
    <xf numFmtId="0" fontId="3" fillId="0" borderId="2" xfId="3" applyFill="1" applyAlignment="1">
      <alignment horizontal="centerContinuous"/>
    </xf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8" applyFont="1" applyAlignment="1">
      <alignment horizontal="left"/>
    </xf>
    <xf numFmtId="0" fontId="0" fillId="0" borderId="0" xfId="0" applyAlignment="1">
      <alignment horizontal="right"/>
    </xf>
    <xf numFmtId="0" fontId="16" fillId="4" borderId="0" xfId="0" applyFont="1" applyFill="1" applyAlignment="1">
      <alignment vertical="center"/>
    </xf>
    <xf numFmtId="9" fontId="0" fillId="0" borderId="0" xfId="1" applyNumberFormat="1" applyFont="1"/>
    <xf numFmtId="17" fontId="11" fillId="0" borderId="0" xfId="0" applyNumberFormat="1" applyFont="1"/>
    <xf numFmtId="1" fontId="10" fillId="5" borderId="4" xfId="5" applyNumberFormat="1" applyFont="1" applyFill="1"/>
    <xf numFmtId="0" fontId="3" fillId="0" borderId="2" xfId="3" applyAlignment="1">
      <alignment horizontal="center"/>
    </xf>
    <xf numFmtId="0" fontId="12" fillId="0" borderId="0" xfId="7" applyFont="1" applyFill="1" applyBorder="1" applyAlignment="1"/>
    <xf numFmtId="8" fontId="12" fillId="0" borderId="0" xfId="7" applyNumberFormat="1" applyFont="1" applyAlignment="1"/>
  </cellXfs>
  <cellStyles count="9">
    <cellStyle name="Currency" xfId="8" builtinId="4"/>
    <cellStyle name="Explanatory Text" xfId="7" builtinId="53"/>
    <cellStyle name="Heading 1" xfId="2" builtinId="16"/>
    <cellStyle name="Heading 2" xfId="3" builtinId="17"/>
    <cellStyle name="Heading 3" xfId="4" builtinId="18"/>
    <cellStyle name="Input" xfId="5" builtinId="20"/>
    <cellStyle name="Normal" xfId="0" builtinId="0"/>
    <cellStyle name="Output" xfId="6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02B4-4329-44A3-B1B3-D3D6F2CE1F99}">
  <dimension ref="A1:Z29"/>
  <sheetViews>
    <sheetView showGridLines="0" tabSelected="1" zoomScaleNormal="100" workbookViewId="0"/>
  </sheetViews>
  <sheetFormatPr defaultColWidth="8.88671875" defaultRowHeight="15.6" x14ac:dyDescent="0.3"/>
  <cols>
    <col min="1" max="1" width="25" style="2" customWidth="1"/>
    <col min="2" max="2" width="2" style="2" customWidth="1"/>
    <col min="3" max="6" width="14.77734375" style="2" customWidth="1"/>
    <col min="7" max="7" width="3.109375" style="2" customWidth="1"/>
    <col min="8" max="10" width="14.77734375" style="2" customWidth="1"/>
    <col min="11" max="11" width="3.109375" style="2" customWidth="1"/>
    <col min="12" max="12" width="16.21875" style="2" customWidth="1"/>
    <col min="13" max="13" width="12.33203125" style="2" bestFit="1" customWidth="1"/>
    <col min="14" max="14" width="9.109375" style="2" bestFit="1" customWidth="1"/>
    <col min="15" max="26" width="14.6640625" style="2" customWidth="1"/>
    <col min="27" max="34" width="14.6640625" customWidth="1"/>
    <col min="35" max="37" width="15" customWidth="1"/>
    <col min="38" max="50" width="15.6640625" bestFit="1" customWidth="1"/>
  </cols>
  <sheetData>
    <row r="1" spans="1:26" s="33" customFormat="1" ht="23.4" customHeight="1" x14ac:dyDescent="0.3">
      <c r="A1" s="31" t="s">
        <v>36</v>
      </c>
      <c r="B1" s="32"/>
      <c r="C1" s="32"/>
      <c r="D1" s="32"/>
      <c r="E1" s="32"/>
      <c r="F1" s="32"/>
      <c r="G1" s="32"/>
      <c r="H1" s="40" t="s">
        <v>44</v>
      </c>
      <c r="I1" s="32"/>
      <c r="J1" s="32"/>
      <c r="K1" s="32"/>
      <c r="L1" s="40" t="s">
        <v>43</v>
      </c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8" thickBot="1" x14ac:dyDescent="0.4">
      <c r="A2" s="44" t="s">
        <v>11</v>
      </c>
      <c r="B2" s="44"/>
      <c r="C2" s="44"/>
      <c r="D2" s="14" t="s">
        <v>21</v>
      </c>
      <c r="E2" s="14" t="s">
        <v>38</v>
      </c>
      <c r="F2" s="14" t="s">
        <v>12</v>
      </c>
      <c r="H2" s="34" t="s">
        <v>39</v>
      </c>
      <c r="I2" s="34"/>
      <c r="J2" s="34"/>
      <c r="M2"/>
      <c r="N2"/>
      <c r="O2"/>
      <c r="P2"/>
      <c r="Q2"/>
      <c r="R2"/>
      <c r="S2"/>
    </row>
    <row r="3" spans="1:26" ht="18.600000000000001" thickTop="1" thickBot="1" x14ac:dyDescent="0.4">
      <c r="A3" s="1" t="s">
        <v>0</v>
      </c>
      <c r="B3" s="1"/>
      <c r="C3" s="29">
        <v>60000</v>
      </c>
      <c r="D3" s="7">
        <f>C3/12</f>
        <v>5000</v>
      </c>
      <c r="E3" s="7">
        <f>D3/2</f>
        <v>2500</v>
      </c>
      <c r="F3" s="7">
        <f>(C3/261)/8</f>
        <v>28.735632183908045</v>
      </c>
      <c r="H3" s="3" t="s">
        <v>37</v>
      </c>
      <c r="I3" s="3" t="s">
        <v>5</v>
      </c>
      <c r="J3" s="3" t="s">
        <v>7</v>
      </c>
      <c r="K3"/>
      <c r="L3" s="25" t="s">
        <v>27</v>
      </c>
      <c r="M3" s="29">
        <v>55300</v>
      </c>
      <c r="N3" s="35"/>
      <c r="O3"/>
      <c r="P3"/>
      <c r="Q3"/>
      <c r="R3"/>
      <c r="S3"/>
      <c r="T3"/>
      <c r="U3"/>
    </row>
    <row r="4" spans="1:26" ht="18.600000000000001" thickTop="1" thickBot="1" x14ac:dyDescent="0.4">
      <c r="A4" s="1" t="s">
        <v>1</v>
      </c>
      <c r="B4" s="1"/>
      <c r="C4" s="29">
        <v>2000</v>
      </c>
      <c r="F4" s="4"/>
      <c r="H4" s="4">
        <v>10275</v>
      </c>
      <c r="I4" s="12">
        <v>0.1</v>
      </c>
      <c r="J4" s="4">
        <f>H4*I4</f>
        <v>1027.5</v>
      </c>
      <c r="K4"/>
      <c r="L4" s="25" t="s">
        <v>28</v>
      </c>
      <c r="M4" s="35"/>
      <c r="N4" s="35"/>
      <c r="O4"/>
      <c r="P4"/>
      <c r="Q4"/>
      <c r="R4"/>
      <c r="S4"/>
      <c r="T4"/>
      <c r="U4"/>
    </row>
    <row r="5" spans="1:26" ht="18.600000000000001" thickTop="1" thickBot="1" x14ac:dyDescent="0.4">
      <c r="A5" s="1" t="s">
        <v>2</v>
      </c>
      <c r="B5" s="1"/>
      <c r="C5" s="30">
        <v>0.08</v>
      </c>
      <c r="D5" s="4"/>
      <c r="F5" s="4"/>
      <c r="H5" s="4">
        <v>41775</v>
      </c>
      <c r="I5" s="12">
        <v>0.12</v>
      </c>
      <c r="J5" s="4">
        <f>((H5-H4)*I5)+J4</f>
        <v>4807.5</v>
      </c>
      <c r="K5"/>
      <c r="L5" s="25" t="s">
        <v>29</v>
      </c>
      <c r="M5" s="29">
        <v>5000</v>
      </c>
      <c r="N5" s="35"/>
      <c r="O5"/>
      <c r="P5"/>
      <c r="Q5"/>
      <c r="R5"/>
      <c r="S5" s="4"/>
      <c r="T5"/>
      <c r="U5"/>
    </row>
    <row r="6" spans="1:26" ht="18.600000000000001" thickTop="1" thickBot="1" x14ac:dyDescent="0.4">
      <c r="A6" s="1" t="s">
        <v>3</v>
      </c>
      <c r="B6" s="1"/>
      <c r="C6" s="30">
        <v>1</v>
      </c>
      <c r="D6" s="4"/>
      <c r="F6" s="4"/>
      <c r="H6" s="4">
        <v>89075</v>
      </c>
      <c r="I6" s="12">
        <v>0.22</v>
      </c>
      <c r="J6" s="4">
        <f>((H6-H5)*I6)+J5</f>
        <v>15213.5</v>
      </c>
      <c r="K6"/>
      <c r="L6" s="25" t="s">
        <v>30</v>
      </c>
      <c r="M6" s="29">
        <v>7500</v>
      </c>
      <c r="N6" s="35"/>
      <c r="O6"/>
      <c r="P6"/>
      <c r="Q6"/>
      <c r="R6"/>
      <c r="S6" s="4"/>
      <c r="T6"/>
      <c r="U6"/>
    </row>
    <row r="7" spans="1:26" ht="16.8" thickTop="1" thickBot="1" x14ac:dyDescent="0.35">
      <c r="A7" s="6" t="s">
        <v>6</v>
      </c>
      <c r="B7" s="6"/>
      <c r="C7" s="15">
        <v>0.03</v>
      </c>
      <c r="D7" s="6"/>
      <c r="F7" s="6"/>
      <c r="H7" s="4">
        <v>170050</v>
      </c>
      <c r="I7" s="12">
        <v>0.24</v>
      </c>
      <c r="J7" s="4">
        <f>((H7-H6)*I7)+J6</f>
        <v>34647.5</v>
      </c>
      <c r="K7"/>
      <c r="L7" s="26" t="s">
        <v>34</v>
      </c>
      <c r="M7" s="27">
        <f>M3-SUM(M5,M6)</f>
        <v>42800</v>
      </c>
      <c r="N7" s="35"/>
      <c r="O7"/>
      <c r="P7"/>
      <c r="Q7"/>
      <c r="R7"/>
      <c r="S7" s="4"/>
      <c r="T7"/>
      <c r="U7"/>
    </row>
    <row r="8" spans="1:26" ht="16.2" thickBot="1" x14ac:dyDescent="0.35">
      <c r="A8" s="1" t="s">
        <v>4</v>
      </c>
      <c r="B8" s="1"/>
      <c r="C8" s="30">
        <v>0</v>
      </c>
      <c r="H8" s="4">
        <v>215950</v>
      </c>
      <c r="I8" s="12">
        <v>0.32</v>
      </c>
      <c r="J8" s="4">
        <f>((H8-H7)*I8)+J7</f>
        <v>49335.5</v>
      </c>
      <c r="K8"/>
      <c r="L8" s="39"/>
      <c r="M8" s="35"/>
      <c r="N8" s="35"/>
      <c r="O8"/>
      <c r="P8"/>
      <c r="Q8"/>
      <c r="R8"/>
      <c r="S8" s="4"/>
      <c r="T8"/>
      <c r="U8"/>
    </row>
    <row r="9" spans="1:26" ht="18.600000000000001" thickTop="1" thickBot="1" x14ac:dyDescent="0.4">
      <c r="A9" s="1" t="s">
        <v>41</v>
      </c>
      <c r="B9" s="1"/>
      <c r="C9" s="7">
        <f>C3+C4+((C5)*C3)</f>
        <v>66800</v>
      </c>
      <c r="D9" s="7">
        <f>inc/12</f>
        <v>5566.666666666667</v>
      </c>
      <c r="E9" s="7">
        <f>D9/2</f>
        <v>2783.3333333333335</v>
      </c>
      <c r="F9" s="7">
        <f>(C9/261)/8</f>
        <v>31.992337164750957</v>
      </c>
      <c r="H9" s="4">
        <v>539900</v>
      </c>
      <c r="I9" s="12">
        <v>0.35</v>
      </c>
      <c r="J9" s="4">
        <f>((H9-H8)*I9)+J8</f>
        <v>162718</v>
      </c>
      <c r="K9"/>
      <c r="L9" s="25" t="s">
        <v>31</v>
      </c>
      <c r="M9" s="43">
        <v>60</v>
      </c>
      <c r="N9" s="35"/>
      <c r="O9"/>
      <c r="P9"/>
      <c r="Q9"/>
      <c r="R9"/>
      <c r="S9" s="4"/>
      <c r="T9"/>
      <c r="U9"/>
    </row>
    <row r="10" spans="1:26" ht="18.600000000000001" thickTop="1" thickBot="1" x14ac:dyDescent="0.4">
      <c r="A10" s="8" t="s">
        <v>16</v>
      </c>
      <c r="B10" s="8"/>
      <c r="C10" s="11">
        <v>1000</v>
      </c>
      <c r="D10" s="18" t="str">
        <f>ROUND(C10/($C$9/12),2)*100&amp;"% of annual income; $"&amp;ROUND(SUM(C10*12)*(1+C7),0)&amp;" annually"</f>
        <v>18% of annual income; $12360 annually</v>
      </c>
      <c r="F10" s="18"/>
      <c r="H10" s="4"/>
      <c r="I10" s="5"/>
      <c r="J10"/>
      <c r="K10"/>
      <c r="L10" s="25" t="s">
        <v>32</v>
      </c>
      <c r="M10" s="30">
        <v>5.5E-2</v>
      </c>
      <c r="N10" s="35"/>
      <c r="O10"/>
      <c r="P10"/>
      <c r="Q10"/>
      <c r="R10"/>
      <c r="S10" s="4"/>
      <c r="T10"/>
      <c r="U10"/>
    </row>
    <row r="11" spans="1:26" ht="18.600000000000001" thickTop="1" thickBot="1" x14ac:dyDescent="0.4">
      <c r="A11" s="1" t="s">
        <v>10</v>
      </c>
      <c r="B11" s="1"/>
      <c r="C11" s="7">
        <f>VLOOKUP((base_inc-12*C10),H4:J9,3,TRUE)+((base_inc-12*C10)-VLOOKUP((base_inc-12*C10),H4:J9,1,TRUE))*VLOOKUP((base_inc-12*C10),H4:J9,2,TRUE)</f>
        <v>5554.5</v>
      </c>
      <c r="D11" s="19">
        <f>C11/(SUM($C$11:$C$12))</f>
        <v>0.49091873259976138</v>
      </c>
      <c r="F11" s="19"/>
      <c r="H11" s="13" t="s">
        <v>13</v>
      </c>
      <c r="I11" s="12">
        <v>4.5499999999999999E-2</v>
      </c>
      <c r="J11"/>
      <c r="K11"/>
      <c r="L11" s="25" t="s">
        <v>33</v>
      </c>
      <c r="M11" s="30">
        <v>8.4699999999999998E-2</v>
      </c>
      <c r="N11" s="35"/>
      <c r="O11"/>
      <c r="P11"/>
      <c r="Q11"/>
      <c r="R11"/>
      <c r="S11" s="4"/>
      <c r="T11"/>
      <c r="U11"/>
    </row>
    <row r="12" spans="1:26" ht="16.8" thickTop="1" thickBot="1" x14ac:dyDescent="0.35">
      <c r="A12" s="1" t="s">
        <v>15</v>
      </c>
      <c r="B12" s="1"/>
      <c r="C12" s="7">
        <f>((base_inc-12*C10)*I11)+((base_inc-12*C10)*I12)</f>
        <v>5760</v>
      </c>
      <c r="D12" s="19">
        <f>C12/(SUM($C$11:$C$12))</f>
        <v>0.50908126740023862</v>
      </c>
      <c r="E12" s="4"/>
      <c r="F12" s="19"/>
      <c r="H12" s="13" t="s">
        <v>14</v>
      </c>
      <c r="I12" s="12">
        <v>7.4499999999999997E-2</v>
      </c>
      <c r="J12"/>
      <c r="K12"/>
      <c r="L12" s="39"/>
      <c r="M12" s="35"/>
      <c r="N12" s="35"/>
      <c r="O12"/>
      <c r="P12"/>
      <c r="Q12"/>
      <c r="R12"/>
      <c r="S12" s="4"/>
      <c r="T12"/>
      <c r="U12"/>
    </row>
    <row r="13" spans="1:26" ht="18.600000000000001" thickTop="1" thickBot="1" x14ac:dyDescent="0.4">
      <c r="A13" s="8" t="s">
        <v>8</v>
      </c>
      <c r="B13" s="8"/>
      <c r="C13" s="16">
        <f>SUM(C11:C12)/inc</f>
        <v>0.16937874251497007</v>
      </c>
      <c r="J13"/>
      <c r="K13"/>
      <c r="L13" s="25" t="s">
        <v>35</v>
      </c>
      <c r="M13" s="27">
        <f>((M7+(M3*M11))+((M7+(M3*M11))*M10))/M9</f>
        <v>834.92541750000009</v>
      </c>
      <c r="N13" s="37"/>
      <c r="O13"/>
      <c r="P13"/>
      <c r="Q13"/>
      <c r="R13"/>
      <c r="S13" s="4"/>
      <c r="T13"/>
      <c r="U13"/>
    </row>
    <row r="14" spans="1:26" ht="16.8" thickTop="1" thickBot="1" x14ac:dyDescent="0.35">
      <c r="A14" s="9" t="s">
        <v>9</v>
      </c>
      <c r="B14" s="9"/>
      <c r="C14" s="7">
        <f>inc-C11-C12</f>
        <v>55485.5</v>
      </c>
      <c r="D14" s="7">
        <f>(C3*(1-C13))/12</f>
        <v>4153.1062874251493</v>
      </c>
      <c r="E14" s="7">
        <f>D14/2</f>
        <v>2076.5531437125746</v>
      </c>
      <c r="F14" s="7">
        <f>(C14/261)/8</f>
        <v>26.573515325670499</v>
      </c>
      <c r="H14" s="17"/>
      <c r="K14"/>
      <c r="L14" s="45" t="s">
        <v>42</v>
      </c>
      <c r="M14" s="46">
        <f>M13*M9</f>
        <v>50095.525050000004</v>
      </c>
      <c r="N14" s="20" t="str">
        <f>ROUND(M14/M7,4)*100&amp;"% of total loan amount"</f>
        <v>117.05% of total loan amount</v>
      </c>
      <c r="O14"/>
      <c r="P14"/>
      <c r="Q14"/>
      <c r="R14"/>
      <c r="S14" s="4"/>
      <c r="T14"/>
      <c r="U14"/>
    </row>
    <row r="15" spans="1:26" ht="16.2" thickTop="1" x14ac:dyDescent="0.3">
      <c r="A15" s="8" t="s">
        <v>17</v>
      </c>
      <c r="B15" s="8"/>
      <c r="C15" s="10">
        <v>727.5</v>
      </c>
      <c r="D15" s="20">
        <f>C15/$D$14</f>
        <v>0.17517008948283788</v>
      </c>
      <c r="F15" s="4"/>
      <c r="G15" s="21"/>
      <c r="H15" s="10"/>
      <c r="I15" s="17"/>
      <c r="J15" s="17"/>
      <c r="K15"/>
      <c r="L15"/>
      <c r="M15"/>
      <c r="N15"/>
      <c r="O15"/>
      <c r="P15"/>
      <c r="Q15"/>
      <c r="R15"/>
      <c r="S15" s="4"/>
      <c r="T15"/>
      <c r="U15"/>
    </row>
    <row r="16" spans="1:26" x14ac:dyDescent="0.3">
      <c r="A16" s="8" t="s">
        <v>18</v>
      </c>
      <c r="B16" s="8"/>
      <c r="C16" s="10">
        <v>300</v>
      </c>
      <c r="D16" s="20">
        <f t="shared" ref="D16:D20" si="0">C16/$D$14</f>
        <v>7.2235088446531079E-2</v>
      </c>
      <c r="F16" s="20"/>
      <c r="G16"/>
      <c r="H16"/>
      <c r="K16"/>
      <c r="L16"/>
      <c r="M16"/>
      <c r="N16"/>
      <c r="O16"/>
      <c r="P16"/>
      <c r="Q16"/>
      <c r="R16"/>
      <c r="S16" s="4"/>
      <c r="T16"/>
      <c r="U16"/>
    </row>
    <row r="17" spans="1:14" x14ac:dyDescent="0.3">
      <c r="A17" s="8" t="s">
        <v>40</v>
      </c>
      <c r="B17" s="8"/>
      <c r="C17" s="11">
        <v>500</v>
      </c>
      <c r="D17" s="20" t="str">
        <f>ROUND(100*(C17/$D$14),2)&amp;"%, Combined: "&amp;SUM(ROUND(100*(C10/D3),2),ROUND(100*(C17/$D$14),2))&amp;"%"</f>
        <v>12.04%, Combined: 32.04%</v>
      </c>
      <c r="F17" s="20"/>
      <c r="G17"/>
      <c r="H17"/>
    </row>
    <row r="18" spans="1:14" x14ac:dyDescent="0.3">
      <c r="A18" s="8" t="s">
        <v>26</v>
      </c>
      <c r="B18" s="8"/>
      <c r="C18" s="11">
        <v>0</v>
      </c>
      <c r="D18" s="20">
        <f t="shared" si="0"/>
        <v>0</v>
      </c>
      <c r="F18" s="20"/>
      <c r="G18"/>
      <c r="H18"/>
    </row>
    <row r="19" spans="1:14" x14ac:dyDescent="0.3">
      <c r="A19" s="8" t="s">
        <v>22</v>
      </c>
      <c r="B19" s="8"/>
      <c r="C19" s="11">
        <v>25</v>
      </c>
      <c r="D19" s="20">
        <f t="shared" si="0"/>
        <v>6.0195907038775899E-3</v>
      </c>
      <c r="F19" s="20"/>
      <c r="G19"/>
      <c r="H19"/>
    </row>
    <row r="20" spans="1:14" x14ac:dyDescent="0.3">
      <c r="A20" s="8" t="s">
        <v>19</v>
      </c>
      <c r="B20" s="8"/>
      <c r="C20" s="10">
        <v>150</v>
      </c>
      <c r="D20" s="20">
        <f t="shared" si="0"/>
        <v>3.6117544223265539E-2</v>
      </c>
      <c r="F20" s="20"/>
      <c r="G20"/>
      <c r="H20"/>
    </row>
    <row r="21" spans="1:14" ht="16.2" thickBot="1" x14ac:dyDescent="0.35">
      <c r="A21" s="9" t="s">
        <v>20</v>
      </c>
      <c r="B21" s="9"/>
      <c r="C21" s="7">
        <f>C14-(12*SUM(C15:C20))</f>
        <v>35055.5</v>
      </c>
      <c r="D21" s="7">
        <f>C21/12</f>
        <v>2921.2916666666665</v>
      </c>
      <c r="E21" s="7">
        <f>D21/2</f>
        <v>1460.6458333333333</v>
      </c>
      <c r="F21" s="7">
        <f>(C21/261)/8</f>
        <v>16.789032567049809</v>
      </c>
      <c r="G21"/>
      <c r="H21"/>
    </row>
    <row r="22" spans="1:14" ht="16.8" thickTop="1" thickBot="1" x14ac:dyDescent="0.35">
      <c r="A22" s="22" t="s">
        <v>23</v>
      </c>
      <c r="B22" s="22"/>
      <c r="C22" s="23">
        <f>C13</f>
        <v>0.16937874251497007</v>
      </c>
      <c r="D22"/>
      <c r="E22"/>
      <c r="F22" s="20"/>
      <c r="G22"/>
      <c r="H22"/>
    </row>
    <row r="23" spans="1:14" ht="16.2" thickBot="1" x14ac:dyDescent="0.35">
      <c r="A23" s="22" t="s">
        <v>24</v>
      </c>
      <c r="B23" s="22"/>
      <c r="C23" s="23">
        <f>SUM(C19:C20,C15:C16)*12/base_inc</f>
        <v>0.24049999999999999</v>
      </c>
      <c r="D23"/>
      <c r="E23"/>
      <c r="F23" s="20"/>
      <c r="G23"/>
      <c r="H23"/>
    </row>
    <row r="24" spans="1:14" ht="16.2" thickBot="1" x14ac:dyDescent="0.35">
      <c r="A24" s="22" t="s">
        <v>25</v>
      </c>
      <c r="B24" s="22"/>
      <c r="C24" s="23">
        <f>1-C23-C22</f>
        <v>0.59012125748502997</v>
      </c>
      <c r="D24" s="24"/>
      <c r="E24"/>
      <c r="F24" s="20"/>
      <c r="G24"/>
      <c r="H24"/>
    </row>
    <row r="25" spans="1:14" ht="15.6" customHeight="1" x14ac:dyDescent="0.3">
      <c r="A25"/>
      <c r="B25"/>
      <c r="C25"/>
      <c r="D25"/>
      <c r="E25" s="20"/>
      <c r="F25"/>
      <c r="G25"/>
    </row>
    <row r="26" spans="1:14" x14ac:dyDescent="0.3">
      <c r="C26" s="28"/>
    </row>
    <row r="27" spans="1:14" x14ac:dyDescent="0.3">
      <c r="A27" s="35"/>
      <c r="B27" s="37"/>
      <c r="C27" s="37"/>
      <c r="D27" s="38"/>
      <c r="E27" s="36"/>
      <c r="F27" s="41"/>
      <c r="G27" s="41"/>
      <c r="H27" s="41"/>
      <c r="I27" s="35"/>
      <c r="J27" s="35"/>
      <c r="K27" s="35"/>
      <c r="L27" s="35"/>
      <c r="M27" s="35"/>
      <c r="N27" s="35"/>
    </row>
    <row r="29" spans="1:14" x14ac:dyDescent="0.3">
      <c r="A29" s="42"/>
    </row>
  </sheetData>
  <mergeCells count="1">
    <mergeCell ref="A2:C2"/>
  </mergeCells>
  <phoneticPr fontId="8" type="noConversion"/>
  <dataValidations count="1">
    <dataValidation type="list" allowBlank="1" showInputMessage="1" showErrorMessage="1" sqref="M9" xr:uid="{FA742B3C-5356-460C-A733-592C3AD78513}">
      <formula1>"12,24,36,48,60,72,84"</formula1>
    </dataValidation>
  </dataValidations>
  <pageMargins left="0.7" right="0.7" top="0.75" bottom="0.75" header="0.3" footer="0.3"/>
  <pageSetup orientation="portrait" r:id="rId1"/>
  <ignoredErrors>
    <ignoredError sqref="D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Inputs &amp; Analysis</vt:lpstr>
      <vt:lpstr>base_inc</vt:lpstr>
      <vt:lpstr>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Nelson</dc:creator>
  <cp:lastModifiedBy>Luke Nelson</cp:lastModifiedBy>
  <dcterms:created xsi:type="dcterms:W3CDTF">2021-09-25T21:49:16Z</dcterms:created>
  <dcterms:modified xsi:type="dcterms:W3CDTF">2022-07-17T21:54:08Z</dcterms:modified>
</cp:coreProperties>
</file>