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ril19\PycharmProjects\pythonProject\"/>
    </mc:Choice>
  </mc:AlternateContent>
  <xr:revisionPtr revIDLastSave="0" documentId="8_{728FC5F1-E0C2-4F2F-B77E-24295314935F}" xr6:coauthVersionLast="41" xr6:coauthVersionMax="41" xr10:uidLastSave="{00000000-0000-0000-0000-000000000000}"/>
  <bookViews>
    <workbookView xWindow="10350" yWindow="495" windowWidth="15345" windowHeight="15105" xr2:uid="{00000000-000D-0000-FFFF-FFFF00000000}"/>
  </bookViews>
  <sheets>
    <sheet name="Sheet1" sheetId="1" r:id="rId1"/>
    <sheet name="PO" sheetId="3" r:id="rId2"/>
    <sheet name="APPAREL" sheetId="2" r:id="rId3"/>
  </sheets>
  <definedNames>
    <definedName name="_xlnm._FilterDatabase" localSheetId="1" hidden="1">PO!$A$2:$F$60</definedName>
    <definedName name="_xlnm._FilterDatabase" localSheetId="0" hidden="1">Sheet1!$B$27:$J$63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1" i="1"/>
  <c r="A3" i="1"/>
  <c r="B3" i="1"/>
  <c r="A4" i="1"/>
  <c r="B4" i="1"/>
  <c r="A5" i="1"/>
  <c r="B5" i="1"/>
  <c r="A6" i="1"/>
  <c r="B6" i="1"/>
  <c r="A8" i="1"/>
  <c r="B8" i="1"/>
  <c r="A9" i="1"/>
  <c r="B9" i="1"/>
  <c r="A10" i="1"/>
  <c r="B10" i="1"/>
  <c r="A11" i="1"/>
  <c r="B11" i="1"/>
  <c r="A12" i="1"/>
  <c r="B12" i="1"/>
  <c r="A14" i="1"/>
  <c r="B14" i="1"/>
  <c r="A15" i="1"/>
  <c r="B15" i="1"/>
  <c r="A16" i="1"/>
  <c r="B16" i="1"/>
  <c r="A17" i="1"/>
  <c r="B17" i="1"/>
  <c r="A19" i="1"/>
  <c r="B19" i="1"/>
  <c r="A20" i="1"/>
  <c r="B20" i="1"/>
  <c r="A21" i="1"/>
  <c r="B21" i="1"/>
  <c r="A22" i="1"/>
  <c r="B22" i="1"/>
  <c r="A24" i="1"/>
  <c r="B24" i="1"/>
  <c r="B26" i="1"/>
  <c r="C28" i="1"/>
  <c r="D28" i="1"/>
  <c r="E28" i="1"/>
  <c r="G28" i="1"/>
  <c r="H28" i="1"/>
  <c r="I28" i="1"/>
  <c r="J28" i="1"/>
  <c r="C29" i="1"/>
  <c r="D29" i="1"/>
  <c r="E29" i="1"/>
  <c r="G29" i="1"/>
  <c r="H29" i="1"/>
  <c r="I29" i="1"/>
  <c r="J29" i="1"/>
  <c r="C30" i="1"/>
  <c r="D30" i="1"/>
  <c r="E30" i="1"/>
  <c r="G30" i="1"/>
  <c r="H30" i="1"/>
  <c r="I30" i="1"/>
  <c r="J30" i="1"/>
  <c r="C31" i="1"/>
  <c r="D31" i="1"/>
  <c r="E31" i="1"/>
  <c r="G31" i="1"/>
  <c r="H31" i="1"/>
  <c r="I31" i="1"/>
  <c r="J31" i="1"/>
  <c r="C32" i="1"/>
  <c r="D32" i="1"/>
  <c r="E32" i="1"/>
  <c r="G32" i="1"/>
  <c r="H32" i="1"/>
  <c r="I32" i="1"/>
  <c r="J32" i="1"/>
  <c r="C33" i="1"/>
  <c r="D33" i="1"/>
  <c r="E33" i="1"/>
  <c r="G33" i="1"/>
  <c r="H33" i="1"/>
  <c r="I33" i="1"/>
  <c r="J33" i="1"/>
  <c r="C34" i="1"/>
  <c r="D34" i="1"/>
  <c r="E34" i="1"/>
  <c r="G34" i="1"/>
  <c r="H34" i="1"/>
  <c r="I34" i="1"/>
  <c r="J34" i="1"/>
  <c r="C35" i="1"/>
  <c r="D35" i="1"/>
  <c r="E35" i="1"/>
  <c r="G35" i="1"/>
  <c r="H35" i="1"/>
  <c r="I35" i="1"/>
  <c r="J35" i="1"/>
  <c r="C36" i="1"/>
  <c r="D36" i="1"/>
  <c r="E36" i="1"/>
  <c r="G36" i="1"/>
  <c r="H36" i="1"/>
  <c r="I36" i="1"/>
  <c r="J36" i="1"/>
  <c r="C37" i="1"/>
  <c r="D37" i="1"/>
  <c r="E37" i="1"/>
  <c r="G37" i="1"/>
  <c r="H37" i="1"/>
  <c r="I37" i="1"/>
  <c r="J37" i="1"/>
  <c r="C38" i="1"/>
  <c r="D38" i="1"/>
  <c r="E38" i="1"/>
  <c r="G38" i="1"/>
  <c r="H38" i="1"/>
  <c r="I38" i="1"/>
  <c r="J38" i="1"/>
  <c r="C39" i="1"/>
  <c r="D39" i="1"/>
  <c r="E39" i="1"/>
  <c r="G39" i="1"/>
  <c r="H39" i="1"/>
  <c r="I39" i="1"/>
  <c r="J39" i="1"/>
  <c r="C40" i="1"/>
  <c r="D40" i="1"/>
  <c r="E40" i="1"/>
  <c r="G40" i="1"/>
  <c r="H40" i="1"/>
  <c r="I40" i="1"/>
  <c r="J40" i="1"/>
  <c r="C41" i="1"/>
  <c r="D41" i="1"/>
  <c r="E41" i="1"/>
  <c r="G41" i="1"/>
  <c r="H41" i="1"/>
  <c r="I41" i="1"/>
  <c r="J41" i="1"/>
  <c r="C42" i="1"/>
  <c r="D42" i="1"/>
  <c r="E42" i="1"/>
  <c r="G42" i="1"/>
  <c r="H42" i="1"/>
  <c r="I42" i="1"/>
  <c r="J42" i="1"/>
  <c r="C43" i="1"/>
  <c r="D43" i="1"/>
  <c r="E43" i="1"/>
  <c r="G43" i="1"/>
  <c r="H43" i="1"/>
  <c r="I43" i="1"/>
  <c r="J43" i="1"/>
  <c r="C44" i="1"/>
  <c r="D44" i="1"/>
  <c r="E44" i="1"/>
  <c r="G44" i="1"/>
  <c r="H44" i="1"/>
  <c r="I44" i="1"/>
  <c r="J44" i="1"/>
  <c r="C45" i="1"/>
  <c r="D45" i="1"/>
  <c r="E45" i="1"/>
  <c r="G45" i="1"/>
  <c r="H45" i="1"/>
  <c r="I45" i="1"/>
  <c r="J45" i="1"/>
  <c r="C46" i="1"/>
  <c r="D46" i="1"/>
  <c r="E46" i="1"/>
  <c r="G46" i="1"/>
  <c r="H46" i="1"/>
  <c r="I46" i="1"/>
  <c r="J46" i="1"/>
  <c r="C47" i="1"/>
  <c r="D47" i="1"/>
  <c r="E47" i="1"/>
  <c r="G47" i="1"/>
  <c r="H47" i="1"/>
  <c r="I47" i="1"/>
  <c r="J47" i="1"/>
  <c r="C48" i="1"/>
  <c r="D48" i="1"/>
  <c r="E48" i="1"/>
  <c r="G48" i="1"/>
  <c r="H48" i="1"/>
  <c r="I48" i="1"/>
  <c r="J48" i="1"/>
  <c r="C49" i="1"/>
  <c r="D49" i="1"/>
  <c r="E49" i="1"/>
  <c r="G49" i="1"/>
  <c r="H49" i="1"/>
  <c r="I49" i="1"/>
  <c r="J49" i="1"/>
  <c r="C50" i="1"/>
  <c r="D50" i="1"/>
  <c r="E50" i="1"/>
  <c r="G50" i="1"/>
  <c r="H50" i="1"/>
  <c r="I50" i="1"/>
  <c r="J50" i="1"/>
  <c r="C51" i="1"/>
  <c r="D51" i="1"/>
  <c r="E51" i="1"/>
  <c r="G51" i="1"/>
  <c r="H51" i="1"/>
  <c r="I51" i="1"/>
  <c r="J51" i="1"/>
  <c r="C52" i="1"/>
  <c r="D52" i="1"/>
  <c r="E52" i="1"/>
  <c r="G52" i="1"/>
  <c r="H52" i="1"/>
  <c r="I52" i="1"/>
  <c r="J52" i="1"/>
  <c r="C53" i="1"/>
  <c r="D53" i="1"/>
  <c r="E53" i="1"/>
  <c r="G53" i="1"/>
  <c r="H53" i="1"/>
  <c r="I53" i="1"/>
  <c r="J53" i="1"/>
  <c r="C54" i="1"/>
  <c r="D54" i="1"/>
  <c r="E54" i="1"/>
  <c r="G54" i="1"/>
  <c r="H54" i="1"/>
  <c r="I54" i="1"/>
  <c r="J54" i="1"/>
  <c r="C55" i="1"/>
  <c r="D55" i="1"/>
  <c r="E55" i="1"/>
  <c r="G55" i="1"/>
  <c r="H55" i="1"/>
  <c r="I55" i="1"/>
  <c r="J55" i="1"/>
  <c r="C56" i="1"/>
  <c r="D56" i="1"/>
  <c r="E56" i="1"/>
  <c r="G56" i="1"/>
  <c r="H56" i="1"/>
  <c r="I56" i="1"/>
  <c r="J56" i="1"/>
  <c r="C57" i="1"/>
  <c r="D57" i="1"/>
  <c r="E57" i="1"/>
  <c r="G57" i="1"/>
  <c r="H57" i="1"/>
  <c r="I57" i="1"/>
  <c r="J57" i="1"/>
  <c r="C58" i="1"/>
  <c r="D58" i="1"/>
  <c r="E58" i="1"/>
  <c r="G58" i="1"/>
  <c r="H58" i="1"/>
  <c r="I58" i="1"/>
  <c r="J58" i="1"/>
  <c r="C59" i="1"/>
  <c r="D59" i="1"/>
  <c r="E59" i="1"/>
  <c r="G59" i="1"/>
  <c r="H59" i="1"/>
  <c r="I59" i="1"/>
  <c r="J59" i="1"/>
  <c r="C60" i="1"/>
  <c r="D60" i="1"/>
  <c r="E60" i="1"/>
  <c r="G60" i="1"/>
  <c r="H60" i="1"/>
  <c r="I60" i="1"/>
  <c r="J60" i="1"/>
  <c r="C61" i="1"/>
  <c r="D61" i="1"/>
  <c r="E61" i="1"/>
  <c r="G61" i="1"/>
  <c r="H61" i="1"/>
  <c r="I61" i="1"/>
  <c r="J61" i="1"/>
  <c r="C62" i="1"/>
  <c r="D62" i="1"/>
  <c r="E62" i="1"/>
  <c r="G62" i="1"/>
  <c r="H62" i="1"/>
  <c r="I62" i="1"/>
  <c r="J62" i="1"/>
  <c r="G63" i="1"/>
  <c r="H63" i="1"/>
  <c r="I63" i="1"/>
  <c r="J63" i="1"/>
  <c r="G66" i="1"/>
  <c r="H66" i="1"/>
  <c r="I66" i="1"/>
  <c r="J66" i="1"/>
</calcChain>
</file>

<file path=xl/sharedStrings.xml><?xml version="1.0" encoding="utf-8"?>
<sst xmlns="http://schemas.openxmlformats.org/spreadsheetml/2006/main" count="227" uniqueCount="122">
  <si>
    <t>ORDER 6979032091778114</t>
  </si>
  <si>
    <t>ANKENY</t>
  </si>
  <si>
    <t>TO#</t>
  </si>
  <si>
    <t>Description</t>
  </si>
  <si>
    <t>UPC Number</t>
  </si>
  <si>
    <t>Category description</t>
  </si>
  <si>
    <t>Qty</t>
  </si>
  <si>
    <t>Unit Cost</t>
  </si>
  <si>
    <t>Price Point</t>
  </si>
  <si>
    <t>Variance</t>
  </si>
  <si>
    <t>Reason</t>
  </si>
  <si>
    <t>Credit</t>
  </si>
  <si>
    <t>KIT &amp; KABOODLE</t>
  </si>
  <si>
    <t>000001780018231</t>
  </si>
  <si>
    <t>PET SUPPLIES</t>
  </si>
  <si>
    <t>ZIPLOC STORAGE GAL</t>
  </si>
  <si>
    <t>000002570014875</t>
  </si>
  <si>
    <t>TABLETOP AND BAGS</t>
  </si>
  <si>
    <t>ALWAYS ULTRA 5</t>
  </si>
  <si>
    <t>000003700062858</t>
  </si>
  <si>
    <t>HEALTH AND BEAUTY AIDS</t>
  </si>
  <si>
    <t>MR. CLEAN ERASER ERA</t>
  </si>
  <si>
    <t>000003700075555</t>
  </si>
  <si>
    <t>LAUNDRY AND HOME CARE</t>
  </si>
  <si>
    <t>ALWYS RAD HEAVY SZ2</t>
  </si>
  <si>
    <t>000003700079513</t>
  </si>
  <si>
    <t>MTHON MULTIFOLD TWL</t>
  </si>
  <si>
    <t>000004200020272</t>
  </si>
  <si>
    <t>PAPER GOODS</t>
  </si>
  <si>
    <t>VENUS SYSTEM</t>
  </si>
  <si>
    <t>000004740066557</t>
  </si>
  <si>
    <t>DUCK BRAND DUCT TAPE</t>
  </si>
  <si>
    <t>000007535394108</t>
  </si>
  <si>
    <t>OFFICE SUPPLIES AND STAMPS</t>
  </si>
  <si>
    <t>MM T-SHIRT CARRYOUT</t>
  </si>
  <si>
    <t>000007874208192</t>
  </si>
  <si>
    <t>MM GRAINFREE CHICKEN</t>
  </si>
  <si>
    <t>000007874215771</t>
  </si>
  <si>
    <t>MM EXCEED LAMB &amp;RICE</t>
  </si>
  <si>
    <t>000007874224814</t>
  </si>
  <si>
    <t>MM 20 0Z BOWL</t>
  </si>
  <si>
    <t>000007874228838</t>
  </si>
  <si>
    <t>MM WAX PAPER SHEETS</t>
  </si>
  <si>
    <t>000007874229315</t>
  </si>
  <si>
    <t>POWER GRD DRUM LINER</t>
  </si>
  <si>
    <t>000060538819631</t>
  </si>
  <si>
    <t>NUTRI NINJA IQ</t>
  </si>
  <si>
    <t>000062235655786</t>
  </si>
  <si>
    <t>KITCHEN ELECTRICS</t>
  </si>
  <si>
    <t>CONTOUR LEG PILLOW</t>
  </si>
  <si>
    <t>000075235682778</t>
  </si>
  <si>
    <t>DOMESTICS</t>
  </si>
  <si>
    <t>PEDIGREE HOMESTYLE</t>
  </si>
  <si>
    <t>2310011634</t>
  </si>
  <si>
    <t>ZIPLOC SANDWICH</t>
  </si>
  <si>
    <t>2570071602</t>
  </si>
  <si>
    <t>KLEENEX SOOTHING</t>
  </si>
  <si>
    <t>3600049976</t>
  </si>
  <si>
    <t>SECRET LUX LAVENDAR</t>
  </si>
  <si>
    <t>3700062567</t>
  </si>
  <si>
    <t>BOUNCE SHEETS</t>
  </si>
  <si>
    <t>3700095183</t>
  </si>
  <si>
    <t>MM QD BATH MAT PCOK</t>
  </si>
  <si>
    <t>40980177673</t>
  </si>
  <si>
    <t>BRAUN SERIES 6 6090</t>
  </si>
  <si>
    <t>6905512898</t>
  </si>
  <si>
    <t>MM LARGE BRIEF</t>
  </si>
  <si>
    <t>7874218535</t>
  </si>
  <si>
    <t>MM TURKEY STEW</t>
  </si>
  <si>
    <t>7874221441</t>
  </si>
  <si>
    <t xml:space="preserve">15PC CUTLERY BLOCK           </t>
  </si>
  <si>
    <t>84059510681</t>
  </si>
  <si>
    <t>HOUSEWARES</t>
  </si>
  <si>
    <t>short</t>
  </si>
  <si>
    <t>4IN1 COMBO GRILL</t>
  </si>
  <si>
    <t>84370610001</t>
  </si>
  <si>
    <t>SEASONAL HARDWARE</t>
  </si>
  <si>
    <t>16PC GLASSLOCK ROUND</t>
  </si>
  <si>
    <t>88900601616</t>
  </si>
  <si>
    <t>TOTAL APPAREL COST</t>
  </si>
  <si>
    <t>Pallet 69790320003566</t>
  </si>
  <si>
    <t xml:space="preserve">UPC </t>
  </si>
  <si>
    <t>Count</t>
  </si>
  <si>
    <t>049022843202</t>
  </si>
  <si>
    <t>049022842380</t>
  </si>
  <si>
    <t>049022842311</t>
  </si>
  <si>
    <t>049022842298</t>
  </si>
  <si>
    <t>082686005708</t>
  </si>
  <si>
    <t>049022842007</t>
  </si>
  <si>
    <t>049022841925</t>
  </si>
  <si>
    <t>049022841918</t>
  </si>
  <si>
    <t>049022841901</t>
  </si>
  <si>
    <t>049022841895</t>
  </si>
  <si>
    <t>049022841888</t>
  </si>
  <si>
    <t>049022841864</t>
  </si>
  <si>
    <t>049022841482</t>
  </si>
  <si>
    <t>-</t>
  </si>
  <si>
    <t>ItemNumber</t>
  </si>
  <si>
    <t>Category</t>
  </si>
  <si>
    <t>Retail per item (USD$)</t>
  </si>
  <si>
    <t>Liquidation rate %</t>
  </si>
  <si>
    <t>Liquidation price (USD$)</t>
  </si>
  <si>
    <t>MM FLIP SEQUIN TEE</t>
  </si>
  <si>
    <t>CHILDRENS APPAREL</t>
  </si>
  <si>
    <t>E ROSE SP OCC DRESS</t>
  </si>
  <si>
    <t>EB PACKABLE JACKET</t>
  </si>
  <si>
    <t>MENS APPAREL</t>
  </si>
  <si>
    <t>AXEL DENIM</t>
  </si>
  <si>
    <t>SEBBY MOTO JACKET</t>
  </si>
  <si>
    <t>LADIES APPAREL</t>
  </si>
  <si>
    <t>UA FLY BY SHORT</t>
  </si>
  <si>
    <t>PHILOSOPHY BLAZER</t>
  </si>
  <si>
    <t>Total</t>
  </si>
  <si>
    <t>Ext Retail</t>
  </si>
  <si>
    <t>Total DFWH Cost</t>
  </si>
  <si>
    <t>000019396800898</t>
  </si>
  <si>
    <t>79108885906</t>
  </si>
  <si>
    <t>000076420435175</t>
  </si>
  <si>
    <t>000088867302295</t>
  </si>
  <si>
    <t>000071962127080</t>
  </si>
  <si>
    <t>000019049601525</t>
  </si>
  <si>
    <t>000088440260530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</si>
</sst>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 applyAlignment="1">
      <alignment horizontal="left" vertical="center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left" vertical="center"/>
    </xf>
    <xf numFmtId="0" fontId="16" fillId="0" borderId="0" xfId="0" applyFont="1"/>
    <xf numFmtId="44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workbookViewId="0">
      <selection activeCell="F8" sqref="F8"/>
    </sheetView>
  </sheetViews>
  <sheetFormatPr defaultRowHeight="15" x14ac:dyDescent="0.25"/>
  <cols>
    <col min="6" max="6" width="31" customWidth="1"/>
  </cols>
  <sheetData>
    <row r="1" spans="1:2" x14ac:dyDescent="0.25">
      <c r="A1" t="str">
        <f>"Manifest:"</f>
        <v>Manifest:</v>
      </c>
      <c r="B1" t="str">
        <f>"6979032091778114"</f>
        <v>6979032091778114</v>
      </c>
    </row>
    <row r="3" spans="1:2" x14ac:dyDescent="0.25">
      <c r="A3" t="str">
        <f>"Total"</f>
        <v>Total</v>
      </c>
      <c r="B3" t="str">
        <f>"$333.79"</f>
        <v>$333.79</v>
      </c>
    </row>
    <row r="4" spans="1:2" x14ac:dyDescent="0.25">
      <c r="A4" t="str">
        <f>"Ship Cost"</f>
        <v>Ship Cost</v>
      </c>
      <c r="B4" t="str">
        <f>"$0.00"</f>
        <v>$0.00</v>
      </c>
    </row>
    <row r="5" spans="1:2" x14ac:dyDescent="0.25">
      <c r="A5" t="str">
        <f>"Taxes and Fees"</f>
        <v>Taxes and Fees</v>
      </c>
      <c r="B5" t="str">
        <f>"$0.00"</f>
        <v>$0.00</v>
      </c>
    </row>
    <row r="6" spans="1:2" x14ac:dyDescent="0.25">
      <c r="A6" t="str">
        <f>"Grand Total"</f>
        <v>Grand Total</v>
      </c>
      <c r="B6" t="str">
        <f>"$333.79"</f>
        <v>$333.79</v>
      </c>
    </row>
    <row r="8" spans="1:2" x14ac:dyDescent="0.25">
      <c r="A8" t="str">
        <f>"Club address:"</f>
        <v>Club address:</v>
      </c>
      <c r="B8" t="str">
        <f>"4625 SE DELAWARE AVENUE, ANKENY, IA, US 50021."</f>
        <v>4625 SE DELAWARE AVENUE, ANKENY, IA, US 50021.</v>
      </c>
    </row>
    <row r="9" spans="1:2" x14ac:dyDescent="0.25">
      <c r="A9" t="str">
        <f>"Club phone number:"</f>
        <v>Club phone number:</v>
      </c>
      <c r="B9" t="str">
        <f>"(515) 559-1747"</f>
        <v>(515) 559-1747</v>
      </c>
    </row>
    <row r="10" spans="1:2" x14ac:dyDescent="0.25">
      <c r="A10" t="str">
        <f>"Pickup time:"</f>
        <v>Pickup time:</v>
      </c>
      <c r="B10" t="str">
        <f>"9.00am to 5.00pm"</f>
        <v>9.00am to 5.00pm</v>
      </c>
    </row>
    <row r="11" spans="1:2" x14ac:dyDescent="0.25">
      <c r="A11" t="str">
        <f>"Order finalized by:"</f>
        <v>Order finalized by:</v>
      </c>
      <c r="B11" t="str">
        <f>"Barbara Iuso"</f>
        <v>Barbara Iuso</v>
      </c>
    </row>
    <row r="12" spans="1:2" x14ac:dyDescent="0.25">
      <c r="A12" t="str">
        <f>"Receipt Number:"</f>
        <v>Receipt Number:</v>
      </c>
      <c r="B12" t="str">
        <f>"197210901048646770916"</f>
        <v>197210901048646770916</v>
      </c>
    </row>
    <row r="14" spans="1:2" x14ac:dyDescent="0.25">
      <c r="A14" t="str">
        <f>"Liquidator"</f>
        <v>Liquidator</v>
      </c>
      <c r="B14" t="str">
        <f>""</f>
        <v/>
      </c>
    </row>
    <row r="15" spans="1:2" x14ac:dyDescent="0.25">
      <c r="A15" t="str">
        <f>"Business"</f>
        <v>Business</v>
      </c>
      <c r="B15" t="str">
        <f>"HomeBuys"</f>
        <v>HomeBuys</v>
      </c>
    </row>
    <row r="16" spans="1:2" x14ac:dyDescent="0.25">
      <c r="A16" t="str">
        <f>"Liquidator name"</f>
        <v>Liquidator name</v>
      </c>
      <c r="B16" t="str">
        <f>"Brady Churches"</f>
        <v>Brady Churches</v>
      </c>
    </row>
    <row r="17" spans="1:10" x14ac:dyDescent="0.25">
      <c r="A17" t="str">
        <f>"Liquidator's phone"</f>
        <v>Liquidator's phone</v>
      </c>
      <c r="B17" t="str">
        <f>"(614) 333-3398"</f>
        <v>(614) 333-3398</v>
      </c>
    </row>
    <row r="19" spans="1:10" x14ac:dyDescent="0.25">
      <c r="A19" t="str">
        <f>"Payment"</f>
        <v>Payment</v>
      </c>
      <c r="B19" t="str">
        <f>""</f>
        <v/>
      </c>
    </row>
    <row r="20" spans="1:10" x14ac:dyDescent="0.25">
      <c r="A20" t="str">
        <f>"Date and time of charge"</f>
        <v>Date and time of charge</v>
      </c>
      <c r="B20" t="str">
        <f>"Aug 14, 2020, 8:27:34 AM"</f>
        <v>Aug 14, 2020, 8:27:34 AM</v>
      </c>
    </row>
    <row r="21" spans="1:10" x14ac:dyDescent="0.25">
      <c r="A21" t="str">
        <f>"Last 4 digits of credit card"</f>
        <v>Last 4 digits of credit card</v>
      </c>
      <c r="B21" t="str">
        <f>"3921"</f>
        <v>3921</v>
      </c>
    </row>
    <row r="22" spans="1:10" x14ac:dyDescent="0.25">
      <c r="A22" t="str">
        <f>"Name on card"</f>
        <v>Name on card</v>
      </c>
      <c r="B22" t="str">
        <f>"Sams club "</f>
        <v xml:space="preserve">Sams club </v>
      </c>
    </row>
    <row r="24" spans="1:10" x14ac:dyDescent="0.25">
      <c r="A24" t="str">
        <f>"Pickup Instructions"</f>
        <v>Pickup Instructions</v>
      </c>
      <c r="B24" t="str">
        <f>"FAQ's can be found at: https://www.samsclub.com/content/liquidation-faq"</f>
        <v>FAQ's can be found at: https://www.samsclub.com/content/liquidation-faq</v>
      </c>
    </row>
    <row r="26" spans="1:10" x14ac:dyDescent="0.25">
      <c r="A26" t="s">
        <v>80</v>
      </c>
      <c r="B26" t="str">
        <f>""</f>
        <v/>
      </c>
    </row>
    <row r="27" spans="1:10" x14ac:dyDescent="0.25">
      <c r="A27" t="s">
        <v>96</v>
      </c>
      <c r="B27" t="s">
        <v>3</v>
      </c>
      <c r="C27" t="s">
        <v>97</v>
      </c>
      <c r="D27" t="s">
        <v>4</v>
      </c>
      <c r="E27" t="s">
        <v>98</v>
      </c>
      <c r="F27" t="s">
        <v>5</v>
      </c>
      <c r="G27" t="s">
        <v>6</v>
      </c>
      <c r="H27" t="s">
        <v>99</v>
      </c>
      <c r="I27" t="s">
        <v>100</v>
      </c>
      <c r="J27" t="s">
        <v>101</v>
      </c>
    </row>
    <row r="28" spans="1:10" x14ac:dyDescent="0.25">
      <c r="A28">
        <v>1</v>
      </c>
      <c r="B28" t="s">
        <v>66</v>
      </c>
      <c r="C28" t="str">
        <f>"980002005"</f>
        <v>980002005</v>
      </c>
      <c r="D28" t="str">
        <f>"7874218535"</f>
        <v>7874218535</v>
      </c>
      <c r="E28" t="str">
        <f t="shared" ref="E28:E33" si="0">"2"</f>
        <v>2</v>
      </c>
      <c r="F28" t="s">
        <v>20</v>
      </c>
      <c r="G28" t="str">
        <f>"1.0"</f>
        <v>1.0</v>
      </c>
      <c r="H28" t="str">
        <f>"$22.98"</f>
        <v>$22.98</v>
      </c>
      <c r="I28" t="str">
        <f t="shared" ref="I28:I33" si="1">"20%"</f>
        <v>20%</v>
      </c>
      <c r="J28" t="str">
        <f>"$4.60"</f>
        <v>$4.60</v>
      </c>
    </row>
    <row r="29" spans="1:10" x14ac:dyDescent="0.25">
      <c r="A29">
        <v>2</v>
      </c>
      <c r="B29" t="s">
        <v>29</v>
      </c>
      <c r="C29" t="str">
        <f>"980102881"</f>
        <v>980102881</v>
      </c>
      <c r="D29" t="str">
        <f>"000004740066557"</f>
        <v>000004740066557</v>
      </c>
      <c r="E29" t="str">
        <f t="shared" si="0"/>
        <v>2</v>
      </c>
      <c r="F29" t="s">
        <v>20</v>
      </c>
      <c r="G29" t="str">
        <f>"1.0"</f>
        <v>1.0</v>
      </c>
      <c r="H29" t="str">
        <f>"$29.98"</f>
        <v>$29.98</v>
      </c>
      <c r="I29" t="str">
        <f t="shared" si="1"/>
        <v>20%</v>
      </c>
      <c r="J29" t="str">
        <f>"$6.00"</f>
        <v>$6.00</v>
      </c>
    </row>
    <row r="30" spans="1:10" x14ac:dyDescent="0.25">
      <c r="A30">
        <v>3</v>
      </c>
      <c r="B30" t="s">
        <v>64</v>
      </c>
      <c r="C30" t="str">
        <f>"980249120"</f>
        <v>980249120</v>
      </c>
      <c r="D30" t="str">
        <f>"6905512898"</f>
        <v>6905512898</v>
      </c>
      <c r="E30" t="str">
        <f t="shared" si="0"/>
        <v>2</v>
      </c>
      <c r="F30" t="s">
        <v>20</v>
      </c>
      <c r="G30" t="str">
        <f>"1.0"</f>
        <v>1.0</v>
      </c>
      <c r="H30" t="str">
        <f>"$99.98"</f>
        <v>$99.98</v>
      </c>
      <c r="I30" t="str">
        <f t="shared" si="1"/>
        <v>20%</v>
      </c>
      <c r="J30" t="str">
        <f>"$20.00"</f>
        <v>$20.00</v>
      </c>
    </row>
    <row r="31" spans="1:10" x14ac:dyDescent="0.25">
      <c r="A31">
        <v>4</v>
      </c>
      <c r="B31" t="s">
        <v>24</v>
      </c>
      <c r="C31" t="str">
        <f>"980096728"</f>
        <v>980096728</v>
      </c>
      <c r="D31" t="str">
        <f>"000003700079513"</f>
        <v>000003700079513</v>
      </c>
      <c r="E31" t="str">
        <f t="shared" si="0"/>
        <v>2</v>
      </c>
      <c r="F31" t="s">
        <v>20</v>
      </c>
      <c r="G31" t="str">
        <f>"1.0"</f>
        <v>1.0</v>
      </c>
      <c r="H31" t="str">
        <f>"$11.88"</f>
        <v>$11.88</v>
      </c>
      <c r="I31" t="str">
        <f t="shared" si="1"/>
        <v>20%</v>
      </c>
      <c r="J31" t="str">
        <f>"$2.38"</f>
        <v>$2.38</v>
      </c>
    </row>
    <row r="32" spans="1:10" x14ac:dyDescent="0.25">
      <c r="A32">
        <v>5</v>
      </c>
      <c r="B32" t="s">
        <v>18</v>
      </c>
      <c r="C32" t="str">
        <f>"980253897"</f>
        <v>980253897</v>
      </c>
      <c r="D32" t="str">
        <f>"000003700062858"</f>
        <v>000003700062858</v>
      </c>
      <c r="E32" t="str">
        <f t="shared" si="0"/>
        <v>2</v>
      </c>
      <c r="F32" t="s">
        <v>20</v>
      </c>
      <c r="G32" t="str">
        <f>"2.0"</f>
        <v>2.0</v>
      </c>
      <c r="H32" t="str">
        <f>"$12.58"</f>
        <v>$12.58</v>
      </c>
      <c r="I32" t="str">
        <f t="shared" si="1"/>
        <v>20%</v>
      </c>
      <c r="J32" t="str">
        <f>"$5.04"</f>
        <v>$5.04</v>
      </c>
    </row>
    <row r="33" spans="1:10" x14ac:dyDescent="0.25">
      <c r="A33">
        <v>6</v>
      </c>
      <c r="B33" t="s">
        <v>58</v>
      </c>
      <c r="C33" t="str">
        <f>"980253911"</f>
        <v>980253911</v>
      </c>
      <c r="D33" t="str">
        <f>"3700062567"</f>
        <v>3700062567</v>
      </c>
      <c r="E33" t="str">
        <f t="shared" si="0"/>
        <v>2</v>
      </c>
      <c r="F33" t="s">
        <v>20</v>
      </c>
      <c r="G33" t="str">
        <f t="shared" ref="G33:G39" si="2">"1.0"</f>
        <v>1.0</v>
      </c>
      <c r="H33" t="str">
        <f>"$13.98"</f>
        <v>$13.98</v>
      </c>
      <c r="I33" t="str">
        <f t="shared" si="1"/>
        <v>20%</v>
      </c>
      <c r="J33" t="str">
        <f>"$2.80"</f>
        <v>$2.80</v>
      </c>
    </row>
    <row r="34" spans="1:10" x14ac:dyDescent="0.25">
      <c r="A34">
        <v>7</v>
      </c>
      <c r="B34" t="s">
        <v>31</v>
      </c>
      <c r="C34" t="str">
        <f>"110367"</f>
        <v>110367</v>
      </c>
      <c r="D34" t="str">
        <f>"000007535394108"</f>
        <v>000007535394108</v>
      </c>
      <c r="E34" t="str">
        <f>"3"</f>
        <v>3</v>
      </c>
      <c r="F34" t="s">
        <v>33</v>
      </c>
      <c r="G34" t="str">
        <f t="shared" si="2"/>
        <v>1.0</v>
      </c>
      <c r="H34" t="str">
        <f>"$15.48"</f>
        <v>$15.48</v>
      </c>
      <c r="I34" t="str">
        <f>"26%"</f>
        <v>26%</v>
      </c>
      <c r="J34" t="str">
        <f>"$4.03"</f>
        <v>$4.03</v>
      </c>
    </row>
    <row r="35" spans="1:10" x14ac:dyDescent="0.25">
      <c r="A35">
        <v>8</v>
      </c>
      <c r="B35" t="s">
        <v>40</v>
      </c>
      <c r="C35" t="str">
        <f>"980089707"</f>
        <v>980089707</v>
      </c>
      <c r="D35" t="str">
        <f>"000007874228838"</f>
        <v>000007874228838</v>
      </c>
      <c r="E35" t="str">
        <f t="shared" ref="E35:E40" si="3">"4"</f>
        <v>4</v>
      </c>
      <c r="F35" t="s">
        <v>17</v>
      </c>
      <c r="G35" t="str">
        <f t="shared" si="2"/>
        <v>1.0</v>
      </c>
      <c r="H35" t="str">
        <f>"$10.28"</f>
        <v>$10.28</v>
      </c>
      <c r="I35" t="str">
        <f t="shared" ref="I35:I40" si="4">"20%"</f>
        <v>20%</v>
      </c>
      <c r="J35" t="str">
        <f>"$2.06"</f>
        <v>$2.06</v>
      </c>
    </row>
    <row r="36" spans="1:10" x14ac:dyDescent="0.25">
      <c r="A36">
        <v>9</v>
      </c>
      <c r="B36" t="s">
        <v>54</v>
      </c>
      <c r="C36" t="str">
        <f>"980071276"</f>
        <v>980071276</v>
      </c>
      <c r="D36" t="str">
        <f>"2570071602"</f>
        <v>2570071602</v>
      </c>
      <c r="E36" t="str">
        <f t="shared" si="3"/>
        <v>4</v>
      </c>
      <c r="F36" t="s">
        <v>17</v>
      </c>
      <c r="G36" t="str">
        <f t="shared" si="2"/>
        <v>1.0</v>
      </c>
      <c r="H36" t="str">
        <f>"$11.58"</f>
        <v>$11.58</v>
      </c>
      <c r="I36" t="str">
        <f t="shared" si="4"/>
        <v>20%</v>
      </c>
      <c r="J36" t="str">
        <f>"$2.32"</f>
        <v>$2.32</v>
      </c>
    </row>
    <row r="37" spans="1:10" x14ac:dyDescent="0.25">
      <c r="A37">
        <v>10</v>
      </c>
      <c r="B37" t="s">
        <v>34</v>
      </c>
      <c r="C37" t="str">
        <f>"29434"</f>
        <v>29434</v>
      </c>
      <c r="D37" t="str">
        <f>"000007874208192"</f>
        <v>000007874208192</v>
      </c>
      <c r="E37" t="str">
        <f t="shared" si="3"/>
        <v>4</v>
      </c>
      <c r="F37" t="s">
        <v>17</v>
      </c>
      <c r="G37" t="str">
        <f t="shared" si="2"/>
        <v>1.0</v>
      </c>
      <c r="H37" t="str">
        <f>"$13.98"</f>
        <v>$13.98</v>
      </c>
      <c r="I37" t="str">
        <f t="shared" si="4"/>
        <v>20%</v>
      </c>
      <c r="J37" t="str">
        <f>"$2.80"</f>
        <v>$2.80</v>
      </c>
    </row>
    <row r="38" spans="1:10" x14ac:dyDescent="0.25">
      <c r="A38">
        <v>11</v>
      </c>
      <c r="B38" t="s">
        <v>15</v>
      </c>
      <c r="C38" t="str">
        <f>"916191"</f>
        <v>916191</v>
      </c>
      <c r="D38" t="str">
        <f>"000002570014875"</f>
        <v>000002570014875</v>
      </c>
      <c r="E38" t="str">
        <f t="shared" si="3"/>
        <v>4</v>
      </c>
      <c r="F38" t="s">
        <v>17</v>
      </c>
      <c r="G38" t="str">
        <f t="shared" si="2"/>
        <v>1.0</v>
      </c>
      <c r="H38" t="str">
        <f>"$15.98"</f>
        <v>$15.98</v>
      </c>
      <c r="I38" t="str">
        <f t="shared" si="4"/>
        <v>20%</v>
      </c>
      <c r="J38" t="str">
        <f>"$3.20"</f>
        <v>$3.20</v>
      </c>
    </row>
    <row r="39" spans="1:10" x14ac:dyDescent="0.25">
      <c r="A39">
        <v>12</v>
      </c>
      <c r="B39" t="s">
        <v>42</v>
      </c>
      <c r="C39" t="str">
        <f>"980115224"</f>
        <v>980115224</v>
      </c>
      <c r="D39" t="str">
        <f>"000007874229315"</f>
        <v>000007874229315</v>
      </c>
      <c r="E39" t="str">
        <f t="shared" si="3"/>
        <v>4</v>
      </c>
      <c r="F39" t="s">
        <v>17</v>
      </c>
      <c r="G39" t="str">
        <f t="shared" si="2"/>
        <v>1.0</v>
      </c>
      <c r="H39" t="str">
        <f>"$8.98"</f>
        <v>$8.98</v>
      </c>
      <c r="I39" t="str">
        <f t="shared" si="4"/>
        <v>20%</v>
      </c>
      <c r="J39" t="str">
        <f>"$1.80"</f>
        <v>$1.80</v>
      </c>
    </row>
    <row r="40" spans="1:10" x14ac:dyDescent="0.25">
      <c r="A40">
        <v>13</v>
      </c>
      <c r="B40" t="s">
        <v>44</v>
      </c>
      <c r="C40" t="str">
        <f>"440955"</f>
        <v>440955</v>
      </c>
      <c r="D40" t="str">
        <f>"000060538819631"</f>
        <v>000060538819631</v>
      </c>
      <c r="E40" t="str">
        <f t="shared" si="3"/>
        <v>4</v>
      </c>
      <c r="F40" t="s">
        <v>17</v>
      </c>
      <c r="G40" t="str">
        <f>"4.0"</f>
        <v>4.0</v>
      </c>
      <c r="H40" t="str">
        <f>"$19.98"</f>
        <v>$19.98</v>
      </c>
      <c r="I40" t="str">
        <f t="shared" si="4"/>
        <v>20%</v>
      </c>
      <c r="J40" t="str">
        <f>"$16.00"</f>
        <v>$16.00</v>
      </c>
    </row>
    <row r="41" spans="1:10" x14ac:dyDescent="0.25">
      <c r="A41">
        <v>14</v>
      </c>
      <c r="B41" t="s">
        <v>52</v>
      </c>
      <c r="C41" t="str">
        <f>"770866"</f>
        <v>770866</v>
      </c>
      <c r="D41" t="str">
        <f>"2310011634"</f>
        <v>2310011634</v>
      </c>
      <c r="E41" t="str">
        <f>"8"</f>
        <v>8</v>
      </c>
      <c r="F41" t="s">
        <v>14</v>
      </c>
      <c r="G41" t="str">
        <f>"1.0"</f>
        <v>1.0</v>
      </c>
      <c r="H41" t="str">
        <f>"$18.48"</f>
        <v>$18.48</v>
      </c>
      <c r="I41" t="str">
        <f t="shared" ref="I41:I53" si="5">"26%"</f>
        <v>26%</v>
      </c>
      <c r="J41" t="str">
        <f>"$4.81"</f>
        <v>$4.81</v>
      </c>
    </row>
    <row r="42" spans="1:10" x14ac:dyDescent="0.25">
      <c r="A42">
        <v>15</v>
      </c>
      <c r="B42" t="s">
        <v>68</v>
      </c>
      <c r="C42" t="str">
        <f>"980175614"</f>
        <v>980175614</v>
      </c>
      <c r="D42" t="str">
        <f>"7874221441"</f>
        <v>7874221441</v>
      </c>
      <c r="E42" t="str">
        <f>"8"</f>
        <v>8</v>
      </c>
      <c r="F42" t="s">
        <v>14</v>
      </c>
      <c r="G42" t="str">
        <f>"1.0"</f>
        <v>1.0</v>
      </c>
      <c r="H42" t="str">
        <f>"$18.98"</f>
        <v>$18.98</v>
      </c>
      <c r="I42" t="str">
        <f t="shared" si="5"/>
        <v>26%</v>
      </c>
      <c r="J42" t="str">
        <f>"$4.94"</f>
        <v>$4.94</v>
      </c>
    </row>
    <row r="43" spans="1:10" x14ac:dyDescent="0.25">
      <c r="A43">
        <v>16</v>
      </c>
      <c r="B43" t="s">
        <v>38</v>
      </c>
      <c r="C43" t="str">
        <f>"628353"</f>
        <v>628353</v>
      </c>
      <c r="D43" t="str">
        <f>"000007874224814"</f>
        <v>000007874224814</v>
      </c>
      <c r="E43" t="str">
        <f>"8"</f>
        <v>8</v>
      </c>
      <c r="F43" t="s">
        <v>14</v>
      </c>
      <c r="G43" t="str">
        <f>"1.0"</f>
        <v>1.0</v>
      </c>
      <c r="H43" t="str">
        <f>"$30.98"</f>
        <v>$30.98</v>
      </c>
      <c r="I43" t="str">
        <f t="shared" si="5"/>
        <v>26%</v>
      </c>
      <c r="J43" t="str">
        <f>"$8.06"</f>
        <v>$8.06</v>
      </c>
    </row>
    <row r="44" spans="1:10" x14ac:dyDescent="0.25">
      <c r="A44">
        <v>17</v>
      </c>
      <c r="B44" t="s">
        <v>12</v>
      </c>
      <c r="C44" t="str">
        <f>"980131973"</f>
        <v>980131973</v>
      </c>
      <c r="D44" t="str">
        <f>"000001780018231"</f>
        <v>000001780018231</v>
      </c>
      <c r="E44" t="str">
        <f>"8"</f>
        <v>8</v>
      </c>
      <c r="F44" t="s">
        <v>14</v>
      </c>
      <c r="G44" t="str">
        <f>"1.0"</f>
        <v>1.0</v>
      </c>
      <c r="H44" t="str">
        <f>"$19.98"</f>
        <v>$19.98</v>
      </c>
      <c r="I44" t="str">
        <f t="shared" si="5"/>
        <v>26%</v>
      </c>
      <c r="J44" t="str">
        <f>"$5.20"</f>
        <v>$5.20</v>
      </c>
    </row>
    <row r="45" spans="1:10" x14ac:dyDescent="0.25">
      <c r="A45">
        <v>18</v>
      </c>
      <c r="B45" t="s">
        <v>36</v>
      </c>
      <c r="C45" t="str">
        <f>"132388"</f>
        <v>132388</v>
      </c>
      <c r="D45" t="str">
        <f>"000007874215771"</f>
        <v>000007874215771</v>
      </c>
      <c r="E45" t="str">
        <f>"8"</f>
        <v>8</v>
      </c>
      <c r="F45" t="s">
        <v>14</v>
      </c>
      <c r="G45" t="str">
        <f>"2.0"</f>
        <v>2.0</v>
      </c>
      <c r="H45" t="str">
        <f>"$31.92"</f>
        <v>$31.92</v>
      </c>
      <c r="I45" t="str">
        <f t="shared" si="5"/>
        <v>26%</v>
      </c>
      <c r="J45" t="str">
        <f>"$16.60"</f>
        <v>$16.60</v>
      </c>
    </row>
    <row r="46" spans="1:10" x14ac:dyDescent="0.25">
      <c r="A46">
        <v>19</v>
      </c>
      <c r="B46" t="s">
        <v>21</v>
      </c>
      <c r="C46" t="str">
        <f>"980175282"</f>
        <v>980175282</v>
      </c>
      <c r="D46" t="str">
        <f>"000003700075555"</f>
        <v>000003700075555</v>
      </c>
      <c r="E46" t="str">
        <f>"13"</f>
        <v>13</v>
      </c>
      <c r="F46" t="s">
        <v>23</v>
      </c>
      <c r="G46" t="str">
        <f t="shared" ref="G46:G52" si="6">"1.0"</f>
        <v>1.0</v>
      </c>
      <c r="H46" t="str">
        <f>"$9.98"</f>
        <v>$9.98</v>
      </c>
      <c r="I46" t="str">
        <f t="shared" si="5"/>
        <v>26%</v>
      </c>
      <c r="J46" t="str">
        <f>"$2.60"</f>
        <v>$2.60</v>
      </c>
    </row>
    <row r="47" spans="1:10" x14ac:dyDescent="0.25">
      <c r="A47">
        <v>20</v>
      </c>
      <c r="B47" t="s">
        <v>60</v>
      </c>
      <c r="C47" t="str">
        <f>"847821"</f>
        <v>847821</v>
      </c>
      <c r="D47" t="str">
        <f>"3700095183"</f>
        <v>3700095183</v>
      </c>
      <c r="E47" t="str">
        <f>"13"</f>
        <v>13</v>
      </c>
      <c r="F47" t="s">
        <v>23</v>
      </c>
      <c r="G47" t="str">
        <f t="shared" si="6"/>
        <v>1.0</v>
      </c>
      <c r="H47" t="str">
        <f>"$9.98"</f>
        <v>$9.98</v>
      </c>
      <c r="I47" t="str">
        <f t="shared" si="5"/>
        <v>26%</v>
      </c>
      <c r="J47" t="str">
        <f>"$2.60"</f>
        <v>$2.60</v>
      </c>
    </row>
    <row r="48" spans="1:10" x14ac:dyDescent="0.25">
      <c r="A48">
        <v>21</v>
      </c>
      <c r="B48" t="s">
        <v>70</v>
      </c>
      <c r="C48" t="str">
        <f>"980216584"</f>
        <v>980216584</v>
      </c>
      <c r="D48" t="str">
        <f>"84059510681"</f>
        <v>84059510681</v>
      </c>
      <c r="E48" t="str">
        <f>"14"</f>
        <v>14</v>
      </c>
      <c r="F48" t="s">
        <v>72</v>
      </c>
      <c r="G48" t="str">
        <f t="shared" si="6"/>
        <v>1.0</v>
      </c>
      <c r="H48" t="str">
        <f>"$109.98"</f>
        <v>$109.98</v>
      </c>
      <c r="I48" t="str">
        <f t="shared" si="5"/>
        <v>26%</v>
      </c>
      <c r="J48" t="str">
        <f>"$28.60"</f>
        <v>$28.60</v>
      </c>
    </row>
    <row r="49" spans="1:10" x14ac:dyDescent="0.25">
      <c r="A49">
        <v>22</v>
      </c>
      <c r="B49" t="s">
        <v>77</v>
      </c>
      <c r="C49" t="str">
        <f>"980231210"</f>
        <v>980231210</v>
      </c>
      <c r="D49" t="str">
        <f>"88900601616"</f>
        <v>88900601616</v>
      </c>
      <c r="E49" t="str">
        <f>"14"</f>
        <v>14</v>
      </c>
      <c r="F49" t="s">
        <v>72</v>
      </c>
      <c r="G49" t="str">
        <f t="shared" si="6"/>
        <v>1.0</v>
      </c>
      <c r="H49" t="str">
        <f>"$24.98"</f>
        <v>$24.98</v>
      </c>
      <c r="I49" t="str">
        <f t="shared" si="5"/>
        <v>26%</v>
      </c>
      <c r="J49" t="str">
        <f>"$6.50"</f>
        <v>$6.50</v>
      </c>
    </row>
    <row r="50" spans="1:10" x14ac:dyDescent="0.25">
      <c r="A50">
        <v>23</v>
      </c>
      <c r="B50" t="s">
        <v>46</v>
      </c>
      <c r="C50" t="str">
        <f>"555862"</f>
        <v>555862</v>
      </c>
      <c r="D50" t="str">
        <f>"000062235655786"</f>
        <v>000062235655786</v>
      </c>
      <c r="E50" t="str">
        <f>"15"</f>
        <v>15</v>
      </c>
      <c r="F50" t="s">
        <v>48</v>
      </c>
      <c r="G50" t="str">
        <f t="shared" si="6"/>
        <v>1.0</v>
      </c>
      <c r="H50" t="str">
        <f>"$60.90"</f>
        <v>$60.90</v>
      </c>
      <c r="I50" t="str">
        <f t="shared" si="5"/>
        <v>26%</v>
      </c>
      <c r="J50" t="str">
        <f>"$15.84"</f>
        <v>$15.84</v>
      </c>
    </row>
    <row r="51" spans="1:10" x14ac:dyDescent="0.25">
      <c r="A51">
        <v>24</v>
      </c>
      <c r="B51" t="s">
        <v>74</v>
      </c>
      <c r="C51" t="str">
        <f>"980160794"</f>
        <v>980160794</v>
      </c>
      <c r="D51" t="str">
        <f>"84370610001"</f>
        <v>84370610001</v>
      </c>
      <c r="E51" t="str">
        <f>"16"</f>
        <v>16</v>
      </c>
      <c r="F51" t="s">
        <v>76</v>
      </c>
      <c r="G51" t="str">
        <f t="shared" si="6"/>
        <v>1.0</v>
      </c>
      <c r="H51" t="str">
        <f>"$349.98"</f>
        <v>$349.98</v>
      </c>
      <c r="I51" t="str">
        <f t="shared" si="5"/>
        <v>26%</v>
      </c>
      <c r="J51" t="str">
        <f>"$91.00"</f>
        <v>$91.00</v>
      </c>
    </row>
    <row r="52" spans="1:10" x14ac:dyDescent="0.25">
      <c r="A52">
        <v>25</v>
      </c>
      <c r="B52" t="s">
        <v>62</v>
      </c>
      <c r="C52" t="str">
        <f>"980177673"</f>
        <v>980177673</v>
      </c>
      <c r="D52" t="str">
        <f>"40980177673"</f>
        <v>40980177673</v>
      </c>
      <c r="E52" t="str">
        <f>"21"</f>
        <v>21</v>
      </c>
      <c r="F52" t="s">
        <v>51</v>
      </c>
      <c r="G52" t="str">
        <f t="shared" si="6"/>
        <v>1.0</v>
      </c>
      <c r="H52" t="str">
        <f>"$9.98"</f>
        <v>$9.98</v>
      </c>
      <c r="I52" t="str">
        <f t="shared" si="5"/>
        <v>26%</v>
      </c>
      <c r="J52" t="str">
        <f>"$2.60"</f>
        <v>$2.60</v>
      </c>
    </row>
    <row r="53" spans="1:10" x14ac:dyDescent="0.25">
      <c r="A53">
        <v>26</v>
      </c>
      <c r="B53" t="s">
        <v>49</v>
      </c>
      <c r="C53" t="str">
        <f>"980216646"</f>
        <v>980216646</v>
      </c>
      <c r="D53" t="str">
        <f>"000075235682778"</f>
        <v>000075235682778</v>
      </c>
      <c r="E53" t="str">
        <f>"21"</f>
        <v>21</v>
      </c>
      <c r="F53" t="s">
        <v>51</v>
      </c>
      <c r="G53" t="str">
        <f>"6.0"</f>
        <v>6.0</v>
      </c>
      <c r="H53" t="str">
        <f>"$14.98"</f>
        <v>$14.98</v>
      </c>
      <c r="I53" t="str">
        <f t="shared" si="5"/>
        <v>26%</v>
      </c>
      <c r="J53" t="str">
        <f>"$23.40"</f>
        <v>$23.40</v>
      </c>
    </row>
    <row r="54" spans="1:10" x14ac:dyDescent="0.25">
      <c r="A54">
        <v>27</v>
      </c>
      <c r="B54" t="s">
        <v>102</v>
      </c>
      <c r="C54" t="str">
        <f>"980187918"</f>
        <v>980187918</v>
      </c>
      <c r="D54" t="str">
        <f>"000019396800898"</f>
        <v>000019396800898</v>
      </c>
      <c r="E54" t="str">
        <f>"22"</f>
        <v>22</v>
      </c>
      <c r="F54" t="s">
        <v>103</v>
      </c>
      <c r="G54" t="str">
        <f>"9.0"</f>
        <v>9.0</v>
      </c>
      <c r="H54" t="str">
        <f>"$6.98"</f>
        <v>$6.98</v>
      </c>
      <c r="I54" t="str">
        <f t="shared" ref="I54:I60" si="7">"18%"</f>
        <v>18%</v>
      </c>
      <c r="J54" t="str">
        <f>"$11.34"</f>
        <v>$11.34</v>
      </c>
    </row>
    <row r="55" spans="1:10" x14ac:dyDescent="0.25">
      <c r="A55">
        <v>28</v>
      </c>
      <c r="B55" t="s">
        <v>104</v>
      </c>
      <c r="C55" t="str">
        <f>"980243520"</f>
        <v>980243520</v>
      </c>
      <c r="D55" t="str">
        <f>"79108885906"</f>
        <v>79108885906</v>
      </c>
      <c r="E55" t="str">
        <f>"22"</f>
        <v>22</v>
      </c>
      <c r="F55" t="s">
        <v>103</v>
      </c>
      <c r="G55" t="str">
        <f t="shared" ref="G55:G62" si="8">"1.0"</f>
        <v>1.0</v>
      </c>
      <c r="H55" t="str">
        <f>"$16.98"</f>
        <v>$16.98</v>
      </c>
      <c r="I55" t="str">
        <f t="shared" si="7"/>
        <v>18%</v>
      </c>
      <c r="J55" t="str">
        <f>"$3.06"</f>
        <v>$3.06</v>
      </c>
    </row>
    <row r="56" spans="1:10" x14ac:dyDescent="0.25">
      <c r="A56">
        <v>29</v>
      </c>
      <c r="B56" t="s">
        <v>105</v>
      </c>
      <c r="C56" t="str">
        <f>"980183025"</f>
        <v>980183025</v>
      </c>
      <c r="D56" t="str">
        <f>"000076420435175"</f>
        <v>000076420435175</v>
      </c>
      <c r="E56" t="str">
        <f>"23"</f>
        <v>23</v>
      </c>
      <c r="F56" t="s">
        <v>106</v>
      </c>
      <c r="G56" t="str">
        <f t="shared" si="8"/>
        <v>1.0</v>
      </c>
      <c r="H56" t="str">
        <f>"$29.98"</f>
        <v>$29.98</v>
      </c>
      <c r="I56" t="str">
        <f t="shared" si="7"/>
        <v>18%</v>
      </c>
      <c r="J56" t="str">
        <f>"$5.40"</f>
        <v>$5.40</v>
      </c>
    </row>
    <row r="57" spans="1:10" x14ac:dyDescent="0.25">
      <c r="A57">
        <v>30</v>
      </c>
      <c r="B57" t="s">
        <v>107</v>
      </c>
      <c r="C57" t="str">
        <f>"980189646"</f>
        <v>980189646</v>
      </c>
      <c r="D57" t="str">
        <f>"000088867302295"</f>
        <v>000088867302295</v>
      </c>
      <c r="E57" t="str">
        <f>"23"</f>
        <v>23</v>
      </c>
      <c r="F57" t="s">
        <v>106</v>
      </c>
      <c r="G57" t="str">
        <f t="shared" si="8"/>
        <v>1.0</v>
      </c>
      <c r="H57" t="str">
        <f>"$16.98"</f>
        <v>$16.98</v>
      </c>
      <c r="I57" t="str">
        <f t="shared" si="7"/>
        <v>18%</v>
      </c>
      <c r="J57" t="str">
        <f>"$3.06"</f>
        <v>$3.06</v>
      </c>
    </row>
    <row r="58" spans="1:10" x14ac:dyDescent="0.25">
      <c r="A58">
        <v>31</v>
      </c>
      <c r="B58" t="s">
        <v>108</v>
      </c>
      <c r="C58" t="str">
        <f>"980184167"</f>
        <v>980184167</v>
      </c>
      <c r="D58" t="str">
        <f>"000071962127080"</f>
        <v>000071962127080</v>
      </c>
      <c r="E58" t="str">
        <f>"33"</f>
        <v>33</v>
      </c>
      <c r="F58" t="s">
        <v>109</v>
      </c>
      <c r="G58" t="str">
        <f t="shared" si="8"/>
        <v>1.0</v>
      </c>
      <c r="H58" t="str">
        <f>"$24.98"</f>
        <v>$24.98</v>
      </c>
      <c r="I58" t="str">
        <f t="shared" si="7"/>
        <v>18%</v>
      </c>
      <c r="J58" t="str">
        <f>"$4.50"</f>
        <v>$4.50</v>
      </c>
    </row>
    <row r="59" spans="1:10" x14ac:dyDescent="0.25">
      <c r="A59">
        <v>32</v>
      </c>
      <c r="B59" t="s">
        <v>110</v>
      </c>
      <c r="C59" t="str">
        <f>"980245481"</f>
        <v>980245481</v>
      </c>
      <c r="D59" t="str">
        <f>"000019049601525"</f>
        <v>000019049601525</v>
      </c>
      <c r="E59" t="str">
        <f>"33"</f>
        <v>33</v>
      </c>
      <c r="F59" t="s">
        <v>109</v>
      </c>
      <c r="G59" t="str">
        <f t="shared" si="8"/>
        <v>1.0</v>
      </c>
      <c r="H59" t="str">
        <f>"$16.98"</f>
        <v>$16.98</v>
      </c>
      <c r="I59" t="str">
        <f t="shared" si="7"/>
        <v>18%</v>
      </c>
      <c r="J59" t="str">
        <f>"$3.06"</f>
        <v>$3.06</v>
      </c>
    </row>
    <row r="60" spans="1:10" x14ac:dyDescent="0.25">
      <c r="A60">
        <v>33</v>
      </c>
      <c r="B60" t="s">
        <v>111</v>
      </c>
      <c r="C60" t="str">
        <f>"980237335"</f>
        <v>980237335</v>
      </c>
      <c r="D60" t="str">
        <f>"000088440260530"</f>
        <v>000088440260530</v>
      </c>
      <c r="E60" t="str">
        <f>"33"</f>
        <v>33</v>
      </c>
      <c r="F60" t="s">
        <v>109</v>
      </c>
      <c r="G60" t="str">
        <f t="shared" si="8"/>
        <v>1.0</v>
      </c>
      <c r="H60" t="str">
        <f>"$17.98"</f>
        <v>$17.98</v>
      </c>
      <c r="I60" t="str">
        <f t="shared" si="7"/>
        <v>18%</v>
      </c>
      <c r="J60" t="str">
        <f>"$3.24"</f>
        <v>$3.24</v>
      </c>
    </row>
    <row r="61" spans="1:10" x14ac:dyDescent="0.25">
      <c r="A61">
        <v>34</v>
      </c>
      <c r="B61" t="s">
        <v>26</v>
      </c>
      <c r="C61" t="str">
        <f>"46974"</f>
        <v>46974</v>
      </c>
      <c r="D61" t="str">
        <f>"000004200020272"</f>
        <v>000004200020272</v>
      </c>
      <c r="E61" t="str">
        <f>"94"</f>
        <v>94</v>
      </c>
      <c r="F61" t="s">
        <v>28</v>
      </c>
      <c r="G61" t="str">
        <f t="shared" si="8"/>
        <v>1.0</v>
      </c>
      <c r="H61" t="str">
        <f>"$27.18"</f>
        <v>$27.18</v>
      </c>
      <c r="I61" t="str">
        <f>"26%"</f>
        <v>26%</v>
      </c>
      <c r="J61" t="str">
        <f>"$7.07"</f>
        <v>$7.07</v>
      </c>
    </row>
    <row r="62" spans="1:10" x14ac:dyDescent="0.25">
      <c r="A62">
        <v>35</v>
      </c>
      <c r="B62" t="s">
        <v>56</v>
      </c>
      <c r="C62" t="str">
        <f>"980250695"</f>
        <v>980250695</v>
      </c>
      <c r="D62" t="str">
        <f>"3600049976"</f>
        <v>3600049976</v>
      </c>
      <c r="E62" t="str">
        <f>"94"</f>
        <v>94</v>
      </c>
      <c r="F62" t="s">
        <v>28</v>
      </c>
      <c r="G62" t="str">
        <f t="shared" si="8"/>
        <v>1.0</v>
      </c>
      <c r="H62" t="str">
        <f>"$27.98"</f>
        <v>$27.98</v>
      </c>
      <c r="I62" t="str">
        <f>"26%"</f>
        <v>26%</v>
      </c>
      <c r="J62" t="str">
        <f>"$7.28"</f>
        <v>$7.28</v>
      </c>
    </row>
    <row r="63" spans="1:10" x14ac:dyDescent="0.25">
      <c r="A63" t="s">
        <v>112</v>
      </c>
      <c r="G63" t="str">
        <f>"53.0"</f>
        <v>53.0</v>
      </c>
      <c r="H63" t="str">
        <f>"$1,419.94"</f>
        <v>$1,419.94</v>
      </c>
      <c r="I63" t="str">
        <f>"24%"</f>
        <v>24%</v>
      </c>
      <c r="J63" t="str">
        <f>"$333.79"</f>
        <v>$333.79</v>
      </c>
    </row>
    <row r="66" spans="1:10" x14ac:dyDescent="0.25">
      <c r="A66" t="s">
        <v>112</v>
      </c>
      <c r="G66" t="str">
        <f>"53.0"</f>
        <v>53.0</v>
      </c>
      <c r="H66" t="str">
        <f>"$1,419.94"</f>
        <v>$1,419.94</v>
      </c>
      <c r="I66" t="str">
        <f>"23%"</f>
        <v>23%</v>
      </c>
      <c r="J66" t="str">
        <f>"$333.79"</f>
        <v>$333.79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/>
  </sheetViews>
  <sheetFormatPr defaultRowHeight="15" x14ac:dyDescent="0.25"/>
  <cols>
    <col min="1" max="1" width="24.42578125" bestFit="1" customWidth="1"/>
    <col min="2" max="2" width="16.140625" bestFit="1" customWidth="1"/>
    <col min="3" max="3" width="28.140625" bestFit="1" customWidth="1"/>
    <col min="4" max="4" width="4.140625" bestFit="1" customWidth="1"/>
    <col min="5" max="5" width="9" hidden="1" customWidth="1"/>
    <col min="6" max="6" width="10.5703125" bestFit="1" customWidth="1"/>
    <col min="7" max="7" width="8.7109375" bestFit="1" customWidth="1"/>
    <col min="8" max="8" width="7.42578125" bestFit="1" customWidth="1"/>
    <col min="9" max="9" width="6.425781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</row>
    <row r="2" spans="1: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 t="s">
        <v>12</v>
      </c>
      <c r="B3" t="s">
        <v>13</v>
      </c>
      <c r="C3" t="s">
        <v>14</v>
      </c>
      <c r="D3">
        <v>1</v>
      </c>
      <c r="E3">
        <v>5.2</v>
      </c>
      <c r="F3">
        <v>14.97</v>
      </c>
    </row>
    <row r="4" spans="1:9" x14ac:dyDescent="0.25">
      <c r="A4" t="s">
        <v>15</v>
      </c>
      <c r="B4" t="s">
        <v>16</v>
      </c>
      <c r="C4" t="s">
        <v>17</v>
      </c>
      <c r="D4">
        <v>1</v>
      </c>
      <c r="E4">
        <v>3.2</v>
      </c>
      <c r="F4">
        <v>9.9700000000000006</v>
      </c>
    </row>
    <row r="5" spans="1:9" x14ac:dyDescent="0.25">
      <c r="A5" t="s">
        <v>18</v>
      </c>
      <c r="B5" t="s">
        <v>19</v>
      </c>
      <c r="C5" t="s">
        <v>20</v>
      </c>
      <c r="D5">
        <v>2</v>
      </c>
      <c r="E5">
        <v>2.52</v>
      </c>
      <c r="F5">
        <v>7.97</v>
      </c>
    </row>
    <row r="6" spans="1:9" x14ac:dyDescent="0.25">
      <c r="A6" t="s">
        <v>21</v>
      </c>
      <c r="B6" t="s">
        <v>22</v>
      </c>
      <c r="C6" t="s">
        <v>23</v>
      </c>
      <c r="D6">
        <v>1</v>
      </c>
      <c r="E6">
        <v>2.6</v>
      </c>
      <c r="F6">
        <v>7.97</v>
      </c>
    </row>
    <row r="7" spans="1:9" x14ac:dyDescent="0.25">
      <c r="A7" t="s">
        <v>24</v>
      </c>
      <c r="B7" t="s">
        <v>25</v>
      </c>
      <c r="C7" t="s">
        <v>20</v>
      </c>
      <c r="D7">
        <v>1</v>
      </c>
      <c r="E7">
        <v>2.38</v>
      </c>
      <c r="F7">
        <v>5.97</v>
      </c>
    </row>
    <row r="8" spans="1:9" x14ac:dyDescent="0.25">
      <c r="A8" t="s">
        <v>26</v>
      </c>
      <c r="B8" t="s">
        <v>27</v>
      </c>
      <c r="C8" t="s">
        <v>28</v>
      </c>
      <c r="D8">
        <v>1</v>
      </c>
      <c r="E8">
        <v>7.07</v>
      </c>
      <c r="F8">
        <v>17.97</v>
      </c>
    </row>
    <row r="9" spans="1:9" x14ac:dyDescent="0.25">
      <c r="A9" t="s">
        <v>29</v>
      </c>
      <c r="B9" t="s">
        <v>30</v>
      </c>
      <c r="C9" t="s">
        <v>20</v>
      </c>
      <c r="D9">
        <v>1</v>
      </c>
      <c r="E9">
        <v>6</v>
      </c>
      <c r="F9">
        <v>17.97</v>
      </c>
    </row>
    <row r="10" spans="1:9" x14ac:dyDescent="0.25">
      <c r="A10" t="s">
        <v>31</v>
      </c>
      <c r="B10" t="s">
        <v>32</v>
      </c>
      <c r="C10" t="s">
        <v>33</v>
      </c>
      <c r="D10">
        <v>1</v>
      </c>
      <c r="E10">
        <v>4.03</v>
      </c>
      <c r="F10">
        <v>12.97</v>
      </c>
    </row>
    <row r="11" spans="1:9" x14ac:dyDescent="0.25">
      <c r="A11" t="s">
        <v>34</v>
      </c>
      <c r="B11" t="s">
        <v>35</v>
      </c>
      <c r="C11" t="s">
        <v>17</v>
      </c>
      <c r="D11">
        <v>1</v>
      </c>
      <c r="E11">
        <v>2.8</v>
      </c>
      <c r="F11">
        <v>7.97</v>
      </c>
    </row>
    <row r="12" spans="1:9" x14ac:dyDescent="0.25">
      <c r="A12" t="s">
        <v>36</v>
      </c>
      <c r="B12" t="s">
        <v>37</v>
      </c>
      <c r="C12" t="s">
        <v>14</v>
      </c>
      <c r="D12">
        <v>2</v>
      </c>
      <c r="E12">
        <v>8.3000000000000007</v>
      </c>
      <c r="F12">
        <v>22.97</v>
      </c>
    </row>
    <row r="13" spans="1:9" x14ac:dyDescent="0.25">
      <c r="A13" t="s">
        <v>38</v>
      </c>
      <c r="B13" t="s">
        <v>39</v>
      </c>
      <c r="C13" t="s">
        <v>14</v>
      </c>
      <c r="D13">
        <v>1</v>
      </c>
      <c r="E13">
        <v>8.06</v>
      </c>
      <c r="F13">
        <v>22.97</v>
      </c>
    </row>
    <row r="14" spans="1:9" x14ac:dyDescent="0.25">
      <c r="A14" t="s">
        <v>40</v>
      </c>
      <c r="B14" t="s">
        <v>41</v>
      </c>
      <c r="C14" t="s">
        <v>17</v>
      </c>
      <c r="D14">
        <v>1</v>
      </c>
      <c r="E14">
        <v>2.06</v>
      </c>
      <c r="F14">
        <v>5.97</v>
      </c>
    </row>
    <row r="15" spans="1:9" x14ac:dyDescent="0.25">
      <c r="A15" t="s">
        <v>42</v>
      </c>
      <c r="B15" t="s">
        <v>43</v>
      </c>
      <c r="C15" t="s">
        <v>17</v>
      </c>
      <c r="D15">
        <v>1</v>
      </c>
      <c r="E15">
        <v>1.8</v>
      </c>
      <c r="F15">
        <v>4.97</v>
      </c>
    </row>
    <row r="16" spans="1:9" x14ac:dyDescent="0.25">
      <c r="A16" t="s">
        <v>44</v>
      </c>
      <c r="B16" t="s">
        <v>45</v>
      </c>
      <c r="C16" t="s">
        <v>17</v>
      </c>
      <c r="D16">
        <v>4</v>
      </c>
      <c r="E16">
        <v>4</v>
      </c>
      <c r="F16">
        <v>12.97</v>
      </c>
    </row>
    <row r="17" spans="1:8" x14ac:dyDescent="0.25">
      <c r="A17" t="s">
        <v>46</v>
      </c>
      <c r="B17" t="s">
        <v>47</v>
      </c>
      <c r="C17" t="s">
        <v>48</v>
      </c>
      <c r="D17">
        <v>1</v>
      </c>
      <c r="E17">
        <v>15.84</v>
      </c>
      <c r="F17">
        <v>39.97</v>
      </c>
    </row>
    <row r="18" spans="1:8" x14ac:dyDescent="0.25">
      <c r="A18" t="s">
        <v>49</v>
      </c>
      <c r="B18" t="s">
        <v>50</v>
      </c>
      <c r="C18" t="s">
        <v>51</v>
      </c>
      <c r="D18">
        <v>6</v>
      </c>
      <c r="E18">
        <v>3.9</v>
      </c>
      <c r="F18">
        <v>9.9700000000000006</v>
      </c>
    </row>
    <row r="19" spans="1:8" x14ac:dyDescent="0.25">
      <c r="A19" t="s">
        <v>52</v>
      </c>
      <c r="B19" t="s">
        <v>53</v>
      </c>
      <c r="C19" t="s">
        <v>14</v>
      </c>
      <c r="D19">
        <v>1</v>
      </c>
      <c r="E19">
        <v>4.8099999999999996</v>
      </c>
      <c r="F19">
        <v>12.97</v>
      </c>
    </row>
    <row r="20" spans="1:8" x14ac:dyDescent="0.25">
      <c r="A20" t="s">
        <v>54</v>
      </c>
      <c r="B20" t="s">
        <v>55</v>
      </c>
      <c r="C20" t="s">
        <v>17</v>
      </c>
      <c r="D20">
        <v>1</v>
      </c>
      <c r="E20">
        <v>2.3199999999999998</v>
      </c>
      <c r="F20">
        <v>5.97</v>
      </c>
    </row>
    <row r="21" spans="1:8" x14ac:dyDescent="0.25">
      <c r="A21" t="s">
        <v>56</v>
      </c>
      <c r="B21" t="s">
        <v>57</v>
      </c>
      <c r="C21" t="s">
        <v>28</v>
      </c>
      <c r="D21">
        <v>1</v>
      </c>
      <c r="E21">
        <v>7.28</v>
      </c>
      <c r="F21">
        <v>19.97</v>
      </c>
    </row>
    <row r="22" spans="1:8" x14ac:dyDescent="0.25">
      <c r="A22" t="s">
        <v>58</v>
      </c>
      <c r="B22" t="s">
        <v>59</v>
      </c>
      <c r="C22" t="s">
        <v>20</v>
      </c>
      <c r="D22">
        <v>1</v>
      </c>
      <c r="E22">
        <v>2.8</v>
      </c>
      <c r="F22">
        <v>7.97</v>
      </c>
    </row>
    <row r="23" spans="1:8" x14ac:dyDescent="0.25">
      <c r="A23" t="s">
        <v>60</v>
      </c>
      <c r="B23" t="s">
        <v>61</v>
      </c>
      <c r="C23" t="s">
        <v>23</v>
      </c>
      <c r="D23">
        <v>1</v>
      </c>
      <c r="E23">
        <v>2.6</v>
      </c>
      <c r="F23">
        <v>7.97</v>
      </c>
    </row>
    <row r="24" spans="1:8" x14ac:dyDescent="0.25">
      <c r="A24" t="s">
        <v>62</v>
      </c>
      <c r="B24" t="s">
        <v>63</v>
      </c>
      <c r="C24" t="s">
        <v>51</v>
      </c>
      <c r="D24">
        <v>1</v>
      </c>
      <c r="E24">
        <v>2.6</v>
      </c>
      <c r="F24">
        <v>7.97</v>
      </c>
    </row>
    <row r="25" spans="1:8" x14ac:dyDescent="0.25">
      <c r="A25" t="s">
        <v>64</v>
      </c>
      <c r="B25" t="s">
        <v>65</v>
      </c>
      <c r="C25" t="s">
        <v>20</v>
      </c>
      <c r="D25">
        <v>1</v>
      </c>
      <c r="E25">
        <v>20</v>
      </c>
      <c r="F25">
        <v>59.97</v>
      </c>
    </row>
    <row r="26" spans="1:8" x14ac:dyDescent="0.25">
      <c r="A26" t="s">
        <v>66</v>
      </c>
      <c r="B26" t="s">
        <v>67</v>
      </c>
      <c r="C26" t="s">
        <v>20</v>
      </c>
      <c r="D26">
        <v>1</v>
      </c>
      <c r="E26">
        <v>4.5999999999999996</v>
      </c>
      <c r="F26">
        <v>12.97</v>
      </c>
    </row>
    <row r="27" spans="1:8" x14ac:dyDescent="0.25">
      <c r="A27" t="s">
        <v>68</v>
      </c>
      <c r="B27" t="s">
        <v>69</v>
      </c>
      <c r="C27" t="s">
        <v>14</v>
      </c>
      <c r="D27">
        <v>1</v>
      </c>
      <c r="E27">
        <v>4.9400000000000004</v>
      </c>
      <c r="F27">
        <v>12.97</v>
      </c>
    </row>
    <row r="28" spans="1:8" x14ac:dyDescent="0.25">
      <c r="A28" t="s">
        <v>70</v>
      </c>
      <c r="B28" t="s">
        <v>71</v>
      </c>
      <c r="C28" t="s">
        <v>72</v>
      </c>
      <c r="D28">
        <v>1</v>
      </c>
      <c r="E28">
        <v>28.6</v>
      </c>
      <c r="F28">
        <v>79.97</v>
      </c>
      <c r="G28">
        <v>1</v>
      </c>
      <c r="H28" t="s">
        <v>73</v>
      </c>
    </row>
    <row r="29" spans="1:8" x14ac:dyDescent="0.25">
      <c r="A29" t="s">
        <v>74</v>
      </c>
      <c r="B29" t="s">
        <v>75</v>
      </c>
      <c r="C29" t="s">
        <v>76</v>
      </c>
      <c r="D29">
        <v>1</v>
      </c>
      <c r="E29">
        <v>91</v>
      </c>
      <c r="F29">
        <v>229.97</v>
      </c>
    </row>
    <row r="30" spans="1:8" x14ac:dyDescent="0.25">
      <c r="A30" t="s">
        <v>77</v>
      </c>
      <c r="B30" t="s">
        <v>78</v>
      </c>
      <c r="C30" t="s">
        <v>72</v>
      </c>
      <c r="D30">
        <v>1</v>
      </c>
      <c r="E30">
        <v>6.5</v>
      </c>
      <c r="F30">
        <v>17.97</v>
      </c>
    </row>
    <row r="32" spans="1:8" x14ac:dyDescent="0.25">
      <c r="A32" s="7" t="s">
        <v>79</v>
      </c>
      <c r="B32" s="8">
        <v>33.659999999999997</v>
      </c>
    </row>
    <row r="34" spans="1:3" x14ac:dyDescent="0.25">
      <c r="A34" s="7" t="s">
        <v>80</v>
      </c>
    </row>
    <row r="36" spans="1:3" x14ac:dyDescent="0.25">
      <c r="A36" s="6" t="s">
        <v>8</v>
      </c>
      <c r="B36" s="5" t="s">
        <v>81</v>
      </c>
      <c r="C36" s="5" t="s">
        <v>82</v>
      </c>
    </row>
    <row r="37" spans="1:3" x14ac:dyDescent="0.25">
      <c r="A37" s="4">
        <v>229.97</v>
      </c>
      <c r="B37" s="3" t="s">
        <v>83</v>
      </c>
      <c r="C37" s="2">
        <v>1</v>
      </c>
    </row>
    <row r="38" spans="1:3" x14ac:dyDescent="0.25">
      <c r="A38" s="4">
        <v>79.97</v>
      </c>
      <c r="B38" s="3" t="s">
        <v>84</v>
      </c>
      <c r="C38" s="2">
        <v>1</v>
      </c>
    </row>
    <row r="39" spans="1:3" x14ac:dyDescent="0.25">
      <c r="A39" s="4">
        <v>59.97</v>
      </c>
      <c r="B39" s="3" t="s">
        <v>85</v>
      </c>
      <c r="C39" s="2">
        <v>1</v>
      </c>
    </row>
    <row r="40" spans="1:3" x14ac:dyDescent="0.25">
      <c r="A40" s="4">
        <v>39.97</v>
      </c>
      <c r="B40" s="3" t="s">
        <v>86</v>
      </c>
      <c r="C40" s="2">
        <v>1</v>
      </c>
    </row>
    <row r="41" spans="1:3" x14ac:dyDescent="0.25">
      <c r="A41" s="4">
        <v>22.97</v>
      </c>
      <c r="B41" s="3" t="s">
        <v>87</v>
      </c>
      <c r="C41" s="2">
        <v>3</v>
      </c>
    </row>
    <row r="42" spans="1:3" x14ac:dyDescent="0.25">
      <c r="A42" s="4">
        <v>19.97</v>
      </c>
      <c r="B42" s="3" t="s">
        <v>88</v>
      </c>
      <c r="C42" s="2">
        <v>1</v>
      </c>
    </row>
    <row r="43" spans="1:3" x14ac:dyDescent="0.25">
      <c r="A43" s="4">
        <v>17.97</v>
      </c>
      <c r="B43" s="3" t="s">
        <v>89</v>
      </c>
      <c r="C43" s="2">
        <v>3</v>
      </c>
    </row>
    <row r="44" spans="1:3" x14ac:dyDescent="0.25">
      <c r="A44" s="4">
        <v>14.97</v>
      </c>
      <c r="B44" s="3" t="s">
        <v>90</v>
      </c>
      <c r="C44" s="2">
        <v>1</v>
      </c>
    </row>
    <row r="45" spans="1:3" x14ac:dyDescent="0.25">
      <c r="A45" s="4">
        <v>12.97</v>
      </c>
      <c r="B45" s="3" t="s">
        <v>91</v>
      </c>
      <c r="C45" s="2">
        <v>8</v>
      </c>
    </row>
    <row r="46" spans="1:3" x14ac:dyDescent="0.25">
      <c r="A46" s="4">
        <v>9.9700000000000006</v>
      </c>
      <c r="B46" s="3" t="s">
        <v>92</v>
      </c>
      <c r="C46" s="2">
        <v>7</v>
      </c>
    </row>
    <row r="47" spans="1:3" x14ac:dyDescent="0.25">
      <c r="A47" s="4">
        <v>7.97</v>
      </c>
      <c r="B47" s="3" t="s">
        <v>93</v>
      </c>
      <c r="C47" s="2">
        <v>7</v>
      </c>
    </row>
    <row r="48" spans="1:3" x14ac:dyDescent="0.25">
      <c r="A48" s="4">
        <v>5.97</v>
      </c>
      <c r="B48" s="3" t="s">
        <v>94</v>
      </c>
      <c r="C48" s="2">
        <v>3</v>
      </c>
    </row>
    <row r="49" spans="1:3" x14ac:dyDescent="0.25">
      <c r="A49" s="4">
        <v>4.97</v>
      </c>
      <c r="B49" s="3" t="s">
        <v>95</v>
      </c>
      <c r="C4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H9" sqref="H9"/>
    </sheetView>
  </sheetViews>
  <sheetFormatPr defaultRowHeight="15" x14ac:dyDescent="0.25"/>
  <cols>
    <col min="1" max="1" width="19.85546875" bestFit="1" customWidth="1"/>
    <col min="2" max="2" width="16.140625" bestFit="1" customWidth="1"/>
    <col min="3" max="3" width="19.5703125" bestFit="1" customWidth="1"/>
    <col min="4" max="4" width="4.140625" bestFit="1" customWidth="1"/>
    <col min="5" max="5" width="20.85546875" bestFit="1" customWidth="1"/>
    <col min="6" max="6" width="9.28515625" bestFit="1" customWidth="1"/>
    <col min="7" max="7" width="9" bestFit="1" customWidth="1"/>
    <col min="8" max="8" width="15.710937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99</v>
      </c>
      <c r="F1" t="s">
        <v>113</v>
      </c>
      <c r="G1" t="s">
        <v>7</v>
      </c>
      <c r="H1" t="s">
        <v>114</v>
      </c>
    </row>
    <row r="2" spans="1:8" x14ac:dyDescent="0.25">
      <c r="A2" t="s">
        <v>102</v>
      </c>
      <c r="B2" t="s">
        <v>115</v>
      </c>
      <c r="C2" t="s">
        <v>103</v>
      </c>
      <c r="D2">
        <v>9</v>
      </c>
      <c r="E2" s="1">
        <v>6.98</v>
      </c>
      <c r="F2" s="1">
        <v>62.820000000000007</v>
      </c>
      <c r="G2" s="1">
        <v>1.5356000000000001</v>
      </c>
      <c r="H2" s="1">
        <v>13.820400000000001</v>
      </c>
    </row>
    <row r="3" spans="1:8" x14ac:dyDescent="0.25">
      <c r="A3" t="s">
        <v>104</v>
      </c>
      <c r="B3" t="s">
        <v>116</v>
      </c>
      <c r="C3" t="s">
        <v>103</v>
      </c>
      <c r="D3">
        <v>1</v>
      </c>
      <c r="E3" s="1">
        <v>16.98</v>
      </c>
      <c r="F3" s="1">
        <v>16.98</v>
      </c>
      <c r="G3" s="1">
        <v>3.7356000000000003</v>
      </c>
      <c r="H3" s="1">
        <v>3.7356000000000003</v>
      </c>
    </row>
    <row r="4" spans="1:8" x14ac:dyDescent="0.25">
      <c r="A4" t="s">
        <v>105</v>
      </c>
      <c r="B4" t="s">
        <v>117</v>
      </c>
      <c r="C4" t="s">
        <v>106</v>
      </c>
      <c r="D4">
        <v>1</v>
      </c>
      <c r="E4" s="1">
        <v>29.98</v>
      </c>
      <c r="F4" s="1">
        <v>29.98</v>
      </c>
      <c r="G4" s="1">
        <v>6.5956000000000001</v>
      </c>
      <c r="H4" s="1">
        <v>6.5956000000000001</v>
      </c>
    </row>
    <row r="5" spans="1:8" x14ac:dyDescent="0.25">
      <c r="A5" t="s">
        <v>107</v>
      </c>
      <c r="B5" t="s">
        <v>118</v>
      </c>
      <c r="C5" t="s">
        <v>106</v>
      </c>
      <c r="D5">
        <v>1</v>
      </c>
      <c r="E5" s="1">
        <v>16.98</v>
      </c>
      <c r="F5" s="1">
        <v>16.98</v>
      </c>
      <c r="G5" s="1">
        <v>3.7356000000000003</v>
      </c>
      <c r="H5" s="1">
        <v>3.7356000000000003</v>
      </c>
    </row>
    <row r="6" spans="1:8" x14ac:dyDescent="0.25">
      <c r="A6" t="s">
        <v>108</v>
      </c>
      <c r="B6" t="s">
        <v>119</v>
      </c>
      <c r="C6" t="s">
        <v>109</v>
      </c>
      <c r="D6">
        <v>1</v>
      </c>
      <c r="E6" s="1">
        <v>24.98</v>
      </c>
      <c r="F6" s="1">
        <v>24.98</v>
      </c>
      <c r="G6" s="1">
        <v>5.4956000000000005</v>
      </c>
      <c r="H6" s="1">
        <v>5.4956000000000005</v>
      </c>
    </row>
    <row r="7" spans="1:8" x14ac:dyDescent="0.25">
      <c r="A7" t="s">
        <v>110</v>
      </c>
      <c r="B7" t="s">
        <v>120</v>
      </c>
      <c r="C7" t="s">
        <v>109</v>
      </c>
      <c r="D7">
        <v>1</v>
      </c>
      <c r="E7" s="1">
        <v>16.98</v>
      </c>
      <c r="F7" s="1">
        <v>16.98</v>
      </c>
      <c r="G7" s="1">
        <v>3.7356000000000003</v>
      </c>
      <c r="H7" s="1">
        <v>3.7356000000000003</v>
      </c>
    </row>
    <row r="8" spans="1:8" x14ac:dyDescent="0.25">
      <c r="A8" t="s">
        <v>111</v>
      </c>
      <c r="B8" t="s">
        <v>121</v>
      </c>
      <c r="C8" t="s">
        <v>109</v>
      </c>
      <c r="D8">
        <v>1</v>
      </c>
      <c r="E8" s="1">
        <v>17.98</v>
      </c>
      <c r="F8" s="1">
        <v>17.98</v>
      </c>
      <c r="G8" s="1">
        <v>3.9556</v>
      </c>
      <c r="H8" s="1">
        <v>3.9556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</vt:lpstr>
      <vt:lpstr>APPAREL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Arrington, Luke</dc:creator>
  <cp:keywords/>
  <dc:description/>
  <cp:lastModifiedBy>Arrington, Luke</cp:lastModifiedBy>
  <cp:revision/>
  <dcterms:created xsi:type="dcterms:W3CDTF">2020-08-18T20:06:03Z</dcterms:created>
  <dcterms:modified xsi:type="dcterms:W3CDTF">2020-12-15T19:53:24Z</dcterms:modified>
  <cp:category/>
  <cp:contentStatus/>
</cp:coreProperties>
</file>