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8_{7B67785B-02A3-4188-BCB4-A01E96C382A3}" xr6:coauthVersionLast="47" xr6:coauthVersionMax="47" xr10:uidLastSave="{00000000-0000-0000-0000-000000000000}"/>
  <bookViews>
    <workbookView xWindow="3760" yWindow="3760" windowWidth="19180" windowHeight="11170" xr2:uid="{00000000-000D-0000-FFFF-FFFF00000000}"/>
  </bookViews>
  <sheets>
    <sheet name="Italy vs South Korea" sheetId="1" r:id="rId1"/>
    <sheet name="South Korea vs Spa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0" i="1" l="1"/>
  <c r="F92" i="1"/>
  <c r="G34" i="1"/>
  <c r="G35" i="1"/>
  <c r="G36" i="1"/>
  <c r="G37" i="1"/>
  <c r="G38" i="1"/>
  <c r="G39" i="1"/>
  <c r="G40" i="1"/>
  <c r="G41" i="1"/>
  <c r="G42" i="1"/>
  <c r="G43" i="1"/>
  <c r="G33" i="1"/>
  <c r="F42" i="1"/>
  <c r="D107" i="1" s="1"/>
  <c r="E44" i="1"/>
  <c r="D44" i="1"/>
  <c r="F35" i="1" s="1"/>
  <c r="D100" i="1" s="1"/>
  <c r="G51" i="1"/>
  <c r="G52" i="1"/>
  <c r="E72" i="1" s="1"/>
  <c r="G53" i="1"/>
  <c r="G54" i="1"/>
  <c r="G55" i="1"/>
  <c r="G56" i="1"/>
  <c r="G57" i="1"/>
  <c r="G58" i="1"/>
  <c r="G59" i="1"/>
  <c r="G60" i="1"/>
  <c r="G50" i="1"/>
  <c r="B106" i="1"/>
  <c r="B78" i="1"/>
  <c r="E61" i="1"/>
  <c r="D61" i="1"/>
  <c r="F51" i="1" s="1"/>
  <c r="E99" i="1" s="1"/>
  <c r="E79" i="1" l="1"/>
  <c r="D71" i="1"/>
  <c r="F58" i="1"/>
  <c r="E106" i="1" s="1"/>
  <c r="F54" i="1"/>
  <c r="F34" i="1"/>
  <c r="F41" i="1"/>
  <c r="D106" i="1" s="1"/>
  <c r="F37" i="1"/>
  <c r="D102" i="1" s="1"/>
  <c r="F38" i="1"/>
  <c r="F50" i="1"/>
  <c r="F57" i="1"/>
  <c r="F53" i="1"/>
  <c r="F60" i="1"/>
  <c r="F56" i="1"/>
  <c r="F52" i="1"/>
  <c r="F33" i="1"/>
  <c r="F40" i="1"/>
  <c r="F36" i="1"/>
  <c r="F59" i="1"/>
  <c r="E107" i="1" s="1"/>
  <c r="F55" i="1"/>
  <c r="F43" i="1"/>
  <c r="F39" i="1"/>
  <c r="F114" i="2"/>
  <c r="F88" i="2"/>
  <c r="E74" i="1" l="1"/>
  <c r="E78" i="1"/>
  <c r="E80" i="1"/>
  <c r="D108" i="1"/>
  <c r="E77" i="1"/>
  <c r="D105" i="1"/>
  <c r="D80" i="1"/>
  <c r="E108" i="1"/>
  <c r="E75" i="1"/>
  <c r="D103" i="1"/>
  <c r="D74" i="1"/>
  <c r="E102" i="1"/>
  <c r="D75" i="1"/>
  <c r="E103" i="1"/>
  <c r="E70" i="1"/>
  <c r="D98" i="1"/>
  <c r="D73" i="1"/>
  <c r="E101" i="1"/>
  <c r="D72" i="1"/>
  <c r="E100" i="1"/>
  <c r="D77" i="1"/>
  <c r="E105" i="1"/>
  <c r="D78" i="1"/>
  <c r="E76" i="1"/>
  <c r="D104" i="1"/>
  <c r="E73" i="1"/>
  <c r="D101" i="1"/>
  <c r="D76" i="1"/>
  <c r="E104" i="1"/>
  <c r="D70" i="1"/>
  <c r="E98" i="1"/>
  <c r="E71" i="1"/>
  <c r="D99" i="1"/>
  <c r="D79" i="1"/>
  <c r="F44" i="1"/>
  <c r="F61" i="1"/>
  <c r="E59" i="2"/>
  <c r="D59" i="2"/>
  <c r="F52" i="2" s="1"/>
  <c r="G52" i="2" s="1"/>
  <c r="B102" i="2"/>
  <c r="B101" i="2"/>
  <c r="B100" i="2"/>
  <c r="B99" i="2"/>
  <c r="B98" i="2"/>
  <c r="B97" i="2"/>
  <c r="B96" i="2"/>
  <c r="B95" i="2"/>
  <c r="B94" i="2"/>
  <c r="B76" i="2"/>
  <c r="B75" i="2"/>
  <c r="B74" i="2"/>
  <c r="B73" i="2"/>
  <c r="B72" i="2"/>
  <c r="B71" i="2"/>
  <c r="B70" i="2"/>
  <c r="B69" i="2"/>
  <c r="B68" i="2"/>
  <c r="E43" i="2"/>
  <c r="D43" i="2"/>
  <c r="G42" i="2"/>
  <c r="F42" i="2"/>
  <c r="B42" i="2"/>
  <c r="G41" i="2"/>
  <c r="F41" i="2"/>
  <c r="B41" i="2"/>
  <c r="G40" i="2"/>
  <c r="F40" i="2"/>
  <c r="B40" i="2"/>
  <c r="G39" i="2"/>
  <c r="F39" i="2"/>
  <c r="B39" i="2"/>
  <c r="G38" i="2"/>
  <c r="F38" i="2"/>
  <c r="B38" i="2"/>
  <c r="G37" i="2"/>
  <c r="F37" i="2"/>
  <c r="B37" i="2"/>
  <c r="G36" i="2"/>
  <c r="F36" i="2"/>
  <c r="B36" i="2"/>
  <c r="G35" i="2"/>
  <c r="F35" i="2"/>
  <c r="B35" i="2"/>
  <c r="G34" i="2"/>
  <c r="F34" i="2"/>
  <c r="B34" i="2"/>
  <c r="B57" i="2"/>
  <c r="B56" i="2"/>
  <c r="B55" i="2"/>
  <c r="B54" i="2"/>
  <c r="B53" i="2"/>
  <c r="B52" i="2"/>
  <c r="B51" i="2"/>
  <c r="B50" i="2"/>
  <c r="B49" i="2"/>
  <c r="B105" i="1"/>
  <c r="B104" i="1"/>
  <c r="B103" i="1"/>
  <c r="B102" i="1"/>
  <c r="B101" i="1"/>
  <c r="B100" i="1"/>
  <c r="B99" i="1"/>
  <c r="B98" i="1"/>
  <c r="B77" i="1"/>
  <c r="B76" i="1"/>
  <c r="B75" i="1"/>
  <c r="B74" i="1"/>
  <c r="B73" i="1"/>
  <c r="B72" i="1"/>
  <c r="B71" i="1"/>
  <c r="B70" i="1"/>
  <c r="G44" i="1" l="1"/>
  <c r="F57" i="2"/>
  <c r="G57" i="2" s="1"/>
  <c r="D76" i="2" s="1"/>
  <c r="F54" i="2"/>
  <c r="G54" i="2" s="1"/>
  <c r="D73" i="2" s="1"/>
  <c r="F53" i="2"/>
  <c r="G53" i="2" s="1"/>
  <c r="E98" i="2" s="1"/>
  <c r="F49" i="2"/>
  <c r="G49" i="2" s="1"/>
  <c r="E94" i="2" s="1"/>
  <c r="F51" i="2"/>
  <c r="G51" i="2" s="1"/>
  <c r="D70" i="2" s="1"/>
  <c r="G43" i="2"/>
  <c r="B9" i="2" s="1"/>
  <c r="F55" i="2"/>
  <c r="F50" i="2"/>
  <c r="D95" i="2" s="1"/>
  <c r="F56" i="2"/>
  <c r="G56" i="2" s="1"/>
  <c r="D75" i="2" s="1"/>
  <c r="G61" i="1"/>
  <c r="B11" i="1" s="1"/>
  <c r="E96" i="2"/>
  <c r="G59" i="2"/>
  <c r="B11" i="2" s="1"/>
  <c r="E97" i="2"/>
  <c r="F43" i="2"/>
  <c r="D99" i="2"/>
  <c r="D71" i="2"/>
  <c r="E109" i="1" l="1"/>
  <c r="D117" i="1" s="1"/>
  <c r="D81" i="1"/>
  <c r="D88" i="1" s="1"/>
  <c r="D115" i="1"/>
  <c r="B9" i="1"/>
  <c r="B13" i="1" s="1"/>
  <c r="D87" i="1"/>
  <c r="B125" i="1"/>
  <c r="E73" i="2"/>
  <c r="D112" i="2"/>
  <c r="E99" i="2"/>
  <c r="D72" i="2"/>
  <c r="D68" i="2"/>
  <c r="B13" i="2"/>
  <c r="E102" i="2"/>
  <c r="D96" i="2"/>
  <c r="E70" i="2"/>
  <c r="E101" i="2"/>
  <c r="G50" i="2"/>
  <c r="E95" i="2" s="1"/>
  <c r="G55" i="2"/>
  <c r="D74" i="2" s="1"/>
  <c r="D100" i="2"/>
  <c r="D86" i="2"/>
  <c r="B119" i="2"/>
  <c r="E69" i="2"/>
  <c r="F59" i="2"/>
  <c r="D90" i="1"/>
  <c r="D118" i="1"/>
  <c r="E74" i="2"/>
  <c r="D109" i="2"/>
  <c r="D83" i="2"/>
  <c r="E68" i="2"/>
  <c r="D94" i="2"/>
  <c r="E76" i="2"/>
  <c r="D102" i="2"/>
  <c r="D101" i="2"/>
  <c r="E75" i="2"/>
  <c r="D97" i="2"/>
  <c r="E71" i="2"/>
  <c r="E72" i="2"/>
  <c r="D98" i="2"/>
  <c r="D109" i="1" l="1"/>
  <c r="D116" i="1" s="1"/>
  <c r="D120" i="1" s="1"/>
  <c r="B133" i="1" s="1"/>
  <c r="E81" i="1"/>
  <c r="D89" i="1" s="1"/>
  <c r="D92" i="1" s="1"/>
  <c r="B129" i="1" s="1"/>
  <c r="D69" i="2"/>
  <c r="D77" i="2" s="1"/>
  <c r="D84" i="2" s="1"/>
  <c r="E100" i="2"/>
  <c r="E103" i="2" s="1"/>
  <c r="D111" i="2" s="1"/>
  <c r="E77" i="2"/>
  <c r="D85" i="2" s="1"/>
  <c r="D103" i="2"/>
  <c r="D110" i="2" s="1"/>
  <c r="D133" i="1" l="1"/>
  <c r="B17" i="1" s="1"/>
  <c r="D88" i="2"/>
  <c r="B123" i="2" s="1"/>
  <c r="D114" i="2"/>
  <c r="B127" i="2" s="1"/>
  <c r="D129" i="1"/>
  <c r="B15" i="1" s="1"/>
  <c r="D127" i="2" l="1"/>
  <c r="B17" i="2" s="1"/>
  <c r="D123" i="2"/>
  <c r="B15" i="2" s="1"/>
</calcChain>
</file>

<file path=xl/sharedStrings.xml><?xml version="1.0" encoding="utf-8"?>
<sst xmlns="http://schemas.openxmlformats.org/spreadsheetml/2006/main" count="157" uniqueCount="77">
  <si>
    <t>Age group</t>
  </si>
  <si>
    <t>Source South Korea:</t>
  </si>
  <si>
    <t xml:space="preserve">Date Italy: </t>
  </si>
  <si>
    <t>Cases</t>
  </si>
  <si>
    <t>Deaths</t>
  </si>
  <si>
    <t>Age distribution</t>
  </si>
  <si>
    <t>Total</t>
  </si>
  <si>
    <t>(Age-specific) CFR</t>
  </si>
  <si>
    <t>CFR IT</t>
  </si>
  <si>
    <t>CFR SK</t>
  </si>
  <si>
    <t>Alpha</t>
  </si>
  <si>
    <t>Hyp.1 IT</t>
  </si>
  <si>
    <t>Hyp.1 SK</t>
  </si>
  <si>
    <t>Hyp.1 IT = (Age-specific) CFR of Italy if it had South Korea's age distribution</t>
  </si>
  <si>
    <t>Hyp.1 SK = (Age-specific) CFR of South Korea if it had Italy's age distribution</t>
  </si>
  <si>
    <t>Hyp.2 IT</t>
  </si>
  <si>
    <t>Hyp.2 SK</t>
  </si>
  <si>
    <t>Hyp.2 IT = (Age-specific) CFR of Italy if it had South Korea's age-specific fatality rates</t>
  </si>
  <si>
    <t>Hyp.2 SK = (Age-specific) CFR of South Korea if it had Italy's age-specific fatality rates</t>
  </si>
  <si>
    <t>Total difference (CFR Italy minus CFR South Korea)</t>
  </si>
  <si>
    <t>Absolute</t>
  </si>
  <si>
    <t>Relative</t>
  </si>
  <si>
    <t>Delta</t>
  </si>
  <si>
    <t xml:space="preserve">Date Spain: </t>
  </si>
  <si>
    <t>26 March 2020</t>
  </si>
  <si>
    <t>Source Spain:</t>
  </si>
  <si>
    <t>https://www.cdc.go.kr/board/board.es?mid=a30402000000&amp;bid=0030</t>
  </si>
  <si>
    <t>https://www.mscbs.gob.es/profesionales/saludPublica/ccayes/alertasActual/nCov-China/documentos/Actualizacion_57_COVID-19.pdf</t>
  </si>
  <si>
    <t>Hyp.1 ES</t>
  </si>
  <si>
    <t>Hyp.1 ES = (Age-specific) CFR of Spain if it had South Korea's age distribution</t>
  </si>
  <si>
    <t>Hyp.1 SK = (Age-specific) CFR of South Korea if it had Spain's age distribution</t>
  </si>
  <si>
    <t>Hyp.2 ES</t>
  </si>
  <si>
    <t>Hyp.2 ES = (Age-specific) CFR of Spain if it had South Korea's age-specific fatality rates</t>
  </si>
  <si>
    <t>Hyp.2 SK = (Age-specific) CFR of South Korea if it had Spain's age-specific fatality rates</t>
  </si>
  <si>
    <t>CFR ES</t>
  </si>
  <si>
    <t>Unknown</t>
  </si>
  <si>
    <t>Total difference (CFR South Korea - CFR Spain)</t>
  </si>
  <si>
    <t>Case fatality rate in South Korea:</t>
  </si>
  <si>
    <t>Case fatality rate in Spain:</t>
  </si>
  <si>
    <t>Difference in CFRs (SK minus ES):</t>
  </si>
  <si>
    <t>Proportion of difference explained by age structure of cases (Alpha):</t>
  </si>
  <si>
    <t>Proportion of difference explained by age-specific case fatality (Delta):</t>
  </si>
  <si>
    <t>1. Summary</t>
  </si>
  <si>
    <t>2. Data sources</t>
  </si>
  <si>
    <t xml:space="preserve">Date South Korea: </t>
  </si>
  <si>
    <t>Case fatality rate in Italy:</t>
  </si>
  <si>
    <t>Difference in CFRs (IT minus SK):</t>
  </si>
  <si>
    <t>3. Input data</t>
  </si>
  <si>
    <t>4. Decompositions</t>
  </si>
  <si>
    <t>4.1 Age component (Alpha)</t>
  </si>
  <si>
    <t>4.2 Fatality component (Delta)</t>
  </si>
  <si>
    <t>4.3 Decomposition and contributions</t>
  </si>
  <si>
    <t>3.1 South Korea</t>
  </si>
  <si>
    <t>3.2 Spain</t>
  </si>
  <si>
    <t>4. Decomposition</t>
  </si>
  <si>
    <t xml:space="preserve">Note: </t>
  </si>
  <si>
    <t>This is an additional example using data not discussed in the paper. The methods, however, are the same.</t>
  </si>
  <si>
    <t>Decomposing the difference between CFRs in South Korea and Spain</t>
  </si>
  <si>
    <t>Age distribution (Alpha component)</t>
  </si>
  <si>
    <t>Age-specific fatality (Delta component)</t>
  </si>
  <si>
    <t>30 June 2020</t>
  </si>
  <si>
    <t>Source:</t>
  </si>
  <si>
    <t>https://osf.io/mpwjq/</t>
  </si>
  <si>
    <t>90-99</t>
  </si>
  <si>
    <t>100+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</si>
  <si>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</si>
  <si>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</si>
  <si>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</si>
  <si>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</si>
  <si>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</si>
  <si>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</si>
  <si>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</si>
  <si>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</si>
  <si>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</si>
  <si>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3.2 Italy</t>
  </si>
  <si>
    <t>Decomposing the difference between the South Korean and the Italian CFR</t>
  </si>
  <si>
    <t>This reproduces the results for the comparison of SK and IT as shown in Table 2 of the paper.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</si>
</sst>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2"/>
    <xf numFmtId="17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6" fillId="0" borderId="0" xfId="0" applyFont="1"/>
    <xf numFmtId="0" fontId="0" fillId="0" borderId="2" xfId="0" applyBorder="1"/>
    <xf numFmtId="0" fontId="2" fillId="0" borderId="2" xfId="0" applyFont="1" applyBorder="1"/>
    <xf numFmtId="164" fontId="0" fillId="0" borderId="2" xfId="0" applyNumberFormat="1" applyBorder="1"/>
    <xf numFmtId="0" fontId="7" fillId="0" borderId="0" xfId="0" applyFont="1"/>
    <xf numFmtId="0" fontId="8" fillId="0" borderId="0" xfId="0" applyFont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sf.io/mpwjq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abSelected="1" zoomScaleNormal="100" workbookViewId="0">
      <selection activeCell="B4" sqref="B4"/>
    </sheetView>
  </sheetViews>
  <sheetFormatPr defaultRowHeight="14.5" x14ac:dyDescent="0.35"/>
  <cols>
    <col min="2" max="2" width="10" bestFit="1" customWidth="1"/>
    <col min="3" max="3" width="2.1796875" customWidth="1"/>
    <col min="4" max="4" width="10.26953125" bestFit="1" customWidth="1"/>
    <col min="5" max="5" width="11.453125" bestFit="1" customWidth="1"/>
    <col min="6" max="6" width="15.453125" bestFit="1" customWidth="1"/>
    <col min="7" max="7" width="17.26953125" bestFit="1" customWidth="1"/>
    <col min="8" max="8" width="15" bestFit="1" customWidth="1"/>
  </cols>
  <sheetData>
    <row r="1" spans="1:5" ht="21" x14ac:dyDescent="0.5">
      <c r="A1" s="7" t="s">
        <v>75</v>
      </c>
    </row>
    <row r="3" spans="1:5" x14ac:dyDescent="0.35">
      <c r="A3" s="1" t="s">
        <v>55</v>
      </c>
      <c r="B3" t="s">
        <v>76</v>
      </c>
    </row>
    <row r="4" spans="1:5" x14ac:dyDescent="0.35">
      <c r="A4" s="1"/>
    </row>
    <row r="6" spans="1:5" s="8" customFormat="1" ht="18.5" x14ac:dyDescent="0.45">
      <c r="A6" s="9" t="s">
        <v>42</v>
      </c>
    </row>
    <row r="8" spans="1:5" x14ac:dyDescent="0.35">
      <c r="A8" s="1" t="s">
        <v>37</v>
      </c>
    </row>
    <row r="9" spans="1:5" x14ac:dyDescent="0.35">
      <c r="A9" s="1"/>
      <c r="B9" s="15">
        <f>G44</f>
        <v>2.2031250000000006E-2</v>
      </c>
      <c r="E9" s="5"/>
    </row>
    <row r="10" spans="1:5" x14ac:dyDescent="0.35">
      <c r="A10" s="1" t="s">
        <v>45</v>
      </c>
    </row>
    <row r="11" spans="1:5" x14ac:dyDescent="0.35">
      <c r="A11" s="1"/>
      <c r="B11" s="15">
        <f>G61</f>
        <v>0.14030067996090745</v>
      </c>
      <c r="E11" s="5"/>
    </row>
    <row r="12" spans="1:5" x14ac:dyDescent="0.35">
      <c r="A12" s="1" t="s">
        <v>46</v>
      </c>
    </row>
    <row r="13" spans="1:5" x14ac:dyDescent="0.35">
      <c r="A13" s="1"/>
      <c r="B13" s="15">
        <f>B9-B11</f>
        <v>-0.11826942996090745</v>
      </c>
      <c r="E13" s="5"/>
    </row>
    <row r="14" spans="1:5" x14ac:dyDescent="0.35">
      <c r="A14" s="1" t="s">
        <v>40</v>
      </c>
      <c r="E14" s="5"/>
    </row>
    <row r="15" spans="1:5" x14ac:dyDescent="0.35">
      <c r="A15" s="1"/>
      <c r="B15" s="15">
        <f>D129</f>
        <v>0.65254522435128259</v>
      </c>
      <c r="E15" s="5"/>
    </row>
    <row r="16" spans="1:5" x14ac:dyDescent="0.35">
      <c r="A16" s="1" t="s">
        <v>41</v>
      </c>
      <c r="E16" s="5"/>
    </row>
    <row r="17" spans="1:7" x14ac:dyDescent="0.35">
      <c r="B17" s="15">
        <f>D133</f>
        <v>0.34745477564871735</v>
      </c>
    </row>
    <row r="18" spans="1:7" x14ac:dyDescent="0.35">
      <c r="B18" s="15"/>
    </row>
    <row r="20" spans="1:7" s="8" customFormat="1" ht="18.5" x14ac:dyDescent="0.45">
      <c r="A20" s="9" t="s">
        <v>43</v>
      </c>
    </row>
    <row r="22" spans="1:7" x14ac:dyDescent="0.35">
      <c r="A22" s="1" t="s">
        <v>44</v>
      </c>
      <c r="D22" t="s">
        <v>60</v>
      </c>
    </row>
    <row r="23" spans="1:7" x14ac:dyDescent="0.35">
      <c r="A23" s="1" t="s">
        <v>2</v>
      </c>
      <c r="D23" t="s">
        <v>60</v>
      </c>
    </row>
    <row r="24" spans="1:7" x14ac:dyDescent="0.35">
      <c r="A24" s="1" t="s">
        <v>61</v>
      </c>
      <c r="D24" s="3" t="s">
        <v>62</v>
      </c>
    </row>
    <row r="25" spans="1:7" x14ac:dyDescent="0.35">
      <c r="A25" s="1"/>
      <c r="D25" s="3"/>
    </row>
    <row r="27" spans="1:7" s="8" customFormat="1" ht="18.5" x14ac:dyDescent="0.45">
      <c r="A27" s="9" t="s">
        <v>47</v>
      </c>
    </row>
    <row r="29" spans="1:7" ht="15.5" x14ac:dyDescent="0.35">
      <c r="A29" s="11" t="s">
        <v>52</v>
      </c>
    </row>
    <row r="31" spans="1:7" x14ac:dyDescent="0.35">
      <c r="B31" s="6" t="s">
        <v>0</v>
      </c>
      <c r="C31" s="6"/>
      <c r="D31" s="6" t="s">
        <v>3</v>
      </c>
      <c r="E31" s="6" t="s">
        <v>4</v>
      </c>
      <c r="F31" s="6" t="s">
        <v>5</v>
      </c>
      <c r="G31" s="6" t="s">
        <v>7</v>
      </c>
    </row>
    <row r="33" spans="1:7" x14ac:dyDescent="0.35">
      <c r="B33" t="s">
        <v>65</v>
      </c>
      <c r="D33">
        <v>193</v>
      </c>
      <c r="E33">
        <v>0</v>
      </c>
      <c r="F33" s="5">
        <f>D33/$D$44</f>
        <v>1.5078125E-2</v>
      </c>
      <c r="G33" s="5">
        <f>E33/D33</f>
        <v>0</v>
      </c>
    </row>
    <row r="34" spans="1:7" x14ac:dyDescent="0.35">
      <c r="B34" s="4" t="s">
        <v>66</v>
      </c>
      <c r="D34">
        <v>708</v>
      </c>
      <c r="E34">
        <v>0</v>
      </c>
      <c r="F34" s="5">
        <f t="shared" ref="F34:F43" si="0">D34/$D$44</f>
        <v>5.5312500000000001E-2</v>
      </c>
      <c r="G34" s="5">
        <f t="shared" ref="G34:G43" si="1">E34/D34</f>
        <v>0</v>
      </c>
    </row>
    <row r="35" spans="1:7" x14ac:dyDescent="0.35">
      <c r="B35" t="s">
        <v>67</v>
      </c>
      <c r="D35">
        <v>3362</v>
      </c>
      <c r="E35">
        <v>0</v>
      </c>
      <c r="F35" s="5">
        <f t="shared" si="0"/>
        <v>0.26265624999999998</v>
      </c>
      <c r="G35" s="5">
        <f t="shared" si="1"/>
        <v>0</v>
      </c>
    </row>
    <row r="36" spans="1:7" x14ac:dyDescent="0.35">
      <c r="B36" t="s">
        <v>68</v>
      </c>
      <c r="D36">
        <v>1496</v>
      </c>
      <c r="E36">
        <v>2</v>
      </c>
      <c r="F36" s="5">
        <f t="shared" si="0"/>
        <v>0.11687500000000001</v>
      </c>
      <c r="G36" s="5">
        <f t="shared" si="1"/>
        <v>1.3368983957219251E-3</v>
      </c>
    </row>
    <row r="37" spans="1:7" x14ac:dyDescent="0.35">
      <c r="B37" t="s">
        <v>69</v>
      </c>
      <c r="D37">
        <v>1681</v>
      </c>
      <c r="E37">
        <v>3</v>
      </c>
      <c r="F37" s="5">
        <f t="shared" si="0"/>
        <v>0.13132812499999999</v>
      </c>
      <c r="G37" s="5">
        <f t="shared" si="1"/>
        <v>1.784651992861392E-3</v>
      </c>
    </row>
    <row r="38" spans="1:7" x14ac:dyDescent="0.35">
      <c r="B38" t="s">
        <v>70</v>
      </c>
      <c r="D38">
        <v>2286</v>
      </c>
      <c r="E38">
        <v>15</v>
      </c>
      <c r="F38" s="5">
        <f t="shared" si="0"/>
        <v>0.17859375</v>
      </c>
      <c r="G38" s="5">
        <f t="shared" si="1"/>
        <v>6.5616797900262466E-3</v>
      </c>
    </row>
    <row r="39" spans="1:7" x14ac:dyDescent="0.35">
      <c r="B39" t="s">
        <v>71</v>
      </c>
      <c r="D39">
        <v>1668</v>
      </c>
      <c r="E39">
        <v>41</v>
      </c>
      <c r="F39" s="5">
        <f t="shared" si="0"/>
        <v>0.1303125</v>
      </c>
      <c r="G39" s="5">
        <f t="shared" si="1"/>
        <v>2.4580335731414868E-2</v>
      </c>
    </row>
    <row r="40" spans="1:7" x14ac:dyDescent="0.35">
      <c r="B40" t="s">
        <v>72</v>
      </c>
      <c r="D40">
        <v>850</v>
      </c>
      <c r="E40">
        <v>82</v>
      </c>
      <c r="F40" s="5">
        <f t="shared" si="0"/>
        <v>6.640625E-2</v>
      </c>
      <c r="G40" s="5">
        <f t="shared" si="1"/>
        <v>9.6470588235294114E-2</v>
      </c>
    </row>
    <row r="41" spans="1:7" x14ac:dyDescent="0.35">
      <c r="B41" t="s">
        <v>73</v>
      </c>
      <c r="D41">
        <v>456.9</v>
      </c>
      <c r="E41">
        <v>99.3</v>
      </c>
      <c r="F41" s="5">
        <f t="shared" si="0"/>
        <v>3.56953125E-2</v>
      </c>
      <c r="G41" s="5">
        <f t="shared" si="1"/>
        <v>0.21733420879842416</v>
      </c>
    </row>
    <row r="42" spans="1:7" x14ac:dyDescent="0.35">
      <c r="B42" t="s">
        <v>63</v>
      </c>
      <c r="D42">
        <v>98.2</v>
      </c>
      <c r="E42">
        <v>39.1</v>
      </c>
      <c r="F42" s="5">
        <f t="shared" si="0"/>
        <v>7.6718749999999999E-3</v>
      </c>
      <c r="G42" s="5">
        <f t="shared" si="1"/>
        <v>0.39816700610997963</v>
      </c>
    </row>
    <row r="43" spans="1:7" x14ac:dyDescent="0.35">
      <c r="B43" t="s">
        <v>64</v>
      </c>
      <c r="D43">
        <v>0.9</v>
      </c>
      <c r="E43">
        <v>0.6</v>
      </c>
      <c r="F43" s="5">
        <f t="shared" si="0"/>
        <v>7.0312500000000008E-5</v>
      </c>
      <c r="G43" s="5">
        <f t="shared" si="1"/>
        <v>0.66666666666666663</v>
      </c>
    </row>
    <row r="44" spans="1:7" x14ac:dyDescent="0.35">
      <c r="B44" s="8" t="s">
        <v>6</v>
      </c>
      <c r="C44" s="8"/>
      <c r="D44" s="8">
        <f>SUM(D33:D43)</f>
        <v>12800</v>
      </c>
      <c r="E44" s="8">
        <f t="shared" ref="E44:F44" si="2">SUM(E33:E43)</f>
        <v>282.00000000000006</v>
      </c>
      <c r="F44" s="8">
        <f t="shared" si="2"/>
        <v>1</v>
      </c>
      <c r="G44" s="10">
        <f>E44/D44</f>
        <v>2.2031250000000006E-2</v>
      </c>
    </row>
    <row r="45" spans="1:7" x14ac:dyDescent="0.35">
      <c r="F45" s="5"/>
      <c r="G45" s="5"/>
    </row>
    <row r="46" spans="1:7" ht="15.5" x14ac:dyDescent="0.35">
      <c r="A46" s="11" t="s">
        <v>74</v>
      </c>
    </row>
    <row r="48" spans="1:7" x14ac:dyDescent="0.35">
      <c r="B48" s="6" t="s">
        <v>0</v>
      </c>
      <c r="C48" s="6"/>
      <c r="D48" s="6" t="s">
        <v>3</v>
      </c>
      <c r="E48" s="6" t="s">
        <v>4</v>
      </c>
      <c r="F48" s="6" t="s">
        <v>5</v>
      </c>
      <c r="G48" s="6" t="s">
        <v>7</v>
      </c>
    </row>
    <row r="50" spans="1:7" x14ac:dyDescent="0.35">
      <c r="B50" t="s">
        <v>65</v>
      </c>
      <c r="D50">
        <v>2189.3000000000002</v>
      </c>
      <c r="E50">
        <v>4</v>
      </c>
      <c r="F50" s="5">
        <f>D50/$D$61</f>
        <v>9.1048221080867534E-3</v>
      </c>
      <c r="G50" s="5">
        <f>E50/D50</f>
        <v>1.8270680126067692E-3</v>
      </c>
    </row>
    <row r="51" spans="1:7" x14ac:dyDescent="0.35">
      <c r="B51" s="4" t="s">
        <v>66</v>
      </c>
      <c r="D51">
        <v>3903.6</v>
      </c>
      <c r="E51">
        <v>0</v>
      </c>
      <c r="F51" s="5">
        <f t="shared" ref="F51:F60" si="3">D51/$D$61</f>
        <v>1.6234222619616975E-2</v>
      </c>
      <c r="G51" s="5">
        <f t="shared" ref="G51:G60" si="4">E51/D51</f>
        <v>0</v>
      </c>
    </row>
    <row r="52" spans="1:7" x14ac:dyDescent="0.35">
      <c r="B52" t="s">
        <v>67</v>
      </c>
      <c r="D52">
        <v>14007.2</v>
      </c>
      <c r="E52">
        <v>16</v>
      </c>
      <c r="F52" s="5">
        <f t="shared" si="3"/>
        <v>5.8252895552182327E-2</v>
      </c>
      <c r="G52" s="5">
        <f t="shared" si="4"/>
        <v>1.1422696898737792E-3</v>
      </c>
    </row>
    <row r="53" spans="1:7" x14ac:dyDescent="0.35">
      <c r="B53" t="s">
        <v>68</v>
      </c>
      <c r="D53">
        <v>19101</v>
      </c>
      <c r="E53">
        <v>66</v>
      </c>
      <c r="F53" s="5">
        <f t="shared" si="3"/>
        <v>7.9436900875423683E-2</v>
      </c>
      <c r="G53" s="5">
        <f t="shared" si="4"/>
        <v>3.4553164755771948E-3</v>
      </c>
    </row>
    <row r="54" spans="1:7" x14ac:dyDescent="0.35">
      <c r="B54" t="s">
        <v>69</v>
      </c>
      <c r="D54">
        <v>31434</v>
      </c>
      <c r="E54">
        <v>296</v>
      </c>
      <c r="F54" s="5">
        <f t="shared" si="3"/>
        <v>0.13072716308664822</v>
      </c>
      <c r="G54" s="5">
        <f t="shared" si="4"/>
        <v>9.4165553222625188E-3</v>
      </c>
    </row>
    <row r="55" spans="1:7" x14ac:dyDescent="0.35">
      <c r="B55" t="s">
        <v>70</v>
      </c>
      <c r="D55">
        <v>43047.8</v>
      </c>
      <c r="E55">
        <v>1174</v>
      </c>
      <c r="F55" s="5">
        <f t="shared" si="3"/>
        <v>0.17902642906157079</v>
      </c>
      <c r="G55" s="5">
        <f t="shared" si="4"/>
        <v>2.7272009254828353E-2</v>
      </c>
    </row>
    <row r="56" spans="1:7" x14ac:dyDescent="0.35">
      <c r="B56" t="s">
        <v>71</v>
      </c>
      <c r="D56">
        <v>32062.1</v>
      </c>
      <c r="E56">
        <v>3411</v>
      </c>
      <c r="F56" s="5">
        <f t="shared" si="3"/>
        <v>0.13333929425464222</v>
      </c>
      <c r="G56" s="5">
        <f t="shared" si="4"/>
        <v>0.10638729216114977</v>
      </c>
    </row>
    <row r="57" spans="1:7" x14ac:dyDescent="0.35">
      <c r="B57" t="s">
        <v>72</v>
      </c>
      <c r="D57">
        <v>34134.400000000001</v>
      </c>
      <c r="E57">
        <v>8909</v>
      </c>
      <c r="F57" s="5">
        <f t="shared" si="3"/>
        <v>0.14195753883262982</v>
      </c>
      <c r="G57" s="5">
        <f t="shared" si="4"/>
        <v>0.26099770319677507</v>
      </c>
    </row>
    <row r="58" spans="1:7" x14ac:dyDescent="0.35">
      <c r="B58" t="s">
        <v>73</v>
      </c>
      <c r="D58">
        <v>41492.6</v>
      </c>
      <c r="E58">
        <v>13792</v>
      </c>
      <c r="F58" s="5">
        <f t="shared" si="3"/>
        <v>0.17255869081532926</v>
      </c>
      <c r="G58" s="5">
        <f t="shared" si="4"/>
        <v>0.3323966201202142</v>
      </c>
    </row>
    <row r="59" spans="1:7" x14ac:dyDescent="0.35">
      <c r="B59" t="s">
        <v>63</v>
      </c>
      <c r="D59">
        <v>18312.099999999999</v>
      </c>
      <c r="E59">
        <v>5840.1</v>
      </c>
      <c r="F59" s="5">
        <f t="shared" si="3"/>
        <v>7.6156037512216418E-2</v>
      </c>
      <c r="G59" s="5">
        <f t="shared" si="4"/>
        <v>0.31892027675689849</v>
      </c>
    </row>
    <row r="60" spans="1:7" x14ac:dyDescent="0.35">
      <c r="B60" t="s">
        <v>64</v>
      </c>
      <c r="D60">
        <v>770.9</v>
      </c>
      <c r="E60">
        <v>227.9</v>
      </c>
      <c r="F60" s="5">
        <f t="shared" si="3"/>
        <v>3.2060052816535317E-3</v>
      </c>
      <c r="G60" s="5">
        <f t="shared" si="4"/>
        <v>0.29562848618497861</v>
      </c>
    </row>
    <row r="61" spans="1:7" x14ac:dyDescent="0.35">
      <c r="B61" s="8" t="s">
        <v>6</v>
      </c>
      <c r="C61" s="8"/>
      <c r="D61" s="8">
        <f>SUM(D50:D60)</f>
        <v>240455</v>
      </c>
      <c r="E61" s="8">
        <f>SUM(E50:E60)</f>
        <v>33736</v>
      </c>
      <c r="F61" s="10">
        <f>SUM(F50:F60)</f>
        <v>1</v>
      </c>
      <c r="G61" s="10">
        <f>E61/D61</f>
        <v>0.14030067996090745</v>
      </c>
    </row>
    <row r="62" spans="1:7" x14ac:dyDescent="0.35">
      <c r="B62" s="13"/>
      <c r="C62" s="13"/>
      <c r="D62" s="13"/>
      <c r="E62" s="13"/>
      <c r="F62" s="14"/>
      <c r="G62" s="14"/>
    </row>
    <row r="64" spans="1:7" s="8" customFormat="1" ht="18.5" x14ac:dyDescent="0.45">
      <c r="A64" s="9" t="s">
        <v>48</v>
      </c>
    </row>
    <row r="66" spans="1:5" ht="15.5" x14ac:dyDescent="0.35">
      <c r="A66" s="12" t="s">
        <v>49</v>
      </c>
    </row>
    <row r="68" spans="1:5" x14ac:dyDescent="0.35">
      <c r="B68" s="6" t="s">
        <v>0</v>
      </c>
      <c r="C68" s="6"/>
      <c r="D68" s="6" t="s">
        <v>12</v>
      </c>
      <c r="E68" s="6" t="s">
        <v>11</v>
      </c>
    </row>
    <row r="70" spans="1:5" x14ac:dyDescent="0.35">
      <c r="B70" t="str">
        <f>"0-9"</f>
        <v>0-9</v>
      </c>
      <c r="D70" s="5">
        <f>G33*F50</f>
        <v>0</v>
      </c>
      <c r="E70" s="5">
        <f>G50*F33</f>
        <v>2.7548759877586439E-5</v>
      </c>
    </row>
    <row r="71" spans="1:5" x14ac:dyDescent="0.35">
      <c r="B71" s="4" t="str">
        <f>"10-19"</f>
        <v>10-19</v>
      </c>
      <c r="D71" s="5">
        <f t="shared" ref="D71:D80" si="5">G34*F51</f>
        <v>0</v>
      </c>
      <c r="E71" s="5">
        <f t="shared" ref="E71:E80" si="6">G51*F34</f>
        <v>0</v>
      </c>
    </row>
    <row r="72" spans="1:5" x14ac:dyDescent="0.35">
      <c r="B72" t="str">
        <f>"20-29"</f>
        <v>20-29</v>
      </c>
      <c r="D72" s="5">
        <f t="shared" si="5"/>
        <v>0</v>
      </c>
      <c r="E72" s="5">
        <f t="shared" si="6"/>
        <v>3.0002427323090982E-4</v>
      </c>
    </row>
    <row r="73" spans="1:5" x14ac:dyDescent="0.35">
      <c r="B73" t="str">
        <f>"30-39"</f>
        <v>30-39</v>
      </c>
      <c r="D73" s="5">
        <f t="shared" si="5"/>
        <v>1.0619906534147551E-4</v>
      </c>
      <c r="E73" s="5">
        <f t="shared" si="6"/>
        <v>4.0384011308308465E-4</v>
      </c>
    </row>
    <row r="74" spans="1:5" x14ac:dyDescent="0.35">
      <c r="B74" t="str">
        <f>"40-49"</f>
        <v>40-49</v>
      </c>
      <c r="D74" s="5">
        <f t="shared" si="5"/>
        <v>2.3330249212370296E-4</v>
      </c>
      <c r="E74" s="5">
        <f t="shared" si="6"/>
        <v>1.2366585544315073E-3</v>
      </c>
    </row>
    <row r="75" spans="1:5" x14ac:dyDescent="0.35">
      <c r="B75" t="str">
        <f>"50-59"</f>
        <v>50-59</v>
      </c>
      <c r="D75" s="5">
        <f t="shared" si="5"/>
        <v>1.1747141014538766E-3</v>
      </c>
      <c r="E75" s="5">
        <f t="shared" si="6"/>
        <v>4.8706104028545007E-3</v>
      </c>
    </row>
    <row r="76" spans="1:5" x14ac:dyDescent="0.35">
      <c r="B76" t="str">
        <f>"60-69"</f>
        <v>60-69</v>
      </c>
      <c r="D76" s="5">
        <f t="shared" si="5"/>
        <v>3.2775246189690236E-3</v>
      </c>
      <c r="E76" s="5">
        <f t="shared" si="6"/>
        <v>1.3863594009749829E-2</v>
      </c>
    </row>
    <row r="77" spans="1:5" x14ac:dyDescent="0.35">
      <c r="B77" t="str">
        <f>"70-79"</f>
        <v>70-79</v>
      </c>
      <c r="D77" s="5">
        <f t="shared" si="5"/>
        <v>1.3694727275618405E-2</v>
      </c>
      <c r="E77" s="5">
        <f t="shared" si="6"/>
        <v>1.7331878727910845E-2</v>
      </c>
    </row>
    <row r="78" spans="1:5" x14ac:dyDescent="0.35">
      <c r="B78" t="str">
        <f>"80-89"</f>
        <v>80-89</v>
      </c>
      <c r="D78" s="5">
        <f t="shared" si="5"/>
        <v>3.7502906539641487E-2</v>
      </c>
      <c r="E78" s="5">
        <f t="shared" si="6"/>
        <v>1.1865001229134833E-2</v>
      </c>
    </row>
    <row r="79" spans="1:5" x14ac:dyDescent="0.35">
      <c r="B79" t="s">
        <v>63</v>
      </c>
      <c r="D79" s="5">
        <f t="shared" si="5"/>
        <v>3.0322821453438512E-2</v>
      </c>
      <c r="E79" s="5">
        <f t="shared" si="6"/>
        <v>2.4467164982443306E-3</v>
      </c>
    </row>
    <row r="80" spans="1:5" x14ac:dyDescent="0.35">
      <c r="B80" t="s">
        <v>64</v>
      </c>
      <c r="D80" s="5">
        <f t="shared" si="5"/>
        <v>2.1373368544356877E-3</v>
      </c>
      <c r="E80" s="5">
        <f t="shared" si="6"/>
        <v>2.0786377934881311E-5</v>
      </c>
    </row>
    <row r="81" spans="1:6" x14ac:dyDescent="0.35">
      <c r="B81" s="8" t="s">
        <v>6</v>
      </c>
      <c r="C81" s="8"/>
      <c r="D81" s="10">
        <f>SUM(D70:D80)</f>
        <v>8.8449532401022171E-2</v>
      </c>
      <c r="E81" s="10">
        <f>SUM(E70:E80)</f>
        <v>5.2366658946452302E-2</v>
      </c>
    </row>
    <row r="83" spans="1:6" x14ac:dyDescent="0.35">
      <c r="B83" t="s">
        <v>14</v>
      </c>
    </row>
    <row r="84" spans="1:6" x14ac:dyDescent="0.35">
      <c r="B84" t="s">
        <v>13</v>
      </c>
    </row>
    <row r="87" spans="1:6" x14ac:dyDescent="0.35">
      <c r="B87" t="s">
        <v>9</v>
      </c>
      <c r="D87" s="5">
        <f>G44</f>
        <v>2.2031250000000006E-2</v>
      </c>
    </row>
    <row r="88" spans="1:6" x14ac:dyDescent="0.35">
      <c r="B88" t="s">
        <v>12</v>
      </c>
      <c r="D88" s="5">
        <f>D81</f>
        <v>8.8449532401022171E-2</v>
      </c>
    </row>
    <row r="89" spans="1:6" x14ac:dyDescent="0.35">
      <c r="B89" t="s">
        <v>11</v>
      </c>
      <c r="D89" s="5">
        <f>E81</f>
        <v>5.2366658946452302E-2</v>
      </c>
    </row>
    <row r="90" spans="1:6" x14ac:dyDescent="0.35">
      <c r="B90" t="s">
        <v>8</v>
      </c>
      <c r="D90" s="5">
        <f>G61</f>
        <v>0.14030067996090745</v>
      </c>
    </row>
    <row r="92" spans="1:6" x14ac:dyDescent="0.35">
      <c r="B92" s="1" t="s">
        <v>10</v>
      </c>
      <c r="D92" s="5">
        <f>0.5*(D87-D88+D89-D90)</f>
        <v>-7.7176151707738658E-2</v>
      </c>
      <c r="F92" t="str">
        <f>"Formula = 0.5*(CFR SK - Hyp.1 SK + Hyp.1 IT - CFR IT)"</f>
        <v>Formula = 0.5*(CFR SK - Hyp.1 SK + Hyp.1 IT - CFR IT)</v>
      </c>
    </row>
    <row r="93" spans="1:6" x14ac:dyDescent="0.35">
      <c r="B93" s="1"/>
      <c r="D93" s="5"/>
    </row>
    <row r="94" spans="1:6" ht="15.5" x14ac:dyDescent="0.35">
      <c r="A94" s="12" t="s">
        <v>50</v>
      </c>
    </row>
    <row r="96" spans="1:6" x14ac:dyDescent="0.35">
      <c r="B96" s="6" t="s">
        <v>0</v>
      </c>
      <c r="C96" s="6"/>
      <c r="D96" s="6" t="s">
        <v>16</v>
      </c>
      <c r="E96" s="6" t="s">
        <v>15</v>
      </c>
    </row>
    <row r="98" spans="2:5" x14ac:dyDescent="0.35">
      <c r="B98" t="str">
        <f>"0-9"</f>
        <v>0-9</v>
      </c>
      <c r="D98" s="5">
        <f>F33*G50</f>
        <v>2.7548759877586439E-5</v>
      </c>
      <c r="E98" s="5">
        <f>F50*G33</f>
        <v>0</v>
      </c>
    </row>
    <row r="99" spans="2:5" x14ac:dyDescent="0.35">
      <c r="B99" s="4" t="str">
        <f>"10-19"</f>
        <v>10-19</v>
      </c>
      <c r="D99" s="5">
        <f t="shared" ref="D99:D108" si="7">F34*G51</f>
        <v>0</v>
      </c>
      <c r="E99" s="5">
        <f t="shared" ref="E99:E108" si="8">F51*G34</f>
        <v>0</v>
      </c>
    </row>
    <row r="100" spans="2:5" x14ac:dyDescent="0.35">
      <c r="B100" t="str">
        <f>"20-29"</f>
        <v>20-29</v>
      </c>
      <c r="D100" s="5">
        <f t="shared" si="7"/>
        <v>3.0002427323090982E-4</v>
      </c>
      <c r="E100" s="5">
        <f t="shared" si="8"/>
        <v>0</v>
      </c>
    </row>
    <row r="101" spans="2:5" x14ac:dyDescent="0.35">
      <c r="B101" t="str">
        <f>"30-39"</f>
        <v>30-39</v>
      </c>
      <c r="D101" s="5">
        <f t="shared" si="7"/>
        <v>4.0384011308308465E-4</v>
      </c>
      <c r="E101" s="5">
        <f t="shared" si="8"/>
        <v>1.0619906534147551E-4</v>
      </c>
    </row>
    <row r="102" spans="2:5" x14ac:dyDescent="0.35">
      <c r="B102" t="str">
        <f>"40-49"</f>
        <v>40-49</v>
      </c>
      <c r="D102" s="5">
        <f t="shared" si="7"/>
        <v>1.2366585544315073E-3</v>
      </c>
      <c r="E102" s="5">
        <f t="shared" si="8"/>
        <v>2.3330249212370296E-4</v>
      </c>
    </row>
    <row r="103" spans="2:5" x14ac:dyDescent="0.35">
      <c r="B103" t="str">
        <f>"50-59"</f>
        <v>50-59</v>
      </c>
      <c r="D103" s="5">
        <f t="shared" si="7"/>
        <v>4.8706104028545007E-3</v>
      </c>
      <c r="E103" s="5">
        <f t="shared" si="8"/>
        <v>1.1747141014538766E-3</v>
      </c>
    </row>
    <row r="104" spans="2:5" x14ac:dyDescent="0.35">
      <c r="B104" t="str">
        <f>"60-69"</f>
        <v>60-69</v>
      </c>
      <c r="D104" s="5">
        <f t="shared" si="7"/>
        <v>1.3863594009749829E-2</v>
      </c>
      <c r="E104" s="5">
        <f t="shared" si="8"/>
        <v>3.2775246189690236E-3</v>
      </c>
    </row>
    <row r="105" spans="2:5" x14ac:dyDescent="0.35">
      <c r="B105" t="str">
        <f>"70-79"</f>
        <v>70-79</v>
      </c>
      <c r="D105" s="5">
        <f t="shared" si="7"/>
        <v>1.7331878727910845E-2</v>
      </c>
      <c r="E105" s="5">
        <f t="shared" si="8"/>
        <v>1.3694727275618405E-2</v>
      </c>
    </row>
    <row r="106" spans="2:5" x14ac:dyDescent="0.35">
      <c r="B106" t="str">
        <f>"80-89"</f>
        <v>80-89</v>
      </c>
      <c r="D106" s="5">
        <f t="shared" si="7"/>
        <v>1.1865001229134833E-2</v>
      </c>
      <c r="E106" s="5">
        <f t="shared" si="8"/>
        <v>3.7502906539641487E-2</v>
      </c>
    </row>
    <row r="107" spans="2:5" x14ac:dyDescent="0.35">
      <c r="B107" t="s">
        <v>63</v>
      </c>
      <c r="D107" s="5">
        <f t="shared" si="7"/>
        <v>2.4467164982443306E-3</v>
      </c>
      <c r="E107" s="5">
        <f t="shared" si="8"/>
        <v>3.0322821453438512E-2</v>
      </c>
    </row>
    <row r="108" spans="2:5" x14ac:dyDescent="0.35">
      <c r="B108" t="s">
        <v>64</v>
      </c>
      <c r="D108" s="5">
        <f t="shared" si="7"/>
        <v>2.0786377934881311E-5</v>
      </c>
      <c r="E108" s="5">
        <f t="shared" si="8"/>
        <v>2.1373368544356877E-3</v>
      </c>
    </row>
    <row r="109" spans="2:5" x14ac:dyDescent="0.35">
      <c r="B109" s="8" t="s">
        <v>6</v>
      </c>
      <c r="C109" s="8"/>
      <c r="D109" s="10">
        <f>SUM(D98:D108)</f>
        <v>5.2366658946452302E-2</v>
      </c>
      <c r="E109" s="10">
        <f>SUM(E98:E108)</f>
        <v>8.8449532401022171E-2</v>
      </c>
    </row>
    <row r="111" spans="2:5" x14ac:dyDescent="0.35">
      <c r="B111" t="s">
        <v>18</v>
      </c>
    </row>
    <row r="112" spans="2:5" x14ac:dyDescent="0.35">
      <c r="B112" t="s">
        <v>17</v>
      </c>
    </row>
    <row r="115" spans="1:6" x14ac:dyDescent="0.35">
      <c r="B115" t="s">
        <v>9</v>
      </c>
      <c r="D115" s="5">
        <f>G44</f>
        <v>2.2031250000000006E-2</v>
      </c>
    </row>
    <row r="116" spans="1:6" x14ac:dyDescent="0.35">
      <c r="B116" t="s">
        <v>16</v>
      </c>
      <c r="D116" s="5">
        <f>D109</f>
        <v>5.2366658946452302E-2</v>
      </c>
    </row>
    <row r="117" spans="1:6" x14ac:dyDescent="0.35">
      <c r="B117" t="s">
        <v>15</v>
      </c>
      <c r="D117" s="5">
        <f>E109</f>
        <v>8.8449532401022171E-2</v>
      </c>
    </row>
    <row r="118" spans="1:6" x14ac:dyDescent="0.35">
      <c r="B118" t="s">
        <v>8</v>
      </c>
      <c r="D118" s="5">
        <f>G61</f>
        <v>0.14030067996090745</v>
      </c>
    </row>
    <row r="120" spans="1:6" x14ac:dyDescent="0.35">
      <c r="B120" s="1" t="s">
        <v>22</v>
      </c>
      <c r="D120" s="5">
        <f>0.5*(D115-D116+D117-D118)</f>
        <v>-4.1093278253168788E-2</v>
      </c>
      <c r="F120" t="str">
        <f>"Formula = 0.5*(CFR SK - Hyp.2 SK + Hyp.2 IT - CFR IT)"</f>
        <v>Formula = 0.5*(CFR SK - Hyp.2 SK + Hyp.2 IT - CFR IT)</v>
      </c>
    </row>
    <row r="122" spans="1:6" ht="15.5" x14ac:dyDescent="0.35">
      <c r="A122" s="12" t="s">
        <v>51</v>
      </c>
    </row>
    <row r="124" spans="1:6" x14ac:dyDescent="0.35">
      <c r="B124" s="2" t="s">
        <v>19</v>
      </c>
    </row>
    <row r="125" spans="1:6" x14ac:dyDescent="0.35">
      <c r="B125" s="5">
        <f>G44-G61</f>
        <v>-0.11826942996090745</v>
      </c>
    </row>
    <row r="127" spans="1:6" x14ac:dyDescent="0.35">
      <c r="B127" s="2" t="s">
        <v>58</v>
      </c>
    </row>
    <row r="128" spans="1:6" x14ac:dyDescent="0.35">
      <c r="B128" s="1" t="s">
        <v>20</v>
      </c>
      <c r="D128" s="1" t="s">
        <v>21</v>
      </c>
    </row>
    <row r="129" spans="2:4" x14ac:dyDescent="0.35">
      <c r="B129" s="5">
        <f>D92</f>
        <v>-7.7176151707738658E-2</v>
      </c>
      <c r="D129" s="15">
        <f>ABS(B129)/(ABS(B129)+ABS(B133))</f>
        <v>0.65254522435128259</v>
      </c>
    </row>
    <row r="131" spans="2:4" x14ac:dyDescent="0.35">
      <c r="B131" s="2" t="s">
        <v>59</v>
      </c>
    </row>
    <row r="132" spans="2:4" x14ac:dyDescent="0.35">
      <c r="B132" s="1" t="s">
        <v>20</v>
      </c>
      <c r="D132" s="1" t="s">
        <v>21</v>
      </c>
    </row>
    <row r="133" spans="2:4" x14ac:dyDescent="0.35">
      <c r="B133" s="5">
        <f>D120</f>
        <v>-4.1093278253168788E-2</v>
      </c>
      <c r="D133" s="15">
        <f>ABS(B133)/(ABS(B129)+ABS(B133))</f>
        <v>0.34745477564871735</v>
      </c>
    </row>
    <row r="135" spans="2:4" x14ac:dyDescent="0.35">
      <c r="B135" s="5"/>
    </row>
    <row r="136" spans="2:4" s="8" customFormat="1" x14ac:dyDescent="0.35"/>
  </sheetData>
  <hyperlinks>
    <hyperlink ref="D2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0"/>
  <sheetViews>
    <sheetView topLeftCell="A58" workbookViewId="0">
      <selection activeCell="D68" sqref="D68"/>
    </sheetView>
  </sheetViews>
  <sheetFormatPr defaultRowHeight="14.5" x14ac:dyDescent="0.35"/>
  <cols>
    <col min="2" max="2" width="10" bestFit="1" customWidth="1"/>
    <col min="3" max="3" width="2.1796875" customWidth="1"/>
    <col min="4" max="4" width="10.26953125" bestFit="1" customWidth="1"/>
    <col min="5" max="5" width="11.453125" bestFit="1" customWidth="1"/>
    <col min="6" max="6" width="15.453125" bestFit="1" customWidth="1"/>
    <col min="7" max="7" width="17.26953125" bestFit="1" customWidth="1"/>
    <col min="8" max="8" width="15" bestFit="1" customWidth="1"/>
  </cols>
  <sheetData>
    <row r="1" spans="1:5" ht="21" x14ac:dyDescent="0.5">
      <c r="A1" s="7" t="s">
        <v>57</v>
      </c>
    </row>
    <row r="3" spans="1:5" x14ac:dyDescent="0.35">
      <c r="A3" s="1" t="s">
        <v>55</v>
      </c>
      <c r="B3" t="s">
        <v>56</v>
      </c>
    </row>
    <row r="4" spans="1:5" x14ac:dyDescent="0.35">
      <c r="A4" s="1"/>
    </row>
    <row r="6" spans="1:5" s="8" customFormat="1" ht="18.5" x14ac:dyDescent="0.45">
      <c r="A6" s="9" t="s">
        <v>42</v>
      </c>
    </row>
    <row r="8" spans="1:5" x14ac:dyDescent="0.35">
      <c r="A8" s="1" t="s">
        <v>37</v>
      </c>
    </row>
    <row r="9" spans="1:5" x14ac:dyDescent="0.35">
      <c r="A9" s="1"/>
      <c r="B9" s="15">
        <f>G43</f>
        <v>1.4175954983226923E-2</v>
      </c>
      <c r="E9" s="5"/>
    </row>
    <row r="10" spans="1:5" x14ac:dyDescent="0.35">
      <c r="A10" s="1" t="s">
        <v>38</v>
      </c>
    </row>
    <row r="11" spans="1:5" x14ac:dyDescent="0.35">
      <c r="A11" s="1"/>
      <c r="B11" s="15">
        <f>G59</f>
        <v>7.5836338375560031E-2</v>
      </c>
      <c r="E11" s="5"/>
    </row>
    <row r="12" spans="1:5" x14ac:dyDescent="0.35">
      <c r="A12" s="1" t="s">
        <v>39</v>
      </c>
    </row>
    <row r="13" spans="1:5" x14ac:dyDescent="0.35">
      <c r="A13" s="1"/>
      <c r="B13" s="15">
        <f>B9-B11</f>
        <v>-6.166038339233311E-2</v>
      </c>
      <c r="E13" s="5"/>
    </row>
    <row r="14" spans="1:5" x14ac:dyDescent="0.35">
      <c r="A14" s="1" t="s">
        <v>40</v>
      </c>
      <c r="E14" s="5"/>
    </row>
    <row r="15" spans="1:5" x14ac:dyDescent="0.35">
      <c r="A15" s="1"/>
      <c r="B15" s="15">
        <f>D123</f>
        <v>0.56427055420919481</v>
      </c>
      <c r="E15" s="5"/>
    </row>
    <row r="16" spans="1:5" x14ac:dyDescent="0.35">
      <c r="A16" s="1" t="s">
        <v>41</v>
      </c>
      <c r="E16" s="5"/>
    </row>
    <row r="17" spans="1:7" x14ac:dyDescent="0.35">
      <c r="B17" s="15">
        <f>D127</f>
        <v>0.43572944579080514</v>
      </c>
    </row>
    <row r="20" spans="1:7" s="8" customFormat="1" ht="18.5" x14ac:dyDescent="0.45">
      <c r="A20" s="9" t="s">
        <v>43</v>
      </c>
    </row>
    <row r="22" spans="1:7" x14ac:dyDescent="0.35">
      <c r="A22" s="1" t="s">
        <v>1</v>
      </c>
      <c r="D22" s="3" t="s">
        <v>26</v>
      </c>
    </row>
    <row r="23" spans="1:7" x14ac:dyDescent="0.35">
      <c r="A23" s="1" t="s">
        <v>44</v>
      </c>
      <c r="D23" t="s">
        <v>24</v>
      </c>
    </row>
    <row r="24" spans="1:7" x14ac:dyDescent="0.35">
      <c r="A24" s="1" t="s">
        <v>25</v>
      </c>
      <c r="D24" s="3" t="s">
        <v>27</v>
      </c>
    </row>
    <row r="25" spans="1:7" x14ac:dyDescent="0.35">
      <c r="A25" s="1" t="s">
        <v>23</v>
      </c>
      <c r="D25" t="s">
        <v>24</v>
      </c>
    </row>
    <row r="26" spans="1:7" x14ac:dyDescent="0.35">
      <c r="A26" s="1"/>
      <c r="D26" s="3"/>
    </row>
    <row r="28" spans="1:7" s="8" customFormat="1" ht="18.5" x14ac:dyDescent="0.45">
      <c r="A28" s="9" t="s">
        <v>47</v>
      </c>
    </row>
    <row r="30" spans="1:7" ht="15.5" x14ac:dyDescent="0.35">
      <c r="A30" s="11" t="s">
        <v>52</v>
      </c>
    </row>
    <row r="32" spans="1:7" x14ac:dyDescent="0.35">
      <c r="B32" s="6" t="s">
        <v>0</v>
      </c>
      <c r="C32" s="6"/>
      <c r="D32" s="6" t="s">
        <v>3</v>
      </c>
      <c r="E32" s="6" t="s">
        <v>4</v>
      </c>
      <c r="F32" s="6" t="s">
        <v>5</v>
      </c>
      <c r="G32" s="6" t="s">
        <v>7</v>
      </c>
    </row>
    <row r="34" spans="1:7" x14ac:dyDescent="0.35">
      <c r="B34" t="str">
        <f>"0-9"</f>
        <v>0-9</v>
      </c>
      <c r="D34">
        <v>106</v>
      </c>
      <c r="E34">
        <v>0</v>
      </c>
      <c r="F34" s="5">
        <f t="shared" ref="F34:F42" si="0">D34/SUM($D$34:$D$42)</f>
        <v>1.1470620062763771E-2</v>
      </c>
      <c r="G34" s="5">
        <f>E34/D34</f>
        <v>0</v>
      </c>
    </row>
    <row r="35" spans="1:7" x14ac:dyDescent="0.35">
      <c r="B35" s="4" t="str">
        <f>"10-19"</f>
        <v>10-19</v>
      </c>
      <c r="D35">
        <v>488</v>
      </c>
      <c r="E35">
        <v>0</v>
      </c>
      <c r="F35" s="5">
        <f t="shared" si="0"/>
        <v>5.2808137647440752E-2</v>
      </c>
      <c r="G35" s="5">
        <f t="shared" ref="G35:G42" si="1">E35/D35</f>
        <v>0</v>
      </c>
    </row>
    <row r="36" spans="1:7" x14ac:dyDescent="0.35">
      <c r="B36" t="str">
        <f>"20-29"</f>
        <v>20-29</v>
      </c>
      <c r="D36">
        <v>2508</v>
      </c>
      <c r="E36">
        <v>0</v>
      </c>
      <c r="F36" s="5">
        <f t="shared" si="0"/>
        <v>0.27139919922086353</v>
      </c>
      <c r="G36" s="5">
        <f t="shared" si="1"/>
        <v>0</v>
      </c>
    </row>
    <row r="37" spans="1:7" x14ac:dyDescent="0.35">
      <c r="B37" t="str">
        <f>"30-39"</f>
        <v>30-39</v>
      </c>
      <c r="D37">
        <v>955</v>
      </c>
      <c r="E37">
        <v>1</v>
      </c>
      <c r="F37" s="5">
        <f t="shared" si="0"/>
        <v>0.10334379396169245</v>
      </c>
      <c r="G37" s="5">
        <f t="shared" si="1"/>
        <v>1.0471204188481676E-3</v>
      </c>
    </row>
    <row r="38" spans="1:7" x14ac:dyDescent="0.35">
      <c r="B38" t="str">
        <f>"40-49"</f>
        <v>40-49</v>
      </c>
      <c r="D38">
        <v>1252</v>
      </c>
      <c r="E38">
        <v>1</v>
      </c>
      <c r="F38" s="5">
        <f t="shared" si="0"/>
        <v>0.13548317281679473</v>
      </c>
      <c r="G38" s="5">
        <f t="shared" si="1"/>
        <v>7.9872204472843447E-4</v>
      </c>
    </row>
    <row r="39" spans="1:7" x14ac:dyDescent="0.35">
      <c r="B39" t="str">
        <f>"50-59"</f>
        <v>50-59</v>
      </c>
      <c r="D39">
        <v>1738</v>
      </c>
      <c r="E39">
        <v>10</v>
      </c>
      <c r="F39" s="5">
        <f t="shared" si="0"/>
        <v>0.18807488367059841</v>
      </c>
      <c r="G39" s="5">
        <f t="shared" si="1"/>
        <v>5.7537399309551211E-3</v>
      </c>
    </row>
    <row r="40" spans="1:7" x14ac:dyDescent="0.35">
      <c r="B40" t="str">
        <f>"60-69"</f>
        <v>60-69</v>
      </c>
      <c r="D40">
        <v>1162</v>
      </c>
      <c r="E40">
        <v>20</v>
      </c>
      <c r="F40" s="5">
        <f t="shared" si="0"/>
        <v>0.12574396710312738</v>
      </c>
      <c r="G40" s="5">
        <f t="shared" si="1"/>
        <v>1.7211703958691909E-2</v>
      </c>
    </row>
    <row r="41" spans="1:7" x14ac:dyDescent="0.35">
      <c r="B41" t="str">
        <f>"70-79"</f>
        <v>70-79</v>
      </c>
      <c r="D41">
        <v>616</v>
      </c>
      <c r="E41">
        <v>41</v>
      </c>
      <c r="F41" s="5">
        <f t="shared" si="0"/>
        <v>6.6659452440212097E-2</v>
      </c>
      <c r="G41" s="5">
        <f t="shared" si="1"/>
        <v>6.6558441558441553E-2</v>
      </c>
    </row>
    <row r="42" spans="1:7" x14ac:dyDescent="0.35">
      <c r="B42" t="str">
        <f>"80+"</f>
        <v>80+</v>
      </c>
      <c r="D42">
        <v>416</v>
      </c>
      <c r="E42">
        <v>58</v>
      </c>
      <c r="F42" s="5">
        <f t="shared" si="0"/>
        <v>4.5016773076506873E-2</v>
      </c>
      <c r="G42" s="5">
        <f t="shared" si="1"/>
        <v>0.13942307692307693</v>
      </c>
    </row>
    <row r="43" spans="1:7" x14ac:dyDescent="0.35">
      <c r="B43" s="8" t="s">
        <v>6</v>
      </c>
      <c r="C43" s="8"/>
      <c r="D43" s="8">
        <f>SUM(D34:D42)</f>
        <v>9241</v>
      </c>
      <c r="E43" s="8">
        <f>SUM(E34:E42)</f>
        <v>131</v>
      </c>
      <c r="F43" s="10">
        <f>SUM(F34:F42)</f>
        <v>1</v>
      </c>
      <c r="G43" s="10">
        <f>E43/D43</f>
        <v>1.4175954983226923E-2</v>
      </c>
    </row>
    <row r="44" spans="1:7" x14ac:dyDescent="0.35">
      <c r="B44" s="13"/>
      <c r="C44" s="13"/>
      <c r="D44" s="13"/>
      <c r="E44" s="13"/>
      <c r="F44" s="14"/>
      <c r="G44" s="14"/>
    </row>
    <row r="45" spans="1:7" ht="15.5" x14ac:dyDescent="0.35">
      <c r="A45" s="11" t="s">
        <v>53</v>
      </c>
    </row>
    <row r="47" spans="1:7" x14ac:dyDescent="0.35">
      <c r="B47" s="6" t="s">
        <v>0</v>
      </c>
      <c r="C47" s="6"/>
      <c r="D47" s="6" t="s">
        <v>3</v>
      </c>
      <c r="E47" s="6" t="s">
        <v>4</v>
      </c>
      <c r="F47" s="6" t="s">
        <v>5</v>
      </c>
      <c r="G47" s="6" t="s">
        <v>7</v>
      </c>
    </row>
    <row r="49" spans="1:7" x14ac:dyDescent="0.35">
      <c r="B49" t="str">
        <f>"0-9"</f>
        <v>0-9</v>
      </c>
      <c r="D49">
        <v>181</v>
      </c>
      <c r="E49">
        <v>0</v>
      </c>
      <c r="F49" s="5">
        <f>D49/($D$59-$D$58)</f>
        <v>5.2848258343309289E-3</v>
      </c>
      <c r="G49" s="5">
        <f>(E49+$E$58*E49/SUM($E$49:$E$57))/(D49+F49*$D$58)</f>
        <v>0</v>
      </c>
    </row>
    <row r="50" spans="1:7" x14ac:dyDescent="0.35">
      <c r="B50" s="4" t="str">
        <f>"10-19"</f>
        <v>10-19</v>
      </c>
      <c r="D50">
        <v>312</v>
      </c>
      <c r="E50">
        <v>1</v>
      </c>
      <c r="F50" s="5">
        <f t="shared" ref="F50:F57" si="2">D50/($D$59-$D$58)</f>
        <v>9.109755029343922E-3</v>
      </c>
      <c r="G50" s="5">
        <f t="shared" ref="G50:G57" si="3">(E50+$E$58*E50/SUM($E$49:$E$57))/(D50+F50*$D$58)</f>
        <v>6.0897875589081361E-3</v>
      </c>
    </row>
    <row r="51" spans="1:7" x14ac:dyDescent="0.35">
      <c r="B51" t="str">
        <f>"20-29"</f>
        <v>20-29</v>
      </c>
      <c r="D51">
        <v>2011</v>
      </c>
      <c r="E51">
        <v>4</v>
      </c>
      <c r="F51" s="5">
        <f t="shared" si="2"/>
        <v>5.87170428333674E-2</v>
      </c>
      <c r="G51" s="5">
        <f t="shared" si="3"/>
        <v>3.7792416079151432E-3</v>
      </c>
    </row>
    <row r="52" spans="1:7" x14ac:dyDescent="0.35">
      <c r="B52" t="str">
        <f>"30-39"</f>
        <v>30-39</v>
      </c>
      <c r="D52">
        <v>3575</v>
      </c>
      <c r="E52">
        <v>7</v>
      </c>
      <c r="F52" s="5">
        <f t="shared" si="2"/>
        <v>0.10438260971123245</v>
      </c>
      <c r="G52" s="5">
        <f t="shared" si="3"/>
        <v>3.7203065814420612E-3</v>
      </c>
    </row>
    <row r="53" spans="1:7" x14ac:dyDescent="0.35">
      <c r="B53" t="str">
        <f>"40-49"</f>
        <v>40-49</v>
      </c>
      <c r="D53">
        <v>5242</v>
      </c>
      <c r="E53">
        <v>19</v>
      </c>
      <c r="F53" s="5">
        <f t="shared" si="2"/>
        <v>0.15305556366609244</v>
      </c>
      <c r="G53" s="5">
        <f t="shared" si="3"/>
        <v>6.8867341948125587E-3</v>
      </c>
    </row>
    <row r="54" spans="1:7" x14ac:dyDescent="0.35">
      <c r="B54" t="str">
        <f>"50-59"</f>
        <v>50-59</v>
      </c>
      <c r="D54">
        <v>6030</v>
      </c>
      <c r="E54">
        <v>35</v>
      </c>
      <c r="F54" s="5">
        <f t="shared" si="2"/>
        <v>0.17606353470174313</v>
      </c>
      <c r="G54" s="5">
        <f t="shared" si="3"/>
        <v>1.1028271997226674E-2</v>
      </c>
    </row>
    <row r="55" spans="1:7" x14ac:dyDescent="0.35">
      <c r="B55" t="str">
        <f>"60-69"</f>
        <v>60-69</v>
      </c>
      <c r="D55">
        <v>5633</v>
      </c>
      <c r="E55">
        <v>119</v>
      </c>
      <c r="F55" s="5">
        <f t="shared" si="2"/>
        <v>0.1644719553855587</v>
      </c>
      <c r="G55" s="5">
        <f t="shared" si="3"/>
        <v>4.0138759539701981E-2</v>
      </c>
    </row>
    <row r="56" spans="1:7" x14ac:dyDescent="0.35">
      <c r="B56" t="str">
        <f>"70-79"</f>
        <v>70-79</v>
      </c>
      <c r="D56">
        <v>5620</v>
      </c>
      <c r="E56">
        <v>319</v>
      </c>
      <c r="F56" s="5">
        <f t="shared" si="2"/>
        <v>0.16409238225933603</v>
      </c>
      <c r="G56" s="5">
        <f t="shared" si="3"/>
        <v>0.10784775376565997</v>
      </c>
    </row>
    <row r="57" spans="1:7" x14ac:dyDescent="0.35">
      <c r="B57" t="str">
        <f>"80+"</f>
        <v>80+</v>
      </c>
      <c r="D57">
        <v>5645</v>
      </c>
      <c r="E57">
        <v>863</v>
      </c>
      <c r="F57" s="5">
        <f t="shared" si="2"/>
        <v>0.16482233057899501</v>
      </c>
      <c r="G57" s="5">
        <f t="shared" si="3"/>
        <v>0.29047153923142055</v>
      </c>
    </row>
    <row r="58" spans="1:7" x14ac:dyDescent="0.35">
      <c r="B58" t="s">
        <v>35</v>
      </c>
      <c r="D58">
        <v>29810</v>
      </c>
      <c r="E58">
        <v>3491</v>
      </c>
      <c r="F58" s="5"/>
      <c r="G58" s="5"/>
    </row>
    <row r="59" spans="1:7" x14ac:dyDescent="0.35">
      <c r="B59" s="8" t="s">
        <v>6</v>
      </c>
      <c r="C59" s="8"/>
      <c r="D59" s="8">
        <f>SUM(D49:D58)</f>
        <v>64059</v>
      </c>
      <c r="E59" s="8">
        <f>SUM(E49:E58)</f>
        <v>4858</v>
      </c>
      <c r="F59" s="10">
        <f>SUM(F49:F58)</f>
        <v>1.0000000000000002</v>
      </c>
      <c r="G59" s="10">
        <f>E59/D59</f>
        <v>7.5836338375560031E-2</v>
      </c>
    </row>
    <row r="60" spans="1:7" x14ac:dyDescent="0.35">
      <c r="F60" s="5"/>
      <c r="G60" s="5"/>
    </row>
    <row r="62" spans="1:7" s="8" customFormat="1" ht="18.5" x14ac:dyDescent="0.45">
      <c r="A62" s="9" t="s">
        <v>54</v>
      </c>
    </row>
    <row r="64" spans="1:7" ht="15.5" x14ac:dyDescent="0.35">
      <c r="A64" s="12" t="s">
        <v>49</v>
      </c>
    </row>
    <row r="66" spans="2:5" x14ac:dyDescent="0.35">
      <c r="B66" s="6" t="s">
        <v>0</v>
      </c>
      <c r="C66" s="6"/>
      <c r="D66" s="6" t="s">
        <v>28</v>
      </c>
      <c r="E66" s="6" t="s">
        <v>12</v>
      </c>
    </row>
    <row r="68" spans="2:5" x14ac:dyDescent="0.35">
      <c r="B68" t="str">
        <f>"0-9"</f>
        <v>0-9</v>
      </c>
      <c r="D68" s="5">
        <f t="shared" ref="D68:D76" si="4">F34*G49</f>
        <v>0</v>
      </c>
      <c r="E68" s="5">
        <f t="shared" ref="E68:E76" si="5">F49*G34</f>
        <v>0</v>
      </c>
    </row>
    <row r="69" spans="2:5" x14ac:dyDescent="0.35">
      <c r="B69" s="4" t="str">
        <f>"10-19"</f>
        <v>10-19</v>
      </c>
      <c r="D69" s="5">
        <f t="shared" si="4"/>
        <v>3.2159033965449308E-4</v>
      </c>
      <c r="E69" s="5">
        <f t="shared" si="5"/>
        <v>0</v>
      </c>
    </row>
    <row r="70" spans="2:5" x14ac:dyDescent="0.35">
      <c r="B70" t="str">
        <f>"20-29"</f>
        <v>20-29</v>
      </c>
      <c r="D70" s="5">
        <f t="shared" si="4"/>
        <v>1.0256831460503386E-3</v>
      </c>
      <c r="E70" s="5">
        <f t="shared" si="5"/>
        <v>0</v>
      </c>
    </row>
    <row r="71" spans="2:5" x14ac:dyDescent="0.35">
      <c r="B71" t="str">
        <f>"30-39"</f>
        <v>30-39</v>
      </c>
      <c r="D71" s="5">
        <f t="shared" si="4"/>
        <v>3.8447059682687675E-4</v>
      </c>
      <c r="E71" s="5">
        <f t="shared" si="5"/>
        <v>1.0930116200129053E-4</v>
      </c>
    </row>
    <row r="72" spans="2:5" x14ac:dyDescent="0.35">
      <c r="B72" t="str">
        <f>"40-49"</f>
        <v>40-49</v>
      </c>
      <c r="D72" s="5">
        <f t="shared" si="4"/>
        <v>9.3303659905911963E-4</v>
      </c>
      <c r="E72" s="5">
        <f t="shared" si="5"/>
        <v>1.2224885276844444E-4</v>
      </c>
    </row>
    <row r="73" spans="2:5" x14ac:dyDescent="0.35">
      <c r="B73" t="str">
        <f>"50-59"</f>
        <v>50-59</v>
      </c>
      <c r="D73" s="5">
        <f t="shared" si="4"/>
        <v>2.0741409729661247E-3</v>
      </c>
      <c r="E73" s="5">
        <f t="shared" si="5"/>
        <v>1.0130237899985222E-3</v>
      </c>
    </row>
    <row r="74" spans="2:5" x14ac:dyDescent="0.35">
      <c r="B74" t="str">
        <f>"60-69"</f>
        <v>60-69</v>
      </c>
      <c r="D74" s="5">
        <f t="shared" si="4"/>
        <v>5.0472068591206265E-3</v>
      </c>
      <c r="E74" s="5">
        <f t="shared" si="5"/>
        <v>2.8308426056034195E-3</v>
      </c>
    </row>
    <row r="75" spans="2:5" x14ac:dyDescent="0.35">
      <c r="B75" t="str">
        <f>"70-79"</f>
        <v>70-79</v>
      </c>
      <c r="D75" s="5">
        <f t="shared" si="4"/>
        <v>7.1890722129257156E-3</v>
      </c>
      <c r="E75" s="5">
        <f t="shared" si="5"/>
        <v>1.0921733234793469E-2</v>
      </c>
    </row>
    <row r="76" spans="2:5" x14ac:dyDescent="0.35">
      <c r="B76" t="str">
        <f>"80+"</f>
        <v>80+</v>
      </c>
      <c r="D76" s="5">
        <f t="shared" si="4"/>
        <v>1.3076091366764523E-2</v>
      </c>
      <c r="E76" s="5">
        <f t="shared" si="5"/>
        <v>2.2980036474956035E-2</v>
      </c>
    </row>
    <row r="77" spans="2:5" x14ac:dyDescent="0.35">
      <c r="B77" s="8" t="s">
        <v>6</v>
      </c>
      <c r="C77" s="8"/>
      <c r="D77" s="10">
        <f>SUM(D68:D76)</f>
        <v>3.0051292093367817E-2</v>
      </c>
      <c r="E77" s="10">
        <f>SUM(E68:E76)</f>
        <v>3.797718612012118E-2</v>
      </c>
    </row>
    <row r="79" spans="2:5" x14ac:dyDescent="0.35">
      <c r="B79" t="s">
        <v>29</v>
      </c>
    </row>
    <row r="80" spans="2:5" x14ac:dyDescent="0.35">
      <c r="B80" t="s">
        <v>30</v>
      </c>
    </row>
    <row r="83" spans="1:6" x14ac:dyDescent="0.35">
      <c r="B83" t="s">
        <v>34</v>
      </c>
      <c r="D83" s="5">
        <f>G59</f>
        <v>7.5836338375560031E-2</v>
      </c>
    </row>
    <row r="84" spans="1:6" x14ac:dyDescent="0.35">
      <c r="B84" t="s">
        <v>28</v>
      </c>
      <c r="D84" s="5">
        <f>D77</f>
        <v>3.0051292093367817E-2</v>
      </c>
    </row>
    <row r="85" spans="1:6" x14ac:dyDescent="0.35">
      <c r="B85" t="s">
        <v>12</v>
      </c>
      <c r="D85" s="5">
        <f>E77</f>
        <v>3.797718612012118E-2</v>
      </c>
    </row>
    <row r="86" spans="1:6" x14ac:dyDescent="0.35">
      <c r="B86" t="s">
        <v>9</v>
      </c>
      <c r="D86" s="5">
        <f>G43</f>
        <v>1.4175954983226923E-2</v>
      </c>
    </row>
    <row r="88" spans="1:6" x14ac:dyDescent="0.35">
      <c r="B88" s="1" t="s">
        <v>10</v>
      </c>
      <c r="D88" s="5">
        <f>0.5*(D86-D85+D84-D83)</f>
        <v>-3.4793138709543238E-2</v>
      </c>
      <c r="F88" t="str">
        <f>"Formula = 0.5*(CFR SK- Hyp.1 SK + Hyp.1 ES - CFR ES)"</f>
        <v>Formula = 0.5*(CFR SK- Hyp.1 SK + Hyp.1 ES - CFR ES)</v>
      </c>
    </row>
    <row r="89" spans="1:6" x14ac:dyDescent="0.35">
      <c r="B89" s="1"/>
      <c r="D89" s="5"/>
    </row>
    <row r="90" spans="1:6" ht="15.5" x14ac:dyDescent="0.35">
      <c r="A90" s="12" t="s">
        <v>50</v>
      </c>
    </row>
    <row r="92" spans="1:6" x14ac:dyDescent="0.35">
      <c r="B92" s="6" t="s">
        <v>0</v>
      </c>
      <c r="C92" s="6"/>
      <c r="D92" s="6" t="s">
        <v>31</v>
      </c>
      <c r="E92" s="6" t="s">
        <v>16</v>
      </c>
    </row>
    <row r="94" spans="1:6" x14ac:dyDescent="0.35">
      <c r="B94" t="str">
        <f>"0-9"</f>
        <v>0-9</v>
      </c>
      <c r="D94" s="5">
        <f t="shared" ref="D94:D102" si="6">F49*G34</f>
        <v>0</v>
      </c>
      <c r="E94" s="5">
        <f t="shared" ref="E94:E102" si="7">F34*G49</f>
        <v>0</v>
      </c>
    </row>
    <row r="95" spans="1:6" x14ac:dyDescent="0.35">
      <c r="B95" s="4" t="str">
        <f>"10-19"</f>
        <v>10-19</v>
      </c>
      <c r="D95" s="5">
        <f t="shared" si="6"/>
        <v>0</v>
      </c>
      <c r="E95" s="5">
        <f t="shared" si="7"/>
        <v>3.2159033965449308E-4</v>
      </c>
    </row>
    <row r="96" spans="1:6" x14ac:dyDescent="0.35">
      <c r="B96" t="str">
        <f>"20-29"</f>
        <v>20-29</v>
      </c>
      <c r="D96" s="5">
        <f t="shared" si="6"/>
        <v>0</v>
      </c>
      <c r="E96" s="5">
        <f t="shared" si="7"/>
        <v>1.0256831460503386E-3</v>
      </c>
    </row>
    <row r="97" spans="2:5" x14ac:dyDescent="0.35">
      <c r="B97" t="str">
        <f>"30-39"</f>
        <v>30-39</v>
      </c>
      <c r="D97" s="5">
        <f t="shared" si="6"/>
        <v>1.0930116200129053E-4</v>
      </c>
      <c r="E97" s="5">
        <f t="shared" si="7"/>
        <v>3.8447059682687675E-4</v>
      </c>
    </row>
    <row r="98" spans="2:5" x14ac:dyDescent="0.35">
      <c r="B98" t="str">
        <f>"40-49"</f>
        <v>40-49</v>
      </c>
      <c r="D98" s="5">
        <f t="shared" si="6"/>
        <v>1.2224885276844444E-4</v>
      </c>
      <c r="E98" s="5">
        <f t="shared" si="7"/>
        <v>9.3303659905911963E-4</v>
      </c>
    </row>
    <row r="99" spans="2:5" x14ac:dyDescent="0.35">
      <c r="B99" t="str">
        <f>"50-59"</f>
        <v>50-59</v>
      </c>
      <c r="D99" s="5">
        <f t="shared" si="6"/>
        <v>1.0130237899985222E-3</v>
      </c>
      <c r="E99" s="5">
        <f t="shared" si="7"/>
        <v>2.0741409729661247E-3</v>
      </c>
    </row>
    <row r="100" spans="2:5" x14ac:dyDescent="0.35">
      <c r="B100" t="str">
        <f>"60-69"</f>
        <v>60-69</v>
      </c>
      <c r="D100" s="5">
        <f t="shared" si="6"/>
        <v>2.8308426056034195E-3</v>
      </c>
      <c r="E100" s="5">
        <f t="shared" si="7"/>
        <v>5.0472068591206265E-3</v>
      </c>
    </row>
    <row r="101" spans="2:5" x14ac:dyDescent="0.35">
      <c r="B101" t="str">
        <f>"70-79"</f>
        <v>70-79</v>
      </c>
      <c r="D101" s="5">
        <f t="shared" si="6"/>
        <v>1.0921733234793469E-2</v>
      </c>
      <c r="E101" s="5">
        <f t="shared" si="7"/>
        <v>7.1890722129257156E-3</v>
      </c>
    </row>
    <row r="102" spans="2:5" x14ac:dyDescent="0.35">
      <c r="B102" t="str">
        <f>"80+"</f>
        <v>80+</v>
      </c>
      <c r="D102" s="5">
        <f t="shared" si="6"/>
        <v>2.2980036474956035E-2</v>
      </c>
      <c r="E102" s="5">
        <f t="shared" si="7"/>
        <v>1.3076091366764523E-2</v>
      </c>
    </row>
    <row r="103" spans="2:5" x14ac:dyDescent="0.35">
      <c r="B103" s="8" t="s">
        <v>6</v>
      </c>
      <c r="C103" s="8"/>
      <c r="D103" s="10">
        <f>SUM(D94:D102)</f>
        <v>3.797718612012118E-2</v>
      </c>
      <c r="E103" s="10">
        <f>SUM(E94:E102)</f>
        <v>3.0051292093367817E-2</v>
      </c>
    </row>
    <row r="105" spans="2:5" x14ac:dyDescent="0.35">
      <c r="B105" t="s">
        <v>32</v>
      </c>
    </row>
    <row r="106" spans="2:5" x14ac:dyDescent="0.35">
      <c r="B106" t="s">
        <v>33</v>
      </c>
    </row>
    <row r="109" spans="2:5" x14ac:dyDescent="0.35">
      <c r="B109" t="s">
        <v>34</v>
      </c>
      <c r="D109" s="5">
        <f>G59</f>
        <v>7.5836338375560031E-2</v>
      </c>
    </row>
    <row r="110" spans="2:5" x14ac:dyDescent="0.35">
      <c r="B110" t="s">
        <v>31</v>
      </c>
      <c r="D110" s="5">
        <f>D103</f>
        <v>3.797718612012118E-2</v>
      </c>
    </row>
    <row r="111" spans="2:5" x14ac:dyDescent="0.35">
      <c r="B111" t="s">
        <v>16</v>
      </c>
      <c r="D111" s="5">
        <f>E103</f>
        <v>3.0051292093367817E-2</v>
      </c>
    </row>
    <row r="112" spans="2:5" x14ac:dyDescent="0.35">
      <c r="B112" t="s">
        <v>9</v>
      </c>
      <c r="D112" s="5">
        <f>G43</f>
        <v>1.4175954983226923E-2</v>
      </c>
    </row>
    <row r="114" spans="1:6" x14ac:dyDescent="0.35">
      <c r="B114" s="1" t="s">
        <v>22</v>
      </c>
      <c r="D114" s="5">
        <f>0.5*(D112-D111+D110-D109)</f>
        <v>-2.6867244682789872E-2</v>
      </c>
      <c r="F114" t="str">
        <f>"Formula = 0.5*(CFR SK - Hyp.2 SK + Hyp.2 ES - CFR ES)"</f>
        <v>Formula = 0.5*(CFR SK - Hyp.2 SK + Hyp.2 ES - CFR ES)</v>
      </c>
    </row>
    <row r="116" spans="1:6" ht="15.5" x14ac:dyDescent="0.35">
      <c r="A116" s="12" t="s">
        <v>51</v>
      </c>
    </row>
    <row r="118" spans="1:6" x14ac:dyDescent="0.35">
      <c r="B118" s="2" t="s">
        <v>36</v>
      </c>
    </row>
    <row r="119" spans="1:6" x14ac:dyDescent="0.35">
      <c r="B119" s="5">
        <f>G43-G59</f>
        <v>-6.166038339233311E-2</v>
      </c>
    </row>
    <row r="121" spans="1:6" x14ac:dyDescent="0.35">
      <c r="B121" s="2" t="s">
        <v>58</v>
      </c>
    </row>
    <row r="122" spans="1:6" x14ac:dyDescent="0.35">
      <c r="B122" s="1" t="s">
        <v>20</v>
      </c>
      <c r="D122" s="1" t="s">
        <v>21</v>
      </c>
    </row>
    <row r="123" spans="1:6" x14ac:dyDescent="0.35">
      <c r="B123" s="5">
        <f>D88</f>
        <v>-3.4793138709543238E-2</v>
      </c>
      <c r="D123" s="15">
        <f>ABS(B123)/(ABS(B123)+ABS(B127))</f>
        <v>0.56427055420919481</v>
      </c>
    </row>
    <row r="125" spans="1:6" x14ac:dyDescent="0.35">
      <c r="B125" s="2" t="s">
        <v>59</v>
      </c>
    </row>
    <row r="126" spans="1:6" x14ac:dyDescent="0.35">
      <c r="B126" s="1" t="s">
        <v>20</v>
      </c>
      <c r="D126" s="1" t="s">
        <v>21</v>
      </c>
    </row>
    <row r="127" spans="1:6" x14ac:dyDescent="0.35">
      <c r="B127" s="5">
        <f>D114</f>
        <v>-2.6867244682789872E-2</v>
      </c>
      <c r="D127" s="15">
        <f>ABS(B127)/(ABS(B123)+ABS(B127))</f>
        <v>0.43572944579080514</v>
      </c>
    </row>
    <row r="129" spans="2:2" x14ac:dyDescent="0.35">
      <c r="B129" s="5"/>
    </row>
    <row r="130" spans="2:2" s="8" customForma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Italy vs South Korea</vt:lpstr>
      <vt:lpstr>South Korea vs Spain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2022-05-10T16:08:08Z</dcterms:modified>
</cp:coreProperties>
</file>