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140"/>
  </bookViews>
  <sheets>
    <sheet name="Summary" sheetId="13" r:id="rId1"/>
    <sheet name="pmax_table" sheetId="12" r:id="rId2"/>
    <sheet name="pmin_table" sheetId="1" r:id="rId3"/>
    <sheet name="fuelCost_table" sheetId="9" r:id="rId4"/>
    <sheet name="rampUp_table" sheetId="8" r:id="rId5"/>
    <sheet name="rampDown_table" sheetId="7" r:id="rId6"/>
    <sheet name="startUpRate_table" sheetId="3" r:id="rId7"/>
    <sheet name="shutDownRate_table" sheetId="2" r:id="rId8"/>
    <sheet name="startUpCost_table" sheetId="5" r:id="rId9"/>
    <sheet name="shutDownCost_table" sheetId="6" r:id="rId10"/>
    <sheet name="startUpTime_table" sheetId="10" r:id="rId11"/>
    <sheet name="shutDownTime_table" sheetId="11" r:id="rId12"/>
  </sheets>
  <calcPr calcId="144525"/>
</workbook>
</file>

<file path=xl/sharedStrings.xml><?xml version="1.0" encoding="utf-8"?>
<sst xmlns="http://schemas.openxmlformats.org/spreadsheetml/2006/main" count="74">
  <si>
    <t>Pmax2019</t>
  </si>
  <si>
    <t>startShutCost,time</t>
  </si>
  <si>
    <t>REL 118-bus test system_STCoal01_20MW</t>
  </si>
  <si>
    <t>New</t>
  </si>
  <si>
    <t>Mid</t>
  </si>
  <si>
    <t>Old</t>
  </si>
  <si>
    <t>Sum</t>
  </si>
  <si>
    <t>ramp penalty 450 $/MW</t>
  </si>
  <si>
    <t>REL 118-bus test system_STNG03_712MW</t>
  </si>
  <si>
    <t>Coal</t>
  </si>
  <si>
    <t>Min, ramp</t>
  </si>
  <si>
    <t>IEA The Power of Transformation pp.129 Coal inflexible,Steam turbine(gas/oil)</t>
  </si>
  <si>
    <t>LNG</t>
  </si>
  <si>
    <t>fuelCost_table</t>
  </si>
  <si>
    <t>JP goverment Fuel Price 1  (2019)</t>
  </si>
  <si>
    <t>PV</t>
  </si>
  <si>
    <t>[$/ton]</t>
  </si>
  <si>
    <t>Wind</t>
  </si>
  <si>
    <t>startUpTime_table</t>
  </si>
  <si>
    <t>shutDownTime_table</t>
  </si>
  <si>
    <t>Exchange rate</t>
  </si>
  <si>
    <t>JPY/$</t>
  </si>
  <si>
    <t>[$/MWh]</t>
  </si>
  <si>
    <t>startUpCost_table</t>
  </si>
  <si>
    <t>155$/MW</t>
  </si>
  <si>
    <t>pmax*1.2</t>
  </si>
  <si>
    <t>pmax*1.5</t>
  </si>
  <si>
    <t>Refcost/RefMW=155</t>
  </si>
  <si>
    <t>Heat effiency of coal power plant</t>
  </si>
  <si>
    <t>[%]</t>
  </si>
  <si>
    <t>79.5$/MW</t>
  </si>
  <si>
    <t>Refcost/RefMW=79.5</t>
  </si>
  <si>
    <t>Heat effiency of LNG thermal power plant</t>
  </si>
  <si>
    <t>Unit fuel consumption</t>
  </si>
  <si>
    <t>MWh/heat effiency/heat value</t>
  </si>
  <si>
    <t>成本计算表</t>
  </si>
  <si>
    <t>shutDownCost_table</t>
  </si>
  <si>
    <t>ton/MWh</t>
  </si>
  <si>
    <t>Heat value</t>
  </si>
  <si>
    <t>（MJ/ton)</t>
  </si>
  <si>
    <t>startUp*0.05</t>
  </si>
  <si>
    <t>PVNew</t>
  </si>
  <si>
    <t>rampUp_table</t>
  </si>
  <si>
    <t>rampDown_table</t>
  </si>
  <si>
    <t>PVMid</t>
  </si>
  <si>
    <t>0.006*pmax per min *60min</t>
  </si>
  <si>
    <t>0.6%pmax</t>
  </si>
  <si>
    <t>PVOld</t>
  </si>
  <si>
    <t>0.01*pmax per min *60min</t>
  </si>
  <si>
    <t>1%pmax</t>
  </si>
  <si>
    <t>WindNew</t>
  </si>
  <si>
    <t>WindMid</t>
  </si>
  <si>
    <t>WindOld</t>
  </si>
  <si>
    <t>CoalNew</t>
  </si>
  <si>
    <t>pmin_table</t>
  </si>
  <si>
    <t>CoalMid</t>
  </si>
  <si>
    <t>CoalOld</t>
  </si>
  <si>
    <t>pmax*0.4</t>
  </si>
  <si>
    <t>pmax*0.5</t>
  </si>
  <si>
    <t>pmax*0.6</t>
  </si>
  <si>
    <t>LNGNew</t>
  </si>
  <si>
    <t>pmax*0.1</t>
  </si>
  <si>
    <t>pmax*0.2</t>
  </si>
  <si>
    <t>pmax*0.3</t>
  </si>
  <si>
    <t>LNGMid</t>
  </si>
  <si>
    <t>LNGOld</t>
  </si>
  <si>
    <t>New*1.2</t>
  </si>
  <si>
    <t>New*1.5</t>
  </si>
  <si>
    <t>startUpRate_table</t>
  </si>
  <si>
    <t>shutDownRate_table</t>
  </si>
  <si>
    <t>Ref pmax/startTime</t>
  </si>
  <si>
    <t>New*0.8</t>
  </si>
  <si>
    <t>New*0.5</t>
  </si>
  <si>
    <t>Ref pmax/shutTime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</si>
</sst>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4563185696871"/>
          <c:y val="0.0377747252747253"/>
          <c:w val="0.745266151970744"/>
          <c:h val="0.754532967032967"/>
        </c:manualLayout>
      </c:layout>
      <c:scatterChart>
        <c:scatterStyle val="marker"/>
        <c:varyColors val="0"/>
        <c:ser>
          <c:idx val="0"/>
          <c:order val="0"/>
          <c:tx>
            <c:strRef>
              <c:f>Summary!$G$23</c:f>
              <c:strCache>
                <c:ptCount val="1"/>
                <c:pt idx="0">
                  <c:v>PVNew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Summary!$I$23</c:f>
              <c:numCache>
                <c:formatCode>General</c:formatCode>
                <c:ptCount val="1"/>
                <c:pt idx="0">
                  <c:v>4398.90800000014</c:v>
                </c:pt>
              </c:numCache>
            </c:numRef>
          </c:xVal>
          <c:yVal>
            <c:numRef>
              <c:f>Summary!$H$23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Summary!$G$24</c:f>
              <c:strCache>
                <c:ptCount val="1"/>
                <c:pt idx="0">
                  <c:v>PVMid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Summary!$I$24</c:f>
              <c:numCache>
                <c:formatCode>General</c:formatCode>
                <c:ptCount val="1"/>
                <c:pt idx="0">
                  <c:v>4398.90800000014</c:v>
                </c:pt>
              </c:numCache>
            </c:numRef>
          </c:xVal>
          <c:yVal>
            <c:numRef>
              <c:f>Summary!$H$24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Summary!$G$25</c:f>
              <c:strCache>
                <c:ptCount val="1"/>
                <c:pt idx="0">
                  <c:v>PVOld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Summary!$I$25</c:f>
              <c:numCache>
                <c:formatCode>General</c:formatCode>
                <c:ptCount val="1"/>
                <c:pt idx="0">
                  <c:v>4398.90800000014</c:v>
                </c:pt>
              </c:numCache>
            </c:numRef>
          </c:xVal>
          <c:yVal>
            <c:numRef>
              <c:f>Summary!$H$25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Summary!$G$26</c:f>
              <c:strCache>
                <c:ptCount val="1"/>
                <c:pt idx="0">
                  <c:v>WindNew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Summary!$I$26</c:f>
              <c:numCache>
                <c:formatCode>General</c:formatCode>
                <c:ptCount val="1"/>
                <c:pt idx="0">
                  <c:v>6404.53540000022</c:v>
                </c:pt>
              </c:numCache>
            </c:numRef>
          </c:xVal>
          <c:yVal>
            <c:numRef>
              <c:f>Summary!$H$26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Summary!$G$27</c:f>
              <c:strCache>
                <c:ptCount val="1"/>
                <c:pt idx="0">
                  <c:v>WindMid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Summary!$I$27</c:f>
              <c:numCache>
                <c:formatCode>General</c:formatCode>
                <c:ptCount val="1"/>
                <c:pt idx="0">
                  <c:v>6404.53540000022</c:v>
                </c:pt>
              </c:numCache>
            </c:numRef>
          </c:xVal>
          <c:yVal>
            <c:numRef>
              <c:f>Summary!$H$27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Summary!$G$28</c:f>
              <c:strCache>
                <c:ptCount val="1"/>
                <c:pt idx="0">
                  <c:v>WindOld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Summary!$I$28</c:f>
              <c:numCache>
                <c:formatCode>General</c:formatCode>
                <c:ptCount val="1"/>
                <c:pt idx="0">
                  <c:v>6404.53540000022</c:v>
                </c:pt>
              </c:numCache>
            </c:numRef>
          </c:xVal>
          <c:yVal>
            <c:numRef>
              <c:f>Summary!$H$28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Summary!$G$29</c:f>
              <c:strCache>
                <c:ptCount val="1"/>
                <c:pt idx="0">
                  <c:v>CoalNew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Summary!$I$29</c:f>
              <c:numCache>
                <c:formatCode>General</c:formatCode>
                <c:ptCount val="1"/>
                <c:pt idx="0">
                  <c:v>7370.53540000022</c:v>
                </c:pt>
              </c:numCache>
            </c:numRef>
          </c:xVal>
          <c:yVal>
            <c:numRef>
              <c:f>Summary!$H$29</c:f>
              <c:numCache>
                <c:formatCode>General</c:formatCode>
                <c:ptCount val="1"/>
                <c:pt idx="0">
                  <c:v>35.8314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Summary!$G$30</c:f>
              <c:strCache>
                <c:ptCount val="1"/>
                <c:pt idx="0">
                  <c:v>CoalMid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Summary!$I$30</c:f>
              <c:numCache>
                <c:formatCode>General</c:formatCode>
                <c:ptCount val="1"/>
                <c:pt idx="0">
                  <c:v>8449.20540000022</c:v>
                </c:pt>
              </c:numCache>
            </c:numRef>
          </c:xVal>
          <c:yVal>
            <c:numRef>
              <c:f>Summary!$H$30</c:f>
              <c:numCache>
                <c:formatCode>General</c:formatCode>
                <c:ptCount val="1"/>
                <c:pt idx="0">
                  <c:v>42.99768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Summary!$G$31</c:f>
              <c:strCache>
                <c:ptCount val="1"/>
                <c:pt idx="0">
                  <c:v>CoalOld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Summary!$I$31</c:f>
              <c:numCache>
                <c:formatCode>General</c:formatCode>
                <c:ptCount val="1"/>
                <c:pt idx="0">
                  <c:v>9065.70540000022</c:v>
                </c:pt>
              </c:numCache>
            </c:numRef>
          </c:xVal>
          <c:yVal>
            <c:numRef>
              <c:f>Summary!$H$31</c:f>
              <c:numCache>
                <c:formatCode>General</c:formatCode>
                <c:ptCount val="1"/>
                <c:pt idx="0">
                  <c:v>53.7471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Summary!$G$32</c:f>
              <c:strCache>
                <c:ptCount val="1"/>
                <c:pt idx="0">
                  <c:v>LNGNew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Summary!$I$32</c:f>
              <c:numCache>
                <c:formatCode>General</c:formatCode>
                <c:ptCount val="1"/>
                <c:pt idx="0">
                  <c:v>9713.10540000022</c:v>
                </c:pt>
              </c:numCache>
            </c:numRef>
          </c:xVal>
          <c:yVal>
            <c:numRef>
              <c:f>Summary!$H$32</c:f>
              <c:numCache>
                <c:formatCode>General</c:formatCode>
                <c:ptCount val="1"/>
                <c:pt idx="0">
                  <c:v>66.6887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Summary!$G$33</c:f>
              <c:strCache>
                <c:ptCount val="1"/>
                <c:pt idx="0">
                  <c:v>LNGMid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Summary!$I$33</c:f>
              <c:numCache>
                <c:formatCode>General</c:formatCode>
                <c:ptCount val="1"/>
                <c:pt idx="0">
                  <c:v>10413.1054000002</c:v>
                </c:pt>
              </c:numCache>
            </c:numRef>
          </c:xVal>
          <c:yVal>
            <c:numRef>
              <c:f>Summary!$H$33</c:f>
              <c:numCache>
                <c:formatCode>General</c:formatCode>
                <c:ptCount val="1"/>
                <c:pt idx="0">
                  <c:v>80.02644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Summary!$G$34</c:f>
              <c:strCache>
                <c:ptCount val="1"/>
                <c:pt idx="0">
                  <c:v>LNGOld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Summary!$I$34</c:f>
              <c:numCache>
                <c:formatCode>General</c:formatCode>
                <c:ptCount val="1"/>
                <c:pt idx="0">
                  <c:v>11511.1054000002</c:v>
                </c:pt>
              </c:numCache>
            </c:numRef>
          </c:xVal>
          <c:yVal>
            <c:numRef>
              <c:f>Summary!$H$34</c:f>
              <c:numCache>
                <c:formatCode>General</c:formatCode>
                <c:ptCount val="1"/>
                <c:pt idx="0">
                  <c:v>100.03305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1694"/>
        <c:axId val="916079613"/>
      </c:scatterChart>
      <c:valAx>
        <c:axId val="1116516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079613"/>
        <c:crosses val="autoZero"/>
        <c:crossBetween val="midCat"/>
      </c:valAx>
      <c:valAx>
        <c:axId val="916079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6516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0195042665583"/>
          <c:y val="0.0964972527472528"/>
          <c:w val="0.155323039414872"/>
          <c:h val="0.6466346153846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4563185696871"/>
          <c:y val="0.0377747252747253"/>
          <c:w val="0.745266151970744"/>
          <c:h val="0.754532967032967"/>
        </c:manualLayout>
      </c:layout>
      <c:scatterChart>
        <c:scatterStyle val="marker"/>
        <c:varyColors val="0"/>
        <c:ser>
          <c:idx val="6"/>
          <c:order val="0"/>
          <c:tx>
            <c:strRef>
              <c:f>Summary!$G$29</c:f>
              <c:strCache>
                <c:ptCount val="1"/>
                <c:pt idx="0">
                  <c:v>CoalNew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Summary!$K$29</c:f>
              <c:numCache>
                <c:formatCode>General</c:formatCode>
                <c:ptCount val="1"/>
                <c:pt idx="0">
                  <c:v>966</c:v>
                </c:pt>
              </c:numCache>
            </c:numRef>
          </c:xVal>
          <c:yVal>
            <c:numRef>
              <c:f>Summary!$H$29</c:f>
              <c:numCache>
                <c:formatCode>General</c:formatCode>
                <c:ptCount val="1"/>
                <c:pt idx="0">
                  <c:v>35.8314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Summary!$G$30</c:f>
              <c:strCache>
                <c:ptCount val="1"/>
                <c:pt idx="0">
                  <c:v>CoalMid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Summary!$K$30</c:f>
              <c:numCache>
                <c:formatCode>General</c:formatCode>
                <c:ptCount val="1"/>
                <c:pt idx="0">
                  <c:v>2044.67</c:v>
                </c:pt>
              </c:numCache>
            </c:numRef>
          </c:xVal>
          <c:yVal>
            <c:numRef>
              <c:f>Summary!$H$30</c:f>
              <c:numCache>
                <c:formatCode>General</c:formatCode>
                <c:ptCount val="1"/>
                <c:pt idx="0">
                  <c:v>42.99768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Summary!$G$31</c:f>
              <c:strCache>
                <c:ptCount val="1"/>
                <c:pt idx="0">
                  <c:v>CoalOld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Summary!$K$31</c:f>
              <c:numCache>
                <c:formatCode>General</c:formatCode>
                <c:ptCount val="1"/>
                <c:pt idx="0">
                  <c:v>2661.17</c:v>
                </c:pt>
              </c:numCache>
            </c:numRef>
          </c:xVal>
          <c:yVal>
            <c:numRef>
              <c:f>Summary!$H$31</c:f>
              <c:numCache>
                <c:formatCode>General</c:formatCode>
                <c:ptCount val="1"/>
                <c:pt idx="0">
                  <c:v>53.7471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Summary!$G$32</c:f>
              <c:strCache>
                <c:ptCount val="1"/>
                <c:pt idx="0">
                  <c:v>LNGNew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Summary!$K$32</c:f>
              <c:numCache>
                <c:formatCode>General</c:formatCode>
                <c:ptCount val="1"/>
                <c:pt idx="0">
                  <c:v>3308.57</c:v>
                </c:pt>
              </c:numCache>
            </c:numRef>
          </c:xVal>
          <c:yVal>
            <c:numRef>
              <c:f>Summary!$H$32</c:f>
              <c:numCache>
                <c:formatCode>General</c:formatCode>
                <c:ptCount val="1"/>
                <c:pt idx="0">
                  <c:v>66.6887</c:v>
                </c:pt>
              </c:numCache>
            </c:numRef>
          </c:yVal>
          <c:smooth val="0"/>
        </c:ser>
        <c:ser>
          <c:idx val="10"/>
          <c:order val="4"/>
          <c:tx>
            <c:strRef>
              <c:f>Summary!$G$33</c:f>
              <c:strCache>
                <c:ptCount val="1"/>
                <c:pt idx="0">
                  <c:v>LNGMid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Summary!$K$33</c:f>
              <c:numCache>
                <c:formatCode>General</c:formatCode>
                <c:ptCount val="1"/>
                <c:pt idx="0">
                  <c:v>4008.57</c:v>
                </c:pt>
              </c:numCache>
            </c:numRef>
          </c:xVal>
          <c:yVal>
            <c:numRef>
              <c:f>Summary!$H$33</c:f>
              <c:numCache>
                <c:formatCode>General</c:formatCode>
                <c:ptCount val="1"/>
                <c:pt idx="0">
                  <c:v>80.02644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Summary!$G$34</c:f>
              <c:strCache>
                <c:ptCount val="1"/>
                <c:pt idx="0">
                  <c:v>LNGOld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Summary!$K$34</c:f>
              <c:numCache>
                <c:formatCode>General</c:formatCode>
                <c:ptCount val="1"/>
                <c:pt idx="0">
                  <c:v>5106.57</c:v>
                </c:pt>
              </c:numCache>
            </c:numRef>
          </c:xVal>
          <c:yVal>
            <c:numRef>
              <c:f>Summary!$H$34</c:f>
              <c:numCache>
                <c:formatCode>General</c:formatCode>
                <c:ptCount val="1"/>
                <c:pt idx="0">
                  <c:v>100.03305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1694"/>
        <c:axId val="916079613"/>
      </c:scatterChart>
      <c:valAx>
        <c:axId val="1116516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079613"/>
        <c:crosses val="autoZero"/>
        <c:crossBetween val="midCat"/>
      </c:valAx>
      <c:valAx>
        <c:axId val="916079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6516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0195042665583"/>
          <c:y val="0.0964972527472528"/>
          <c:w val="0.155323039414872"/>
          <c:h val="0.6466346153846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206375</xdr:colOff>
      <xdr:row>15</xdr:row>
      <xdr:rowOff>177165</xdr:rowOff>
    </xdr:from>
    <xdr:to>
      <xdr:col>20</xdr:col>
      <xdr:colOff>188595</xdr:colOff>
      <xdr:row>36</xdr:row>
      <xdr:rowOff>97790</xdr:rowOff>
    </xdr:to>
    <xdr:graphicFrame>
      <xdr:nvGraphicFramePr>
        <xdr:cNvPr id="9" name="Chart 8"/>
        <xdr:cNvGraphicFramePr/>
      </xdr:nvGraphicFramePr>
      <xdr:xfrm>
        <a:off x="11194415" y="2894965"/>
        <a:ext cx="6240780" cy="3684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216535</xdr:colOff>
      <xdr:row>36</xdr:row>
      <xdr:rowOff>157480</xdr:rowOff>
    </xdr:from>
    <xdr:to>
      <xdr:col>20</xdr:col>
      <xdr:colOff>198755</xdr:colOff>
      <xdr:row>57</xdr:row>
      <xdr:rowOff>108585</xdr:rowOff>
    </xdr:to>
    <xdr:graphicFrame>
      <xdr:nvGraphicFramePr>
        <xdr:cNvPr id="10" name="Chart 9"/>
        <xdr:cNvGraphicFramePr/>
      </xdr:nvGraphicFramePr>
      <xdr:xfrm>
        <a:off x="11204575" y="6639560"/>
        <a:ext cx="6240780" cy="3684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8"/>
  <sheetViews>
    <sheetView tabSelected="1" workbookViewId="0">
      <selection activeCell="E5" sqref="E5"/>
    </sheetView>
  </sheetViews>
  <sheetFormatPr defaultColWidth="9" defaultRowHeight="14"/>
  <cols>
    <col min="1" max="4" width="12.6875"/>
    <col min="5" max="5" width="9.5"/>
    <col min="8" max="8" width="10.5"/>
    <col min="9" max="9" width="11.625"/>
    <col min="10" max="10" width="13.8125"/>
    <col min="11" max="12" width="10.5"/>
    <col min="14" max="15" width="9.5"/>
    <col min="16" max="16" width="10.5"/>
    <col min="17" max="17" width="9.5"/>
    <col min="18" max="18" width="10.5"/>
    <col min="20" max="20" width="9.5"/>
    <col min="23" max="23" width="9.5"/>
    <col min="24" max="24" width="10.5"/>
  </cols>
  <sheetData>
    <row r="1" spans="1:7">
      <c r="A1" t="s">
        <v>0</v>
      </c>
      <c r="F1" t="s">
        <v>1</v>
      </c>
      <c r="G1" t="s">
        <v>2</v>
      </c>
    </row>
    <row r="2" spans="2:7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9</v>
      </c>
      <c r="B3" s="1">
        <v>966</v>
      </c>
      <c r="C3" s="1">
        <v>1078.67</v>
      </c>
      <c r="D3" s="1">
        <v>616.5</v>
      </c>
      <c r="E3">
        <f>SUM(B3:D3)</f>
        <v>2661.17</v>
      </c>
      <c r="F3" t="s">
        <v>10</v>
      </c>
      <c r="G3" t="s">
        <v>11</v>
      </c>
    </row>
    <row r="4" spans="1:7">
      <c r="A4" t="s">
        <v>12</v>
      </c>
      <c r="B4" s="1">
        <v>647.4</v>
      </c>
      <c r="C4" s="1">
        <v>700</v>
      </c>
      <c r="D4" s="1">
        <v>1098</v>
      </c>
      <c r="E4">
        <f>SUM(B4:D4)</f>
        <v>2445.4</v>
      </c>
      <c r="F4" t="s">
        <v>13</v>
      </c>
      <c r="G4" t="s">
        <v>14</v>
      </c>
    </row>
    <row r="5" spans="1:9">
      <c r="A5" t="s">
        <v>15</v>
      </c>
      <c r="B5" s="2">
        <v>1327.2797</v>
      </c>
      <c r="C5">
        <v>0</v>
      </c>
      <c r="D5">
        <v>0</v>
      </c>
      <c r="G5" t="s">
        <v>9</v>
      </c>
      <c r="H5">
        <v>108.58</v>
      </c>
      <c r="I5" t="s">
        <v>16</v>
      </c>
    </row>
    <row r="6" spans="1:9">
      <c r="A6" t="s">
        <v>17</v>
      </c>
      <c r="B6" s="2">
        <v>459.05</v>
      </c>
      <c r="C6">
        <v>0</v>
      </c>
      <c r="D6">
        <v>0</v>
      </c>
      <c r="E6">
        <f>SUM(E3:E4)</f>
        <v>5106.57</v>
      </c>
      <c r="G6" t="s">
        <v>12</v>
      </c>
      <c r="H6">
        <v>512.99</v>
      </c>
      <c r="I6" t="s">
        <v>16</v>
      </c>
    </row>
    <row r="7" spans="5:5">
      <c r="E7">
        <f>B3*0.4+C3*0.5+D3*0.6+B4*0.1+C4*0.2+D4*0.3</f>
        <v>1829.775</v>
      </c>
    </row>
    <row r="8" ht="14.8" spans="1:9">
      <c r="A8" t="s">
        <v>18</v>
      </c>
      <c r="B8" t="s">
        <v>19</v>
      </c>
      <c r="G8" s="4" t="s">
        <v>20</v>
      </c>
      <c r="H8" s="4">
        <v>105</v>
      </c>
      <c r="I8" s="4" t="s">
        <v>21</v>
      </c>
    </row>
    <row r="9" ht="14.8" spans="1:10">
      <c r="A9" t="s">
        <v>3</v>
      </c>
      <c r="B9" t="s">
        <v>4</v>
      </c>
      <c r="C9" t="s">
        <v>5</v>
      </c>
      <c r="G9" t="s">
        <v>9</v>
      </c>
      <c r="H9">
        <v>35.8314</v>
      </c>
      <c r="I9" s="4" t="s">
        <v>22</v>
      </c>
      <c r="J9">
        <f>H9*H8</f>
        <v>3762.297</v>
      </c>
    </row>
    <row r="10" ht="14.8" spans="1:9">
      <c r="A10">
        <v>1</v>
      </c>
      <c r="B10">
        <v>1.2</v>
      </c>
      <c r="C10">
        <v>1.5</v>
      </c>
      <c r="G10" t="s">
        <v>12</v>
      </c>
      <c r="H10">
        <v>66.6887</v>
      </c>
      <c r="I10" s="4" t="s">
        <v>22</v>
      </c>
    </row>
    <row r="12" spans="1:1">
      <c r="A12" t="s">
        <v>23</v>
      </c>
    </row>
    <row r="13" spans="1:3">
      <c r="A13" t="s">
        <v>3</v>
      </c>
      <c r="B13" t="s">
        <v>4</v>
      </c>
      <c r="C13" t="s">
        <v>5</v>
      </c>
    </row>
    <row r="14" ht="14.8" spans="1:9">
      <c r="A14" t="s">
        <v>24</v>
      </c>
      <c r="B14" t="s">
        <v>25</v>
      </c>
      <c r="C14" t="s">
        <v>26</v>
      </c>
      <c r="D14" t="s">
        <v>27</v>
      </c>
      <c r="G14" s="4" t="s">
        <v>28</v>
      </c>
      <c r="H14" s="4">
        <v>42</v>
      </c>
      <c r="I14" s="4" t="s">
        <v>29</v>
      </c>
    </row>
    <row r="15" ht="14.8" spans="1:9">
      <c r="A15" t="s">
        <v>30</v>
      </c>
      <c r="B15" t="s">
        <v>25</v>
      </c>
      <c r="C15" t="s">
        <v>26</v>
      </c>
      <c r="D15" t="s">
        <v>31</v>
      </c>
      <c r="G15" s="4" t="s">
        <v>32</v>
      </c>
      <c r="H15" s="4">
        <v>50</v>
      </c>
      <c r="I15" s="4" t="s">
        <v>29</v>
      </c>
    </row>
    <row r="17" ht="14.8" spans="7:11">
      <c r="G17" s="4" t="s">
        <v>33</v>
      </c>
      <c r="H17" s="4" t="s">
        <v>34</v>
      </c>
      <c r="I17" s="4"/>
      <c r="K17" t="s">
        <v>35</v>
      </c>
    </row>
    <row r="18" ht="14.8" spans="1:12">
      <c r="A18" t="s">
        <v>36</v>
      </c>
      <c r="G18" s="4" t="s">
        <v>9</v>
      </c>
      <c r="H18" s="4">
        <v>0.33</v>
      </c>
      <c r="I18" s="4" t="s">
        <v>37</v>
      </c>
      <c r="J18" s="4" t="s">
        <v>38</v>
      </c>
      <c r="K18" s="4">
        <v>25970</v>
      </c>
      <c r="L18" s="4" t="s">
        <v>39</v>
      </c>
    </row>
    <row r="19" ht="14.8" spans="1:12">
      <c r="A19" t="s">
        <v>3</v>
      </c>
      <c r="B19" t="s">
        <v>4</v>
      </c>
      <c r="C19" t="s">
        <v>5</v>
      </c>
      <c r="G19" s="4" t="s">
        <v>12</v>
      </c>
      <c r="H19" s="4">
        <v>0.13</v>
      </c>
      <c r="I19" s="4" t="s">
        <v>37</v>
      </c>
      <c r="J19" s="4" t="s">
        <v>38</v>
      </c>
      <c r="K19" s="4">
        <v>55010</v>
      </c>
      <c r="L19" s="4" t="s">
        <v>39</v>
      </c>
    </row>
    <row r="20" spans="1:3">
      <c r="A20" t="s">
        <v>40</v>
      </c>
      <c r="B20" t="s">
        <v>40</v>
      </c>
      <c r="C20" t="s">
        <v>40</v>
      </c>
    </row>
    <row r="21" spans="1:3">
      <c r="A21" t="s">
        <v>40</v>
      </c>
      <c r="B21" t="s">
        <v>40</v>
      </c>
      <c r="C21" t="s">
        <v>40</v>
      </c>
    </row>
    <row r="23" spans="7:10">
      <c r="G23" t="s">
        <v>41</v>
      </c>
      <c r="H23">
        <v>0</v>
      </c>
      <c r="I23">
        <v>4398.90800000014</v>
      </c>
      <c r="J23" s="2">
        <v>4398.90800000014</v>
      </c>
    </row>
    <row r="24" spans="1:10">
      <c r="A24" t="s">
        <v>42</v>
      </c>
      <c r="B24" t="s">
        <v>43</v>
      </c>
      <c r="G24" t="s">
        <v>44</v>
      </c>
      <c r="H24">
        <v>0</v>
      </c>
      <c r="I24">
        <v>4398.90800000014</v>
      </c>
      <c r="J24">
        <v>0</v>
      </c>
    </row>
    <row r="25" spans="1:10">
      <c r="A25" t="s">
        <v>45</v>
      </c>
      <c r="C25" t="s">
        <v>46</v>
      </c>
      <c r="G25" t="s">
        <v>47</v>
      </c>
      <c r="H25">
        <v>0</v>
      </c>
      <c r="I25">
        <v>4398.90800000014</v>
      </c>
      <c r="J25">
        <v>0</v>
      </c>
    </row>
    <row r="26" spans="1:10">
      <c r="A26" t="s">
        <v>48</v>
      </c>
      <c r="C26" t="s">
        <v>49</v>
      </c>
      <c r="G26" t="s">
        <v>50</v>
      </c>
      <c r="H26">
        <v>0</v>
      </c>
      <c r="I26">
        <v>6404.53540000022</v>
      </c>
      <c r="J26" s="2">
        <v>2005.62740000008</v>
      </c>
    </row>
    <row r="27" spans="1:10">
      <c r="A27" t="s">
        <v>3</v>
      </c>
      <c r="B27" t="s">
        <v>4</v>
      </c>
      <c r="C27" t="s">
        <v>5</v>
      </c>
      <c r="G27" t="s">
        <v>51</v>
      </c>
      <c r="H27">
        <v>0</v>
      </c>
      <c r="I27">
        <v>6404.53540000022</v>
      </c>
      <c r="J27">
        <v>0</v>
      </c>
    </row>
    <row r="28" spans="1:10">
      <c r="A28">
        <v>1</v>
      </c>
      <c r="B28">
        <v>0.8</v>
      </c>
      <c r="C28">
        <v>0.5</v>
      </c>
      <c r="G28" t="s">
        <v>52</v>
      </c>
      <c r="H28">
        <v>0</v>
      </c>
      <c r="I28">
        <v>6404.53540000022</v>
      </c>
      <c r="J28">
        <v>0</v>
      </c>
    </row>
    <row r="29" spans="7:11">
      <c r="G29" t="s">
        <v>53</v>
      </c>
      <c r="H29">
        <v>35.8314</v>
      </c>
      <c r="I29">
        <v>7370.53540000022</v>
      </c>
      <c r="J29" s="1">
        <v>966</v>
      </c>
      <c r="K29">
        <f>J29</f>
        <v>966</v>
      </c>
    </row>
    <row r="30" spans="1:11">
      <c r="A30" t="s">
        <v>54</v>
      </c>
      <c r="G30" t="s">
        <v>55</v>
      </c>
      <c r="H30">
        <f>H29*1.2</f>
        <v>42.99768</v>
      </c>
      <c r="I30">
        <v>8449.20540000022</v>
      </c>
      <c r="J30" s="1">
        <v>1078.67</v>
      </c>
      <c r="K30">
        <f>K29+J30</f>
        <v>2044.67</v>
      </c>
    </row>
    <row r="31" spans="1:11">
      <c r="A31" t="s">
        <v>3</v>
      </c>
      <c r="B31" t="s">
        <v>4</v>
      </c>
      <c r="C31" t="s">
        <v>5</v>
      </c>
      <c r="G31" t="s">
        <v>56</v>
      </c>
      <c r="H31">
        <f>H29*1.5</f>
        <v>53.7471</v>
      </c>
      <c r="I31">
        <v>9065.70540000022</v>
      </c>
      <c r="J31" s="1">
        <v>616.5</v>
      </c>
      <c r="K31">
        <f>K30+J31</f>
        <v>2661.17</v>
      </c>
    </row>
    <row r="32" spans="1:11">
      <c r="A32" t="s">
        <v>57</v>
      </c>
      <c r="B32" t="s">
        <v>58</v>
      </c>
      <c r="C32" t="s">
        <v>59</v>
      </c>
      <c r="G32" t="s">
        <v>60</v>
      </c>
      <c r="H32">
        <v>66.6887</v>
      </c>
      <c r="I32">
        <v>9713.10540000022</v>
      </c>
      <c r="J32" s="1">
        <v>647.4</v>
      </c>
      <c r="K32">
        <f>K31+J32</f>
        <v>3308.57</v>
      </c>
    </row>
    <row r="33" spans="1:11">
      <c r="A33" s="3" t="s">
        <v>61</v>
      </c>
      <c r="B33" s="3" t="s">
        <v>62</v>
      </c>
      <c r="C33" t="s">
        <v>63</v>
      </c>
      <c r="G33" t="s">
        <v>64</v>
      </c>
      <c r="H33">
        <f>H32*1.2</f>
        <v>80.02644</v>
      </c>
      <c r="I33">
        <v>10413.1054000002</v>
      </c>
      <c r="J33" s="1">
        <v>700</v>
      </c>
      <c r="K33">
        <f>K32+J33</f>
        <v>4008.57</v>
      </c>
    </row>
    <row r="34" spans="7:11">
      <c r="G34" t="s">
        <v>65</v>
      </c>
      <c r="H34">
        <f>H32*1.5</f>
        <v>100.03305</v>
      </c>
      <c r="I34">
        <v>11511.1054000002</v>
      </c>
      <c r="J34" s="1">
        <v>1098</v>
      </c>
      <c r="K34">
        <f>K33+J34</f>
        <v>5106.57</v>
      </c>
    </row>
    <row r="35" spans="1:1">
      <c r="A35" t="s">
        <v>13</v>
      </c>
    </row>
    <row r="36" spans="1:3">
      <c r="A36" t="s">
        <v>3</v>
      </c>
      <c r="B36" t="s">
        <v>4</v>
      </c>
      <c r="C36" t="s">
        <v>5</v>
      </c>
    </row>
    <row r="37" spans="1:3">
      <c r="A37">
        <v>1</v>
      </c>
      <c r="B37" t="s">
        <v>66</v>
      </c>
      <c r="C37" t="s">
        <v>67</v>
      </c>
    </row>
    <row r="39" spans="1:2">
      <c r="A39" t="s">
        <v>68</v>
      </c>
      <c r="B39" t="s">
        <v>69</v>
      </c>
    </row>
    <row r="40" spans="1:4">
      <c r="A40" t="s">
        <v>3</v>
      </c>
      <c r="B40" t="s">
        <v>4</v>
      </c>
      <c r="C40" t="s">
        <v>5</v>
      </c>
      <c r="D40" t="s">
        <v>70</v>
      </c>
    </row>
    <row r="41" spans="1:3">
      <c r="A41">
        <v>0.417</v>
      </c>
      <c r="B41" t="s">
        <v>71</v>
      </c>
      <c r="C41" t="s">
        <v>72</v>
      </c>
    </row>
    <row r="42" spans="1:1">
      <c r="A42">
        <v>59.3</v>
      </c>
    </row>
    <row r="45" spans="1:1">
      <c r="A45" t="s">
        <v>69</v>
      </c>
    </row>
    <row r="46" spans="1:4">
      <c r="A46" t="s">
        <v>3</v>
      </c>
      <c r="B46" t="s">
        <v>4</v>
      </c>
      <c r="C46" t="s">
        <v>5</v>
      </c>
      <c r="D46" t="s">
        <v>73</v>
      </c>
    </row>
    <row r="47" spans="1:3">
      <c r="A47">
        <v>0.83</v>
      </c>
      <c r="B47" t="s">
        <v>71</v>
      </c>
      <c r="C47" t="s">
        <v>72</v>
      </c>
    </row>
    <row r="48" spans="1:1">
      <c r="A48">
        <v>89</v>
      </c>
    </row>
  </sheetData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A1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f>startUpCost_table!B2*0.05</f>
        <v>7486.5</v>
      </c>
      <c r="C2">
        <f>startUpCost_table!C2*0.05</f>
        <v>10031.631</v>
      </c>
      <c r="D2">
        <f>startUpCost_table!D2*0.05</f>
        <v>7166.8125</v>
      </c>
    </row>
    <row r="3" spans="1:4">
      <c r="A3" t="s">
        <v>12</v>
      </c>
      <c r="B3">
        <f>startUpCost_table!B3*0.05</f>
        <v>2573.415</v>
      </c>
      <c r="C3">
        <f>startUpCost_table!C3*0.05</f>
        <v>3339</v>
      </c>
      <c r="D3">
        <f>startUpCost_table!D3*0.05</f>
        <v>6546.825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D2" sqref="D2:D3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v>48</v>
      </c>
      <c r="C2">
        <f>ROUND(B2*1.2,0)</f>
        <v>58</v>
      </c>
      <c r="D2">
        <f>ROUND(B2*1.5,0)</f>
        <v>72</v>
      </c>
    </row>
    <row r="3" spans="1:4">
      <c r="A3" t="s">
        <v>12</v>
      </c>
      <c r="B3">
        <v>12</v>
      </c>
      <c r="C3">
        <f>ROUND(B3*1.2,0)</f>
        <v>14</v>
      </c>
      <c r="D3">
        <f>ROUND(B3*1.5,0)</f>
        <v>18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A1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v>24</v>
      </c>
      <c r="C2">
        <f>ROUND(B2*1.2,0)</f>
        <v>29</v>
      </c>
      <c r="D2">
        <f>ROUND(B2*1.5,0)</f>
        <v>36</v>
      </c>
    </row>
    <row r="3" spans="1:4">
      <c r="A3" t="s">
        <v>12</v>
      </c>
      <c r="B3">
        <v>8</v>
      </c>
      <c r="C3">
        <f>ROUND(B3*1.2,0)</f>
        <v>10</v>
      </c>
      <c r="D3">
        <f>ROUND(B3*1.5,0)</f>
        <v>12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4" sqref="B4:B5"/>
    </sheetView>
  </sheetViews>
  <sheetFormatPr defaultColWidth="9" defaultRowHeight="14" outlineLevelRow="4" outlineLevelCol="3"/>
  <cols>
    <col min="1" max="4" width="12.6875"/>
    <col min="5" max="5" width="8.984375" customWidth="1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 s="1">
        <v>966</v>
      </c>
      <c r="C2" s="1">
        <v>1078.67</v>
      </c>
      <c r="D2" s="1">
        <v>616.5</v>
      </c>
    </row>
    <row r="3" spans="1:4">
      <c r="A3" t="s">
        <v>12</v>
      </c>
      <c r="B3" s="1">
        <v>647.4</v>
      </c>
      <c r="C3" s="1">
        <v>700</v>
      </c>
      <c r="D3" s="1">
        <v>1098</v>
      </c>
    </row>
    <row r="4" spans="1:4">
      <c r="A4" t="s">
        <v>15</v>
      </c>
      <c r="B4" s="2">
        <v>1327.2797</v>
      </c>
      <c r="C4">
        <v>0</v>
      </c>
      <c r="D4">
        <v>0</v>
      </c>
    </row>
    <row r="5" spans="1:4">
      <c r="A5" t="s">
        <v>17</v>
      </c>
      <c r="B5" s="2">
        <v>459.05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D3" sqref="D3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f>pmax_table!B2*0.4</f>
        <v>386.4</v>
      </c>
      <c r="C2">
        <f>pmax_table!C2*0.5</f>
        <v>539.335</v>
      </c>
      <c r="D2">
        <f>pmax_table!D2*0.6</f>
        <v>369.9</v>
      </c>
    </row>
    <row r="3" spans="1:4">
      <c r="A3" t="s">
        <v>12</v>
      </c>
      <c r="B3">
        <f>pmax_table!B3*0.1</f>
        <v>64.74</v>
      </c>
      <c r="C3">
        <f>pmax_table!C3*0.2</f>
        <v>140</v>
      </c>
      <c r="D3">
        <f>pmax_table!D3*0.3</f>
        <v>329.4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v>35.8314</v>
      </c>
      <c r="C2">
        <f>B2*1.2</f>
        <v>42.99768</v>
      </c>
      <c r="D2">
        <f>B2*1.5</f>
        <v>53.7471</v>
      </c>
    </row>
    <row r="3" spans="1:4">
      <c r="A3" t="s">
        <v>12</v>
      </c>
      <c r="B3">
        <v>66.6887</v>
      </c>
      <c r="C3">
        <f>B3*1.2</f>
        <v>80.02644</v>
      </c>
      <c r="D3">
        <f>B3*1.5</f>
        <v>100.03305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A1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f>pmax_table!B2*0.006*60</f>
        <v>347.76</v>
      </c>
      <c r="C2">
        <f>pmax_table!C2*0.006*0.8*60</f>
        <v>310.65696</v>
      </c>
      <c r="D2">
        <f>pmax_table!D2*0.006*0.5*60</f>
        <v>110.97</v>
      </c>
    </row>
    <row r="3" spans="1:4">
      <c r="A3" t="s">
        <v>12</v>
      </c>
      <c r="B3">
        <f>pmax_table!B3*0.01*60</f>
        <v>388.44</v>
      </c>
      <c r="C3">
        <f>pmax_table!C3*0.01*0.8*60</f>
        <v>336</v>
      </c>
      <c r="D3">
        <f>pmax_table!D3*0.01*0.5*60</f>
        <v>329.4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A1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f>rampUp_table!B2</f>
        <v>347.76</v>
      </c>
      <c r="C2">
        <f>rampUp_table!C2</f>
        <v>310.65696</v>
      </c>
      <c r="D2">
        <f>rampUp_table!D2</f>
        <v>110.97</v>
      </c>
    </row>
    <row r="3" spans="1:4">
      <c r="A3" t="s">
        <v>12</v>
      </c>
      <c r="B3">
        <f>rampUp_table!B3</f>
        <v>388.44</v>
      </c>
      <c r="C3">
        <f>rampUp_table!C3</f>
        <v>336</v>
      </c>
      <c r="D3">
        <f>rampUp_table!D3</f>
        <v>329.4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A1"/>
    </sheetView>
  </sheetViews>
  <sheetFormatPr defaultColWidth="9" defaultRowHeight="14" outlineLevelRow="4" outlineLevelCol="3"/>
  <cols>
    <col min="3" max="3" width="12.6875"/>
    <col min="4" max="4" width="9.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v>0.417</v>
      </c>
      <c r="C2">
        <f>B2*0.8</f>
        <v>0.3336</v>
      </c>
      <c r="D2">
        <f>B2*0.5</f>
        <v>0.2085</v>
      </c>
    </row>
    <row r="3" spans="1:4">
      <c r="A3" t="s">
        <v>12</v>
      </c>
      <c r="B3">
        <v>59.3</v>
      </c>
      <c r="C3">
        <f>B3*0.8</f>
        <v>47.44</v>
      </c>
      <c r="D3">
        <f>B3*0.5</f>
        <v>29.65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A1"/>
    </sheetView>
  </sheetViews>
  <sheetFormatPr defaultColWidth="9" defaultRowHeight="14" outlineLevelRow="4" outlineLevelCol="3"/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v>0.83</v>
      </c>
      <c r="C2">
        <f>B2*0.8</f>
        <v>0.664</v>
      </c>
      <c r="D2">
        <f>B2*0.5</f>
        <v>0.415</v>
      </c>
    </row>
    <row r="3" spans="1:4">
      <c r="A3" t="s">
        <v>12</v>
      </c>
      <c r="B3">
        <v>89</v>
      </c>
      <c r="C3">
        <f>B3*0.8</f>
        <v>71.2</v>
      </c>
      <c r="D3">
        <f>B3*0.5</f>
        <v>44.5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"/>
    </sheetView>
  </sheetViews>
  <sheetFormatPr defaultColWidth="9" defaultRowHeight="14" outlineLevelRow="4" outlineLevelCol="3"/>
  <cols>
    <col min="1" max="4" width="12.6875"/>
  </cols>
  <sheetData>
    <row r="1" spans="2:4">
      <c r="B1" t="s">
        <v>3</v>
      </c>
      <c r="C1" t="s">
        <v>4</v>
      </c>
      <c r="D1" t="s">
        <v>5</v>
      </c>
    </row>
    <row r="2" spans="1:4">
      <c r="A2" t="s">
        <v>9</v>
      </c>
      <c r="B2">
        <f>pmax_table!B2*155</f>
        <v>149730</v>
      </c>
      <c r="C2">
        <f>pmax_table!C2*155*1.2</f>
        <v>200632.62</v>
      </c>
      <c r="D2">
        <f>pmax_table!D2*155*1.5</f>
        <v>143336.25</v>
      </c>
    </row>
    <row r="3" spans="1:4">
      <c r="A3" t="s">
        <v>12</v>
      </c>
      <c r="B3">
        <f>pmax_table!B3*79.5</f>
        <v>51468.3</v>
      </c>
      <c r="C3">
        <f>pmax_table!C3*79.5*1.2</f>
        <v>66780</v>
      </c>
      <c r="D3">
        <f>pmax_table!D3*79.5*1.5</f>
        <v>130936.5</v>
      </c>
    </row>
    <row r="4" spans="1:4">
      <c r="A4" t="s">
        <v>15</v>
      </c>
      <c r="B4">
        <v>0</v>
      </c>
      <c r="C4">
        <v>0</v>
      </c>
      <c r="D4">
        <v>0</v>
      </c>
    </row>
    <row r="5" spans="1:4">
      <c r="A5" t="s">
        <v>17</v>
      </c>
      <c r="B5">
        <v>0</v>
      </c>
      <c r="C5">
        <v>0</v>
      </c>
      <c r="D5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pmax_table</vt:lpstr>
      <vt:lpstr>pmin_table</vt:lpstr>
      <vt:lpstr>fuelCost_table</vt:lpstr>
      <vt:lpstr>rampUp_table</vt:lpstr>
      <vt:lpstr>rampDown_table</vt:lpstr>
      <vt:lpstr>startUpRate_table</vt:lpstr>
      <vt:lpstr>shutDownRate_table</vt:lpstr>
      <vt:lpstr>startUpCost_table</vt:lpstr>
      <vt:lpstr>shutDownCost_table</vt:lpstr>
      <vt:lpstr>startUpTime_table</vt:lpstr>
      <vt:lpstr>shutDownTime_table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</dc:creator>
  <dcterms:created xsi:type="dcterms:W3CDTF">2022-01-26T02:10:00Z</dcterms:created>
  <dcterms:modified xsi:type="dcterms:W3CDTF">2022-04-19T16:24:33Z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1033-4.1.2.6545</vt:lpwstr>
  </property>
</Properties>
</file>